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5.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ml.chartshapes+xml"/>
  <Override PartName="/xl/charts/chart1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mc:AlternateContent xmlns:mc="http://schemas.openxmlformats.org/markup-compatibility/2006">
    <mc:Choice Requires="x15">
      <x15ac:absPath xmlns:x15ac="http://schemas.microsoft.com/office/spreadsheetml/2010/11/ac" url="K:\BD-AWEL-050-EN\Vollzug\Bauvollzug\Vollzugshilfsmittel\WPesti\WPesti2026_Juli(V.8.3.3.40)\"/>
    </mc:Choice>
  </mc:AlternateContent>
  <xr:revisionPtr revIDLastSave="0" documentId="13_ncr:1_{86D38C84-B317-4AB4-8BA6-D949DDD821A4}" xr6:coauthVersionLast="47" xr6:coauthVersionMax="47" xr10:uidLastSave="{00000000-0000-0000-0000-000000000000}"/>
  <bookViews>
    <workbookView xWindow="28680" yWindow="-120" windowWidth="29040" windowHeight="17520" tabRatio="532" firstSheet="3" activeTab="3" xr2:uid="{00000000-000D-0000-FFFF-FFFF00000000}"/>
  </bookViews>
  <sheets>
    <sheet name="WP1" sheetId="2" state="hidden" r:id="rId1"/>
    <sheet name="Sprache" sheetId="3072" state="hidden" r:id="rId2"/>
    <sheet name="Tabelle1" sheetId="50874" state="hidden" r:id="rId3"/>
    <sheet name="WP" sheetId="3" r:id="rId4"/>
    <sheet name="JAZcalc" sheetId="50873" state="hidden" r:id="rId5"/>
    <sheet name="WP_BIN" sheetId="4" state="hidden" r:id="rId6"/>
    <sheet name="Grafik" sheetId="1" r:id="rId7"/>
    <sheet name="Spez" sheetId="50872" r:id="rId8"/>
    <sheet name="WP_Daten" sheetId="18176" state="hidden" r:id="rId9"/>
    <sheet name="Kosten" sheetId="259" state="hidden" r:id="rId10"/>
    <sheet name="Hinweise" sheetId="2476" state="hidden" r:id="rId11"/>
    <sheet name="BIN" sheetId="8364" state="hidden" r:id="rId12"/>
    <sheet name="Berechnungen" sheetId="8194" state="hidden" r:id="rId13"/>
    <sheet name="log" sheetId="777" state="hidden" r:id="rId14"/>
    <sheet name="Summendiagramm" sheetId="267" state="hidden" r:id="rId15"/>
  </sheets>
  <definedNames>
    <definedName name="_SIA384">'WP1'!$O$66</definedName>
    <definedName name="_TRL1" localSheetId="7">Spez!#REF!</definedName>
    <definedName name="_TRL1">'WP1'!$M$22</definedName>
    <definedName name="_TVL1" localSheetId="7">Spez!#REF!</definedName>
    <definedName name="_TVL1">'WP1'!$M$20</definedName>
    <definedName name="_Tww1" localSheetId="7">Spez!#REF!</definedName>
    <definedName name="_Tww1">'WP1'!$M$48</definedName>
    <definedName name="_wh3" localSheetId="7">Spez!#REF!</definedName>
    <definedName name="_wh5" localSheetId="7">Spez!#REF!</definedName>
    <definedName name="_www3" localSheetId="7">Spez!#REF!</definedName>
    <definedName name="_www5" localSheetId="7">Spez!#REF!</definedName>
    <definedName name="a">Berechnungen!$B$89</definedName>
    <definedName name="a_1">Berechnungen!$B$114</definedName>
    <definedName name="a_2">Berechnungen!$B$115</definedName>
    <definedName name="A_A">Berechnungen!$B$116</definedName>
    <definedName name="Azimut" localSheetId="7">Spez!#REF!</definedName>
    <definedName name="Azimut">'WP1'!$F$50</definedName>
    <definedName name="b">Berechnungen!$B$91</definedName>
    <definedName name="Bedarf" localSheetId="7">Spez!#REF!</definedName>
    <definedName name="Bedarf">'WP1'!$AG$129</definedName>
    <definedName name="BedarfWW" localSheetId="7">Spez!#REF!</definedName>
    <definedName name="BedarfWW">'WP1'!$AG$128</definedName>
    <definedName name="BIN" localSheetId="7">Spez!#REF!</definedName>
    <definedName name="BIN">'WP1'!$M$2</definedName>
    <definedName name="BINkorr">'WP1'!$Y$55</definedName>
    <definedName name="bivalent" localSheetId="7">Spez!#REF!</definedName>
    <definedName name="bivalent">'WP1'!$AE$139</definedName>
    <definedName name="Bivalenzpunkt" localSheetId="7">Spez!#REF!</definedName>
    <definedName name="Bivalenzpunkt">'WP1'!$M$19</definedName>
    <definedName name="Bundesland">JAZcalc!$S$17</definedName>
    <definedName name="cos_a">Berechnungen!$C$93</definedName>
    <definedName name="cos_a_180">Berechnungen!$C$94</definedName>
    <definedName name="cos_a_b">Berechnungen!$C$96</definedName>
    <definedName name="DeltaT_eff" localSheetId="7">Spez!#REF!</definedName>
    <definedName name="DeltaT_eff">'WP1'!$M$24</definedName>
    <definedName name="DeltaT_ref" localSheetId="7">Spez!#REF!</definedName>
    <definedName name="DeltaT_ref">'WP1'!$M$23</definedName>
    <definedName name="_xlnm.Print_Area" localSheetId="6">Grafik!$B$1:$L$77</definedName>
    <definedName name="_xlnm.Print_Area" localSheetId="4">JAZcalc!$B$1:$J$65</definedName>
    <definedName name="_xlnm.Print_Area" localSheetId="7">Spez!$A$2:$J$60</definedName>
    <definedName name="_xlnm.Print_Area" localSheetId="3">WP!$B$1:$H$60</definedName>
    <definedName name="_xlnm.Print_Area" localSheetId="0">'WP1'!$B$2:$H$66</definedName>
    <definedName name="DT__7" localSheetId="7">Spez!#REF!</definedName>
    <definedName name="DT__7">'WP1'!$R$36</definedName>
    <definedName name="DT_2" localSheetId="7">Spez!#REF!</definedName>
    <definedName name="DT_2">'WP1'!$R$37</definedName>
    <definedName name="DT_7" localSheetId="7">Spez!#REF!</definedName>
    <definedName name="DT_7">'WP1'!$R$38</definedName>
    <definedName name="DT_7_50" localSheetId="7">Spez!#REF!</definedName>
    <definedName name="DT_7_50">'WP1'!$R$39</definedName>
    <definedName name="DTKombispeicher">'WP1'!$M$51</definedName>
    <definedName name="dTNutzer" localSheetId="7">Spez!#REF!</definedName>
    <definedName name="dTNutzer">'WP1'!$M$26</definedName>
    <definedName name="e_k_f_phi">Berechnungen!$B$121</definedName>
    <definedName name="EBF" localSheetId="7">'WP1'!$H$8</definedName>
    <definedName name="EBF">'WP1'!$H$8</definedName>
    <definedName name="EBFo" localSheetId="7">Spez!#REF!</definedName>
    <definedName name="EBFo">'WP1'!$M$39</definedName>
    <definedName name="Eingabe1" localSheetId="7">Spez!#REF!</definedName>
    <definedName name="Eingabe1">'WP1'!$AJ$4</definedName>
    <definedName name="Einheitenfaktor">WP!$M$22</definedName>
    <definedName name="elWW" localSheetId="7">Spez!#REF!</definedName>
    <definedName name="elWW">'WP1'!$BG$85</definedName>
    <definedName name="elZusatz" localSheetId="7">Spez!#REF!</definedName>
    <definedName name="elZusatz">'WP1'!$AF$139</definedName>
    <definedName name="EN_14511" localSheetId="7">Spez!#REF!</definedName>
    <definedName name="EN_14511">'WP1'!$AR$5</definedName>
    <definedName name="Etah" localSheetId="7">Spez!#REF!</definedName>
    <definedName name="Etah">'WP1'!$H$59</definedName>
    <definedName name="Etaw" localSheetId="7">Spez!#REF!</definedName>
    <definedName name="Etaw">'WP1'!$H$60</definedName>
    <definedName name="EtaW2" localSheetId="7">Spez!#REF!</definedName>
    <definedName name="EtaW2">'WP1'!$AN$30</definedName>
    <definedName name="EtaWW" localSheetId="7">Spez!#REF!</definedName>
    <definedName name="EtaWW">'WP1'!$J$16</definedName>
    <definedName name="f_phi">Berechnungen!$B$119</definedName>
    <definedName name="Heizperiode" localSheetId="7">Spez!#REF!</definedName>
    <definedName name="Heizperiode">'WP1'!$W$130</definedName>
    <definedName name="Heizspeicher" localSheetId="7">Spez!#REF!</definedName>
    <definedName name="Heizspeicher">'WP1'!$BH$66</definedName>
    <definedName name="Heizstunden" localSheetId="7">Spez!#REF!</definedName>
    <definedName name="Heizstunden">'WP1'!$Y$129</definedName>
    <definedName name="Heizung" localSheetId="7">Spez!#REF!</definedName>
    <definedName name="Heizung">'WP1'!$BH$65</definedName>
    <definedName name="HeizungSolar">'WP1'!$N$56</definedName>
    <definedName name="Hersteller" localSheetId="7">Spez!#REF!</definedName>
    <definedName name="Hersteller">'WP1'!$AP$5</definedName>
    <definedName name="HGT" localSheetId="7">Spez!#REF!</definedName>
    <definedName name="HGT">'WP1'!$H$105</definedName>
    <definedName name="Index_Klima">Berechnungen!$P$1</definedName>
    <definedName name="JAZcalc">JAZcalc!$S$16</definedName>
    <definedName name="JAZel">WP!$K$60</definedName>
    <definedName name="jazh" localSheetId="7">Spez!#REF!</definedName>
    <definedName name="jazh">'WP1'!$H$62</definedName>
    <definedName name="jazh3" localSheetId="7">Spez!#REF!</definedName>
    <definedName name="jazh5" localSheetId="7">Spez!#REF!</definedName>
    <definedName name="jazsh">JAZcalc!$I$59</definedName>
    <definedName name="jazsww">JAZcalc!$I$60</definedName>
    <definedName name="jazww" localSheetId="7">Spez!#REF!</definedName>
    <definedName name="jazww">'WP1'!$H$63</definedName>
    <definedName name="Kategorie" localSheetId="7">Spez!#REF!</definedName>
    <definedName name="Kategorie">'WP1'!$L$3</definedName>
    <definedName name="Kesselleistung" localSheetId="7">Spez!#REF!</definedName>
    <definedName name="Kesselleistung">'WP1'!$H$46</definedName>
    <definedName name="Kli_Sta" localSheetId="7">Spez!#REF!</definedName>
    <definedName name="Kli_Sta">'WP1'!$A$74:$B$105</definedName>
    <definedName name="Klima" localSheetId="7">Spez!#REF!</definedName>
    <definedName name="Klima">'WP1'!$B$71</definedName>
    <definedName name="Klimakorr" localSheetId="7">Spez!#REF!</definedName>
    <definedName name="Klimakorr">'WP1'!$M$34</definedName>
    <definedName name="Kollektor" localSheetId="7">Spez!#REF!</definedName>
    <definedName name="Kollektor">'WP1'!$K$63</definedName>
    <definedName name="KollektorWW" localSheetId="7">Spez!#REF!</definedName>
    <definedName name="KollektorWW">'WP1'!$K$62</definedName>
    <definedName name="KollFlaeche">'WP1'!$K$58</definedName>
    <definedName name="Kondensatorpumpe">Spez!$S$6</definedName>
    <definedName name="L_Hersteller">OFFSET(WP_Daten!$AJ$40,0,0,WP_Daten!$AJ$38,1)</definedName>
    <definedName name="L_Pumpe_Betriebsart">Spez!$V$44:$V$46</definedName>
    <definedName name="L_Pumpe_Regelung">Spez!$W$44:$W$46</definedName>
    <definedName name="L_Quellenpumpe_Regelung">Spez!$X$44:$X$47</definedName>
    <definedName name="L_Typ">OFFSET(WP_Daten!$AN$40,0,0,WP_Daten!$AH$19,1)</definedName>
    <definedName name="L_WP_Betriebsart">Spez!$V$44:$V$46</definedName>
    <definedName name="lambda_Erde" localSheetId="7">Spez!#REF!</definedName>
    <definedName name="lambda_Erde">'WP1'!$M$38</definedName>
    <definedName name="Laufzeit_Zusatzheizung" localSheetId="7">Spez!#REF!</definedName>
    <definedName name="Laufzeit_Zusatzheizung">'WP1'!$H$47</definedName>
    <definedName name="Leistung" localSheetId="7">Spez!#REF!</definedName>
    <definedName name="Leistung">'WP1'!$H$14</definedName>
    <definedName name="Leistungskorr">Berechnungen!$A$36</definedName>
    <definedName name="Leistungsvorschlag">Grafik!$F$15</definedName>
    <definedName name="Max_JAZww">'WP1'!$R$41</definedName>
    <definedName name="Max_Zusatzheizung" localSheetId="7">Spez!#REF!</definedName>
    <definedName name="Max_Zusatzheizung">'WP1'!$AM$128</definedName>
    <definedName name="Methode_384_3">'WP1'!$X$3</definedName>
    <definedName name="MinSol">'WP1'!$O$65</definedName>
    <definedName name="muM" localSheetId="7">Spez!#REF!</definedName>
    <definedName name="muM">'WP1'!$J$52</definedName>
    <definedName name="n_0">Berechnungen!$B$113</definedName>
    <definedName name="Neigung" localSheetId="7">Spez!#REF!</definedName>
    <definedName name="Neigung">'WP1'!$H$50</definedName>
    <definedName name="Neu" localSheetId="7">Spez!#REF!</definedName>
    <definedName name="Neu">'WP1'!$O$2</definedName>
    <definedName name="Nutzungsgrad" localSheetId="7">Spez!#REF!</definedName>
    <definedName name="Nutzungsgrad">'WP1'!$M$35</definedName>
    <definedName name="Offset" localSheetId="7">Spez!#REF!</definedName>
    <definedName name="Offset">'WP1'!$R$29</definedName>
    <definedName name="P_W_dis">Berechnungen!$B$118</definedName>
    <definedName name="Phi_S_Ü">Berechnungen!$B$139</definedName>
    <definedName name="Phi_S_Ü2">Berechnungen!$B$144</definedName>
    <definedName name="Phi_WW">Berechnungen!$B$131</definedName>
    <definedName name="Qh" localSheetId="7">'WP1'!$M$27</definedName>
    <definedName name="Qh">'WP1'!$M$27</definedName>
    <definedName name="Qhmax" localSheetId="7">Spez!#REF!</definedName>
    <definedName name="Qhmax">'WP1'!$AJ$128</definedName>
    <definedName name="QT" localSheetId="7">Spez!#REF!</definedName>
    <definedName name="QT">'WP1'!$H$10</definedName>
    <definedName name="Qtot" localSheetId="7">Spez!#REF!</definedName>
    <definedName name="Qtot">'WP1'!$M$29</definedName>
    <definedName name="QV" localSheetId="7">Spez!#REF!</definedName>
    <definedName name="QV">'WP1'!$H$11</definedName>
    <definedName name="Qww" localSheetId="7">'WP1'!$H$15</definedName>
    <definedName name="Qww">'WP1'!$H$15</definedName>
    <definedName name="Qww_standard" localSheetId="7">Spez!#REF!</definedName>
    <definedName name="Qww_standard">'WP1'!$M$36</definedName>
    <definedName name="Rechenwert_Leistung">Grafik!$O$24</definedName>
    <definedName name="sin_2v">Berechnungen!$C$95</definedName>
    <definedName name="Solarant">Grafik!$C$10</definedName>
    <definedName name="Solaranteil" localSheetId="7">Spez!#REF!</definedName>
    <definedName name="Solaranteil">'WP1'!$Y$130</definedName>
    <definedName name="solarExtern">'WP1'!$O$67</definedName>
    <definedName name="SolWW" localSheetId="7">Spez!#REF!</definedName>
    <definedName name="SolWW">'WP1'!$P$63</definedName>
    <definedName name="Speicher" localSheetId="7">Spez!#REF!</definedName>
    <definedName name="Speicher">'WP1'!$AI$146</definedName>
    <definedName name="Sperrzeit" localSheetId="7">Spez!#REF!</definedName>
    <definedName name="Sperrzeit">'WP1'!$H$13</definedName>
    <definedName name="SpezWP">Spez!$L$15</definedName>
    <definedName name="Startzeile_BINs">BIN!$A$3</definedName>
    <definedName name="stufig">'WP1'!$M$52</definedName>
    <definedName name="TaMin" localSheetId="7">Spez!#REF!</definedName>
    <definedName name="TaMin">'WP1'!$D$105</definedName>
    <definedName name="TaMinVorarlberg">JAZcalc!$S$723</definedName>
    <definedName name="TaMittel" localSheetId="7">Spez!#REF!</definedName>
    <definedName name="TaMittel">'WP1'!$F$105</definedName>
    <definedName name="TQuelle" localSheetId="7">Spez!#REF!</definedName>
    <definedName name="TQuelle">'WP1'!$X$25</definedName>
    <definedName name="TQuelle_Koll" localSheetId="7">Spez!#REF!</definedName>
    <definedName name="TQuelle_Koll">'WP1'!$AB$25</definedName>
    <definedName name="TQuelleH1" localSheetId="7">Spez!#REF!</definedName>
    <definedName name="TQuelleH1">'WP1'!$Z$25</definedName>
    <definedName name="TQuelleW1" localSheetId="7">Spez!#REF!</definedName>
    <definedName name="TQuelleW1">'WP1'!$Z$32</definedName>
    <definedName name="TRL" localSheetId="7">Spez!#REF!</definedName>
    <definedName name="TRL">'WP1'!$H$37</definedName>
    <definedName name="TVL" localSheetId="7">Spez!#REF!</definedName>
    <definedName name="TVL">'WP1'!$H$36</definedName>
    <definedName name="Typ" localSheetId="7">Spez!#REF!</definedName>
    <definedName name="Typ">'WP1'!$AQ$5</definedName>
    <definedName name="Ueberladung" localSheetId="7">Spez!#REF!</definedName>
    <definedName name="Ueberladung">'WP1'!$AK$146</definedName>
    <definedName name="v">Berechnungen!$B$90</definedName>
    <definedName name="Venti">Spez!$S$5</definedName>
    <definedName name="Verteilverluste" localSheetId="7">Spez!#REF!</definedName>
    <definedName name="Verteilverluste">'WP1'!$H$12</definedName>
    <definedName name="Wetterstation" localSheetId="7">Spez!#REF!</definedName>
    <definedName name="Wetterstation">'WP1'!$B$105</definedName>
    <definedName name="wh" localSheetId="7">Spez!#REF!</definedName>
    <definedName name="wh">'WP1'!$H$64</definedName>
    <definedName name="WinkelKorr">'WP1'!$K$60</definedName>
    <definedName name="WPArt">'WP1'!$R$4</definedName>
    <definedName name="WPArt2" localSheetId="7">Spez!#REF!</definedName>
    <definedName name="WPArt2">'WP1'!$S$4</definedName>
    <definedName name="WPDatenbank">'WP1'!$J$19</definedName>
    <definedName name="WW" localSheetId="7">Spez!#REF!</definedName>
    <definedName name="WW">'WP1'!$BH$64</definedName>
    <definedName name="wwSolar">'WP1'!$M$56</definedName>
    <definedName name="www" localSheetId="7">Spez!#REF!</definedName>
    <definedName name="www">'WP1'!$H$65</definedName>
    <definedName name="x">Berechnungen!$C$97</definedName>
    <definedName name="y">Berechnungen!$C$98</definedName>
    <definedName name="y_2">Berechnungen!$C$99</definedName>
    <definedName name="Zusatzheizung" localSheetId="7">Spez!#REF!</definedName>
    <definedName name="Zusatzheizung">'WP1'!$AD$128</definedName>
    <definedName name="Zusatzheizung_total" localSheetId="7">Spez!#REF!</definedName>
    <definedName name="Zusatzheizung_total">'WP1'!$AL$128</definedName>
    <definedName name="ZusatzWW" localSheetId="7">Spez!#REF!</definedName>
    <definedName name="ZusatzWW">'WP1'!$AE$128</definedName>
    <definedName name="ZusatzWW_total" localSheetId="7">Spez!#REF!</definedName>
    <definedName name="Zuschlag_A">'WP1'!$D$68</definedName>
    <definedName name="Zuschlag_CH">'WP1'!$H$68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3" l="1"/>
  <c r="D31" i="3" l="1"/>
  <c r="B338" i="3072" l="1"/>
  <c r="AI40" i="18176" l="1"/>
  <c r="AJ40" i="18176" s="1"/>
  <c r="AZ40" i="4" l="1"/>
  <c r="BW40" i="4" s="1"/>
  <c r="AU40" i="4"/>
  <c r="AL40" i="4"/>
  <c r="AF40" i="4" s="1"/>
  <c r="BH40" i="4" l="1"/>
  <c r="BG40" i="4"/>
  <c r="CD40" i="4"/>
  <c r="AI40" i="4"/>
  <c r="AJ40" i="4"/>
  <c r="X40" i="4"/>
  <c r="AK40" i="4"/>
  <c r="V40" i="4"/>
  <c r="W40" i="4"/>
  <c r="BO40" i="4"/>
  <c r="CE40" i="4"/>
  <c r="AC40" i="4"/>
  <c r="AA40" i="4"/>
  <c r="T40" i="4"/>
  <c r="AD40" i="4"/>
  <c r="AB40" i="4"/>
  <c r="U40" i="4"/>
  <c r="AE40" i="4"/>
  <c r="BP40" i="4"/>
  <c r="BX40" i="4"/>
  <c r="CF40" i="4"/>
  <c r="BA40" i="4"/>
  <c r="BI40" i="4"/>
  <c r="BQ40" i="4"/>
  <c r="BY40" i="4"/>
  <c r="CG40" i="4"/>
  <c r="BB40" i="4"/>
  <c r="BJ40" i="4"/>
  <c r="BR40" i="4"/>
  <c r="BZ40" i="4"/>
  <c r="BC40" i="4"/>
  <c r="BK40" i="4"/>
  <c r="BS40" i="4"/>
  <c r="CA40" i="4"/>
  <c r="BD40" i="4"/>
  <c r="BL40" i="4"/>
  <c r="BT40" i="4"/>
  <c r="CB40" i="4"/>
  <c r="Y40" i="4"/>
  <c r="AG40" i="4"/>
  <c r="BE40" i="4"/>
  <c r="BM40" i="4"/>
  <c r="BU40" i="4"/>
  <c r="CC40" i="4"/>
  <c r="Z40" i="4"/>
  <c r="AH40" i="4"/>
  <c r="BF40" i="4"/>
  <c r="BN40" i="4"/>
  <c r="BV40" i="4"/>
  <c r="A36" i="8194" l="1"/>
  <c r="P219" i="8194"/>
  <c r="F222" i="8194"/>
  <c r="F225" i="8194" s="1"/>
  <c r="F228" i="8194" s="1"/>
  <c r="F231" i="8194" s="1"/>
  <c r="F234" i="8194" s="1"/>
  <c r="F237" i="8194" s="1"/>
  <c r="F240" i="8194" s="1"/>
  <c r="F243" i="8194" s="1"/>
  <c r="F246" i="8194" s="1"/>
  <c r="F249" i="8194" s="1"/>
  <c r="F252" i="8194" s="1"/>
  <c r="F255" i="8194" s="1"/>
  <c r="F258" i="8194" s="1"/>
  <c r="F261" i="8194" s="1"/>
  <c r="F264" i="8194" s="1"/>
  <c r="F267" i="8194" s="1"/>
  <c r="F270" i="8194" s="1"/>
  <c r="F273" i="8194" s="1"/>
  <c r="F276" i="8194" s="1"/>
  <c r="F279" i="8194" s="1"/>
  <c r="F282" i="8194" s="1"/>
  <c r="F285" i="8194" s="1"/>
  <c r="F288" i="8194" s="1"/>
  <c r="F291" i="8194" s="1"/>
  <c r="F294" i="8194" s="1"/>
  <c r="F297" i="8194" s="1"/>
  <c r="F300" i="8194" s="1"/>
  <c r="F303" i="8194" s="1"/>
  <c r="F306" i="8194" s="1"/>
  <c r="F309" i="8194" s="1"/>
  <c r="F312" i="8194" s="1"/>
  <c r="F315" i="8194" s="1"/>
  <c r="F318" i="8194" s="1"/>
  <c r="F321" i="8194" s="1"/>
  <c r="F324" i="8194" s="1"/>
  <c r="F327" i="8194" s="1"/>
  <c r="F330" i="8194" s="1"/>
  <c r="F333" i="8194" s="1"/>
  <c r="F336" i="8194" s="1"/>
  <c r="F339" i="8194" s="1"/>
  <c r="F342" i="8194" s="1"/>
  <c r="F345" i="8194" s="1"/>
  <c r="F348" i="8194" s="1"/>
  <c r="F351" i="8194" s="1"/>
  <c r="F354" i="8194" s="1"/>
  <c r="F357" i="8194" s="1"/>
  <c r="F360" i="8194" s="1"/>
  <c r="F363" i="8194" s="1"/>
  <c r="F366" i="8194" s="1"/>
  <c r="F369" i="8194" s="1"/>
  <c r="F372" i="8194" s="1"/>
  <c r="F375" i="8194" s="1"/>
  <c r="F378" i="8194" s="1"/>
  <c r="F381" i="8194" s="1"/>
  <c r="F384" i="8194" s="1"/>
  <c r="F387" i="8194" s="1"/>
  <c r="F390" i="8194" s="1"/>
  <c r="F393" i="8194" s="1"/>
  <c r="F396" i="8194" s="1"/>
  <c r="F399" i="8194" s="1"/>
  <c r="F402" i="8194" s="1"/>
  <c r="F405" i="8194" s="1"/>
  <c r="F408" i="8194" s="1"/>
  <c r="F411" i="8194" s="1"/>
  <c r="F414" i="8194" s="1"/>
  <c r="C2" i="50873"/>
  <c r="D2" i="50873"/>
  <c r="H3" i="50873"/>
  <c r="O3" i="50873"/>
  <c r="AG3" i="50873"/>
  <c r="AG4" i="50873"/>
  <c r="O6" i="50873"/>
  <c r="AF6" i="50873"/>
  <c r="O7" i="50873"/>
  <c r="AF7" i="50873"/>
  <c r="O8" i="50873"/>
  <c r="AF8" i="50873"/>
  <c r="L9" i="50873"/>
  <c r="O9" i="50873"/>
  <c r="AA9" i="50873"/>
  <c r="AA10" i="50873" s="1"/>
  <c r="AE9" i="50873"/>
  <c r="AG9" i="50873"/>
  <c r="AJ9" i="50873"/>
  <c r="AL9" i="50873" s="1"/>
  <c r="O10" i="50873"/>
  <c r="AE10" i="50873"/>
  <c r="AG10" i="50873"/>
  <c r="O11" i="50873"/>
  <c r="AE11" i="50873"/>
  <c r="AG11" i="50873"/>
  <c r="F12" i="50873"/>
  <c r="O12" i="50873"/>
  <c r="AE12" i="50873"/>
  <c r="AG12" i="50873"/>
  <c r="O13" i="50873"/>
  <c r="AE13" i="50873"/>
  <c r="AG13" i="50873"/>
  <c r="O14" i="50873"/>
  <c r="AE14" i="50873"/>
  <c r="AG14" i="50873"/>
  <c r="O15" i="50873"/>
  <c r="AE15" i="50873"/>
  <c r="AG15" i="50873"/>
  <c r="O16" i="50873"/>
  <c r="S16" i="50873"/>
  <c r="F23" i="2" s="1"/>
  <c r="O17" i="50873"/>
  <c r="V17" i="50873"/>
  <c r="I18" i="50873"/>
  <c r="L21" i="50873"/>
  <c r="AB21" i="50873"/>
  <c r="AI21" i="50873"/>
  <c r="AP21" i="50873"/>
  <c r="AW21" i="50873"/>
  <c r="BD21" i="50873"/>
  <c r="BK21" i="50873"/>
  <c r="BR21" i="50873"/>
  <c r="BY21" i="50873"/>
  <c r="CF21" i="50873"/>
  <c r="L22" i="50873"/>
  <c r="L23" i="50873"/>
  <c r="AE6" i="50873" s="1"/>
  <c r="F24" i="50873"/>
  <c r="L24" i="50873"/>
  <c r="F25" i="50873"/>
  <c r="L25" i="50873"/>
  <c r="AF2" i="50873" s="1"/>
  <c r="AE16" i="50873" s="1"/>
  <c r="F26" i="50873"/>
  <c r="L26" i="50873"/>
  <c r="F27" i="50873"/>
  <c r="L27" i="50873"/>
  <c r="AO2" i="50873" s="1"/>
  <c r="AN9" i="50873" s="1"/>
  <c r="L28" i="50873"/>
  <c r="H64" i="50873" s="1"/>
  <c r="L36" i="50873"/>
  <c r="J36" i="50873" s="1"/>
  <c r="L39" i="50873"/>
  <c r="G39" i="50873" s="1"/>
  <c r="L40" i="50873"/>
  <c r="G40" i="50873" s="1"/>
  <c r="L43" i="50873"/>
  <c r="L46" i="50873"/>
  <c r="L47" i="50873"/>
  <c r="AU4" i="50873" s="1"/>
  <c r="L5" i="50872"/>
  <c r="W7" i="50872"/>
  <c r="U21" i="50872" s="1"/>
  <c r="F12" i="50872"/>
  <c r="G12" i="50872"/>
  <c r="H12" i="50872"/>
  <c r="I12" i="50872"/>
  <c r="J12" i="50872"/>
  <c r="M12" i="50872"/>
  <c r="L14" i="50872"/>
  <c r="M14" i="50872"/>
  <c r="M17" i="50872"/>
  <c r="M20" i="50872" s="1"/>
  <c r="AC18" i="50872"/>
  <c r="M21" i="50872"/>
  <c r="L31" i="50872"/>
  <c r="H32" i="50872"/>
  <c r="L32" i="50872"/>
  <c r="L33" i="50872"/>
  <c r="L34" i="50872"/>
  <c r="L35" i="50872"/>
  <c r="L36" i="50872"/>
  <c r="L37" i="50872"/>
  <c r="L40" i="50872"/>
  <c r="L41" i="50872"/>
  <c r="H42" i="50872"/>
  <c r="L42" i="50872"/>
  <c r="L43" i="50872"/>
  <c r="L44" i="50872"/>
  <c r="L45" i="50872"/>
  <c r="L48" i="50872"/>
  <c r="L49" i="50872"/>
  <c r="H50" i="50872"/>
  <c r="L50" i="50872"/>
  <c r="L51" i="50872"/>
  <c r="L52" i="50872"/>
  <c r="L53" i="50872"/>
  <c r="L56" i="50872"/>
  <c r="L57" i="50872"/>
  <c r="L58" i="50872"/>
  <c r="B7" i="3072"/>
  <c r="B9" i="3072"/>
  <c r="B2" i="3" s="1"/>
  <c r="B10" i="3072"/>
  <c r="B11" i="3072"/>
  <c r="B6" i="3" s="1"/>
  <c r="B12" i="3072"/>
  <c r="B8" i="2" s="1"/>
  <c r="B13" i="3072"/>
  <c r="B7" i="3" s="1"/>
  <c r="B14" i="3072"/>
  <c r="B9" i="2" s="1"/>
  <c r="B15" i="3072"/>
  <c r="B10" i="3" s="1"/>
  <c r="B16" i="3072"/>
  <c r="B11" i="3" s="1"/>
  <c r="B17" i="3072"/>
  <c r="B12" i="2" s="1"/>
  <c r="B18" i="3072"/>
  <c r="B13" i="2" s="1"/>
  <c r="B20" i="3072"/>
  <c r="B15" i="3" s="1"/>
  <c r="B21" i="3072"/>
  <c r="B16" i="3" s="1"/>
  <c r="B22" i="3072"/>
  <c r="B21" i="50873" s="1"/>
  <c r="B23" i="3072"/>
  <c r="B19" i="3" s="1"/>
  <c r="B24" i="3072"/>
  <c r="B25" i="3072"/>
  <c r="B26" i="3072"/>
  <c r="B23" i="50873" s="1"/>
  <c r="B27" i="3072"/>
  <c r="B24" i="50873" s="1"/>
  <c r="B28" i="3072"/>
  <c r="B26" i="50873" s="1"/>
  <c r="B29" i="3072"/>
  <c r="B30" i="3072"/>
  <c r="B31" i="3072"/>
  <c r="B47" i="50873" s="1"/>
  <c r="B32" i="3072"/>
  <c r="B55" i="50873" s="1"/>
  <c r="B33" i="3072"/>
  <c r="B34" i="3072"/>
  <c r="B35" i="3072"/>
  <c r="B36" i="3072"/>
  <c r="B37" i="3072"/>
  <c r="B38" i="3072"/>
  <c r="B55" i="3" s="1"/>
  <c r="B39" i="3072"/>
  <c r="B60" i="2" s="1"/>
  <c r="B40" i="3072"/>
  <c r="B61" i="2" s="1"/>
  <c r="B41" i="3072"/>
  <c r="B62" i="2" s="1"/>
  <c r="B42" i="3072"/>
  <c r="B59" i="3" s="1"/>
  <c r="B43" i="3072"/>
  <c r="B63" i="3" s="1"/>
  <c r="B44" i="3072"/>
  <c r="B64" i="3" s="1"/>
  <c r="B45" i="3072"/>
  <c r="B46" i="3072"/>
  <c r="B47" i="3072"/>
  <c r="B48" i="3072"/>
  <c r="B49" i="3072"/>
  <c r="B50" i="3072"/>
  <c r="B51" i="3072"/>
  <c r="B52" i="3072"/>
  <c r="B53" i="3072"/>
  <c r="B54" i="3072"/>
  <c r="B55" i="3072"/>
  <c r="B48" i="50873" s="1"/>
  <c r="B56" i="3072"/>
  <c r="B49" i="50873" s="1"/>
  <c r="B57" i="3072"/>
  <c r="B50" i="50873" s="1"/>
  <c r="B58" i="3072"/>
  <c r="B59" i="3072"/>
  <c r="B60" i="3072"/>
  <c r="B53" i="50873" s="1"/>
  <c r="B61" i="3072"/>
  <c r="B62" i="3072"/>
  <c r="Q7" i="2" s="1"/>
  <c r="B63" i="3072"/>
  <c r="B64" i="3072"/>
  <c r="Q9" i="2" s="1"/>
  <c r="B65" i="3072"/>
  <c r="B66" i="3072"/>
  <c r="B67" i="3072"/>
  <c r="T7" i="2" s="1"/>
  <c r="B68" i="3072"/>
  <c r="B69" i="3072"/>
  <c r="B28" i="50873" s="1"/>
  <c r="B70" i="3072"/>
  <c r="T9" i="2" s="1"/>
  <c r="B71" i="3072"/>
  <c r="B72" i="3072"/>
  <c r="V7" i="2" s="1"/>
  <c r="B73" i="3072"/>
  <c r="B74" i="3072"/>
  <c r="V9" i="2" s="1"/>
  <c r="B75" i="3072"/>
  <c r="B76" i="3072"/>
  <c r="B77" i="3072"/>
  <c r="X7" i="2" s="1"/>
  <c r="B78" i="3072"/>
  <c r="B79" i="3072"/>
  <c r="B80" i="3072"/>
  <c r="X9" i="2" s="1"/>
  <c r="B81" i="3072"/>
  <c r="B82" i="3072"/>
  <c r="Z7" i="2" s="1"/>
  <c r="B83" i="3072"/>
  <c r="Z8" i="2" s="1"/>
  <c r="B84" i="3072"/>
  <c r="Z9" i="2" s="1"/>
  <c r="B86" i="3072"/>
  <c r="B87" i="3072"/>
  <c r="B88" i="3072"/>
  <c r="AB8" i="2" s="1"/>
  <c r="B89" i="3072"/>
  <c r="AB9" i="2" s="1"/>
  <c r="B90" i="3072"/>
  <c r="B91" i="3072"/>
  <c r="B92" i="3072"/>
  <c r="AD8" i="2" s="1"/>
  <c r="B93" i="3072"/>
  <c r="B94" i="3072"/>
  <c r="B95" i="3072"/>
  <c r="B96" i="3072"/>
  <c r="B97" i="3072"/>
  <c r="B98" i="3072"/>
  <c r="B99" i="3072"/>
  <c r="B100" i="3072"/>
  <c r="K6" i="2" s="1"/>
  <c r="B101" i="3072"/>
  <c r="K7" i="2" s="1"/>
  <c r="B102" i="3072"/>
  <c r="K8" i="2" s="1"/>
  <c r="B103" i="3072"/>
  <c r="K9" i="2" s="1"/>
  <c r="B104" i="3072"/>
  <c r="L10" i="3" s="1"/>
  <c r="B105" i="3072"/>
  <c r="L11" i="3" s="1"/>
  <c r="B106" i="3072"/>
  <c r="L12" i="3" s="1"/>
  <c r="B107" i="3072"/>
  <c r="L13" i="3" s="1"/>
  <c r="B108" i="3072"/>
  <c r="L14" i="3" s="1"/>
  <c r="B109" i="3072"/>
  <c r="L15" i="3" s="1"/>
  <c r="B110" i="3072"/>
  <c r="L16" i="3" s="1"/>
  <c r="B111" i="3072"/>
  <c r="L17" i="3" s="1"/>
  <c r="B112" i="3072"/>
  <c r="B8" i="50872" s="1"/>
  <c r="B113" i="3072"/>
  <c r="B12" i="50872" s="1"/>
  <c r="B114" i="3072"/>
  <c r="BG62" i="2" s="1"/>
  <c r="B115" i="3072"/>
  <c r="AD134" i="2" s="1"/>
  <c r="AJ4" i="50873" s="1"/>
  <c r="B116" i="3072"/>
  <c r="AD135" i="2" s="1"/>
  <c r="T23" i="3" s="1"/>
  <c r="B117" i="3072"/>
  <c r="AD136" i="2" s="1"/>
  <c r="AJ6" i="50873" s="1"/>
  <c r="B118" i="3072"/>
  <c r="B119" i="3072"/>
  <c r="B120" i="3072"/>
  <c r="B121" i="3072"/>
  <c r="B122" i="3072"/>
  <c r="B123" i="3072"/>
  <c r="B124" i="3072"/>
  <c r="B125" i="3072"/>
  <c r="B126" i="3072"/>
  <c r="B127" i="3072"/>
  <c r="B128" i="3072"/>
  <c r="B129" i="3072"/>
  <c r="B130" i="3072"/>
  <c r="B131" i="3072"/>
  <c r="B132" i="3072"/>
  <c r="B133" i="3072"/>
  <c r="B134" i="3072"/>
  <c r="B135" i="3072"/>
  <c r="B136" i="3072"/>
  <c r="B137" i="3072"/>
  <c r="B138" i="3072"/>
  <c r="B139" i="3072"/>
  <c r="B140" i="3072"/>
  <c r="B141" i="3072"/>
  <c r="BG63" i="2" s="1"/>
  <c r="B142" i="3072"/>
  <c r="B143" i="3072"/>
  <c r="B144" i="3072"/>
  <c r="B145" i="3072"/>
  <c r="B146" i="3072"/>
  <c r="B147" i="3072"/>
  <c r="B148" i="3072"/>
  <c r="B149" i="3072"/>
  <c r="B150" i="3072"/>
  <c r="B151" i="3072"/>
  <c r="B152" i="3072"/>
  <c r="B153" i="3072"/>
  <c r="B154" i="3072"/>
  <c r="B155" i="3072"/>
  <c r="B156" i="3072"/>
  <c r="B157" i="3072"/>
  <c r="B158" i="3072"/>
  <c r="B159" i="3072"/>
  <c r="B160" i="3072"/>
  <c r="B161" i="3072"/>
  <c r="B162" i="3072"/>
  <c r="B163" i="3072"/>
  <c r="B164" i="3072"/>
  <c r="B165" i="3072"/>
  <c r="B166" i="3072"/>
  <c r="B167" i="3072"/>
  <c r="B168" i="3072"/>
  <c r="B169" i="3072"/>
  <c r="B170" i="3072"/>
  <c r="B171" i="3072"/>
  <c r="B172" i="3072"/>
  <c r="B173" i="3072"/>
  <c r="B174" i="3072"/>
  <c r="B175" i="3072"/>
  <c r="B176" i="3072"/>
  <c r="B177" i="3072"/>
  <c r="B178" i="3072"/>
  <c r="B179" i="3072"/>
  <c r="B180" i="3072"/>
  <c r="B181" i="3072"/>
  <c r="B182" i="3072"/>
  <c r="B183" i="3072"/>
  <c r="B184" i="3072"/>
  <c r="B185" i="3072"/>
  <c r="B186" i="3072"/>
  <c r="B187" i="3072"/>
  <c r="B188" i="3072"/>
  <c r="B189" i="3072"/>
  <c r="B190" i="3072"/>
  <c r="B191" i="3072"/>
  <c r="B192" i="3072"/>
  <c r="B193" i="3072"/>
  <c r="B194" i="3072"/>
  <c r="B195" i="3072"/>
  <c r="B196" i="3072"/>
  <c r="B197" i="3072"/>
  <c r="B32" i="50873" s="1"/>
  <c r="B198" i="3072"/>
  <c r="B28" i="2" s="1"/>
  <c r="B199" i="3072"/>
  <c r="B200" i="3072"/>
  <c r="B201" i="3072"/>
  <c r="B202" i="3072"/>
  <c r="B203" i="3072"/>
  <c r="B204" i="3072"/>
  <c r="B205" i="3072"/>
  <c r="B206" i="3072"/>
  <c r="B207" i="3072"/>
  <c r="B208" i="3072"/>
  <c r="N48" i="3" s="1"/>
  <c r="B209" i="3072"/>
  <c r="N49" i="3" s="1"/>
  <c r="B210" i="3072"/>
  <c r="B211" i="3072"/>
  <c r="B2" i="1" s="1"/>
  <c r="B212" i="3072"/>
  <c r="B6" i="1" s="1"/>
  <c r="B213" i="3072"/>
  <c r="B7" i="1" s="1"/>
  <c r="B214" i="3072"/>
  <c r="B215" i="3072"/>
  <c r="B216" i="3072"/>
  <c r="B8" i="1" s="1"/>
  <c r="B217" i="3072"/>
  <c r="B9" i="1" s="1"/>
  <c r="B218" i="3072"/>
  <c r="B10" i="1" s="1"/>
  <c r="B219" i="3072"/>
  <c r="B11" i="1" s="1"/>
  <c r="B220" i="3072"/>
  <c r="B221" i="3072"/>
  <c r="B12" i="1" s="1"/>
  <c r="B222" i="3072"/>
  <c r="B13" i="1" s="1"/>
  <c r="B223" i="3072"/>
  <c r="E6" i="1" s="1"/>
  <c r="B224" i="3072"/>
  <c r="E7" i="1" s="1"/>
  <c r="B225" i="3072"/>
  <c r="E8" i="1" s="1"/>
  <c r="B226" i="3072"/>
  <c r="E9" i="1" s="1"/>
  <c r="B227" i="3072"/>
  <c r="E10" i="1" s="1"/>
  <c r="B228" i="3072"/>
  <c r="E11" i="1" s="1"/>
  <c r="B229" i="3072"/>
  <c r="E14" i="1" s="1"/>
  <c r="B232" i="3072"/>
  <c r="E17" i="1" s="1"/>
  <c r="B233" i="3072"/>
  <c r="H6" i="1" s="1"/>
  <c r="B234" i="3072"/>
  <c r="H7" i="1" s="1"/>
  <c r="B235" i="3072"/>
  <c r="H8" i="1" s="1"/>
  <c r="B236" i="3072"/>
  <c r="H9" i="1" s="1"/>
  <c r="B237" i="3072"/>
  <c r="H10" i="1" s="1"/>
  <c r="B238" i="3072"/>
  <c r="H11" i="1" s="1"/>
  <c r="B239" i="3072"/>
  <c r="H12" i="1" s="1"/>
  <c r="B240" i="3072"/>
  <c r="H14" i="1" s="1"/>
  <c r="B241" i="3072"/>
  <c r="H15" i="1" s="1"/>
  <c r="B242" i="3072"/>
  <c r="H16" i="1" s="1"/>
  <c r="B243" i="3072"/>
  <c r="H17" i="1" s="1"/>
  <c r="B244" i="3072"/>
  <c r="H18" i="1" s="1"/>
  <c r="B245" i="3072"/>
  <c r="H19" i="1" s="1"/>
  <c r="B246" i="3072"/>
  <c r="N21" i="1" s="1"/>
  <c r="B247" i="3072"/>
  <c r="O21" i="1" s="1"/>
  <c r="B248" i="3072"/>
  <c r="P21" i="1" s="1"/>
  <c r="B249" i="3072"/>
  <c r="Q21" i="1" s="1"/>
  <c r="B250" i="3072"/>
  <c r="R21" i="1" s="1"/>
  <c r="B251" i="3072"/>
  <c r="S21" i="1" s="1"/>
  <c r="B252" i="3072"/>
  <c r="U21" i="1" s="1"/>
  <c r="B253" i="3072"/>
  <c r="W21" i="1" s="1"/>
  <c r="B254" i="3072"/>
  <c r="B52" i="1" s="1"/>
  <c r="B255" i="3072"/>
  <c r="C52" i="1" s="1"/>
  <c r="B256" i="3072"/>
  <c r="B257" i="3072"/>
  <c r="B258" i="3072"/>
  <c r="B259" i="3072"/>
  <c r="B260" i="3072"/>
  <c r="B261" i="3072"/>
  <c r="B262" i="3072"/>
  <c r="B263" i="3072"/>
  <c r="B264" i="3072"/>
  <c r="B265" i="3072"/>
  <c r="B266" i="3072"/>
  <c r="B267" i="3072"/>
  <c r="B268" i="3072"/>
  <c r="T150" i="2" s="1"/>
  <c r="B269" i="3072"/>
  <c r="B270" i="3072"/>
  <c r="M58" i="2" s="1"/>
  <c r="B271" i="3072"/>
  <c r="M61" i="2" s="1"/>
  <c r="AT8" i="50873" s="1"/>
  <c r="B272" i="3072"/>
  <c r="M62" i="2" s="1"/>
  <c r="B273" i="3072"/>
  <c r="B274" i="3072"/>
  <c r="N47" i="3" s="1"/>
  <c r="B275" i="3072"/>
  <c r="B276" i="3072"/>
  <c r="B277" i="3072"/>
  <c r="B278" i="3072"/>
  <c r="B279" i="3072"/>
  <c r="B280" i="3072"/>
  <c r="B281" i="3072"/>
  <c r="B282" i="3072"/>
  <c r="B283" i="3072"/>
  <c r="B1" i="3" s="1"/>
  <c r="B284" i="3072"/>
  <c r="L47" i="3" s="1"/>
  <c r="E285" i="3072"/>
  <c r="B285" i="3072" s="1"/>
  <c r="L48" i="3" s="1"/>
  <c r="B286" i="3072"/>
  <c r="L49" i="3" s="1"/>
  <c r="B287" i="3072"/>
  <c r="AD137" i="2" s="1"/>
  <c r="B288" i="3072"/>
  <c r="B289" i="3072"/>
  <c r="B2" i="50872" s="1"/>
  <c r="B290" i="3072"/>
  <c r="B4" i="50872" s="1"/>
  <c r="B291" i="3072"/>
  <c r="B6" i="50872" s="1"/>
  <c r="B292" i="3072"/>
  <c r="D6" i="50872" s="1"/>
  <c r="B293" i="3072"/>
  <c r="E6" i="50872" s="1"/>
  <c r="B294" i="3072"/>
  <c r="B295" i="3072"/>
  <c r="B296" i="3072"/>
  <c r="F7" i="50872" s="1"/>
  <c r="B297" i="3072"/>
  <c r="C12" i="50872" s="1"/>
  <c r="B298" i="3072"/>
  <c r="B299" i="3072"/>
  <c r="D13" i="50872" s="1"/>
  <c r="B300" i="3072"/>
  <c r="D10" i="50872" s="1"/>
  <c r="B301" i="3072"/>
  <c r="D12" i="50872" s="1"/>
  <c r="B302" i="3072"/>
  <c r="B30" i="50872" s="1"/>
  <c r="B303" i="3072"/>
  <c r="B40" i="50872" s="1"/>
  <c r="B304" i="3072"/>
  <c r="B32" i="50872" s="1"/>
  <c r="B305" i="3072"/>
  <c r="B33" i="50872" s="1"/>
  <c r="B306" i="3072"/>
  <c r="B34" i="50872" s="1"/>
  <c r="B307" i="3072"/>
  <c r="B35" i="50872" s="1"/>
  <c r="B308" i="3072"/>
  <c r="B44" i="50872" s="1"/>
  <c r="B309" i="3072"/>
  <c r="B45" i="50872" s="1"/>
  <c r="B310" i="3072"/>
  <c r="G32" i="50872" s="1"/>
  <c r="B311" i="3072"/>
  <c r="G42" i="50872" s="1"/>
  <c r="B312" i="3072"/>
  <c r="G43" i="50872" s="1"/>
  <c r="B313" i="3072"/>
  <c r="G50" i="50872" s="1"/>
  <c r="B314" i="3072"/>
  <c r="B39" i="50872" s="1"/>
  <c r="B315" i="3072"/>
  <c r="B41" i="50872" s="1"/>
  <c r="B316" i="3072"/>
  <c r="B42" i="50872" s="1"/>
  <c r="B317" i="3072"/>
  <c r="B43" i="50872" s="1"/>
  <c r="B318" i="3072"/>
  <c r="B47" i="50872" s="1"/>
  <c r="B319" i="3072"/>
  <c r="B49" i="50872" s="1"/>
  <c r="B320" i="3072"/>
  <c r="B50" i="50872" s="1"/>
  <c r="B321" i="3072"/>
  <c r="B51" i="50872" s="1"/>
  <c r="B322" i="3072"/>
  <c r="Q5" i="50872" s="1"/>
  <c r="S6" i="50872" s="1"/>
  <c r="B323" i="3072"/>
  <c r="Q6" i="50872" s="1"/>
  <c r="B324" i="3072"/>
  <c r="V45" i="50872" s="1"/>
  <c r="B325" i="3072"/>
  <c r="V46" i="50872" s="1"/>
  <c r="B326" i="3072"/>
  <c r="W45" i="50872" s="1"/>
  <c r="B327" i="3072"/>
  <c r="W46" i="50872" s="1"/>
  <c r="B328" i="3072"/>
  <c r="X45" i="50872" s="1"/>
  <c r="B329" i="3072"/>
  <c r="X46" i="50872" s="1"/>
  <c r="B330" i="3072"/>
  <c r="X47" i="50872" s="1"/>
  <c r="B331" i="3072"/>
  <c r="B332" i="3072"/>
  <c r="B333" i="3072"/>
  <c r="Q46" i="3" s="1"/>
  <c r="B334" i="3072"/>
  <c r="Q47" i="3" s="1"/>
  <c r="B335" i="3072"/>
  <c r="B336" i="3072"/>
  <c r="B337" i="3072"/>
  <c r="B339" i="3072"/>
  <c r="B340" i="3072"/>
  <c r="B341" i="3072"/>
  <c r="M2" i="3"/>
  <c r="N2" i="3" s="1"/>
  <c r="N3" i="3"/>
  <c r="L5" i="3"/>
  <c r="G10" i="3"/>
  <c r="G11" i="3"/>
  <c r="G15" i="3" s="1"/>
  <c r="K19" i="3"/>
  <c r="M21" i="3"/>
  <c r="M22" i="3" s="1"/>
  <c r="Q21" i="3"/>
  <c r="Q22" i="3"/>
  <c r="K24" i="3"/>
  <c r="Y20" i="3" s="1"/>
  <c r="O27" i="3"/>
  <c r="Q27" i="3"/>
  <c r="O28" i="3"/>
  <c r="Q28" i="3"/>
  <c r="O29" i="3"/>
  <c r="Q29" i="3"/>
  <c r="O30" i="3"/>
  <c r="Q30" i="3"/>
  <c r="O31" i="3"/>
  <c r="Q31" i="3"/>
  <c r="O32" i="3"/>
  <c r="Q32" i="3"/>
  <c r="O33" i="3"/>
  <c r="Q33" i="3"/>
  <c r="K44" i="3"/>
  <c r="O53" i="3" s="1"/>
  <c r="K48" i="3"/>
  <c r="H53" i="3"/>
  <c r="H59" i="3"/>
  <c r="G63" i="3"/>
  <c r="G64" i="3"/>
  <c r="U35" i="4"/>
  <c r="T38" i="4"/>
  <c r="S59" i="4"/>
  <c r="T59" i="4"/>
  <c r="T76" i="4" s="1"/>
  <c r="O67" i="4"/>
  <c r="G69" i="4"/>
  <c r="O69" i="4"/>
  <c r="E10" i="18176"/>
  <c r="A11" i="18176"/>
  <c r="A12" i="18176" s="1"/>
  <c r="A13" i="18176" s="1"/>
  <c r="A14" i="18176" s="1"/>
  <c r="A15" i="18176" s="1"/>
  <c r="A16" i="18176" s="1"/>
  <c r="A17" i="18176" s="1"/>
  <c r="A18" i="18176" s="1"/>
  <c r="A19" i="18176" s="1"/>
  <c r="A20" i="18176" s="1"/>
  <c r="A21" i="18176" s="1"/>
  <c r="A22" i="18176" s="1"/>
  <c r="A23" i="18176" s="1"/>
  <c r="A24" i="18176" s="1"/>
  <c r="A25" i="18176" s="1"/>
  <c r="A26" i="18176" s="1"/>
  <c r="A27" i="18176" s="1"/>
  <c r="A28" i="18176" s="1"/>
  <c r="A29" i="18176" s="1"/>
  <c r="A30" i="18176" s="1"/>
  <c r="A31" i="18176" s="1"/>
  <c r="A32" i="18176" s="1"/>
  <c r="A33" i="18176" s="1"/>
  <c r="A34" i="18176" s="1"/>
  <c r="A35" i="18176" s="1"/>
  <c r="A36" i="18176" s="1"/>
  <c r="A37" i="18176" s="1"/>
  <c r="A38" i="18176" s="1"/>
  <c r="A39" i="18176" s="1"/>
  <c r="A40" i="18176" s="1"/>
  <c r="A41" i="18176" s="1"/>
  <c r="A42" i="18176" s="1"/>
  <c r="A43" i="18176" s="1"/>
  <c r="A44" i="18176" s="1"/>
  <c r="A45" i="18176" s="1"/>
  <c r="A46" i="18176" s="1"/>
  <c r="A47" i="18176" s="1"/>
  <c r="A48" i="18176" s="1"/>
  <c r="A49" i="18176" s="1"/>
  <c r="A50" i="18176" s="1"/>
  <c r="A51" i="18176" s="1"/>
  <c r="A52" i="18176" s="1"/>
  <c r="A53" i="18176" s="1"/>
  <c r="A54" i="18176" s="1"/>
  <c r="A55" i="18176" s="1"/>
  <c r="A56" i="18176" s="1"/>
  <c r="A57" i="18176" s="1"/>
  <c r="A58" i="18176" s="1"/>
  <c r="A59" i="18176" s="1"/>
  <c r="A60" i="18176" s="1"/>
  <c r="A61" i="18176" s="1"/>
  <c r="A62" i="18176" s="1"/>
  <c r="A63" i="18176" s="1"/>
  <c r="A64" i="18176" s="1"/>
  <c r="A65" i="18176" s="1"/>
  <c r="A66" i="18176" s="1"/>
  <c r="A67" i="18176" s="1"/>
  <c r="A68" i="18176" s="1"/>
  <c r="A69" i="18176" s="1"/>
  <c r="A70" i="18176" s="1"/>
  <c r="A71" i="18176" s="1"/>
  <c r="A72" i="18176" s="1"/>
  <c r="A73" i="18176" s="1"/>
  <c r="A74" i="18176" s="1"/>
  <c r="A75" i="18176" s="1"/>
  <c r="A76" i="18176" s="1"/>
  <c r="A77" i="18176" s="1"/>
  <c r="A78" i="18176" s="1"/>
  <c r="A79" i="18176" s="1"/>
  <c r="A80" i="18176" s="1"/>
  <c r="A81" i="18176" s="1"/>
  <c r="A82" i="18176" s="1"/>
  <c r="A83" i="18176" s="1"/>
  <c r="A84" i="18176" s="1"/>
  <c r="A85" i="18176" s="1"/>
  <c r="A86" i="18176" s="1"/>
  <c r="A87" i="18176" s="1"/>
  <c r="A88" i="18176" s="1"/>
  <c r="A89" i="18176" s="1"/>
  <c r="A90" i="18176" s="1"/>
  <c r="A91" i="18176" s="1"/>
  <c r="A92" i="18176" s="1"/>
  <c r="A93" i="18176" s="1"/>
  <c r="A94" i="18176" s="1"/>
  <c r="A95" i="18176" s="1"/>
  <c r="A96" i="18176" s="1"/>
  <c r="A97" i="18176" s="1"/>
  <c r="A98" i="18176" s="1"/>
  <c r="A99" i="18176" s="1"/>
  <c r="A100" i="18176" s="1"/>
  <c r="A101" i="18176" s="1"/>
  <c r="A102" i="18176" s="1"/>
  <c r="A103" i="18176" s="1"/>
  <c r="A104" i="18176" s="1"/>
  <c r="A105" i="18176" s="1"/>
  <c r="A106" i="18176" s="1"/>
  <c r="A107" i="18176" s="1"/>
  <c r="A108" i="18176" s="1"/>
  <c r="A109" i="18176" s="1"/>
  <c r="A110" i="18176" s="1"/>
  <c r="A111" i="18176" s="1"/>
  <c r="A112" i="18176" s="1"/>
  <c r="A113" i="18176" s="1"/>
  <c r="A114" i="18176" s="1"/>
  <c r="A115" i="18176" s="1"/>
  <c r="A116" i="18176" s="1"/>
  <c r="A117" i="18176" s="1"/>
  <c r="A118" i="18176" s="1"/>
  <c r="A119" i="18176" s="1"/>
  <c r="A120" i="18176" s="1"/>
  <c r="A121" i="18176" s="1"/>
  <c r="A122" i="18176" s="1"/>
  <c r="A123" i="18176" s="1"/>
  <c r="A124" i="18176" s="1"/>
  <c r="A125" i="18176" s="1"/>
  <c r="A126" i="18176" s="1"/>
  <c r="A127" i="18176" s="1"/>
  <c r="A128" i="18176" s="1"/>
  <c r="A129" i="18176" s="1"/>
  <c r="A130" i="18176" s="1"/>
  <c r="A131" i="18176" s="1"/>
  <c r="A132" i="18176" s="1"/>
  <c r="A133" i="18176" s="1"/>
  <c r="A134" i="18176" s="1"/>
  <c r="A135" i="18176" s="1"/>
  <c r="A136" i="18176" s="1"/>
  <c r="A137" i="18176" s="1"/>
  <c r="A138" i="18176" s="1"/>
  <c r="A139" i="18176" s="1"/>
  <c r="A140" i="18176" s="1"/>
  <c r="A141" i="18176" s="1"/>
  <c r="A142" i="18176" s="1"/>
  <c r="A143" i="18176" s="1"/>
  <c r="A144" i="18176" s="1"/>
  <c r="A145" i="18176" s="1"/>
  <c r="A146" i="18176" s="1"/>
  <c r="A147" i="18176" s="1"/>
  <c r="A148" i="18176" s="1"/>
  <c r="A149" i="18176" s="1"/>
  <c r="A150" i="18176" s="1"/>
  <c r="A151" i="18176" s="1"/>
  <c r="A152" i="18176" s="1"/>
  <c r="A153" i="18176" s="1"/>
  <c r="A154" i="18176" s="1"/>
  <c r="A155" i="18176" s="1"/>
  <c r="A156" i="18176" s="1"/>
  <c r="A157" i="18176" s="1"/>
  <c r="A158" i="18176" s="1"/>
  <c r="A159" i="18176" s="1"/>
  <c r="A160" i="18176" s="1"/>
  <c r="A161" i="18176" s="1"/>
  <c r="A162" i="18176" s="1"/>
  <c r="A163" i="18176" s="1"/>
  <c r="A164" i="18176" s="1"/>
  <c r="A165" i="18176" s="1"/>
  <c r="A166" i="18176" s="1"/>
  <c r="A167" i="18176" s="1"/>
  <c r="A168" i="18176" s="1"/>
  <c r="A169" i="18176" s="1"/>
  <c r="A170" i="18176" s="1"/>
  <c r="A171" i="18176" s="1"/>
  <c r="A172" i="18176" s="1"/>
  <c r="A173" i="18176" s="1"/>
  <c r="A174" i="18176" s="1"/>
  <c r="A175" i="18176" s="1"/>
  <c r="A176" i="18176" s="1"/>
  <c r="A177" i="18176" s="1"/>
  <c r="A178" i="18176" s="1"/>
  <c r="A179" i="18176" s="1"/>
  <c r="A180" i="18176" s="1"/>
  <c r="A181" i="18176" s="1"/>
  <c r="A182" i="18176" s="1"/>
  <c r="A183" i="18176" s="1"/>
  <c r="A184" i="18176" s="1"/>
  <c r="A185" i="18176" s="1"/>
  <c r="A186" i="18176" s="1"/>
  <c r="A187" i="18176" s="1"/>
  <c r="A188" i="18176" s="1"/>
  <c r="A189" i="18176" s="1"/>
  <c r="A190" i="18176" s="1"/>
  <c r="A191" i="18176" s="1"/>
  <c r="A192" i="18176" s="1"/>
  <c r="A193" i="18176" s="1"/>
  <c r="A194" i="18176" s="1"/>
  <c r="A195" i="18176" s="1"/>
  <c r="A196" i="18176" s="1"/>
  <c r="A197" i="18176" s="1"/>
  <c r="A198" i="18176" s="1"/>
  <c r="A199" i="18176" s="1"/>
  <c r="A200" i="18176" s="1"/>
  <c r="A201" i="18176" s="1"/>
  <c r="A202" i="18176" s="1"/>
  <c r="A203" i="18176" s="1"/>
  <c r="A204" i="18176" s="1"/>
  <c r="A205" i="18176" s="1"/>
  <c r="A206" i="18176" s="1"/>
  <c r="A207" i="18176" s="1"/>
  <c r="A208" i="18176" s="1"/>
  <c r="A209" i="18176" s="1"/>
  <c r="A210" i="18176" s="1"/>
  <c r="A211" i="18176" s="1"/>
  <c r="A212" i="18176" s="1"/>
  <c r="A213" i="18176" s="1"/>
  <c r="A214" i="18176" s="1"/>
  <c r="A215" i="18176" s="1"/>
  <c r="A216" i="18176" s="1"/>
  <c r="A217" i="18176" s="1"/>
  <c r="A218" i="18176" s="1"/>
  <c r="A219" i="18176" s="1"/>
  <c r="A220" i="18176" s="1"/>
  <c r="A221" i="18176" s="1"/>
  <c r="A222" i="18176" s="1"/>
  <c r="A223" i="18176" s="1"/>
  <c r="A224" i="18176" s="1"/>
  <c r="A225" i="18176" s="1"/>
  <c r="A226" i="18176" s="1"/>
  <c r="A227" i="18176" s="1"/>
  <c r="A228" i="18176" s="1"/>
  <c r="A229" i="18176" s="1"/>
  <c r="A230" i="18176" s="1"/>
  <c r="A231" i="18176" s="1"/>
  <c r="A232" i="18176" s="1"/>
  <c r="A233" i="18176" s="1"/>
  <c r="A234" i="18176" s="1"/>
  <c r="A235" i="18176" s="1"/>
  <c r="A236" i="18176" s="1"/>
  <c r="A237" i="18176" s="1"/>
  <c r="A238" i="18176" s="1"/>
  <c r="A239" i="18176" s="1"/>
  <c r="A240" i="18176" s="1"/>
  <c r="A241" i="18176" s="1"/>
  <c r="A242" i="18176" s="1"/>
  <c r="A243" i="18176" s="1"/>
  <c r="A244" i="18176" s="1"/>
  <c r="A245" i="18176" s="1"/>
  <c r="A246" i="18176" s="1"/>
  <c r="A247" i="18176" s="1"/>
  <c r="A248" i="18176" s="1"/>
  <c r="A249" i="18176" s="1"/>
  <c r="A250" i="18176" s="1"/>
  <c r="A251" i="18176" s="1"/>
  <c r="A252" i="18176" s="1"/>
  <c r="A253" i="18176" s="1"/>
  <c r="A254" i="18176" s="1"/>
  <c r="A255" i="18176" s="1"/>
  <c r="A256" i="18176" s="1"/>
  <c r="A257" i="18176" s="1"/>
  <c r="A258" i="18176" s="1"/>
  <c r="A259" i="18176" s="1"/>
  <c r="A260" i="18176" s="1"/>
  <c r="A261" i="18176" s="1"/>
  <c r="A262" i="18176" s="1"/>
  <c r="A263" i="18176" s="1"/>
  <c r="A264" i="18176" s="1"/>
  <c r="A265" i="18176" s="1"/>
  <c r="A266" i="18176" s="1"/>
  <c r="A267" i="18176" s="1"/>
  <c r="A268" i="18176" s="1"/>
  <c r="A269" i="18176" s="1"/>
  <c r="A270" i="18176" s="1"/>
  <c r="A271" i="18176" s="1"/>
  <c r="A272" i="18176" s="1"/>
  <c r="A273" i="18176" s="1"/>
  <c r="A274" i="18176" s="1"/>
  <c r="A275" i="18176" s="1"/>
  <c r="A276" i="18176" s="1"/>
  <c r="A277" i="18176" s="1"/>
  <c r="A278" i="18176" s="1"/>
  <c r="A279" i="18176" s="1"/>
  <c r="A280" i="18176" s="1"/>
  <c r="A281" i="18176" s="1"/>
  <c r="A282" i="18176" s="1"/>
  <c r="A283" i="18176" s="1"/>
  <c r="A284" i="18176" s="1"/>
  <c r="A285" i="18176" s="1"/>
  <c r="A286" i="18176" s="1"/>
  <c r="A287" i="18176" s="1"/>
  <c r="A288" i="18176" s="1"/>
  <c r="A289" i="18176" s="1"/>
  <c r="A290" i="18176" s="1"/>
  <c r="A291" i="18176" s="1"/>
  <c r="A292" i="18176" s="1"/>
  <c r="A293" i="18176" s="1"/>
  <c r="A294" i="18176" s="1"/>
  <c r="A295" i="18176" s="1"/>
  <c r="A296" i="18176" s="1"/>
  <c r="A297" i="18176" s="1"/>
  <c r="A298" i="18176" s="1"/>
  <c r="A299" i="18176" s="1"/>
  <c r="A300" i="18176" s="1"/>
  <c r="A301" i="18176" s="1"/>
  <c r="A302" i="18176" s="1"/>
  <c r="A303" i="18176" s="1"/>
  <c r="A304" i="18176" s="1"/>
  <c r="A305" i="18176" s="1"/>
  <c r="A306" i="18176" s="1"/>
  <c r="A307" i="18176" s="1"/>
  <c r="A308" i="18176" s="1"/>
  <c r="A309" i="18176" s="1"/>
  <c r="A310" i="18176" s="1"/>
  <c r="A311" i="18176" s="1"/>
  <c r="A312" i="18176" s="1"/>
  <c r="A313" i="18176" s="1"/>
  <c r="A314" i="18176" s="1"/>
  <c r="A315" i="18176" s="1"/>
  <c r="A316" i="18176" s="1"/>
  <c r="A317" i="18176" s="1"/>
  <c r="A318" i="18176" s="1"/>
  <c r="A319" i="18176" s="1"/>
  <c r="A320" i="18176" s="1"/>
  <c r="A321" i="18176" s="1"/>
  <c r="A322" i="18176" s="1"/>
  <c r="A323" i="18176" s="1"/>
  <c r="A324" i="18176" s="1"/>
  <c r="A325" i="18176" s="1"/>
  <c r="A326" i="18176" s="1"/>
  <c r="A327" i="18176" s="1"/>
  <c r="A328" i="18176" s="1"/>
  <c r="A329" i="18176" s="1"/>
  <c r="A330" i="18176" s="1"/>
  <c r="A331" i="18176" s="1"/>
  <c r="A332" i="18176" s="1"/>
  <c r="A333" i="18176" s="1"/>
  <c r="A334" i="18176" s="1"/>
  <c r="A335" i="18176" s="1"/>
  <c r="A336" i="18176" s="1"/>
  <c r="A337" i="18176" s="1"/>
  <c r="A338" i="18176" s="1"/>
  <c r="A339" i="18176" s="1"/>
  <c r="A340" i="18176" s="1"/>
  <c r="A341" i="18176" s="1"/>
  <c r="A342" i="18176" s="1"/>
  <c r="A343" i="18176" s="1"/>
  <c r="A344" i="18176" s="1"/>
  <c r="A345" i="18176" s="1"/>
  <c r="A346" i="18176" s="1"/>
  <c r="A347" i="18176" s="1"/>
  <c r="A348" i="18176" s="1"/>
  <c r="A349" i="18176" s="1"/>
  <c r="A350" i="18176" s="1"/>
  <c r="A351" i="18176" s="1"/>
  <c r="A352" i="18176" s="1"/>
  <c r="A353" i="18176" s="1"/>
  <c r="A354" i="18176" s="1"/>
  <c r="A355" i="18176" s="1"/>
  <c r="A356" i="18176" s="1"/>
  <c r="A357" i="18176" s="1"/>
  <c r="A358" i="18176" s="1"/>
  <c r="A359" i="18176" s="1"/>
  <c r="A360" i="18176" s="1"/>
  <c r="A361" i="18176" s="1"/>
  <c r="A362" i="18176" s="1"/>
  <c r="A363" i="18176" s="1"/>
  <c r="A364" i="18176" s="1"/>
  <c r="A365" i="18176" s="1"/>
  <c r="A366" i="18176" s="1"/>
  <c r="A367" i="18176" s="1"/>
  <c r="A368" i="18176" s="1"/>
  <c r="A369" i="18176" s="1"/>
  <c r="A370" i="18176" s="1"/>
  <c r="A371" i="18176" s="1"/>
  <c r="A372" i="18176" s="1"/>
  <c r="A373" i="18176" s="1"/>
  <c r="A374" i="18176" s="1"/>
  <c r="A375" i="18176" s="1"/>
  <c r="A376" i="18176" s="1"/>
  <c r="A377" i="18176" s="1"/>
  <c r="A378" i="18176" s="1"/>
  <c r="A379" i="18176" s="1"/>
  <c r="A380" i="18176" s="1"/>
  <c r="A381" i="18176" s="1"/>
  <c r="A382" i="18176" s="1"/>
  <c r="A383" i="18176" s="1"/>
  <c r="A384" i="18176" s="1"/>
  <c r="A385" i="18176" s="1"/>
  <c r="A386" i="18176" s="1"/>
  <c r="A387" i="18176" s="1"/>
  <c r="A388" i="18176" s="1"/>
  <c r="A389" i="18176" s="1"/>
  <c r="A390" i="18176" s="1"/>
  <c r="A391" i="18176" s="1"/>
  <c r="A392" i="18176" s="1"/>
  <c r="A393" i="18176" s="1"/>
  <c r="A394" i="18176" s="1"/>
  <c r="A395" i="18176" s="1"/>
  <c r="A396" i="18176" s="1"/>
  <c r="A397" i="18176" s="1"/>
  <c r="A398" i="18176" s="1"/>
  <c r="A399" i="18176" s="1"/>
  <c r="A400" i="18176" s="1"/>
  <c r="A401" i="18176" s="1"/>
  <c r="A402" i="18176" s="1"/>
  <c r="A403" i="18176" s="1"/>
  <c r="A404" i="18176" s="1"/>
  <c r="A405" i="18176" s="1"/>
  <c r="A406" i="18176" s="1"/>
  <c r="A407" i="18176" s="1"/>
  <c r="A408" i="18176" s="1"/>
  <c r="A409" i="18176" s="1"/>
  <c r="A410" i="18176" s="1"/>
  <c r="A411" i="18176" s="1"/>
  <c r="A412" i="18176" s="1"/>
  <c r="A413" i="18176" s="1"/>
  <c r="A414" i="18176" s="1"/>
  <c r="A415" i="18176" s="1"/>
  <c r="A416" i="18176" s="1"/>
  <c r="A417" i="18176" s="1"/>
  <c r="A418" i="18176" s="1"/>
  <c r="A419" i="18176" s="1"/>
  <c r="A420" i="18176" s="1"/>
  <c r="A421" i="18176" s="1"/>
  <c r="A422" i="18176" s="1"/>
  <c r="A423" i="18176" s="1"/>
  <c r="A424" i="18176" s="1"/>
  <c r="A425" i="18176" s="1"/>
  <c r="A426" i="18176" s="1"/>
  <c r="A427" i="18176" s="1"/>
  <c r="A428" i="18176" s="1"/>
  <c r="A429" i="18176" s="1"/>
  <c r="A430" i="18176" s="1"/>
  <c r="A431" i="18176" s="1"/>
  <c r="A432" i="18176" s="1"/>
  <c r="A433" i="18176" s="1"/>
  <c r="A434" i="18176" s="1"/>
  <c r="A435" i="18176" s="1"/>
  <c r="A436" i="18176" s="1"/>
  <c r="A437" i="18176" s="1"/>
  <c r="A438" i="18176" s="1"/>
  <c r="A439" i="18176" s="1"/>
  <c r="A440" i="18176" s="1"/>
  <c r="A441" i="18176" s="1"/>
  <c r="A442" i="18176" s="1"/>
  <c r="A443" i="18176" s="1"/>
  <c r="A444" i="18176" s="1"/>
  <c r="A445" i="18176" s="1"/>
  <c r="A446" i="18176" s="1"/>
  <c r="A447" i="18176" s="1"/>
  <c r="A448" i="18176" s="1"/>
  <c r="A449" i="18176" s="1"/>
  <c r="A450" i="18176" s="1"/>
  <c r="A451" i="18176" s="1"/>
  <c r="A452" i="18176" s="1"/>
  <c r="A453" i="18176" s="1"/>
  <c r="A454" i="18176" s="1"/>
  <c r="A455" i="18176" s="1"/>
  <c r="A456" i="18176" s="1"/>
  <c r="A457" i="18176" s="1"/>
  <c r="A458" i="18176" s="1"/>
  <c r="A459" i="18176" s="1"/>
  <c r="A460" i="18176" s="1"/>
  <c r="A461" i="18176" s="1"/>
  <c r="A462" i="18176" s="1"/>
  <c r="A463" i="18176" s="1"/>
  <c r="A464" i="18176" s="1"/>
  <c r="A465" i="18176" s="1"/>
  <c r="A466" i="18176" s="1"/>
  <c r="A467" i="18176" s="1"/>
  <c r="A468" i="18176" s="1"/>
  <c r="A469" i="18176" s="1"/>
  <c r="A470" i="18176" s="1"/>
  <c r="A471" i="18176" s="1"/>
  <c r="A472" i="18176" s="1"/>
  <c r="A473" i="18176" s="1"/>
  <c r="A474" i="18176" s="1"/>
  <c r="A475" i="18176" s="1"/>
  <c r="A476" i="18176" s="1"/>
  <c r="A477" i="18176" s="1"/>
  <c r="A478" i="18176" s="1"/>
  <c r="A479" i="18176" s="1"/>
  <c r="A480" i="18176" s="1"/>
  <c r="A481" i="18176" s="1"/>
  <c r="A482" i="18176" s="1"/>
  <c r="A483" i="18176" s="1"/>
  <c r="A484" i="18176" s="1"/>
  <c r="A485" i="18176" s="1"/>
  <c r="A486" i="18176" s="1"/>
  <c r="A487" i="18176" s="1"/>
  <c r="A488" i="18176" s="1"/>
  <c r="A489" i="18176" s="1"/>
  <c r="A490" i="18176" s="1"/>
  <c r="A491" i="18176" s="1"/>
  <c r="A492" i="18176" s="1"/>
  <c r="A493" i="18176" s="1"/>
  <c r="A494" i="18176" s="1"/>
  <c r="A495" i="18176" s="1"/>
  <c r="A496" i="18176" s="1"/>
  <c r="A497" i="18176" s="1"/>
  <c r="A498" i="18176" s="1"/>
  <c r="A499" i="18176" s="1"/>
  <c r="A500" i="18176" s="1"/>
  <c r="A501" i="18176" s="1"/>
  <c r="A502" i="18176" s="1"/>
  <c r="A503" i="18176" s="1"/>
  <c r="A504" i="18176" s="1"/>
  <c r="A505" i="18176" s="1"/>
  <c r="A506" i="18176" s="1"/>
  <c r="A507" i="18176" s="1"/>
  <c r="A508" i="18176" s="1"/>
  <c r="A509" i="18176" s="1"/>
  <c r="A510" i="18176" s="1"/>
  <c r="A511" i="18176" s="1"/>
  <c r="A512" i="18176" s="1"/>
  <c r="A513" i="18176" s="1"/>
  <c r="A514" i="18176" s="1"/>
  <c r="A515" i="18176" s="1"/>
  <c r="A516" i="18176" s="1"/>
  <c r="A517" i="18176" s="1"/>
  <c r="A518" i="18176" s="1"/>
  <c r="A519" i="18176" s="1"/>
  <c r="A520" i="18176" s="1"/>
  <c r="A521" i="18176" s="1"/>
  <c r="A522" i="18176" s="1"/>
  <c r="A523" i="18176" s="1"/>
  <c r="A524" i="18176" s="1"/>
  <c r="A525" i="18176" s="1"/>
  <c r="A526" i="18176" s="1"/>
  <c r="A527" i="18176" s="1"/>
  <c r="A528" i="18176" s="1"/>
  <c r="A529" i="18176" s="1"/>
  <c r="A530" i="18176" s="1"/>
  <c r="A531" i="18176" s="1"/>
  <c r="A532" i="18176" s="1"/>
  <c r="A533" i="18176" s="1"/>
  <c r="A534" i="18176" s="1"/>
  <c r="A535" i="18176" s="1"/>
  <c r="A536" i="18176" s="1"/>
  <c r="A537" i="18176" s="1"/>
  <c r="A538" i="18176" s="1"/>
  <c r="A539" i="18176" s="1"/>
  <c r="A540" i="18176" s="1"/>
  <c r="A541" i="18176" s="1"/>
  <c r="A542" i="18176" s="1"/>
  <c r="A543" i="18176" s="1"/>
  <c r="A544" i="18176" s="1"/>
  <c r="A545" i="18176" s="1"/>
  <c r="A546" i="18176" s="1"/>
  <c r="A547" i="18176" s="1"/>
  <c r="A548" i="18176" s="1"/>
  <c r="A549" i="18176" s="1"/>
  <c r="A550" i="18176" s="1"/>
  <c r="A551" i="18176" s="1"/>
  <c r="A552" i="18176" s="1"/>
  <c r="A553" i="18176" s="1"/>
  <c r="A554" i="18176" s="1"/>
  <c r="A555" i="18176" s="1"/>
  <c r="A556" i="18176" s="1"/>
  <c r="A557" i="18176" s="1"/>
  <c r="A558" i="18176" s="1"/>
  <c r="A559" i="18176" s="1"/>
  <c r="A560" i="18176" s="1"/>
  <c r="A561" i="18176" s="1"/>
  <c r="A562" i="18176" s="1"/>
  <c r="A563" i="18176" s="1"/>
  <c r="A564" i="18176" s="1"/>
  <c r="A565" i="18176" s="1"/>
  <c r="A566" i="18176" s="1"/>
  <c r="A567" i="18176" s="1"/>
  <c r="A568" i="18176" s="1"/>
  <c r="A569" i="18176" s="1"/>
  <c r="A570" i="18176" s="1"/>
  <c r="A571" i="18176" s="1"/>
  <c r="A572" i="18176" s="1"/>
  <c r="A573" i="18176" s="1"/>
  <c r="A574" i="18176" s="1"/>
  <c r="A575" i="18176" s="1"/>
  <c r="A576" i="18176" s="1"/>
  <c r="A577" i="18176" s="1"/>
  <c r="A578" i="18176" s="1"/>
  <c r="A579" i="18176" s="1"/>
  <c r="A580" i="18176" s="1"/>
  <c r="A581" i="18176" s="1"/>
  <c r="A582" i="18176" s="1"/>
  <c r="A583" i="18176" s="1"/>
  <c r="A584" i="18176" s="1"/>
  <c r="A585" i="18176" s="1"/>
  <c r="A586" i="18176" s="1"/>
  <c r="A587" i="18176" s="1"/>
  <c r="A588" i="18176" s="1"/>
  <c r="A589" i="18176" s="1"/>
  <c r="A590" i="18176" s="1"/>
  <c r="A591" i="18176" s="1"/>
  <c r="A592" i="18176" s="1"/>
  <c r="A593" i="18176" s="1"/>
  <c r="A594" i="18176" s="1"/>
  <c r="A595" i="18176" s="1"/>
  <c r="A596" i="18176" s="1"/>
  <c r="A597" i="18176" s="1"/>
  <c r="A598" i="18176" s="1"/>
  <c r="A599" i="18176" s="1"/>
  <c r="A600" i="18176" s="1"/>
  <c r="A601" i="18176" s="1"/>
  <c r="A602" i="18176" s="1"/>
  <c r="A603" i="18176" s="1"/>
  <c r="A604" i="18176" s="1"/>
  <c r="A605" i="18176" s="1"/>
  <c r="A606" i="18176" s="1"/>
  <c r="A607" i="18176" s="1"/>
  <c r="A608" i="18176" s="1"/>
  <c r="A609" i="18176" s="1"/>
  <c r="A610" i="18176" s="1"/>
  <c r="A611" i="18176" s="1"/>
  <c r="A612" i="18176" s="1"/>
  <c r="A613" i="18176" s="1"/>
  <c r="A614" i="18176" s="1"/>
  <c r="A615" i="18176" s="1"/>
  <c r="A616" i="18176" s="1"/>
  <c r="A617" i="18176" s="1"/>
  <c r="A618" i="18176" s="1"/>
  <c r="A619" i="18176" s="1"/>
  <c r="A620" i="18176" s="1"/>
  <c r="A621" i="18176" s="1"/>
  <c r="A622" i="18176" s="1"/>
  <c r="A623" i="18176" s="1"/>
  <c r="A624" i="18176" s="1"/>
  <c r="A625" i="18176" s="1"/>
  <c r="A626" i="18176" s="1"/>
  <c r="A627" i="18176" s="1"/>
  <c r="A628" i="18176" s="1"/>
  <c r="A629" i="18176" s="1"/>
  <c r="A630" i="18176" s="1"/>
  <c r="A631" i="18176" s="1"/>
  <c r="A632" i="18176" s="1"/>
  <c r="A633" i="18176" s="1"/>
  <c r="A634" i="18176" s="1"/>
  <c r="A635" i="18176" s="1"/>
  <c r="A636" i="18176" s="1"/>
  <c r="A637" i="18176" s="1"/>
  <c r="A638" i="18176" s="1"/>
  <c r="A639" i="18176" s="1"/>
  <c r="A640" i="18176" s="1"/>
  <c r="A641" i="18176" s="1"/>
  <c r="A642" i="18176" s="1"/>
  <c r="A643" i="18176" s="1"/>
  <c r="A644" i="18176" s="1"/>
  <c r="A645" i="18176" s="1"/>
  <c r="A646" i="18176" s="1"/>
  <c r="A647" i="18176" s="1"/>
  <c r="A648" i="18176" s="1"/>
  <c r="A649" i="18176" s="1"/>
  <c r="A650" i="18176" s="1"/>
  <c r="A651" i="18176" s="1"/>
  <c r="A652" i="18176" s="1"/>
  <c r="A653" i="18176" s="1"/>
  <c r="A654" i="18176" s="1"/>
  <c r="A655" i="18176" s="1"/>
  <c r="A656" i="18176" s="1"/>
  <c r="A657" i="18176" s="1"/>
  <c r="A658" i="18176" s="1"/>
  <c r="A659" i="18176" s="1"/>
  <c r="A660" i="18176" s="1"/>
  <c r="A661" i="18176" s="1"/>
  <c r="A662" i="18176" s="1"/>
  <c r="A663" i="18176" s="1"/>
  <c r="A664" i="18176" s="1"/>
  <c r="A665" i="18176" s="1"/>
  <c r="A666" i="18176" s="1"/>
  <c r="A667" i="18176" s="1"/>
  <c r="A668" i="18176" s="1"/>
  <c r="A669" i="18176" s="1"/>
  <c r="A670" i="18176" s="1"/>
  <c r="A671" i="18176" s="1"/>
  <c r="A672" i="18176" s="1"/>
  <c r="A673" i="18176" s="1"/>
  <c r="A674" i="18176" s="1"/>
  <c r="A675" i="18176" s="1"/>
  <c r="A676" i="18176" s="1"/>
  <c r="A677" i="18176" s="1"/>
  <c r="A678" i="18176" s="1"/>
  <c r="A679" i="18176" s="1"/>
  <c r="A680" i="18176" s="1"/>
  <c r="A681" i="18176" s="1"/>
  <c r="A682" i="18176" s="1"/>
  <c r="A683" i="18176" s="1"/>
  <c r="A684" i="18176" s="1"/>
  <c r="A685" i="18176" s="1"/>
  <c r="A686" i="18176" s="1"/>
  <c r="A687" i="18176" s="1"/>
  <c r="A688" i="18176" s="1"/>
  <c r="A689" i="18176" s="1"/>
  <c r="A690" i="18176" s="1"/>
  <c r="A691" i="18176" s="1"/>
  <c r="A692" i="18176" s="1"/>
  <c r="A693" i="18176" s="1"/>
  <c r="A694" i="18176" s="1"/>
  <c r="A695" i="18176" s="1"/>
  <c r="A696" i="18176" s="1"/>
  <c r="A697" i="18176" s="1"/>
  <c r="A698" i="18176" s="1"/>
  <c r="A699" i="18176" s="1"/>
  <c r="A700" i="18176" s="1"/>
  <c r="A701" i="18176" s="1"/>
  <c r="A702" i="18176" s="1"/>
  <c r="A703" i="18176" s="1"/>
  <c r="A704" i="18176" s="1"/>
  <c r="A705" i="18176" s="1"/>
  <c r="A706" i="18176" s="1"/>
  <c r="A707" i="18176" s="1"/>
  <c r="A708" i="18176" s="1"/>
  <c r="A709" i="18176" s="1"/>
  <c r="A710" i="18176" s="1"/>
  <c r="A711" i="18176" s="1"/>
  <c r="A712" i="18176" s="1"/>
  <c r="A713" i="18176" s="1"/>
  <c r="A714" i="18176" s="1"/>
  <c r="A715" i="18176" s="1"/>
  <c r="A716" i="18176" s="1"/>
  <c r="A717" i="18176" s="1"/>
  <c r="A718" i="18176" s="1"/>
  <c r="A719" i="18176" s="1"/>
  <c r="A720" i="18176" s="1"/>
  <c r="A721" i="18176" s="1"/>
  <c r="A722" i="18176" s="1"/>
  <c r="A723" i="18176" s="1"/>
  <c r="A724" i="18176" s="1"/>
  <c r="A725" i="18176" s="1"/>
  <c r="A726" i="18176" s="1"/>
  <c r="A727" i="18176" s="1"/>
  <c r="A728" i="18176" s="1"/>
  <c r="A729" i="18176" s="1"/>
  <c r="A730" i="18176" s="1"/>
  <c r="A731" i="18176" s="1"/>
  <c r="A732" i="18176" s="1"/>
  <c r="A733" i="18176" s="1"/>
  <c r="A734" i="18176" s="1"/>
  <c r="A735" i="18176" s="1"/>
  <c r="A736" i="18176" s="1"/>
  <c r="A737" i="18176" s="1"/>
  <c r="A738" i="18176" s="1"/>
  <c r="A739" i="18176" s="1"/>
  <c r="A740" i="18176" s="1"/>
  <c r="A741" i="18176" s="1"/>
  <c r="A742" i="18176" s="1"/>
  <c r="A743" i="18176" s="1"/>
  <c r="A744" i="18176" s="1"/>
  <c r="A745" i="18176" s="1"/>
  <c r="A746" i="18176" s="1"/>
  <c r="A747" i="18176" s="1"/>
  <c r="A748" i="18176" s="1"/>
  <c r="A749" i="18176" s="1"/>
  <c r="A750" i="18176" s="1"/>
  <c r="A751" i="18176" s="1"/>
  <c r="A752" i="18176" s="1"/>
  <c r="A753" i="18176" s="1"/>
  <c r="A754" i="18176" s="1"/>
  <c r="A755" i="18176" s="1"/>
  <c r="A756" i="18176" s="1"/>
  <c r="A757" i="18176" s="1"/>
  <c r="A758" i="18176" s="1"/>
  <c r="A759" i="18176" s="1"/>
  <c r="A760" i="18176" s="1"/>
  <c r="A761" i="18176" s="1"/>
  <c r="A762" i="18176" s="1"/>
  <c r="A763" i="18176" s="1"/>
  <c r="A764" i="18176" s="1"/>
  <c r="A765" i="18176" s="1"/>
  <c r="A766" i="18176" s="1"/>
  <c r="A767" i="18176" s="1"/>
  <c r="A768" i="18176" s="1"/>
  <c r="A769" i="18176" s="1"/>
  <c r="A770" i="18176" s="1"/>
  <c r="A771" i="18176" s="1"/>
  <c r="A772" i="18176" s="1"/>
  <c r="A773" i="18176" s="1"/>
  <c r="A774" i="18176" s="1"/>
  <c r="A775" i="18176" s="1"/>
  <c r="A776" i="18176" s="1"/>
  <c r="A777" i="18176" s="1"/>
  <c r="A778" i="18176" s="1"/>
  <c r="A779" i="18176" s="1"/>
  <c r="A780" i="18176" s="1"/>
  <c r="A781" i="18176" s="1"/>
  <c r="A782" i="18176" s="1"/>
  <c r="A783" i="18176" s="1"/>
  <c r="A784" i="18176" s="1"/>
  <c r="A785" i="18176" s="1"/>
  <c r="A786" i="18176" s="1"/>
  <c r="A787" i="18176" s="1"/>
  <c r="A788" i="18176" s="1"/>
  <c r="A789" i="18176" s="1"/>
  <c r="A790" i="18176" s="1"/>
  <c r="A791" i="18176" s="1"/>
  <c r="A792" i="18176" s="1"/>
  <c r="A793" i="18176" s="1"/>
  <c r="A794" i="18176" s="1"/>
  <c r="A795" i="18176" s="1"/>
  <c r="A796" i="18176" s="1"/>
  <c r="A797" i="18176" s="1"/>
  <c r="A798" i="18176" s="1"/>
  <c r="A799" i="18176" s="1"/>
  <c r="A800" i="18176" s="1"/>
  <c r="A801" i="18176" s="1"/>
  <c r="A802" i="18176" s="1"/>
  <c r="A803" i="18176" s="1"/>
  <c r="A804" i="18176" s="1"/>
  <c r="A805" i="18176" s="1"/>
  <c r="A806" i="18176" s="1"/>
  <c r="A807" i="18176" s="1"/>
  <c r="A808" i="18176" s="1"/>
  <c r="A809" i="18176" s="1"/>
  <c r="A810" i="18176" s="1"/>
  <c r="A811" i="18176" s="1"/>
  <c r="A812" i="18176" s="1"/>
  <c r="A813" i="18176" s="1"/>
  <c r="A814" i="18176" s="1"/>
  <c r="A815" i="18176" s="1"/>
  <c r="A816" i="18176" s="1"/>
  <c r="A817" i="18176" s="1"/>
  <c r="A818" i="18176" s="1"/>
  <c r="A819" i="18176" s="1"/>
  <c r="A820" i="18176" s="1"/>
  <c r="A821" i="18176" s="1"/>
  <c r="A822" i="18176" s="1"/>
  <c r="A823" i="18176" s="1"/>
  <c r="A824" i="18176" s="1"/>
  <c r="A825" i="18176" s="1"/>
  <c r="A826" i="18176" s="1"/>
  <c r="A827" i="18176" s="1"/>
  <c r="A828" i="18176" s="1"/>
  <c r="A829" i="18176" s="1"/>
  <c r="A830" i="18176" s="1"/>
  <c r="A831" i="18176" s="1"/>
  <c r="A832" i="18176" s="1"/>
  <c r="A833" i="18176" s="1"/>
  <c r="A834" i="18176" s="1"/>
  <c r="A835" i="18176" s="1"/>
  <c r="A836" i="18176" s="1"/>
  <c r="A837" i="18176" s="1"/>
  <c r="A838" i="18176" s="1"/>
  <c r="A839" i="18176" s="1"/>
  <c r="A840" i="18176" s="1"/>
  <c r="A841" i="18176" s="1"/>
  <c r="A842" i="18176" s="1"/>
  <c r="A843" i="18176" s="1"/>
  <c r="A844" i="18176" s="1"/>
  <c r="A845" i="18176" s="1"/>
  <c r="A846" i="18176" s="1"/>
  <c r="A847" i="18176" s="1"/>
  <c r="A848" i="18176" s="1"/>
  <c r="A849" i="18176" s="1"/>
  <c r="A850" i="18176" s="1"/>
  <c r="A851" i="18176" s="1"/>
  <c r="A852" i="18176" s="1"/>
  <c r="A853" i="18176" s="1"/>
  <c r="A854" i="18176" s="1"/>
  <c r="A855" i="18176" s="1"/>
  <c r="A856" i="18176" s="1"/>
  <c r="A857" i="18176" s="1"/>
  <c r="A858" i="18176" s="1"/>
  <c r="A859" i="18176" s="1"/>
  <c r="A860" i="18176" s="1"/>
  <c r="A861" i="18176" s="1"/>
  <c r="A862" i="18176" s="1"/>
  <c r="A863" i="18176" s="1"/>
  <c r="A864" i="18176" s="1"/>
  <c r="A865" i="18176" s="1"/>
  <c r="A866" i="18176" s="1"/>
  <c r="A867" i="18176" s="1"/>
  <c r="A868" i="18176" s="1"/>
  <c r="A869" i="18176" s="1"/>
  <c r="A870" i="18176" s="1"/>
  <c r="A871" i="18176" s="1"/>
  <c r="A872" i="18176" s="1"/>
  <c r="A873" i="18176" s="1"/>
  <c r="A874" i="18176" s="1"/>
  <c r="A875" i="18176" s="1"/>
  <c r="A876" i="18176" s="1"/>
  <c r="A877" i="18176" s="1"/>
  <c r="A878" i="18176" s="1"/>
  <c r="A879" i="18176" s="1"/>
  <c r="A880" i="18176" s="1"/>
  <c r="A881" i="18176" s="1"/>
  <c r="A882" i="18176" s="1"/>
  <c r="A883" i="18176" s="1"/>
  <c r="A884" i="18176" s="1"/>
  <c r="A885" i="18176" s="1"/>
  <c r="A886" i="18176" s="1"/>
  <c r="A887" i="18176" s="1"/>
  <c r="A888" i="18176" s="1"/>
  <c r="A889" i="18176" s="1"/>
  <c r="A890" i="18176" s="1"/>
  <c r="A891" i="18176" s="1"/>
  <c r="A892" i="18176" s="1"/>
  <c r="A893" i="18176" s="1"/>
  <c r="A894" i="18176" s="1"/>
  <c r="A895" i="18176" s="1"/>
  <c r="A896" i="18176" s="1"/>
  <c r="A897" i="18176" s="1"/>
  <c r="A898" i="18176" s="1"/>
  <c r="A899" i="18176" s="1"/>
  <c r="A900" i="18176" s="1"/>
  <c r="A901" i="18176" s="1"/>
  <c r="A902" i="18176" s="1"/>
  <c r="A903" i="18176" s="1"/>
  <c r="A904" i="18176" s="1"/>
  <c r="A905" i="18176" s="1"/>
  <c r="A906" i="18176" s="1"/>
  <c r="A907" i="18176" s="1"/>
  <c r="A908" i="18176" s="1"/>
  <c r="A909" i="18176" s="1"/>
  <c r="A910" i="18176" s="1"/>
  <c r="A911" i="18176" s="1"/>
  <c r="A912" i="18176" s="1"/>
  <c r="A913" i="18176" s="1"/>
  <c r="A914" i="18176" s="1"/>
  <c r="A915" i="18176" s="1"/>
  <c r="A916" i="18176" s="1"/>
  <c r="A917" i="18176" s="1"/>
  <c r="A918" i="18176" s="1"/>
  <c r="A919" i="18176" s="1"/>
  <c r="A920" i="18176" s="1"/>
  <c r="A921" i="18176" s="1"/>
  <c r="A922" i="18176" s="1"/>
  <c r="A923" i="18176" s="1"/>
  <c r="A924" i="18176" s="1"/>
  <c r="A925" i="18176" s="1"/>
  <c r="A926" i="18176" s="1"/>
  <c r="A927" i="18176" s="1"/>
  <c r="A928" i="18176" s="1"/>
  <c r="A929" i="18176" s="1"/>
  <c r="A930" i="18176" s="1"/>
  <c r="A931" i="18176" s="1"/>
  <c r="A932" i="18176" s="1"/>
  <c r="A933" i="18176" s="1"/>
  <c r="A934" i="18176" s="1"/>
  <c r="A935" i="18176" s="1"/>
  <c r="A936" i="18176" s="1"/>
  <c r="A937" i="18176" s="1"/>
  <c r="A938" i="18176" s="1"/>
  <c r="A939" i="18176" s="1"/>
  <c r="A940" i="18176" s="1"/>
  <c r="A941" i="18176" s="1"/>
  <c r="A942" i="18176" s="1"/>
  <c r="A943" i="18176" s="1"/>
  <c r="A944" i="18176" s="1"/>
  <c r="A945" i="18176" s="1"/>
  <c r="A946" i="18176" s="1"/>
  <c r="A947" i="18176" s="1"/>
  <c r="A948" i="18176" s="1"/>
  <c r="A949" i="18176" s="1"/>
  <c r="A950" i="18176" s="1"/>
  <c r="A951" i="18176" s="1"/>
  <c r="A952" i="18176" s="1"/>
  <c r="A953" i="18176" s="1"/>
  <c r="A954" i="18176" s="1"/>
  <c r="A955" i="18176" s="1"/>
  <c r="A956" i="18176" s="1"/>
  <c r="A957" i="18176" s="1"/>
  <c r="A958" i="18176" s="1"/>
  <c r="A959" i="18176" s="1"/>
  <c r="A960" i="18176" s="1"/>
  <c r="A961" i="18176" s="1"/>
  <c r="A962" i="18176" s="1"/>
  <c r="A963" i="18176" s="1"/>
  <c r="A964" i="18176" s="1"/>
  <c r="A965" i="18176" s="1"/>
  <c r="A966" i="18176" s="1"/>
  <c r="A967" i="18176" s="1"/>
  <c r="A968" i="18176" s="1"/>
  <c r="A969" i="18176" s="1"/>
  <c r="A970" i="18176" s="1"/>
  <c r="A971" i="18176" s="1"/>
  <c r="A972" i="18176" s="1"/>
  <c r="A973" i="18176" s="1"/>
  <c r="A974" i="18176" s="1"/>
  <c r="A975" i="18176" s="1"/>
  <c r="A976" i="18176" s="1"/>
  <c r="A977" i="18176" s="1"/>
  <c r="A978" i="18176" s="1"/>
  <c r="A979" i="18176" s="1"/>
  <c r="A980" i="18176" s="1"/>
  <c r="A981" i="18176" s="1"/>
  <c r="A982" i="18176" s="1"/>
  <c r="A983" i="18176" s="1"/>
  <c r="A984" i="18176" s="1"/>
  <c r="A985" i="18176" s="1"/>
  <c r="A986" i="18176" s="1"/>
  <c r="A987" i="18176" s="1"/>
  <c r="A988" i="18176" s="1"/>
  <c r="A989" i="18176" s="1"/>
  <c r="A990" i="18176" s="1"/>
  <c r="A991" i="18176" s="1"/>
  <c r="A992" i="18176" s="1"/>
  <c r="A993" i="18176" s="1"/>
  <c r="A994" i="18176" s="1"/>
  <c r="A995" i="18176" s="1"/>
  <c r="A996" i="18176" s="1"/>
  <c r="A997" i="18176" s="1"/>
  <c r="A998" i="18176" s="1"/>
  <c r="A999" i="18176" s="1"/>
  <c r="A1000" i="18176" s="1"/>
  <c r="A1001" i="18176" s="1"/>
  <c r="A1002" i="18176" s="1"/>
  <c r="A1003" i="18176" s="1"/>
  <c r="A1004" i="18176" s="1"/>
  <c r="A1005" i="18176" s="1"/>
  <c r="A1006" i="18176" s="1"/>
  <c r="A1007" i="18176" s="1"/>
  <c r="A1008" i="18176" s="1"/>
  <c r="A1009" i="18176" s="1"/>
  <c r="A1010" i="18176" s="1"/>
  <c r="A1011" i="18176" s="1"/>
  <c r="A1012" i="18176" s="1"/>
  <c r="A1013" i="18176" s="1"/>
  <c r="A1014" i="18176" s="1"/>
  <c r="A1015" i="18176" s="1"/>
  <c r="A1016" i="18176" s="1"/>
  <c r="A1017" i="18176" s="1"/>
  <c r="A1018" i="18176" s="1"/>
  <c r="A1019" i="18176" s="1"/>
  <c r="A1020" i="18176" s="1"/>
  <c r="A1021" i="18176" s="1"/>
  <c r="A1022" i="18176" s="1"/>
  <c r="A1023" i="18176" s="1"/>
  <c r="A1024" i="18176" s="1"/>
  <c r="A1025" i="18176" s="1"/>
  <c r="A1026" i="18176" s="1"/>
  <c r="A1027" i="18176" s="1"/>
  <c r="A1028" i="18176" s="1"/>
  <c r="A1029" i="18176" s="1"/>
  <c r="A1030" i="18176" s="1"/>
  <c r="A1031" i="18176" s="1"/>
  <c r="A1032" i="18176" s="1"/>
  <c r="A1033" i="18176" s="1"/>
  <c r="A1034" i="18176" s="1"/>
  <c r="A1035" i="18176" s="1"/>
  <c r="A1036" i="18176" s="1"/>
  <c r="A1037" i="18176" s="1"/>
  <c r="A1038" i="18176" s="1"/>
  <c r="A1039" i="18176" s="1"/>
  <c r="A1040" i="18176" s="1"/>
  <c r="A1041" i="18176" s="1"/>
  <c r="A1042" i="18176" s="1"/>
  <c r="A1043" i="18176" s="1"/>
  <c r="A1044" i="18176" s="1"/>
  <c r="A1045" i="18176" s="1"/>
  <c r="A1046" i="18176" s="1"/>
  <c r="A1047" i="18176" s="1"/>
  <c r="A1048" i="18176" s="1"/>
  <c r="A1049" i="18176" s="1"/>
  <c r="A1050" i="18176" s="1"/>
  <c r="A1051" i="18176" s="1"/>
  <c r="A1052" i="18176" s="1"/>
  <c r="A1053" i="18176" s="1"/>
  <c r="A1054" i="18176" s="1"/>
  <c r="A1055" i="18176" s="1"/>
  <c r="A1056" i="18176" s="1"/>
  <c r="A1057" i="18176" s="1"/>
  <c r="A1058" i="18176" s="1"/>
  <c r="A1059" i="18176" s="1"/>
  <c r="A1060" i="18176" s="1"/>
  <c r="A1061" i="18176" s="1"/>
  <c r="A1062" i="18176" s="1"/>
  <c r="A1063" i="18176" s="1"/>
  <c r="A1064" i="18176" s="1"/>
  <c r="A1065" i="18176" s="1"/>
  <c r="A1066" i="18176" s="1"/>
  <c r="A1067" i="18176" s="1"/>
  <c r="A1068" i="18176" s="1"/>
  <c r="A1069" i="18176" s="1"/>
  <c r="A1070" i="18176" s="1"/>
  <c r="A1071" i="18176" s="1"/>
  <c r="A1072" i="18176" s="1"/>
  <c r="A1073" i="18176" s="1"/>
  <c r="A1074" i="18176" s="1"/>
  <c r="A1075" i="18176" s="1"/>
  <c r="A1076" i="18176" s="1"/>
  <c r="A1077" i="18176" s="1"/>
  <c r="A1078" i="18176" s="1"/>
  <c r="A1079" i="18176" s="1"/>
  <c r="A1080" i="18176" s="1"/>
  <c r="A1081" i="18176" s="1"/>
  <c r="A1082" i="18176" s="1"/>
  <c r="A1083" i="18176" s="1"/>
  <c r="A1084" i="18176" s="1"/>
  <c r="A1085" i="18176" s="1"/>
  <c r="A1086" i="18176" s="1"/>
  <c r="A1087" i="18176" s="1"/>
  <c r="A1088" i="18176" s="1"/>
  <c r="A1089" i="18176" s="1"/>
  <c r="A1090" i="18176" s="1"/>
  <c r="A1091" i="18176" s="1"/>
  <c r="A1092" i="18176" s="1"/>
  <c r="A1093" i="18176" s="1"/>
  <c r="A1094" i="18176" s="1"/>
  <c r="A1095" i="18176" s="1"/>
  <c r="A1096" i="18176" s="1"/>
  <c r="A1097" i="18176" s="1"/>
  <c r="A1098" i="18176" s="1"/>
  <c r="A1099" i="18176" s="1"/>
  <c r="A1100" i="18176" s="1"/>
  <c r="A1101" i="18176" s="1"/>
  <c r="A1102" i="18176" s="1"/>
  <c r="A1103" i="18176" s="1"/>
  <c r="A1104" i="18176" s="1"/>
  <c r="A1105" i="18176" s="1"/>
  <c r="A1106" i="18176" s="1"/>
  <c r="A1107" i="18176" s="1"/>
  <c r="A1108" i="18176" s="1"/>
  <c r="A1109" i="18176" s="1"/>
  <c r="A1110" i="18176" s="1"/>
  <c r="A1111" i="18176" s="1"/>
  <c r="A1112" i="18176" s="1"/>
  <c r="A1113" i="18176" s="1"/>
  <c r="A1114" i="18176" s="1"/>
  <c r="A1115" i="18176" s="1"/>
  <c r="A1116" i="18176" s="1"/>
  <c r="A1117" i="18176" s="1"/>
  <c r="A1118" i="18176" s="1"/>
  <c r="A1119" i="18176" s="1"/>
  <c r="A1120" i="18176" s="1"/>
  <c r="A1121" i="18176" s="1"/>
  <c r="A1122" i="18176" s="1"/>
  <c r="A1123" i="18176" s="1"/>
  <c r="A1124" i="18176" s="1"/>
  <c r="A1125" i="18176" s="1"/>
  <c r="A1126" i="18176" s="1"/>
  <c r="A1127" i="18176" s="1"/>
  <c r="A1128" i="18176" s="1"/>
  <c r="A1129" i="18176" s="1"/>
  <c r="A1130" i="18176" s="1"/>
  <c r="A1131" i="18176" s="1"/>
  <c r="A1132" i="18176" s="1"/>
  <c r="A1133" i="18176" s="1"/>
  <c r="A1134" i="18176" s="1"/>
  <c r="A1135" i="18176" s="1"/>
  <c r="A1136" i="18176" s="1"/>
  <c r="A1137" i="18176" s="1"/>
  <c r="A1138" i="18176" s="1"/>
  <c r="A1139" i="18176" s="1"/>
  <c r="A1140" i="18176" s="1"/>
  <c r="A1141" i="18176" s="1"/>
  <c r="A1142" i="18176" s="1"/>
  <c r="A1143" i="18176" s="1"/>
  <c r="A1144" i="18176" s="1"/>
  <c r="A1145" i="18176" s="1"/>
  <c r="A1146" i="18176" s="1"/>
  <c r="A1147" i="18176" s="1"/>
  <c r="A1148" i="18176" s="1"/>
  <c r="A1149" i="18176" s="1"/>
  <c r="A1150" i="18176" s="1"/>
  <c r="A1151" i="18176" s="1"/>
  <c r="A1152" i="18176" s="1"/>
  <c r="A1153" i="18176" s="1"/>
  <c r="A1154" i="18176" s="1"/>
  <c r="A1155" i="18176" s="1"/>
  <c r="A1156" i="18176" s="1"/>
  <c r="A1157" i="18176" s="1"/>
  <c r="A1158" i="18176" s="1"/>
  <c r="A1159" i="18176" s="1"/>
  <c r="A1160" i="18176" s="1"/>
  <c r="A1161" i="18176" s="1"/>
  <c r="A1162" i="18176" s="1"/>
  <c r="A1163" i="18176" s="1"/>
  <c r="A1164" i="18176" s="1"/>
  <c r="A1165" i="18176" s="1"/>
  <c r="A1166" i="18176" s="1"/>
  <c r="A1167" i="18176" s="1"/>
  <c r="A1168" i="18176" s="1"/>
  <c r="A1169" i="18176" s="1"/>
  <c r="A1170" i="18176" s="1"/>
  <c r="A1171" i="18176" s="1"/>
  <c r="A1172" i="18176" s="1"/>
  <c r="A1173" i="18176" s="1"/>
  <c r="A1174" i="18176" s="1"/>
  <c r="A1175" i="18176" s="1"/>
  <c r="A1176" i="18176" s="1"/>
  <c r="A1177" i="18176" s="1"/>
  <c r="A1178" i="18176" s="1"/>
  <c r="A1179" i="18176" s="1"/>
  <c r="A1180" i="18176" s="1"/>
  <c r="A1181" i="18176" s="1"/>
  <c r="A1182" i="18176" s="1"/>
  <c r="A1183" i="18176" s="1"/>
  <c r="A1184" i="18176" s="1"/>
  <c r="A1185" i="18176" s="1"/>
  <c r="A1186" i="18176" s="1"/>
  <c r="A1187" i="18176" s="1"/>
  <c r="A1188" i="18176" s="1"/>
  <c r="A1189" i="18176" s="1"/>
  <c r="A1190" i="18176" s="1"/>
  <c r="A1191" i="18176" s="1"/>
  <c r="A1192" i="18176" s="1"/>
  <c r="A1193" i="18176" s="1"/>
  <c r="A1194" i="18176" s="1"/>
  <c r="A1195" i="18176" s="1"/>
  <c r="A1196" i="18176" s="1"/>
  <c r="A1197" i="18176" s="1"/>
  <c r="A1198" i="18176" s="1"/>
  <c r="A1199" i="18176" s="1"/>
  <c r="A1200" i="18176" s="1"/>
  <c r="A1201" i="18176" s="1"/>
  <c r="A1202" i="18176" s="1"/>
  <c r="A1203" i="18176" s="1"/>
  <c r="A1204" i="18176" s="1"/>
  <c r="A1205" i="18176" s="1"/>
  <c r="A1206" i="18176" s="1"/>
  <c r="A1207" i="18176" s="1"/>
  <c r="A1208" i="18176" s="1"/>
  <c r="A1209" i="18176" s="1"/>
  <c r="A1210" i="18176" s="1"/>
  <c r="A1211" i="18176" s="1"/>
  <c r="A1212" i="18176" s="1"/>
  <c r="A1213" i="18176" s="1"/>
  <c r="A1214" i="18176" s="1"/>
  <c r="A1215" i="18176" s="1"/>
  <c r="A1216" i="18176" s="1"/>
  <c r="A1217" i="18176" s="1"/>
  <c r="A1218" i="18176" s="1"/>
  <c r="A1219" i="18176" s="1"/>
  <c r="A1220" i="18176" s="1"/>
  <c r="A1221" i="18176" s="1"/>
  <c r="A1222" i="18176" s="1"/>
  <c r="A1223" i="18176" s="1"/>
  <c r="A1224" i="18176" s="1"/>
  <c r="A1225" i="18176" s="1"/>
  <c r="A1226" i="18176" s="1"/>
  <c r="A1227" i="18176" s="1"/>
  <c r="A1228" i="18176" s="1"/>
  <c r="A1229" i="18176" s="1"/>
  <c r="A1230" i="18176" s="1"/>
  <c r="A1231" i="18176" s="1"/>
  <c r="A1232" i="18176" s="1"/>
  <c r="A1233" i="18176" s="1"/>
  <c r="A1234" i="18176" s="1"/>
  <c r="A1235" i="18176" s="1"/>
  <c r="A1236" i="18176" s="1"/>
  <c r="A1237" i="18176" s="1"/>
  <c r="A1238" i="18176" s="1"/>
  <c r="A1239" i="18176" s="1"/>
  <c r="A1240" i="18176" s="1"/>
  <c r="A1241" i="18176" s="1"/>
  <c r="A1242" i="18176" s="1"/>
  <c r="A1243" i="18176" s="1"/>
  <c r="A1244" i="18176" s="1"/>
  <c r="A1245" i="18176" s="1"/>
  <c r="A1246" i="18176" s="1"/>
  <c r="A1247" i="18176" s="1"/>
  <c r="A1248" i="18176" s="1"/>
  <c r="A1249" i="18176" s="1"/>
  <c r="A1250" i="18176" s="1"/>
  <c r="A1251" i="18176" s="1"/>
  <c r="A1252" i="18176" s="1"/>
  <c r="A1253" i="18176" s="1"/>
  <c r="A1254" i="18176" s="1"/>
  <c r="A1255" i="18176" s="1"/>
  <c r="A1256" i="18176" s="1"/>
  <c r="A1257" i="18176" s="1"/>
  <c r="A1258" i="18176" s="1"/>
  <c r="A1259" i="18176" s="1"/>
  <c r="A1260" i="18176" s="1"/>
  <c r="A1261" i="18176" s="1"/>
  <c r="A1262" i="18176" s="1"/>
  <c r="A1263" i="18176" s="1"/>
  <c r="A1264" i="18176" s="1"/>
  <c r="A1265" i="18176" s="1"/>
  <c r="A1266" i="18176" s="1"/>
  <c r="A1267" i="18176" s="1"/>
  <c r="A1268" i="18176" s="1"/>
  <c r="A1269" i="18176" s="1"/>
  <c r="A1270" i="18176" s="1"/>
  <c r="A1271" i="18176" s="1"/>
  <c r="A1272" i="18176" s="1"/>
  <c r="A1273" i="18176" s="1"/>
  <c r="A1274" i="18176" s="1"/>
  <c r="A1275" i="18176" s="1"/>
  <c r="A1276" i="18176" s="1"/>
  <c r="A1277" i="18176" s="1"/>
  <c r="A1278" i="18176" s="1"/>
  <c r="A1279" i="18176" s="1"/>
  <c r="A1280" i="18176" s="1"/>
  <c r="A1281" i="18176" s="1"/>
  <c r="A1282" i="18176" s="1"/>
  <c r="A1283" i="18176" s="1"/>
  <c r="A1284" i="18176" s="1"/>
  <c r="A1285" i="18176" s="1"/>
  <c r="A1286" i="18176" s="1"/>
  <c r="A1287" i="18176" s="1"/>
  <c r="A1288" i="18176" s="1"/>
  <c r="A1289" i="18176" s="1"/>
  <c r="A1290" i="18176" s="1"/>
  <c r="A1291" i="18176" s="1"/>
  <c r="A1292" i="18176" s="1"/>
  <c r="A1293" i="18176" s="1"/>
  <c r="A1294" i="18176" s="1"/>
  <c r="A1295" i="18176" s="1"/>
  <c r="A1296" i="18176" s="1"/>
  <c r="A1297" i="18176" s="1"/>
  <c r="A1298" i="18176" s="1"/>
  <c r="A1299" i="18176" s="1"/>
  <c r="A1300" i="18176" s="1"/>
  <c r="A1301" i="18176" s="1"/>
  <c r="A1302" i="18176" s="1"/>
  <c r="A1303" i="18176" s="1"/>
  <c r="A1304" i="18176" s="1"/>
  <c r="A1305" i="18176" s="1"/>
  <c r="A1306" i="18176" s="1"/>
  <c r="A1307" i="18176" s="1"/>
  <c r="A1308" i="18176" s="1"/>
  <c r="A1309" i="18176" s="1"/>
  <c r="A1310" i="18176" s="1"/>
  <c r="A1311" i="18176" s="1"/>
  <c r="A1312" i="18176" s="1"/>
  <c r="A1313" i="18176" s="1"/>
  <c r="A1314" i="18176" s="1"/>
  <c r="A1315" i="18176" s="1"/>
  <c r="A1316" i="18176" s="1"/>
  <c r="A1317" i="18176" s="1"/>
  <c r="A1318" i="18176" s="1"/>
  <c r="A1319" i="18176" s="1"/>
  <c r="A1320" i="18176" s="1"/>
  <c r="A1321" i="18176" s="1"/>
  <c r="A1322" i="18176" s="1"/>
  <c r="A1323" i="18176" s="1"/>
  <c r="A1324" i="18176" s="1"/>
  <c r="A1325" i="18176" s="1"/>
  <c r="A1326" i="18176" s="1"/>
  <c r="A1327" i="18176" s="1"/>
  <c r="A1328" i="18176" s="1"/>
  <c r="A1329" i="18176" s="1"/>
  <c r="A1330" i="18176" s="1"/>
  <c r="A1331" i="18176" s="1"/>
  <c r="A1332" i="18176" s="1"/>
  <c r="A1333" i="18176" s="1"/>
  <c r="A1334" i="18176" s="1"/>
  <c r="A1335" i="18176" s="1"/>
  <c r="A1336" i="18176" s="1"/>
  <c r="A1337" i="18176" s="1"/>
  <c r="A1338" i="18176" s="1"/>
  <c r="A1339" i="18176" s="1"/>
  <c r="A1340" i="18176" s="1"/>
  <c r="A1341" i="18176" s="1"/>
  <c r="A1342" i="18176" s="1"/>
  <c r="A1343" i="18176" s="1"/>
  <c r="A1344" i="18176" s="1"/>
  <c r="A1345" i="18176" s="1"/>
  <c r="A1346" i="18176" s="1"/>
  <c r="A1347" i="18176" s="1"/>
  <c r="A1348" i="18176" s="1"/>
  <c r="A1349" i="18176" s="1"/>
  <c r="A1350" i="18176" s="1"/>
  <c r="A1351" i="18176" s="1"/>
  <c r="A1352" i="18176" s="1"/>
  <c r="A1353" i="18176" s="1"/>
  <c r="A1354" i="18176" s="1"/>
  <c r="A1355" i="18176" s="1"/>
  <c r="A1356" i="18176" s="1"/>
  <c r="A1357" i="18176" s="1"/>
  <c r="A1358" i="18176" s="1"/>
  <c r="A1359" i="18176" s="1"/>
  <c r="A1360" i="18176" s="1"/>
  <c r="A1361" i="18176" s="1"/>
  <c r="A1362" i="18176" s="1"/>
  <c r="A1363" i="18176" s="1"/>
  <c r="A1364" i="18176" s="1"/>
  <c r="A1365" i="18176" s="1"/>
  <c r="A1366" i="18176" s="1"/>
  <c r="A1367" i="18176" s="1"/>
  <c r="A1368" i="18176" s="1"/>
  <c r="A1369" i="18176" s="1"/>
  <c r="A1370" i="18176" s="1"/>
  <c r="A1371" i="18176" s="1"/>
  <c r="A1372" i="18176" s="1"/>
  <c r="A1373" i="18176" s="1"/>
  <c r="A1374" i="18176" s="1"/>
  <c r="A1375" i="18176" s="1"/>
  <c r="A1376" i="18176" s="1"/>
  <c r="A1377" i="18176" s="1"/>
  <c r="A1378" i="18176" s="1"/>
  <c r="A1379" i="18176" s="1"/>
  <c r="A1380" i="18176" s="1"/>
  <c r="A1381" i="18176" s="1"/>
  <c r="A1382" i="18176" s="1"/>
  <c r="A1383" i="18176" s="1"/>
  <c r="A1384" i="18176" s="1"/>
  <c r="A1385" i="18176" s="1"/>
  <c r="A1386" i="18176" s="1"/>
  <c r="A1387" i="18176" s="1"/>
  <c r="A1388" i="18176" s="1"/>
  <c r="A1389" i="18176" s="1"/>
  <c r="A1390" i="18176" s="1"/>
  <c r="A1391" i="18176" s="1"/>
  <c r="A1392" i="18176" s="1"/>
  <c r="A1393" i="18176" s="1"/>
  <c r="A1394" i="18176" s="1"/>
  <c r="A1395" i="18176" s="1"/>
  <c r="A1396" i="18176" s="1"/>
  <c r="A1397" i="18176" s="1"/>
  <c r="A1398" i="18176" s="1"/>
  <c r="A1399" i="18176" s="1"/>
  <c r="A1400" i="18176" s="1"/>
  <c r="A1401" i="18176" s="1"/>
  <c r="A1402" i="18176" s="1"/>
  <c r="A1403" i="18176" s="1"/>
  <c r="A1404" i="18176" s="1"/>
  <c r="A1405" i="18176" s="1"/>
  <c r="A1406" i="18176" s="1"/>
  <c r="A1407" i="18176" s="1"/>
  <c r="A1408" i="18176" s="1"/>
  <c r="A1409" i="18176" s="1"/>
  <c r="A1410" i="18176" s="1"/>
  <c r="A1411" i="18176" s="1"/>
  <c r="A1412" i="18176" s="1"/>
  <c r="A1413" i="18176" s="1"/>
  <c r="A1414" i="18176" s="1"/>
  <c r="A1415" i="18176" s="1"/>
  <c r="A1416" i="18176" s="1"/>
  <c r="A1417" i="18176" s="1"/>
  <c r="A1418" i="18176" s="1"/>
  <c r="A1419" i="18176" s="1"/>
  <c r="A1420" i="18176" s="1"/>
  <c r="A1421" i="18176" s="1"/>
  <c r="A1422" i="18176" s="1"/>
  <c r="A1423" i="18176" s="1"/>
  <c r="A1424" i="18176" s="1"/>
  <c r="A1425" i="18176" s="1"/>
  <c r="A1426" i="18176" s="1"/>
  <c r="A1427" i="18176" s="1"/>
  <c r="A1428" i="18176" s="1"/>
  <c r="A1429" i="18176" s="1"/>
  <c r="A1430" i="18176" s="1"/>
  <c r="A1431" i="18176" s="1"/>
  <c r="A1432" i="18176" s="1"/>
  <c r="A1433" i="18176" s="1"/>
  <c r="A1434" i="18176" s="1"/>
  <c r="A1435" i="18176" s="1"/>
  <c r="A1436" i="18176" s="1"/>
  <c r="A1437" i="18176" s="1"/>
  <c r="A1438" i="18176" s="1"/>
  <c r="A1439" i="18176" s="1"/>
  <c r="A1440" i="18176" s="1"/>
  <c r="A1441" i="18176" s="1"/>
  <c r="A1442" i="18176" s="1"/>
  <c r="A1443" i="18176" s="1"/>
  <c r="A1444" i="18176" s="1"/>
  <c r="A1445" i="18176" s="1"/>
  <c r="A1446" i="18176" s="1"/>
  <c r="A1447" i="18176" s="1"/>
  <c r="A1448" i="18176" s="1"/>
  <c r="A1449" i="18176" s="1"/>
  <c r="A1450" i="18176" s="1"/>
  <c r="A1451" i="18176" s="1"/>
  <c r="A1452" i="18176" s="1"/>
  <c r="A1453" i="18176" s="1"/>
  <c r="A1454" i="18176" s="1"/>
  <c r="A1455" i="18176" s="1"/>
  <c r="A1456" i="18176" s="1"/>
  <c r="A1457" i="18176" s="1"/>
  <c r="A1458" i="18176" s="1"/>
  <c r="A1459" i="18176" s="1"/>
  <c r="A1460" i="18176" s="1"/>
  <c r="A1461" i="18176" s="1"/>
  <c r="A1462" i="18176" s="1"/>
  <c r="A1463" i="18176" s="1"/>
  <c r="A1464" i="18176" s="1"/>
  <c r="A1465" i="18176" s="1"/>
  <c r="A1466" i="18176" s="1"/>
  <c r="A1467" i="18176" s="1"/>
  <c r="A1468" i="18176" s="1"/>
  <c r="A1469" i="18176" s="1"/>
  <c r="A1470" i="18176" s="1"/>
  <c r="A1471" i="18176" s="1"/>
  <c r="A1472" i="18176" s="1"/>
  <c r="A1473" i="18176" s="1"/>
  <c r="A1474" i="18176" s="1"/>
  <c r="A1475" i="18176" s="1"/>
  <c r="A1476" i="18176" s="1"/>
  <c r="A1477" i="18176" s="1"/>
  <c r="A1478" i="18176" s="1"/>
  <c r="A1479" i="18176" s="1"/>
  <c r="A1480" i="18176" s="1"/>
  <c r="A1481" i="18176" s="1"/>
  <c r="A1482" i="18176" s="1"/>
  <c r="A1483" i="18176" s="1"/>
  <c r="A1484" i="18176" s="1"/>
  <c r="A1485" i="18176" s="1"/>
  <c r="A1486" i="18176" s="1"/>
  <c r="A1487" i="18176" s="1"/>
  <c r="A1488" i="18176" s="1"/>
  <c r="A1489" i="18176" s="1"/>
  <c r="A1490" i="18176" s="1"/>
  <c r="A1491" i="18176" s="1"/>
  <c r="A1492" i="18176" s="1"/>
  <c r="A1493" i="18176" s="1"/>
  <c r="A1494" i="18176" s="1"/>
  <c r="A1495" i="18176" s="1"/>
  <c r="A1496" i="18176" s="1"/>
  <c r="A1497" i="18176" s="1"/>
  <c r="A1498" i="18176" s="1"/>
  <c r="A1499" i="18176" s="1"/>
  <c r="A1500" i="18176" s="1"/>
  <c r="A1501" i="18176" s="1"/>
  <c r="A1502" i="18176" s="1"/>
  <c r="A1503" i="18176" s="1"/>
  <c r="A1504" i="18176" s="1"/>
  <c r="A1505" i="18176" s="1"/>
  <c r="A1506" i="18176" s="1"/>
  <c r="A1507" i="18176" s="1"/>
  <c r="A1508" i="18176" s="1"/>
  <c r="A1509" i="18176" s="1"/>
  <c r="A1510" i="18176" s="1"/>
  <c r="A1511" i="18176" s="1"/>
  <c r="A1512" i="18176" s="1"/>
  <c r="A1513" i="18176" s="1"/>
  <c r="A1514" i="18176" s="1"/>
  <c r="A1515" i="18176" s="1"/>
  <c r="A1516" i="18176" s="1"/>
  <c r="A1517" i="18176" s="1"/>
  <c r="A1518" i="18176" s="1"/>
  <c r="A1519" i="18176" s="1"/>
  <c r="A1520" i="18176" s="1"/>
  <c r="A1521" i="18176" s="1"/>
  <c r="A1522" i="18176" s="1"/>
  <c r="A1523" i="18176" s="1"/>
  <c r="A1524" i="18176" s="1"/>
  <c r="A1525" i="18176" s="1"/>
  <c r="A1526" i="18176" s="1"/>
  <c r="A1527" i="18176" s="1"/>
  <c r="A1528" i="18176" s="1"/>
  <c r="A1529" i="18176" s="1"/>
  <c r="A1530" i="18176" s="1"/>
  <c r="A1531" i="18176" s="1"/>
  <c r="A1532" i="18176" s="1"/>
  <c r="A1533" i="18176" s="1"/>
  <c r="A1534" i="18176" s="1"/>
  <c r="A1535" i="18176" s="1"/>
  <c r="A1536" i="18176" s="1"/>
  <c r="A1537" i="18176" s="1"/>
  <c r="A1538" i="18176" s="1"/>
  <c r="A1539" i="18176" s="1"/>
  <c r="A1540" i="18176" s="1"/>
  <c r="A1541" i="18176" s="1"/>
  <c r="A1542" i="18176" s="1"/>
  <c r="A1543" i="18176" s="1"/>
  <c r="A1544" i="18176" s="1"/>
  <c r="A1545" i="18176" s="1"/>
  <c r="A1546" i="18176" s="1"/>
  <c r="A1547" i="18176" s="1"/>
  <c r="A1548" i="18176" s="1"/>
  <c r="A1549" i="18176" s="1"/>
  <c r="A1550" i="18176" s="1"/>
  <c r="A1551" i="18176" s="1"/>
  <c r="A1552" i="18176" s="1"/>
  <c r="A1553" i="18176" s="1"/>
  <c r="A1554" i="18176" s="1"/>
  <c r="A1555" i="18176" s="1"/>
  <c r="A1556" i="18176" s="1"/>
  <c r="A1557" i="18176" s="1"/>
  <c r="A1558" i="18176" s="1"/>
  <c r="A1559" i="18176" s="1"/>
  <c r="A1560" i="18176" s="1"/>
  <c r="A1561" i="18176" s="1"/>
  <c r="A1562" i="18176" s="1"/>
  <c r="A1563" i="18176" s="1"/>
  <c r="A1564" i="18176" s="1"/>
  <c r="A1565" i="18176" s="1"/>
  <c r="A1566" i="18176" s="1"/>
  <c r="A1567" i="18176" s="1"/>
  <c r="A1568" i="18176" s="1"/>
  <c r="A1569" i="18176" s="1"/>
  <c r="A1570" i="18176" s="1"/>
  <c r="A1571" i="18176" s="1"/>
  <c r="A1572" i="18176" s="1"/>
  <c r="A1573" i="18176" s="1"/>
  <c r="A1574" i="18176" s="1"/>
  <c r="A1575" i="18176" s="1"/>
  <c r="A1576" i="18176" s="1"/>
  <c r="A1577" i="18176" s="1"/>
  <c r="A1578" i="18176" s="1"/>
  <c r="A1579" i="18176" s="1"/>
  <c r="A1580" i="18176" s="1"/>
  <c r="A1581" i="18176" s="1"/>
  <c r="A1582" i="18176" s="1"/>
  <c r="A1583" i="18176" s="1"/>
  <c r="A1584" i="18176" s="1"/>
  <c r="A1585" i="18176" s="1"/>
  <c r="A1586" i="18176" s="1"/>
  <c r="A1587" i="18176" s="1"/>
  <c r="A1588" i="18176" s="1"/>
  <c r="A1589" i="18176" s="1"/>
  <c r="A1590" i="18176" s="1"/>
  <c r="A1591" i="18176" s="1"/>
  <c r="A1592" i="18176" s="1"/>
  <c r="A1593" i="18176" s="1"/>
  <c r="A1594" i="18176" s="1"/>
  <c r="A1595" i="18176" s="1"/>
  <c r="A1596" i="18176" s="1"/>
  <c r="A1597" i="18176" s="1"/>
  <c r="A1598" i="18176" s="1"/>
  <c r="A1599" i="18176" s="1"/>
  <c r="A1600" i="18176" s="1"/>
  <c r="A1601" i="18176" s="1"/>
  <c r="A1602" i="18176" s="1"/>
  <c r="A1603" i="18176" s="1"/>
  <c r="A1604" i="18176" s="1"/>
  <c r="A1605" i="18176" s="1"/>
  <c r="A1606" i="18176" s="1"/>
  <c r="A1607" i="18176" s="1"/>
  <c r="A1608" i="18176" s="1"/>
  <c r="A1609" i="18176" s="1"/>
  <c r="A1610" i="18176" s="1"/>
  <c r="A1611" i="18176" s="1"/>
  <c r="A1612" i="18176" s="1"/>
  <c r="A1613" i="18176" s="1"/>
  <c r="A1614" i="18176" s="1"/>
  <c r="A1615" i="18176" s="1"/>
  <c r="A1616" i="18176" s="1"/>
  <c r="A1617" i="18176" s="1"/>
  <c r="A1618" i="18176" s="1"/>
  <c r="A1619" i="18176" s="1"/>
  <c r="A1620" i="18176" s="1"/>
  <c r="A1621" i="18176" s="1"/>
  <c r="A1622" i="18176" s="1"/>
  <c r="A1623" i="18176" s="1"/>
  <c r="A1624" i="18176" s="1"/>
  <c r="A1625" i="18176" s="1"/>
  <c r="A1626" i="18176" s="1"/>
  <c r="A1627" i="18176" s="1"/>
  <c r="A1628" i="18176" s="1"/>
  <c r="A1629" i="18176" s="1"/>
  <c r="A1630" i="18176" s="1"/>
  <c r="A1631" i="18176" s="1"/>
  <c r="A1632" i="18176" s="1"/>
  <c r="A1633" i="18176" s="1"/>
  <c r="A1634" i="18176" s="1"/>
  <c r="A1635" i="18176" s="1"/>
  <c r="A1636" i="18176" s="1"/>
  <c r="A1637" i="18176" s="1"/>
  <c r="A1638" i="18176" s="1"/>
  <c r="A1639" i="18176" s="1"/>
  <c r="A1640" i="18176" s="1"/>
  <c r="A1641" i="18176" s="1"/>
  <c r="A1642" i="18176" s="1"/>
  <c r="A1643" i="18176" s="1"/>
  <c r="A1644" i="18176" s="1"/>
  <c r="A1645" i="18176" s="1"/>
  <c r="A1646" i="18176" s="1"/>
  <c r="A1647" i="18176" s="1"/>
  <c r="A1648" i="18176" s="1"/>
  <c r="A1649" i="18176" s="1"/>
  <c r="A1650" i="18176" s="1"/>
  <c r="A1651" i="18176" s="1"/>
  <c r="A1652" i="18176" s="1"/>
  <c r="A1653" i="18176" s="1"/>
  <c r="A1654" i="18176" s="1"/>
  <c r="A1655" i="18176" s="1"/>
  <c r="A1656" i="18176" s="1"/>
  <c r="A1657" i="18176" s="1"/>
  <c r="A1658" i="18176" s="1"/>
  <c r="A1659" i="18176" s="1"/>
  <c r="A1660" i="18176" s="1"/>
  <c r="A1661" i="18176" s="1"/>
  <c r="A1662" i="18176" s="1"/>
  <c r="A1663" i="18176" s="1"/>
  <c r="A1664" i="18176" s="1"/>
  <c r="A1665" i="18176" s="1"/>
  <c r="A1666" i="18176" s="1"/>
  <c r="A1667" i="18176" s="1"/>
  <c r="A1668" i="18176" s="1"/>
  <c r="A1669" i="18176" s="1"/>
  <c r="A1670" i="18176" s="1"/>
  <c r="A1671" i="18176" s="1"/>
  <c r="A1672" i="18176" s="1"/>
  <c r="A1673" i="18176" s="1"/>
  <c r="A1674" i="18176" s="1"/>
  <c r="A1675" i="18176" s="1"/>
  <c r="A1676" i="18176" s="1"/>
  <c r="A1677" i="18176" s="1"/>
  <c r="A1678" i="18176" s="1"/>
  <c r="A1679" i="18176" s="1"/>
  <c r="A1680" i="18176" s="1"/>
  <c r="A1681" i="18176" s="1"/>
  <c r="A1682" i="18176" s="1"/>
  <c r="A1683" i="18176" s="1"/>
  <c r="A1684" i="18176" s="1"/>
  <c r="A1685" i="18176" s="1"/>
  <c r="A1686" i="18176" s="1"/>
  <c r="A1687" i="18176" s="1"/>
  <c r="A1688" i="18176" s="1"/>
  <c r="A1689" i="18176" s="1"/>
  <c r="A1690" i="18176" s="1"/>
  <c r="A1691" i="18176" s="1"/>
  <c r="A1692" i="18176" s="1"/>
  <c r="A1693" i="18176" s="1"/>
  <c r="A1694" i="18176" s="1"/>
  <c r="A1695" i="18176" s="1"/>
  <c r="A1696" i="18176" s="1"/>
  <c r="A1697" i="18176" s="1"/>
  <c r="A1698" i="18176" s="1"/>
  <c r="A1699" i="18176" s="1"/>
  <c r="A1700" i="18176" s="1"/>
  <c r="A1701" i="18176" s="1"/>
  <c r="A1702" i="18176" s="1"/>
  <c r="A1703" i="18176" s="1"/>
  <c r="A1704" i="18176" s="1"/>
  <c r="A1705" i="18176" s="1"/>
  <c r="A1706" i="18176" s="1"/>
  <c r="A1707" i="18176" s="1"/>
  <c r="A1708" i="18176" s="1"/>
  <c r="A1709" i="18176" s="1"/>
  <c r="A1710" i="18176" s="1"/>
  <c r="A1711" i="18176" s="1"/>
  <c r="A1712" i="18176" s="1"/>
  <c r="A1713" i="18176" s="1"/>
  <c r="A1714" i="18176" s="1"/>
  <c r="A1715" i="18176" s="1"/>
  <c r="A1716" i="18176" s="1"/>
  <c r="A1717" i="18176" s="1"/>
  <c r="A1718" i="18176" s="1"/>
  <c r="A1719" i="18176" s="1"/>
  <c r="A1720" i="18176" s="1"/>
  <c r="A1721" i="18176" s="1"/>
  <c r="A1722" i="18176" s="1"/>
  <c r="A1723" i="18176" s="1"/>
  <c r="A1724" i="18176" s="1"/>
  <c r="A1725" i="18176" s="1"/>
  <c r="A1726" i="18176" s="1"/>
  <c r="A1727" i="18176" s="1"/>
  <c r="A1728" i="18176" s="1"/>
  <c r="A1729" i="18176" s="1"/>
  <c r="A1730" i="18176" s="1"/>
  <c r="A1731" i="18176" s="1"/>
  <c r="A1732" i="18176" s="1"/>
  <c r="A1733" i="18176" s="1"/>
  <c r="A1734" i="18176" s="1"/>
  <c r="A1735" i="18176" s="1"/>
  <c r="A1736" i="18176" s="1"/>
  <c r="A1737" i="18176" s="1"/>
  <c r="A1738" i="18176" s="1"/>
  <c r="A1739" i="18176" s="1"/>
  <c r="A1740" i="18176" s="1"/>
  <c r="A1741" i="18176" s="1"/>
  <c r="A1742" i="18176" s="1"/>
  <c r="A1743" i="18176" s="1"/>
  <c r="A1744" i="18176" s="1"/>
  <c r="A1745" i="18176" s="1"/>
  <c r="A1746" i="18176" s="1"/>
  <c r="A1747" i="18176" s="1"/>
  <c r="A1748" i="18176" s="1"/>
  <c r="A1749" i="18176" s="1"/>
  <c r="A1750" i="18176" s="1"/>
  <c r="A1751" i="18176" s="1"/>
  <c r="A1752" i="18176" s="1"/>
  <c r="A1753" i="18176" s="1"/>
  <c r="A1754" i="18176" s="1"/>
  <c r="A1755" i="18176" s="1"/>
  <c r="A1756" i="18176" s="1"/>
  <c r="A1757" i="18176" s="1"/>
  <c r="A1758" i="18176" s="1"/>
  <c r="A1759" i="18176" s="1"/>
  <c r="A1760" i="18176" s="1"/>
  <c r="A1761" i="18176" s="1"/>
  <c r="A1762" i="18176" s="1"/>
  <c r="A1763" i="18176" s="1"/>
  <c r="A1764" i="18176" s="1"/>
  <c r="A1765" i="18176" s="1"/>
  <c r="A1766" i="18176" s="1"/>
  <c r="A1767" i="18176" s="1"/>
  <c r="A1768" i="18176" s="1"/>
  <c r="A1769" i="18176" s="1"/>
  <c r="A1770" i="18176" s="1"/>
  <c r="A1771" i="18176" s="1"/>
  <c r="A1772" i="18176" s="1"/>
  <c r="A1773" i="18176" s="1"/>
  <c r="A1774" i="18176" s="1"/>
  <c r="A1775" i="18176" s="1"/>
  <c r="A1776" i="18176" s="1"/>
  <c r="A1777" i="18176" s="1"/>
  <c r="A1778" i="18176" s="1"/>
  <c r="A1779" i="18176" s="1"/>
  <c r="A1780" i="18176" s="1"/>
  <c r="A1781" i="18176" s="1"/>
  <c r="A1782" i="18176" s="1"/>
  <c r="A1783" i="18176" s="1"/>
  <c r="A1784" i="18176" s="1"/>
  <c r="A1785" i="18176" s="1"/>
  <c r="A1786" i="18176" s="1"/>
  <c r="A1787" i="18176" s="1"/>
  <c r="A1788" i="18176" s="1"/>
  <c r="A1789" i="18176" s="1"/>
  <c r="A1790" i="18176" s="1"/>
  <c r="A1791" i="18176" s="1"/>
  <c r="A1792" i="18176" s="1"/>
  <c r="A1793" i="18176" s="1"/>
  <c r="A1794" i="18176" s="1"/>
  <c r="A1795" i="18176" s="1"/>
  <c r="A1796" i="18176" s="1"/>
  <c r="A1797" i="18176" s="1"/>
  <c r="A1798" i="18176" s="1"/>
  <c r="A1799" i="18176" s="1"/>
  <c r="A1800" i="18176" s="1"/>
  <c r="A1801" i="18176" s="1"/>
  <c r="A1802" i="18176" s="1"/>
  <c r="A1803" i="18176" s="1"/>
  <c r="A1804" i="18176" s="1"/>
  <c r="A1805" i="18176" s="1"/>
  <c r="A1806" i="18176" s="1"/>
  <c r="A1807" i="18176" s="1"/>
  <c r="A1808" i="18176" s="1"/>
  <c r="A1809" i="18176" s="1"/>
  <c r="A1810" i="18176" s="1"/>
  <c r="A1811" i="18176" s="1"/>
  <c r="A1812" i="18176" s="1"/>
  <c r="A1813" i="18176" s="1"/>
  <c r="A1814" i="18176" s="1"/>
  <c r="A1815" i="18176" s="1"/>
  <c r="A1816" i="18176" s="1"/>
  <c r="A1817" i="18176" s="1"/>
  <c r="A1818" i="18176" s="1"/>
  <c r="A1819" i="18176" s="1"/>
  <c r="A1820" i="18176" s="1"/>
  <c r="A1821" i="18176" s="1"/>
  <c r="A1822" i="18176" s="1"/>
  <c r="A1823" i="18176" s="1"/>
  <c r="A1824" i="18176" s="1"/>
  <c r="A1825" i="18176" s="1"/>
  <c r="A1826" i="18176" s="1"/>
  <c r="A1827" i="18176" s="1"/>
  <c r="A1828" i="18176" s="1"/>
  <c r="A1829" i="18176" s="1"/>
  <c r="A1830" i="18176" s="1"/>
  <c r="A1831" i="18176" s="1"/>
  <c r="A1832" i="18176" s="1"/>
  <c r="A1833" i="18176" s="1"/>
  <c r="A1834" i="18176" s="1"/>
  <c r="A1835" i="18176" s="1"/>
  <c r="A1836" i="18176" s="1"/>
  <c r="A1837" i="18176" s="1"/>
  <c r="A1838" i="18176" s="1"/>
  <c r="A1839" i="18176" s="1"/>
  <c r="A1840" i="18176" s="1"/>
  <c r="A1841" i="18176" s="1"/>
  <c r="A1842" i="18176" s="1"/>
  <c r="A1843" i="18176" s="1"/>
  <c r="A1844" i="18176" s="1"/>
  <c r="A1845" i="18176" s="1"/>
  <c r="A1846" i="18176" s="1"/>
  <c r="A1847" i="18176" s="1"/>
  <c r="A1848" i="18176" s="1"/>
  <c r="A1849" i="18176" s="1"/>
  <c r="A1850" i="18176" s="1"/>
  <c r="A1851" i="18176" s="1"/>
  <c r="A1852" i="18176" s="1"/>
  <c r="A1853" i="18176" s="1"/>
  <c r="A1854" i="18176" s="1"/>
  <c r="A1855" i="18176" s="1"/>
  <c r="A1856" i="18176" s="1"/>
  <c r="A1857" i="18176" s="1"/>
  <c r="A1858" i="18176" s="1"/>
  <c r="A1859" i="18176" s="1"/>
  <c r="A1860" i="18176" s="1"/>
  <c r="A1861" i="18176" s="1"/>
  <c r="A1862" i="18176" s="1"/>
  <c r="A1863" i="18176" s="1"/>
  <c r="A1864" i="18176" s="1"/>
  <c r="A1865" i="18176" s="1"/>
  <c r="A1866" i="18176" s="1"/>
  <c r="A1867" i="18176" s="1"/>
  <c r="A1868" i="18176" s="1"/>
  <c r="A1869" i="18176" s="1"/>
  <c r="A1870" i="18176" s="1"/>
  <c r="A1871" i="18176" s="1"/>
  <c r="A1872" i="18176" s="1"/>
  <c r="A1873" i="18176" s="1"/>
  <c r="A1874" i="18176" s="1"/>
  <c r="A1875" i="18176" s="1"/>
  <c r="A1876" i="18176" s="1"/>
  <c r="A1877" i="18176" s="1"/>
  <c r="A1878" i="18176" s="1"/>
  <c r="A1879" i="18176" s="1"/>
  <c r="A1880" i="18176" s="1"/>
  <c r="A1881" i="18176" s="1"/>
  <c r="A1882" i="18176" s="1"/>
  <c r="A1883" i="18176" s="1"/>
  <c r="A1884" i="18176" s="1"/>
  <c r="A1885" i="18176" s="1"/>
  <c r="A1886" i="18176" s="1"/>
  <c r="A1887" i="18176" s="1"/>
  <c r="A1888" i="18176" s="1"/>
  <c r="A1889" i="18176" s="1"/>
  <c r="A1890" i="18176" s="1"/>
  <c r="A1891" i="18176" s="1"/>
  <c r="A1892" i="18176" s="1"/>
  <c r="A1893" i="18176" s="1"/>
  <c r="A1894" i="18176" s="1"/>
  <c r="A1895" i="18176" s="1"/>
  <c r="A1896" i="18176" s="1"/>
  <c r="A1897" i="18176" s="1"/>
  <c r="A1898" i="18176" s="1"/>
  <c r="A1899" i="18176" s="1"/>
  <c r="A1900" i="18176" s="1"/>
  <c r="A1901" i="18176" s="1"/>
  <c r="A1902" i="18176" s="1"/>
  <c r="A1903" i="18176" s="1"/>
  <c r="A1904" i="18176" s="1"/>
  <c r="A1905" i="18176" s="1"/>
  <c r="A1906" i="18176" s="1"/>
  <c r="A1907" i="18176" s="1"/>
  <c r="A1908" i="18176" s="1"/>
  <c r="A1909" i="18176" s="1"/>
  <c r="A1910" i="18176" s="1"/>
  <c r="A1911" i="18176" s="1"/>
  <c r="A1912" i="18176" s="1"/>
  <c r="A1913" i="18176" s="1"/>
  <c r="A1914" i="18176" s="1"/>
  <c r="A1915" i="18176" s="1"/>
  <c r="A1916" i="18176" s="1"/>
  <c r="A1917" i="18176" s="1"/>
  <c r="A1918" i="18176" s="1"/>
  <c r="A1919" i="18176" s="1"/>
  <c r="A1920" i="18176" s="1"/>
  <c r="A1921" i="18176" s="1"/>
  <c r="A1922" i="18176" s="1"/>
  <c r="A1923" i="18176" s="1"/>
  <c r="A1924" i="18176" s="1"/>
  <c r="A1925" i="18176" s="1"/>
  <c r="A1926" i="18176" s="1"/>
  <c r="A1927" i="18176" s="1"/>
  <c r="A1928" i="18176" s="1"/>
  <c r="A1929" i="18176" s="1"/>
  <c r="A1930" i="18176" s="1"/>
  <c r="A1931" i="18176" s="1"/>
  <c r="A1932" i="18176" s="1"/>
  <c r="A1933" i="18176" s="1"/>
  <c r="A1934" i="18176" s="1"/>
  <c r="A1935" i="18176" s="1"/>
  <c r="A1936" i="18176" s="1"/>
  <c r="A1937" i="18176" s="1"/>
  <c r="A1938" i="18176" s="1"/>
  <c r="A1939" i="18176" s="1"/>
  <c r="A1940" i="18176" s="1"/>
  <c r="A1941" i="18176" s="1"/>
  <c r="A1942" i="18176" s="1"/>
  <c r="A1943" i="18176" s="1"/>
  <c r="A1944" i="18176" s="1"/>
  <c r="A1945" i="18176" s="1"/>
  <c r="A1946" i="18176" s="1"/>
  <c r="A1947" i="18176" s="1"/>
  <c r="A1948" i="18176" s="1"/>
  <c r="A1949" i="18176" s="1"/>
  <c r="A1950" i="18176" s="1"/>
  <c r="A1951" i="18176" s="1"/>
  <c r="A1952" i="18176" s="1"/>
  <c r="A1953" i="18176" s="1"/>
  <c r="A1954" i="18176" s="1"/>
  <c r="A1955" i="18176" s="1"/>
  <c r="A1956" i="18176" s="1"/>
  <c r="A1957" i="18176" s="1"/>
  <c r="A1958" i="18176" s="1"/>
  <c r="A1959" i="18176" s="1"/>
  <c r="A1960" i="18176" s="1"/>
  <c r="A1961" i="18176" s="1"/>
  <c r="A1962" i="18176" s="1"/>
  <c r="A1963" i="18176" s="1"/>
  <c r="A1964" i="18176" s="1"/>
  <c r="A1965" i="18176" s="1"/>
  <c r="A1966" i="18176" s="1"/>
  <c r="A1967" i="18176" s="1"/>
  <c r="A1968" i="18176" s="1"/>
  <c r="A1969" i="18176" s="1"/>
  <c r="A1970" i="18176" s="1"/>
  <c r="A1971" i="18176" s="1"/>
  <c r="A1972" i="18176" s="1"/>
  <c r="A1973" i="18176" s="1"/>
  <c r="A1974" i="18176" s="1"/>
  <c r="A1975" i="18176" s="1"/>
  <c r="A1976" i="18176" s="1"/>
  <c r="A1977" i="18176" s="1"/>
  <c r="A1978" i="18176" s="1"/>
  <c r="A1979" i="18176" s="1"/>
  <c r="A1980" i="18176" s="1"/>
  <c r="A1981" i="18176" s="1"/>
  <c r="A1982" i="18176" s="1"/>
  <c r="A1983" i="18176" s="1"/>
  <c r="A1984" i="18176" s="1"/>
  <c r="A1985" i="18176" s="1"/>
  <c r="A1986" i="18176" s="1"/>
  <c r="A1987" i="18176" s="1"/>
  <c r="A1988" i="18176" s="1"/>
  <c r="A1989" i="18176" s="1"/>
  <c r="A1990" i="18176" s="1"/>
  <c r="A1991" i="18176" s="1"/>
  <c r="A1992" i="18176" s="1"/>
  <c r="A1993" i="18176" s="1"/>
  <c r="A1994" i="18176" s="1"/>
  <c r="A1995" i="18176" s="1"/>
  <c r="A1996" i="18176" s="1"/>
  <c r="A1997" i="18176" s="1"/>
  <c r="A1998" i="18176" s="1"/>
  <c r="A1999" i="18176" s="1"/>
  <c r="A2000" i="18176" s="1"/>
  <c r="B3" i="2"/>
  <c r="T3" i="2"/>
  <c r="K5" i="2"/>
  <c r="AE8" i="2"/>
  <c r="H14" i="2"/>
  <c r="O16" i="2"/>
  <c r="O17" i="2"/>
  <c r="W17" i="2"/>
  <c r="Y17" i="2"/>
  <c r="AA17" i="2"/>
  <c r="AC17" i="2"/>
  <c r="AG17" i="2"/>
  <c r="AH17" i="2"/>
  <c r="AI17" i="2"/>
  <c r="AJ17" i="2"/>
  <c r="W18" i="2"/>
  <c r="Y18" i="2"/>
  <c r="AA18" i="2"/>
  <c r="AC18" i="2"/>
  <c r="AG18" i="2"/>
  <c r="AH18" i="2"/>
  <c r="AH19" i="2" s="1"/>
  <c r="AI18" i="2"/>
  <c r="AJ18" i="2"/>
  <c r="AJ19" i="2" s="1"/>
  <c r="AJ20" i="2" s="1"/>
  <c r="U20" i="2"/>
  <c r="F21" i="2"/>
  <c r="U21" i="2"/>
  <c r="U22" i="2"/>
  <c r="AH22" i="2"/>
  <c r="AH23" i="2"/>
  <c r="F24" i="2"/>
  <c r="AD25" i="2"/>
  <c r="G29" i="2"/>
  <c r="S10" i="18176" s="1"/>
  <c r="AN29" i="2"/>
  <c r="H30" i="2"/>
  <c r="AN30" i="2"/>
  <c r="W31" i="2"/>
  <c r="Y31" i="2"/>
  <c r="AA31" i="2"/>
  <c r="AC31" i="2"/>
  <c r="AE31" i="2"/>
  <c r="AF31" i="2"/>
  <c r="AF37" i="2" s="1"/>
  <c r="AG31" i="2"/>
  <c r="AH31" i="2"/>
  <c r="AI31" i="2"/>
  <c r="AJ31" i="2"/>
  <c r="M35" i="2"/>
  <c r="W24" i="1" s="1"/>
  <c r="AB24" i="1" s="1"/>
  <c r="R36" i="2"/>
  <c r="R37" i="2"/>
  <c r="R38" i="2"/>
  <c r="F40" i="2"/>
  <c r="H41" i="2"/>
  <c r="M48" i="2" s="1"/>
  <c r="E43" i="2"/>
  <c r="H43" i="2"/>
  <c r="F48" i="2"/>
  <c r="J48" i="2" s="1"/>
  <c r="N57" i="2" s="1"/>
  <c r="H49" i="2"/>
  <c r="H54" i="2" s="1"/>
  <c r="M59" i="2"/>
  <c r="N55" i="3" s="1"/>
  <c r="M60" i="2"/>
  <c r="N56" i="3" s="1"/>
  <c r="AW60" i="2"/>
  <c r="AC26" i="1" s="1"/>
  <c r="AW61" i="2"/>
  <c r="AC27" i="1" s="1"/>
  <c r="AW62" i="2"/>
  <c r="AC28" i="1" s="1"/>
  <c r="AW63" i="2"/>
  <c r="AC29" i="1" s="1"/>
  <c r="AW64" i="2"/>
  <c r="AC30" i="1" s="1"/>
  <c r="AW65" i="2"/>
  <c r="AC31" i="1" s="1"/>
  <c r="AW66" i="2"/>
  <c r="AC32" i="1" s="1"/>
  <c r="AW67" i="2"/>
  <c r="AC33" i="1" s="1"/>
  <c r="AW68" i="2"/>
  <c r="AC34" i="1" s="1"/>
  <c r="AW69" i="2"/>
  <c r="AC35" i="1" s="1"/>
  <c r="AW70" i="2"/>
  <c r="AC36" i="1" s="1"/>
  <c r="AW71" i="2"/>
  <c r="AC37" i="1" s="1"/>
  <c r="C72" i="2"/>
  <c r="D72" i="2"/>
  <c r="F72" i="2"/>
  <c r="G72" i="2"/>
  <c r="AW72" i="2"/>
  <c r="AC38" i="1" s="1"/>
  <c r="AW73" i="2"/>
  <c r="AC39" i="1" s="1"/>
  <c r="AW74" i="2"/>
  <c r="AC40" i="1" s="1"/>
  <c r="AW75" i="2"/>
  <c r="AC41" i="1" s="1"/>
  <c r="AW76" i="2"/>
  <c r="AC42" i="1" s="1"/>
  <c r="AW77" i="2"/>
  <c r="AC43" i="1" s="1"/>
  <c r="AW78" i="2"/>
  <c r="AC44" i="1" s="1"/>
  <c r="AW79" i="2"/>
  <c r="AC45" i="1" s="1"/>
  <c r="BH79" i="2"/>
  <c r="AW80" i="2"/>
  <c r="AC46" i="1" s="1"/>
  <c r="BH80" i="2"/>
  <c r="AW81" i="2"/>
  <c r="AC47" i="1" s="1"/>
  <c r="AW82" i="2"/>
  <c r="AC48" i="1" s="1"/>
  <c r="AW83" i="2"/>
  <c r="AC49" i="1" s="1"/>
  <c r="AW84" i="2"/>
  <c r="AC50" i="1" s="1"/>
  <c r="AW85" i="2"/>
  <c r="AC51" i="1" s="1"/>
  <c r="AW86" i="2"/>
  <c r="AC52" i="1" s="1"/>
  <c r="AW87" i="2"/>
  <c r="AC53" i="1" s="1"/>
  <c r="AW88" i="2"/>
  <c r="AC54" i="1" s="1"/>
  <c r="AW89" i="2"/>
  <c r="AC55" i="1" s="1"/>
  <c r="AW90" i="2"/>
  <c r="AC56" i="1" s="1"/>
  <c r="AW91" i="2"/>
  <c r="AC57" i="1" s="1"/>
  <c r="AW92" i="2"/>
  <c r="AC58" i="1" s="1"/>
  <c r="AW93" i="2"/>
  <c r="AC59" i="1" s="1"/>
  <c r="AW94" i="2"/>
  <c r="AC60" i="1" s="1"/>
  <c r="AW95" i="2"/>
  <c r="AC61" i="1" s="1"/>
  <c r="AW96" i="2"/>
  <c r="AC62" i="1" s="1"/>
  <c r="AW97" i="2"/>
  <c r="AC63" i="1" s="1"/>
  <c r="AW98" i="2"/>
  <c r="AC64" i="1" s="1"/>
  <c r="AW99" i="2"/>
  <c r="AC65" i="1" s="1"/>
  <c r="AW100" i="2"/>
  <c r="AC66" i="1" s="1"/>
  <c r="AW101" i="2"/>
  <c r="AC67" i="1" s="1"/>
  <c r="AW102" i="2"/>
  <c r="AC68" i="1" s="1"/>
  <c r="AW103" i="2"/>
  <c r="AC69" i="1" s="1"/>
  <c r="AW104" i="2"/>
  <c r="AC70" i="1" s="1"/>
  <c r="AW105" i="2"/>
  <c r="AC71" i="1" s="1"/>
  <c r="AW106" i="2"/>
  <c r="AC72" i="1" s="1"/>
  <c r="AW107" i="2"/>
  <c r="AC73" i="1" s="1"/>
  <c r="AW108" i="2"/>
  <c r="AC74" i="1" s="1"/>
  <c r="AW109" i="2"/>
  <c r="AC75" i="1" s="1"/>
  <c r="AW110" i="2"/>
  <c r="AC76" i="1" s="1"/>
  <c r="AW111" i="2"/>
  <c r="AC77" i="1" s="1"/>
  <c r="AW112" i="2"/>
  <c r="AC78" i="1" s="1"/>
  <c r="AW113" i="2"/>
  <c r="AC79" i="1" s="1"/>
  <c r="AW114" i="2"/>
  <c r="AC80" i="1" s="1"/>
  <c r="AW115" i="2"/>
  <c r="AC81" i="1" s="1"/>
  <c r="AW116" i="2"/>
  <c r="AC82" i="1" s="1"/>
  <c r="AW117" i="2"/>
  <c r="AC83" i="1" s="1"/>
  <c r="AW118" i="2"/>
  <c r="AC84" i="1" s="1"/>
  <c r="AW119" i="2"/>
  <c r="AC85" i="1" s="1"/>
  <c r="AW120" i="2"/>
  <c r="AC86" i="1" s="1"/>
  <c r="AW121" i="2"/>
  <c r="AC87" i="1" s="1"/>
  <c r="AW122" i="2"/>
  <c r="AC88" i="1" s="1"/>
  <c r="AW123" i="2"/>
  <c r="AC89" i="1" s="1"/>
  <c r="AW124" i="2"/>
  <c r="AC90" i="1" s="1"/>
  <c r="AW125" i="2"/>
  <c r="AC91" i="1" s="1"/>
  <c r="Y126" i="2"/>
  <c r="AI127" i="2"/>
  <c r="AJ135" i="2"/>
  <c r="AG5" i="50873" s="1"/>
  <c r="AJ136" i="2"/>
  <c r="AG6" i="50873" s="1"/>
  <c r="AJ137" i="2"/>
  <c r="AG7" i="50873" s="1"/>
  <c r="AJ138" i="2"/>
  <c r="T151" i="2"/>
  <c r="C87" i="50873" s="1"/>
  <c r="T152" i="2"/>
  <c r="C88" i="50873" s="1"/>
  <c r="T153" i="2"/>
  <c r="M94" i="3" s="1"/>
  <c r="D19" i="1"/>
  <c r="K13" i="1"/>
  <c r="B17" i="1"/>
  <c r="C18" i="1"/>
  <c r="B16" i="1"/>
  <c r="C17" i="1"/>
  <c r="B72" i="2" l="1"/>
  <c r="H42" i="2"/>
  <c r="H31" i="2"/>
  <c r="F22" i="2"/>
  <c r="H38" i="2"/>
  <c r="U55" i="50872" s="1"/>
  <c r="E30" i="2"/>
  <c r="R10" i="18176" s="1"/>
  <c r="F20" i="2"/>
  <c r="O15" i="2"/>
  <c r="G19" i="2"/>
  <c r="O14" i="2"/>
  <c r="H37" i="2"/>
  <c r="H29" i="2"/>
  <c r="E29" i="2"/>
  <c r="Q10" i="18176" s="1"/>
  <c r="H13" i="2"/>
  <c r="H28" i="2"/>
  <c r="O12" i="2"/>
  <c r="H34" i="2"/>
  <c r="F28" i="2"/>
  <c r="L10" i="18176" s="1"/>
  <c r="O11" i="2"/>
  <c r="O13" i="2"/>
  <c r="H36" i="2"/>
  <c r="H35" i="2"/>
  <c r="G28" i="2"/>
  <c r="N10" i="18176" s="1"/>
  <c r="H12" i="2"/>
  <c r="B18" i="1"/>
  <c r="H13" i="1"/>
  <c r="H33" i="2"/>
  <c r="R26" i="2" s="1"/>
  <c r="E28" i="2"/>
  <c r="J10" i="18176" s="1"/>
  <c r="O10" i="2"/>
  <c r="C19" i="1"/>
  <c r="H32" i="2"/>
  <c r="AB22" i="2" s="1"/>
  <c r="D28" i="2"/>
  <c r="H10" i="18176" s="1"/>
  <c r="O9" i="2"/>
  <c r="G18" i="2"/>
  <c r="B19" i="1"/>
  <c r="F52" i="2"/>
  <c r="B114" i="8194" s="1"/>
  <c r="F27" i="2"/>
  <c r="K10" i="18176" s="1"/>
  <c r="C18" i="2"/>
  <c r="F10" i="18176" s="1"/>
  <c r="H8" i="2"/>
  <c r="B36" i="50873" s="1"/>
  <c r="B15" i="1"/>
  <c r="E18" i="2"/>
  <c r="J18" i="2" s="1"/>
  <c r="D52" i="2"/>
  <c r="B113" i="8194" s="1"/>
  <c r="E27" i="2"/>
  <c r="I10" i="18176" s="1"/>
  <c r="O7" i="2"/>
  <c r="G30" i="2"/>
  <c r="T10" i="18176" s="1"/>
  <c r="H16" i="2"/>
  <c r="H27" i="2"/>
  <c r="H52" i="2"/>
  <c r="J52" i="2" s="1"/>
  <c r="B115" i="8194" s="1"/>
  <c r="G27" i="2"/>
  <c r="M10" i="18176" s="1"/>
  <c r="O8" i="2"/>
  <c r="D16" i="1"/>
  <c r="D17" i="1"/>
  <c r="C16" i="1"/>
  <c r="H51" i="2"/>
  <c r="D27" i="2"/>
  <c r="G10" i="18176" s="1"/>
  <c r="H7" i="2"/>
  <c r="M3" i="2" s="1"/>
  <c r="B26" i="8194" s="1"/>
  <c r="D18" i="1"/>
  <c r="H72" i="2"/>
  <c r="H50" i="2"/>
  <c r="AC35" i="3" s="1"/>
  <c r="F50" i="2"/>
  <c r="B89" i="8194" s="1"/>
  <c r="C94" i="8194" s="1"/>
  <c r="O6" i="2"/>
  <c r="H6" i="2"/>
  <c r="L2" i="2" s="1"/>
  <c r="P1" i="8194" s="1"/>
  <c r="G1" i="8194" s="1"/>
  <c r="G2" i="8194" s="1"/>
  <c r="D6" i="8194" s="1" a="1"/>
  <c r="AY13" i="8194" s="1"/>
  <c r="AY104" i="8194" s="1"/>
  <c r="K60" i="3"/>
  <c r="B54" i="50873"/>
  <c r="J39" i="50873"/>
  <c r="Q23" i="3"/>
  <c r="M92" i="3"/>
  <c r="J19" i="2"/>
  <c r="Z35" i="3"/>
  <c r="Z36" i="3" s="1"/>
  <c r="J23" i="2"/>
  <c r="AB40" i="1" s="1"/>
  <c r="AI41" i="18176"/>
  <c r="AJ41" i="18176" s="1"/>
  <c r="Q24" i="3"/>
  <c r="F8" i="3072"/>
  <c r="B8" i="3072" s="1"/>
  <c r="Q26" i="3"/>
  <c r="AG8" i="50873"/>
  <c r="S17" i="50873"/>
  <c r="P38" i="50873" s="1"/>
  <c r="W17" i="50873"/>
  <c r="X17" i="50873"/>
  <c r="L46" i="50872"/>
  <c r="L54" i="50872"/>
  <c r="F11" i="50873"/>
  <c r="M39" i="2"/>
  <c r="B33" i="2"/>
  <c r="J25" i="2"/>
  <c r="B39" i="2" s="1"/>
  <c r="B42" i="50873" s="1"/>
  <c r="W11" i="50872"/>
  <c r="U24" i="50872" s="1"/>
  <c r="M18" i="50872"/>
  <c r="M22" i="50872" s="1"/>
  <c r="H9" i="2"/>
  <c r="H11" i="2"/>
  <c r="F14" i="50873" s="1"/>
  <c r="T50" i="4"/>
  <c r="U50" i="4" s="1"/>
  <c r="V50" i="4" s="1"/>
  <c r="W50" i="4" s="1"/>
  <c r="X50" i="4" s="1"/>
  <c r="Y50" i="4" s="1"/>
  <c r="Z50" i="4" s="1"/>
  <c r="AA50" i="4" s="1"/>
  <c r="AB50" i="4" s="1"/>
  <c r="AC50" i="4" s="1"/>
  <c r="AD50" i="4" s="1"/>
  <c r="AE50" i="4" s="1"/>
  <c r="AF50" i="4" s="1"/>
  <c r="AG50" i="4" s="1"/>
  <c r="AH50" i="4" s="1"/>
  <c r="AI50" i="4" s="1"/>
  <c r="AJ50" i="4" s="1"/>
  <c r="AK50" i="4" s="1"/>
  <c r="AL50" i="4" s="1"/>
  <c r="AM50" i="4" s="1"/>
  <c r="AN50" i="4" s="1"/>
  <c r="AO50" i="4" s="1"/>
  <c r="AP50" i="4" s="1"/>
  <c r="AQ50" i="4" s="1"/>
  <c r="AR50" i="4" s="1"/>
  <c r="AS50" i="4" s="1"/>
  <c r="AT50" i="4" s="1"/>
  <c r="AU50" i="4" s="1"/>
  <c r="AV50" i="4" s="1"/>
  <c r="AW50" i="4" s="1"/>
  <c r="AX50" i="4" s="1"/>
  <c r="AY50" i="4" s="1"/>
  <c r="AZ50" i="4" s="1"/>
  <c r="BA50" i="4" s="1"/>
  <c r="BB50" i="4" s="1"/>
  <c r="BC50" i="4" s="1"/>
  <c r="BD50" i="4" s="1"/>
  <c r="BE50" i="4" s="1"/>
  <c r="BF50" i="4" s="1"/>
  <c r="BG50" i="4" s="1"/>
  <c r="BH50" i="4" s="1"/>
  <c r="BI50" i="4" s="1"/>
  <c r="BJ50" i="4" s="1"/>
  <c r="BK50" i="4" s="1"/>
  <c r="BL50" i="4" s="1"/>
  <c r="BM50" i="4" s="1"/>
  <c r="BN50" i="4" s="1"/>
  <c r="BO50" i="4" s="1"/>
  <c r="BP50" i="4" s="1"/>
  <c r="BQ50" i="4" s="1"/>
  <c r="BR50" i="4" s="1"/>
  <c r="BS50" i="4" s="1"/>
  <c r="BT50" i="4" s="1"/>
  <c r="BU50" i="4" s="1"/>
  <c r="BV50" i="4" s="1"/>
  <c r="BW50" i="4" s="1"/>
  <c r="BX50" i="4" s="1"/>
  <c r="BY50" i="4" s="1"/>
  <c r="BZ50" i="4" s="1"/>
  <c r="CA50" i="4" s="1"/>
  <c r="CB50" i="4" s="1"/>
  <c r="CC50" i="4" s="1"/>
  <c r="CD50" i="4" s="1"/>
  <c r="CE50" i="4" s="1"/>
  <c r="CF50" i="4" s="1"/>
  <c r="CG50" i="4" s="1"/>
  <c r="AA39" i="2"/>
  <c r="V35" i="4"/>
  <c r="U59" i="4"/>
  <c r="U76" i="4" s="1"/>
  <c r="AB152" i="2"/>
  <c r="B90" i="8194"/>
  <c r="C98" i="8194" s="1"/>
  <c r="C99" i="8194" s="1"/>
  <c r="F17" i="50873"/>
  <c r="N21" i="50873"/>
  <c r="B14" i="50872"/>
  <c r="G17" i="50873"/>
  <c r="G34" i="50873"/>
  <c r="G36" i="50873"/>
  <c r="M93" i="3"/>
  <c r="AH32" i="2"/>
  <c r="AG33" i="2" s="1"/>
  <c r="B27" i="8194"/>
  <c r="F51" i="2"/>
  <c r="F47" i="3" s="1"/>
  <c r="J40" i="50873"/>
  <c r="B23" i="2"/>
  <c r="B54" i="2"/>
  <c r="B8" i="3"/>
  <c r="B65" i="2"/>
  <c r="B25" i="3"/>
  <c r="L7" i="3"/>
  <c r="B50" i="3"/>
  <c r="B23" i="3"/>
  <c r="AA57" i="50872"/>
  <c r="AA58" i="50872" s="1"/>
  <c r="W39" i="2"/>
  <c r="AJ33" i="2"/>
  <c r="AJ37" i="2" s="1"/>
  <c r="T69" i="4"/>
  <c r="U69" i="4" s="1"/>
  <c r="V69" i="4" s="1"/>
  <c r="W69" i="4" s="1"/>
  <c r="X69" i="4" s="1"/>
  <c r="Y69" i="4" s="1"/>
  <c r="Z69" i="4" s="1"/>
  <c r="AA69" i="4" s="1"/>
  <c r="AB69" i="4" s="1"/>
  <c r="AC69" i="4" s="1"/>
  <c r="AD69" i="4" s="1"/>
  <c r="AE69" i="4" s="1"/>
  <c r="AF69" i="4" s="1"/>
  <c r="AG69" i="4" s="1"/>
  <c r="AH69" i="4" s="1"/>
  <c r="B116" i="8194"/>
  <c r="U32" i="2"/>
  <c r="AC33" i="2"/>
  <c r="B12" i="3"/>
  <c r="Y39" i="2"/>
  <c r="M21" i="2"/>
  <c r="AA34" i="2"/>
  <c r="W34" i="2"/>
  <c r="U31" i="2"/>
  <c r="B20" i="3"/>
  <c r="E48" i="2"/>
  <c r="G50" i="2"/>
  <c r="G46" i="3" s="1"/>
  <c r="AK9" i="50873"/>
  <c r="K14" i="2"/>
  <c r="B37" i="50872"/>
  <c r="T142" i="2"/>
  <c r="C78" i="50873" s="1"/>
  <c r="B101" i="8194"/>
  <c r="B105" i="8194" s="1"/>
  <c r="U38" i="4"/>
  <c r="N18" i="50873"/>
  <c r="P18" i="50873"/>
  <c r="B25" i="8194"/>
  <c r="B4" i="1"/>
  <c r="X23" i="2"/>
  <c r="AH25" i="2"/>
  <c r="AG24" i="2" s="1"/>
  <c r="C89" i="50873"/>
  <c r="AH20" i="2"/>
  <c r="Q25" i="3"/>
  <c r="L59" i="50872"/>
  <c r="L38" i="50872"/>
  <c r="H10" i="2"/>
  <c r="E10" i="2" s="1"/>
  <c r="U39" i="2"/>
  <c r="B33" i="3"/>
  <c r="P60" i="2"/>
  <c r="M23" i="50872"/>
  <c r="B47" i="3"/>
  <c r="B52" i="3"/>
  <c r="D6" i="4"/>
  <c r="B7" i="2"/>
  <c r="B44" i="3"/>
  <c r="K10" i="2"/>
  <c r="B58" i="3"/>
  <c r="B32" i="8194"/>
  <c r="B9" i="3"/>
  <c r="C8" i="50872"/>
  <c r="B10" i="50872" s="1"/>
  <c r="K17" i="2"/>
  <c r="R52" i="2"/>
  <c r="AB6" i="50873" s="1"/>
  <c r="K11" i="2"/>
  <c r="B51" i="2"/>
  <c r="T134" i="2"/>
  <c r="M75" i="3" s="1"/>
  <c r="P61" i="3"/>
  <c r="L58" i="3"/>
  <c r="L32" i="3"/>
  <c r="Z15" i="50873"/>
  <c r="AJ7" i="50873"/>
  <c r="T25" i="3"/>
  <c r="B71" i="2"/>
  <c r="G6" i="2" s="1"/>
  <c r="T144" i="2"/>
  <c r="C80" i="50873" s="1"/>
  <c r="B27" i="2"/>
  <c r="L8" i="3"/>
  <c r="Q6" i="2"/>
  <c r="L9" i="3"/>
  <c r="D8" i="50872"/>
  <c r="B30" i="50873"/>
  <c r="B59" i="2"/>
  <c r="B29" i="2"/>
  <c r="B25" i="2"/>
  <c r="Q8" i="2"/>
  <c r="B45" i="3"/>
  <c r="T138" i="2"/>
  <c r="M79" i="3" s="1"/>
  <c r="B5" i="50872"/>
  <c r="B53" i="50872"/>
  <c r="B18" i="3"/>
  <c r="B48" i="2"/>
  <c r="B16" i="2"/>
  <c r="B10" i="2"/>
  <c r="B46" i="3"/>
  <c r="T135" i="2"/>
  <c r="B56" i="2"/>
  <c r="K15" i="2"/>
  <c r="G51" i="50872"/>
  <c r="B18" i="2"/>
  <c r="B50" i="2"/>
  <c r="B56" i="3"/>
  <c r="P63" i="3"/>
  <c r="B48" i="50872"/>
  <c r="T139" i="2"/>
  <c r="M80" i="3" s="1"/>
  <c r="K13" i="2"/>
  <c r="B13" i="3"/>
  <c r="AQ9" i="50873"/>
  <c r="N57" i="3"/>
  <c r="T143" i="2"/>
  <c r="T140" i="2"/>
  <c r="T136" i="2"/>
  <c r="C72" i="50873" s="1"/>
  <c r="B63" i="2"/>
  <c r="L6" i="3"/>
  <c r="M3" i="3" s="1"/>
  <c r="P18" i="3" s="1"/>
  <c r="B31" i="50872"/>
  <c r="T22" i="3"/>
  <c r="R50" i="2"/>
  <c r="AB4" i="50873" s="1"/>
  <c r="T24" i="3"/>
  <c r="B20" i="2"/>
  <c r="E8" i="2"/>
  <c r="E9" i="3"/>
  <c r="E8" i="3"/>
  <c r="B21" i="3"/>
  <c r="AJ5" i="50873"/>
  <c r="R51" i="2"/>
  <c r="AB5" i="50873" s="1"/>
  <c r="B21" i="2"/>
  <c r="BG61" i="2"/>
  <c r="B6" i="2"/>
  <c r="B15" i="2"/>
  <c r="K18" i="3"/>
  <c r="C86" i="50873"/>
  <c r="M91" i="3"/>
  <c r="AU3" i="50873"/>
  <c r="AT3" i="50873"/>
  <c r="Q25" i="50872"/>
  <c r="Q34" i="50872"/>
  <c r="O67" i="2"/>
  <c r="N56" i="2"/>
  <c r="K62" i="2"/>
  <c r="G10" i="50873"/>
  <c r="G49" i="50872"/>
  <c r="S5" i="50872"/>
  <c r="B2" i="2"/>
  <c r="D9" i="50872"/>
  <c r="F8" i="50873"/>
  <c r="G9" i="50873"/>
  <c r="G41" i="50872"/>
  <c r="B64" i="2"/>
  <c r="F47" i="50873"/>
  <c r="K12" i="2"/>
  <c r="B31" i="50873"/>
  <c r="D14" i="50872"/>
  <c r="E44" i="3"/>
  <c r="P25" i="50872"/>
  <c r="B33" i="50873"/>
  <c r="B30" i="2"/>
  <c r="R43" i="50872"/>
  <c r="H63" i="50873"/>
  <c r="BG60" i="2"/>
  <c r="J21" i="2" s="1"/>
  <c r="B36" i="50872"/>
  <c r="B52" i="50872"/>
  <c r="B53" i="2"/>
  <c r="B52" i="50873"/>
  <c r="B49" i="3"/>
  <c r="AF16" i="50873"/>
  <c r="AG16" i="50873"/>
  <c r="AH16" i="50873"/>
  <c r="AT5" i="50873"/>
  <c r="N54" i="3"/>
  <c r="O65" i="2"/>
  <c r="O66" i="2"/>
  <c r="M56" i="2"/>
  <c r="T146" i="2"/>
  <c r="T148" i="2"/>
  <c r="T149" i="2"/>
  <c r="T147" i="2"/>
  <c r="I53" i="50873"/>
  <c r="H50" i="3"/>
  <c r="P34" i="50872"/>
  <c r="P43" i="50872"/>
  <c r="T137" i="2"/>
  <c r="T145" i="2"/>
  <c r="X27" i="3"/>
  <c r="Y27" i="3"/>
  <c r="M64" i="2"/>
  <c r="M63" i="2"/>
  <c r="Z14" i="50873"/>
  <c r="L31" i="3"/>
  <c r="T141" i="2"/>
  <c r="AT9" i="50873"/>
  <c r="N58" i="3"/>
  <c r="P62" i="3"/>
  <c r="N52" i="3"/>
  <c r="O52" i="3"/>
  <c r="B5" i="2"/>
  <c r="B5" i="3"/>
  <c r="B8" i="50873"/>
  <c r="AV13" i="50873"/>
  <c r="AV12" i="50873"/>
  <c r="AV14" i="50873"/>
  <c r="B49" i="2"/>
  <c r="B57" i="3"/>
  <c r="B22" i="50873"/>
  <c r="B11" i="2"/>
  <c r="T21" i="1"/>
  <c r="B19" i="2"/>
  <c r="K16" i="2"/>
  <c r="Q23" i="2" l="1"/>
  <c r="R25" i="2"/>
  <c r="Z32" i="2"/>
  <c r="Z25" i="2"/>
  <c r="C93" i="8194"/>
  <c r="Y152" i="2"/>
  <c r="Y153" i="2" s="1"/>
  <c r="M2" i="2"/>
  <c r="C96" i="8194"/>
  <c r="B29" i="8194"/>
  <c r="D4" i="8194" a="1"/>
  <c r="D4" i="8194" s="1"/>
  <c r="E50" i="2"/>
  <c r="F49" i="50873" s="1"/>
  <c r="L3" i="2"/>
  <c r="I26" i="8194" s="1"/>
  <c r="B44" i="8194" s="1"/>
  <c r="AD170" i="2"/>
  <c r="N47" i="50873"/>
  <c r="R67" i="50873"/>
  <c r="O92" i="50873"/>
  <c r="O48" i="50873"/>
  <c r="P92" i="50873"/>
  <c r="R43" i="50873"/>
  <c r="P42" i="50873"/>
  <c r="P75" i="50873"/>
  <c r="S26" i="50873"/>
  <c r="Q26" i="50873" s="1"/>
  <c r="N74" i="50873"/>
  <c r="O23" i="50873"/>
  <c r="S104" i="50873"/>
  <c r="Q104" i="50873" s="1"/>
  <c r="N64" i="50873"/>
  <c r="R86" i="50873"/>
  <c r="O61" i="50873"/>
  <c r="O36" i="50873"/>
  <c r="P32" i="50873"/>
  <c r="P58" i="50873"/>
  <c r="P77" i="50873"/>
  <c r="R95" i="50873"/>
  <c r="P80" i="50873"/>
  <c r="R54" i="50873"/>
  <c r="R30" i="50873"/>
  <c r="S101" i="50873"/>
  <c r="Q101" i="50873" s="1"/>
  <c r="O37" i="50873"/>
  <c r="O60" i="50873"/>
  <c r="N81" i="50873"/>
  <c r="AD152" i="2"/>
  <c r="AE35" i="3"/>
  <c r="S82" i="50873"/>
  <c r="Q82" i="50873" s="1"/>
  <c r="P76" i="50873"/>
  <c r="N70" i="50873"/>
  <c r="R63" i="50873"/>
  <c r="S56" i="50873"/>
  <c r="Q56" i="50873" s="1"/>
  <c r="R50" i="50873"/>
  <c r="R44" i="50873"/>
  <c r="N39" i="50873"/>
  <c r="S32" i="50873"/>
  <c r="Q32" i="50873" s="1"/>
  <c r="N26" i="50873"/>
  <c r="N28" i="50873"/>
  <c r="R102" i="50873"/>
  <c r="N93" i="50873"/>
  <c r="R76" i="50873"/>
  <c r="P59" i="50873"/>
  <c r="O38" i="50873"/>
  <c r="R105" i="50873"/>
  <c r="S92" i="50873"/>
  <c r="Q92" i="50873" s="1"/>
  <c r="P78" i="50873"/>
  <c r="P61" i="50873"/>
  <c r="S44" i="50873"/>
  <c r="Q44" i="50873" s="1"/>
  <c r="P27" i="50873"/>
  <c r="P96" i="50873"/>
  <c r="O82" i="50873"/>
  <c r="N65" i="50873"/>
  <c r="N48" i="50873"/>
  <c r="S28" i="50873"/>
  <c r="Q28" i="50873" s="1"/>
  <c r="S85" i="50873"/>
  <c r="Q85" i="50873" s="1"/>
  <c r="R79" i="50873"/>
  <c r="O73" i="50873"/>
  <c r="S66" i="50873"/>
  <c r="Q66" i="50873" s="1"/>
  <c r="P60" i="50873"/>
  <c r="S53" i="50873"/>
  <c r="Q53" i="50873" s="1"/>
  <c r="P47" i="50873"/>
  <c r="R41" i="50873"/>
  <c r="S35" i="50873"/>
  <c r="Q35" i="50873" s="1"/>
  <c r="S29" i="50873"/>
  <c r="Q29" i="50873" s="1"/>
  <c r="S21" i="50873"/>
  <c r="S105" i="50873"/>
  <c r="Q105" i="50873" s="1"/>
  <c r="P99" i="50873"/>
  <c r="N86" i="50873"/>
  <c r="N68" i="50873"/>
  <c r="N51" i="50873"/>
  <c r="R29" i="50873"/>
  <c r="O99" i="50873"/>
  <c r="S86" i="50873"/>
  <c r="Q86" i="50873" s="1"/>
  <c r="S69" i="50873"/>
  <c r="Q69" i="50873" s="1"/>
  <c r="S52" i="50873"/>
  <c r="Q52" i="50873" s="1"/>
  <c r="S36" i="50873"/>
  <c r="Q36" i="50873" s="1"/>
  <c r="S102" i="50873"/>
  <c r="Q102" i="50873" s="1"/>
  <c r="R89" i="50873"/>
  <c r="R73" i="50873"/>
  <c r="R56" i="50873"/>
  <c r="O39" i="50873"/>
  <c r="O25" i="50873"/>
  <c r="C95" i="8194"/>
  <c r="C97" i="8194" s="1"/>
  <c r="R83" i="50873"/>
  <c r="O77" i="50873"/>
  <c r="S70" i="50873"/>
  <c r="Q70" i="50873" s="1"/>
  <c r="P64" i="50873"/>
  <c r="O58" i="50873"/>
  <c r="P51" i="50873"/>
  <c r="P45" i="50873"/>
  <c r="S39" i="50873"/>
  <c r="Q39" i="50873" s="1"/>
  <c r="P33" i="50873"/>
  <c r="R27" i="50873"/>
  <c r="N105" i="50873"/>
  <c r="R98" i="50873"/>
  <c r="S84" i="50873"/>
  <c r="Q84" i="50873" s="1"/>
  <c r="N67" i="50873"/>
  <c r="N50" i="50873"/>
  <c r="R28" i="50873"/>
  <c r="P98" i="50873"/>
  <c r="R85" i="50873"/>
  <c r="S68" i="50873"/>
  <c r="Q68" i="50873" s="1"/>
  <c r="S51" i="50873"/>
  <c r="Q51" i="50873" s="1"/>
  <c r="S34" i="50873"/>
  <c r="Q34" i="50873" s="1"/>
  <c r="N102" i="50873"/>
  <c r="S88" i="50873"/>
  <c r="Q88" i="50873" s="1"/>
  <c r="R72" i="50873"/>
  <c r="R55" i="50873"/>
  <c r="AB85" i="1"/>
  <c r="AB44" i="1"/>
  <c r="AB38" i="1"/>
  <c r="AB35" i="1"/>
  <c r="AB47" i="1"/>
  <c r="AB49" i="1"/>
  <c r="AB75" i="1"/>
  <c r="AB87" i="1"/>
  <c r="AB90" i="1"/>
  <c r="AB70" i="1"/>
  <c r="AB27" i="1"/>
  <c r="AB26" i="1"/>
  <c r="AB82" i="1"/>
  <c r="AB92" i="1"/>
  <c r="AB57" i="1"/>
  <c r="AB69" i="1"/>
  <c r="J24" i="2"/>
  <c r="BH67" i="2" s="1"/>
  <c r="BH74" i="2" s="1"/>
  <c r="AB71" i="1"/>
  <c r="AB88" i="1"/>
  <c r="AB50" i="1"/>
  <c r="AB73" i="1"/>
  <c r="AB48" i="1"/>
  <c r="AB39" i="1"/>
  <c r="AB86" i="1"/>
  <c r="AB30" i="1"/>
  <c r="AB67" i="1"/>
  <c r="AB83" i="1"/>
  <c r="AB55" i="1"/>
  <c r="AB63" i="1"/>
  <c r="AB31" i="1"/>
  <c r="AD92" i="1"/>
  <c r="AB66" i="1"/>
  <c r="AB51" i="1"/>
  <c r="AB61" i="1"/>
  <c r="AB68" i="1"/>
  <c r="AB64" i="1"/>
  <c r="AB89" i="1"/>
  <c r="AB80" i="1"/>
  <c r="AB43" i="1"/>
  <c r="AB42" i="1"/>
  <c r="AD139" i="2"/>
  <c r="E23" i="2" s="1"/>
  <c r="AE92" i="1"/>
  <c r="AB46" i="1"/>
  <c r="AB79" i="1"/>
  <c r="AB32" i="1"/>
  <c r="AB36" i="1"/>
  <c r="AB54" i="1"/>
  <c r="AB29" i="1"/>
  <c r="AB72" i="1"/>
  <c r="AB77" i="1"/>
  <c r="AB41" i="1"/>
  <c r="AB76" i="1"/>
  <c r="AB60" i="1"/>
  <c r="AB91" i="1"/>
  <c r="AB37" i="1"/>
  <c r="AB78" i="1"/>
  <c r="AB34" i="1"/>
  <c r="AB33" i="1"/>
  <c r="AB45" i="1"/>
  <c r="AB65" i="1"/>
  <c r="AB81" i="1"/>
  <c r="AB74" i="1"/>
  <c r="AB58" i="1"/>
  <c r="AB62" i="1"/>
  <c r="AB53" i="1"/>
  <c r="AB84" i="1"/>
  <c r="AB59" i="1"/>
  <c r="AB56" i="1"/>
  <c r="AB28" i="1"/>
  <c r="AB52" i="1"/>
  <c r="N30" i="50873"/>
  <c r="P35" i="50873"/>
  <c r="O41" i="50873"/>
  <c r="O45" i="50873"/>
  <c r="O49" i="50873"/>
  <c r="P53" i="50873"/>
  <c r="R57" i="50873"/>
  <c r="S61" i="50873"/>
  <c r="Q61" i="50873" s="1"/>
  <c r="O66" i="50873"/>
  <c r="P70" i="50873"/>
  <c r="R74" i="50873"/>
  <c r="N79" i="50873"/>
  <c r="O83" i="50873"/>
  <c r="O87" i="50873"/>
  <c r="P90" i="50873"/>
  <c r="N94" i="50873"/>
  <c r="O97" i="50873"/>
  <c r="P100" i="50873"/>
  <c r="R103" i="50873"/>
  <c r="S106" i="50873"/>
  <c r="Q106" i="50873" s="1"/>
  <c r="P28" i="50873"/>
  <c r="R32" i="50873"/>
  <c r="N38" i="50873"/>
  <c r="S41" i="50873"/>
  <c r="Q41" i="50873" s="1"/>
  <c r="S45" i="50873"/>
  <c r="Q45" i="50873" s="1"/>
  <c r="R49" i="50873"/>
  <c r="N54" i="50873"/>
  <c r="N58" i="50873"/>
  <c r="P62" i="50873"/>
  <c r="R66" i="50873"/>
  <c r="N71" i="50873"/>
  <c r="O75" i="50873"/>
  <c r="P79" i="50873"/>
  <c r="S83" i="50873"/>
  <c r="Q83" i="50873" s="1"/>
  <c r="R87" i="50873"/>
  <c r="S90" i="50873"/>
  <c r="Q90" i="50873" s="1"/>
  <c r="R93" i="50873"/>
  <c r="S96" i="50873"/>
  <c r="Q96" i="50873" s="1"/>
  <c r="N100" i="50873"/>
  <c r="O103" i="50873"/>
  <c r="P106" i="50873"/>
  <c r="N25" i="50873"/>
  <c r="S30" i="50873"/>
  <c r="Q30" i="50873" s="1"/>
  <c r="O35" i="50873"/>
  <c r="N41" i="50873"/>
  <c r="S47" i="50873"/>
  <c r="Q47" i="50873" s="1"/>
  <c r="N52" i="50873"/>
  <c r="P56" i="50873"/>
  <c r="R60" i="50873"/>
  <c r="S64" i="50873"/>
  <c r="Q64" i="50873" s="1"/>
  <c r="N69" i="50873"/>
  <c r="P73" i="50873"/>
  <c r="R77" i="50873"/>
  <c r="S81" i="50873"/>
  <c r="Q81" i="50873" s="1"/>
  <c r="N87" i="50873"/>
  <c r="O90" i="50873"/>
  <c r="S93" i="50873"/>
  <c r="Q93" i="50873" s="1"/>
  <c r="N97" i="50873"/>
  <c r="O100" i="50873"/>
  <c r="P103" i="50873"/>
  <c r="R106" i="50873"/>
  <c r="S25" i="50873"/>
  <c r="Q25" i="50873" s="1"/>
  <c r="N24" i="50873"/>
  <c r="O28" i="50873"/>
  <c r="P31" i="50873"/>
  <c r="O34" i="50873"/>
  <c r="N37" i="50873"/>
  <c r="O40" i="50873"/>
  <c r="N43" i="50873"/>
  <c r="N46" i="50873"/>
  <c r="N49" i="50873"/>
  <c r="O52" i="50873"/>
  <c r="P55" i="50873"/>
  <c r="N59" i="50873"/>
  <c r="N62" i="50873"/>
  <c r="O65" i="50873"/>
  <c r="P68" i="50873"/>
  <c r="R71" i="50873"/>
  <c r="S74" i="50873"/>
  <c r="Q74" i="50873" s="1"/>
  <c r="N78" i="50873"/>
  <c r="O81" i="50873"/>
  <c r="O84" i="50873"/>
  <c r="N31" i="50873"/>
  <c r="P37" i="50873"/>
  <c r="O42" i="50873"/>
  <c r="O46" i="50873"/>
  <c r="O50" i="50873"/>
  <c r="P54" i="50873"/>
  <c r="R58" i="50873"/>
  <c r="N63" i="50873"/>
  <c r="O67" i="50873"/>
  <c r="P71" i="50873"/>
  <c r="S75" i="50873"/>
  <c r="Q75" i="50873" s="1"/>
  <c r="N80" i="50873"/>
  <c r="N84" i="50873"/>
  <c r="N88" i="50873"/>
  <c r="N91" i="50873"/>
  <c r="S94" i="50873"/>
  <c r="Q94" i="50873" s="1"/>
  <c r="N98" i="50873"/>
  <c r="O101" i="50873"/>
  <c r="P104" i="50873"/>
  <c r="R24" i="50873"/>
  <c r="P29" i="50873"/>
  <c r="S33" i="50873"/>
  <c r="Q33" i="50873" s="1"/>
  <c r="S38" i="50873"/>
  <c r="Q38" i="50873" s="1"/>
  <c r="S42" i="50873"/>
  <c r="Q42" i="50873" s="1"/>
  <c r="R46" i="50873"/>
  <c r="S50" i="50873"/>
  <c r="Q50" i="50873" s="1"/>
  <c r="N55" i="50873"/>
  <c r="O59" i="50873"/>
  <c r="P63" i="50873"/>
  <c r="S67" i="50873"/>
  <c r="Q67" i="50873" s="1"/>
  <c r="N72" i="50873"/>
  <c r="O76" i="50873"/>
  <c r="R80" i="50873"/>
  <c r="R84" i="50873"/>
  <c r="P88" i="50873"/>
  <c r="P91" i="50873"/>
  <c r="P94" i="50873"/>
  <c r="R97" i="50873"/>
  <c r="S100" i="50873"/>
  <c r="Q100" i="50873" s="1"/>
  <c r="N104" i="50873"/>
  <c r="O107" i="50873"/>
  <c r="S27" i="50873"/>
  <c r="Q27" i="50873" s="1"/>
  <c r="S31" i="50873"/>
  <c r="Q31" i="50873" s="1"/>
  <c r="N36" i="50873"/>
  <c r="N42" i="50873"/>
  <c r="S48" i="50873"/>
  <c r="Q48" i="50873" s="1"/>
  <c r="O53" i="50873"/>
  <c r="P57" i="50873"/>
  <c r="R61" i="50873"/>
  <c r="S65" i="50873"/>
  <c r="Q65" i="50873" s="1"/>
  <c r="O70" i="50873"/>
  <c r="P74" i="50873"/>
  <c r="R78" i="50873"/>
  <c r="N83" i="50873"/>
  <c r="S87" i="50873"/>
  <c r="Q87" i="50873" s="1"/>
  <c r="R91" i="50873"/>
  <c r="R94" i="50873"/>
  <c r="S97" i="50873"/>
  <c r="Q97" i="50873" s="1"/>
  <c r="N101" i="50873"/>
  <c r="O104" i="50873"/>
  <c r="P107" i="50873"/>
  <c r="R25" i="50873"/>
  <c r="N29" i="50873"/>
  <c r="N32" i="50873"/>
  <c r="N35" i="50873"/>
  <c r="S37" i="50873"/>
  <c r="Q37" i="50873" s="1"/>
  <c r="S40" i="50873"/>
  <c r="Q40" i="50873" s="1"/>
  <c r="S43" i="50873"/>
  <c r="Q43" i="50873" s="1"/>
  <c r="S46" i="50873"/>
  <c r="Q46" i="50873" s="1"/>
  <c r="S49" i="50873"/>
  <c r="Q49" i="50873" s="1"/>
  <c r="N53" i="50873"/>
  <c r="N56" i="50873"/>
  <c r="S59" i="50873"/>
  <c r="Q59" i="50873" s="1"/>
  <c r="S62" i="50873"/>
  <c r="Q62" i="50873" s="1"/>
  <c r="N66" i="50873"/>
  <c r="O69" i="50873"/>
  <c r="P72" i="50873"/>
  <c r="R75" i="50873"/>
  <c r="S78" i="50873"/>
  <c r="Q78" i="50873" s="1"/>
  <c r="N82" i="50873"/>
  <c r="N85" i="50873"/>
  <c r="AH33" i="2"/>
  <c r="AH37" i="2" s="1"/>
  <c r="O96" i="50873"/>
  <c r="P89" i="50873"/>
  <c r="S80" i="50873"/>
  <c r="Q80" i="50873" s="1"/>
  <c r="O72" i="50873"/>
  <c r="S63" i="50873"/>
  <c r="Q63" i="50873" s="1"/>
  <c r="O55" i="50873"/>
  <c r="N45" i="50873"/>
  <c r="N34" i="50873"/>
  <c r="S24" i="50873"/>
  <c r="Q24" i="50873" s="1"/>
  <c r="P102" i="50873"/>
  <c r="N96" i="50873"/>
  <c r="N90" i="50873"/>
  <c r="R82" i="50873"/>
  <c r="O74" i="50873"/>
  <c r="R65" i="50873"/>
  <c r="O57" i="50873"/>
  <c r="R48" i="50873"/>
  <c r="R40" i="50873"/>
  <c r="R31" i="50873"/>
  <c r="N106" i="50873"/>
  <c r="R99" i="50873"/>
  <c r="O93" i="50873"/>
  <c r="O86" i="50873"/>
  <c r="S77" i="50873"/>
  <c r="Q77" i="50873" s="1"/>
  <c r="P69" i="50873"/>
  <c r="S60" i="50873"/>
  <c r="Q60" i="50873" s="1"/>
  <c r="P52" i="50873"/>
  <c r="O44" i="50873"/>
  <c r="P34" i="50873"/>
  <c r="P95" i="50873"/>
  <c r="R88" i="50873"/>
  <c r="S79" i="50873"/>
  <c r="Q79" i="50873" s="1"/>
  <c r="O71" i="50873"/>
  <c r="R62" i="50873"/>
  <c r="O54" i="50873"/>
  <c r="N44" i="50873"/>
  <c r="N33" i="50873"/>
  <c r="S23" i="50873"/>
  <c r="Q23" i="50873" s="1"/>
  <c r="R101" i="50873"/>
  <c r="O95" i="50873"/>
  <c r="O89" i="50873"/>
  <c r="R81" i="50873"/>
  <c r="N73" i="50873"/>
  <c r="R64" i="50873"/>
  <c r="O56" i="50873"/>
  <c r="R47" i="50873"/>
  <c r="R39" i="50873"/>
  <c r="P30" i="50873"/>
  <c r="O105" i="50873"/>
  <c r="S98" i="50873"/>
  <c r="Q98" i="50873" s="1"/>
  <c r="S91" i="50873"/>
  <c r="Q91" i="50873" s="1"/>
  <c r="O85" i="50873"/>
  <c r="S76" i="50873"/>
  <c r="Q76" i="50873" s="1"/>
  <c r="O68" i="50873"/>
  <c r="R59" i="50873"/>
  <c r="O51" i="50873"/>
  <c r="O43" i="50873"/>
  <c r="O33" i="50873"/>
  <c r="E11" i="2"/>
  <c r="X38" i="2"/>
  <c r="AB38" i="2"/>
  <c r="BH57" i="2"/>
  <c r="Y73" i="50872" s="1"/>
  <c r="V38" i="2"/>
  <c r="Z38" i="2"/>
  <c r="I2" i="50872"/>
  <c r="G1" i="3"/>
  <c r="G2" i="2"/>
  <c r="H2" i="1"/>
  <c r="K23" i="3"/>
  <c r="T27" i="3" s="1"/>
  <c r="L23" i="3"/>
  <c r="C8" i="1"/>
  <c r="R26" i="50873"/>
  <c r="R33" i="50873"/>
  <c r="R36" i="50873"/>
  <c r="P39" i="50873"/>
  <c r="R42" i="50873"/>
  <c r="R45" i="50873"/>
  <c r="O47" i="50873"/>
  <c r="R51" i="50873"/>
  <c r="S55" i="50873"/>
  <c r="Q55" i="50873" s="1"/>
  <c r="N60" i="50873"/>
  <c r="O64" i="50873"/>
  <c r="R68" i="50873"/>
  <c r="S72" i="50873"/>
  <c r="Q72" i="50873" s="1"/>
  <c r="N77" i="50873"/>
  <c r="P81" i="50873"/>
  <c r="P85" i="50873"/>
  <c r="N89" i="50873"/>
  <c r="N92" i="50873"/>
  <c r="N95" i="50873"/>
  <c r="O98" i="50873"/>
  <c r="P101" i="50873"/>
  <c r="R104" i="50873"/>
  <c r="R107" i="50873"/>
  <c r="P108" i="50873"/>
  <c r="O109" i="50873"/>
  <c r="N110" i="50873"/>
  <c r="S110" i="50873"/>
  <c r="Q110" i="50873" s="1"/>
  <c r="R111" i="50873"/>
  <c r="P112" i="50873"/>
  <c r="O113" i="50873"/>
  <c r="N114" i="50873"/>
  <c r="S114" i="50873"/>
  <c r="Q114" i="50873" s="1"/>
  <c r="R115" i="50873"/>
  <c r="P116" i="50873"/>
  <c r="O117" i="50873"/>
  <c r="N118" i="50873"/>
  <c r="S118" i="50873"/>
  <c r="Q118" i="50873" s="1"/>
  <c r="R119" i="50873"/>
  <c r="P120" i="50873"/>
  <c r="O121" i="50873"/>
  <c r="N122" i="50873"/>
  <c r="S122" i="50873"/>
  <c r="Q122" i="50873" s="1"/>
  <c r="R123" i="50873"/>
  <c r="P124" i="50873"/>
  <c r="O125" i="50873"/>
  <c r="N126" i="50873"/>
  <c r="S126" i="50873"/>
  <c r="Q126" i="50873" s="1"/>
  <c r="R127" i="50873"/>
  <c r="P128" i="50873"/>
  <c r="O129" i="50873"/>
  <c r="N130" i="50873"/>
  <c r="S130" i="50873"/>
  <c r="Q130" i="50873" s="1"/>
  <c r="R131" i="50873"/>
  <c r="P132" i="50873"/>
  <c r="O133" i="50873"/>
  <c r="N134" i="50873"/>
  <c r="S134" i="50873"/>
  <c r="Q134" i="50873" s="1"/>
  <c r="R135" i="50873"/>
  <c r="O30" i="50873"/>
  <c r="R35" i="50873"/>
  <c r="R38" i="50873"/>
  <c r="P40" i="50873"/>
  <c r="P43" i="50873"/>
  <c r="P46" i="50873"/>
  <c r="P49" i="50873"/>
  <c r="R53" i="50873"/>
  <c r="S57" i="50873"/>
  <c r="Q57" i="50873" s="1"/>
  <c r="O62" i="50873"/>
  <c r="P66" i="50873"/>
  <c r="R70" i="50873"/>
  <c r="N75" i="50873"/>
  <c r="O79" i="50873"/>
  <c r="P83" i="50873"/>
  <c r="P87" i="50873"/>
  <c r="R90" i="50873"/>
  <c r="P93" i="50873"/>
  <c r="R96" i="50873"/>
  <c r="S99" i="50873"/>
  <c r="Q99" i="50873" s="1"/>
  <c r="N103" i="50873"/>
  <c r="O106" i="50873"/>
  <c r="N108" i="50873"/>
  <c r="S108" i="50873"/>
  <c r="Q108" i="50873" s="1"/>
  <c r="R109" i="50873"/>
  <c r="P110" i="50873"/>
  <c r="O111" i="50873"/>
  <c r="N112" i="50873"/>
  <c r="S112" i="50873"/>
  <c r="Q112" i="50873" s="1"/>
  <c r="R113" i="50873"/>
  <c r="P114" i="50873"/>
  <c r="O115" i="50873"/>
  <c r="N116" i="50873"/>
  <c r="S116" i="50873"/>
  <c r="Q116" i="50873" s="1"/>
  <c r="R117" i="50873"/>
  <c r="P118" i="50873"/>
  <c r="O119" i="50873"/>
  <c r="N120" i="50873"/>
  <c r="S120" i="50873"/>
  <c r="Q120" i="50873" s="1"/>
  <c r="R121" i="50873"/>
  <c r="P122" i="50873"/>
  <c r="O123" i="50873"/>
  <c r="N124" i="50873"/>
  <c r="S124" i="50873"/>
  <c r="Q124" i="50873" s="1"/>
  <c r="R125" i="50873"/>
  <c r="P126" i="50873"/>
  <c r="O127" i="50873"/>
  <c r="N128" i="50873"/>
  <c r="S128" i="50873"/>
  <c r="Q128" i="50873" s="1"/>
  <c r="R129" i="50873"/>
  <c r="P130" i="50873"/>
  <c r="O131" i="50873"/>
  <c r="N132" i="50873"/>
  <c r="S132" i="50873"/>
  <c r="Q132" i="50873" s="1"/>
  <c r="R133" i="50873"/>
  <c r="P134" i="50873"/>
  <c r="O135" i="50873"/>
  <c r="N136" i="50873"/>
  <c r="S136" i="50873"/>
  <c r="Q136" i="50873" s="1"/>
  <c r="R137" i="50873"/>
  <c r="P138" i="50873"/>
  <c r="O139" i="50873"/>
  <c r="N140" i="50873"/>
  <c r="S140" i="50873"/>
  <c r="Q140" i="50873" s="1"/>
  <c r="R141" i="50873"/>
  <c r="P142" i="50873"/>
  <c r="O143" i="50873"/>
  <c r="N144" i="50873"/>
  <c r="S144" i="50873"/>
  <c r="Q144" i="50873" s="1"/>
  <c r="R145" i="50873"/>
  <c r="P146" i="50873"/>
  <c r="O147" i="50873"/>
  <c r="N148" i="50873"/>
  <c r="S148" i="50873"/>
  <c r="Q148" i="50873" s="1"/>
  <c r="R149" i="50873"/>
  <c r="P150" i="50873"/>
  <c r="O151" i="50873"/>
  <c r="N152" i="50873"/>
  <c r="S152" i="50873"/>
  <c r="Q152" i="50873" s="1"/>
  <c r="R153" i="50873"/>
  <c r="P154" i="50873"/>
  <c r="O155" i="50873"/>
  <c r="N156" i="50873"/>
  <c r="S156" i="50873"/>
  <c r="Q156" i="50873" s="1"/>
  <c r="R157" i="50873"/>
  <c r="O31" i="50873"/>
  <c r="P44" i="50873"/>
  <c r="P50" i="50873"/>
  <c r="S58" i="50873"/>
  <c r="Q58" i="50873" s="1"/>
  <c r="P67" i="50873"/>
  <c r="N76" i="50873"/>
  <c r="P84" i="50873"/>
  <c r="O91" i="50873"/>
  <c r="P97" i="50873"/>
  <c r="S103" i="50873"/>
  <c r="Q103" i="50873" s="1"/>
  <c r="O108" i="50873"/>
  <c r="S109" i="50873"/>
  <c r="Q109" i="50873" s="1"/>
  <c r="P111" i="50873"/>
  <c r="N113" i="50873"/>
  <c r="R114" i="50873"/>
  <c r="O116" i="50873"/>
  <c r="S117" i="50873"/>
  <c r="Q117" i="50873" s="1"/>
  <c r="P119" i="50873"/>
  <c r="N121" i="50873"/>
  <c r="R122" i="50873"/>
  <c r="O124" i="50873"/>
  <c r="S125" i="50873"/>
  <c r="Q125" i="50873" s="1"/>
  <c r="P127" i="50873"/>
  <c r="N129" i="50873"/>
  <c r="R130" i="50873"/>
  <c r="O132" i="50873"/>
  <c r="S133" i="50873"/>
  <c r="Q133" i="50873" s="1"/>
  <c r="P135" i="50873"/>
  <c r="R136" i="50873"/>
  <c r="S137" i="50873"/>
  <c r="Q137" i="50873" s="1"/>
  <c r="S138" i="50873"/>
  <c r="Q138" i="50873" s="1"/>
  <c r="S139" i="50873"/>
  <c r="Q139" i="50873" s="1"/>
  <c r="N141" i="50873"/>
  <c r="N142" i="50873"/>
  <c r="N143" i="50873"/>
  <c r="O144" i="50873"/>
  <c r="O145" i="50873"/>
  <c r="O146" i="50873"/>
  <c r="P147" i="50873"/>
  <c r="P148" i="50873"/>
  <c r="P149" i="50873"/>
  <c r="R150" i="50873"/>
  <c r="R151" i="50873"/>
  <c r="R152" i="50873"/>
  <c r="S153" i="50873"/>
  <c r="Q153" i="50873" s="1"/>
  <c r="S154" i="50873"/>
  <c r="Q154" i="50873" s="1"/>
  <c r="S155" i="50873"/>
  <c r="Q155" i="50873" s="1"/>
  <c r="N157" i="50873"/>
  <c r="N158" i="50873"/>
  <c r="S158" i="50873"/>
  <c r="Q158" i="50873" s="1"/>
  <c r="R159" i="50873"/>
  <c r="P160" i="50873"/>
  <c r="O161" i="50873"/>
  <c r="N162" i="50873"/>
  <c r="S162" i="50873"/>
  <c r="Q162" i="50873" s="1"/>
  <c r="R163" i="50873"/>
  <c r="P164" i="50873"/>
  <c r="O165" i="50873"/>
  <c r="N166" i="50873"/>
  <c r="S166" i="50873"/>
  <c r="Q166" i="50873" s="1"/>
  <c r="R167" i="50873"/>
  <c r="P168" i="50873"/>
  <c r="O169" i="50873"/>
  <c r="N170" i="50873"/>
  <c r="S170" i="50873"/>
  <c r="Q170" i="50873" s="1"/>
  <c r="R171" i="50873"/>
  <c r="P172" i="50873"/>
  <c r="O173" i="50873"/>
  <c r="N174" i="50873"/>
  <c r="S174" i="50873"/>
  <c r="Q174" i="50873" s="1"/>
  <c r="R175" i="50873"/>
  <c r="P176" i="50873"/>
  <c r="O177" i="50873"/>
  <c r="N178" i="50873"/>
  <c r="S178" i="50873"/>
  <c r="Q178" i="50873" s="1"/>
  <c r="R179" i="50873"/>
  <c r="P180" i="50873"/>
  <c r="O181" i="50873"/>
  <c r="N182" i="50873"/>
  <c r="S182" i="50873"/>
  <c r="Q182" i="50873" s="1"/>
  <c r="R183" i="50873"/>
  <c r="P184" i="50873"/>
  <c r="O185" i="50873"/>
  <c r="N186" i="50873"/>
  <c r="S186" i="50873"/>
  <c r="Q186" i="50873" s="1"/>
  <c r="O27" i="50873"/>
  <c r="R34" i="50873"/>
  <c r="R52" i="50873"/>
  <c r="N61" i="50873"/>
  <c r="R69" i="50873"/>
  <c r="O78" i="50873"/>
  <c r="P86" i="50873"/>
  <c r="R92" i="50873"/>
  <c r="N99" i="50873"/>
  <c r="P105" i="50873"/>
  <c r="R108" i="50873"/>
  <c r="O110" i="50873"/>
  <c r="S111" i="50873"/>
  <c r="Q111" i="50873" s="1"/>
  <c r="P113" i="50873"/>
  <c r="N115" i="50873"/>
  <c r="R116" i="50873"/>
  <c r="O118" i="50873"/>
  <c r="S119" i="50873"/>
  <c r="Q119" i="50873" s="1"/>
  <c r="P121" i="50873"/>
  <c r="N123" i="50873"/>
  <c r="R124" i="50873"/>
  <c r="O126" i="50873"/>
  <c r="S127" i="50873"/>
  <c r="Q127" i="50873" s="1"/>
  <c r="P129" i="50873"/>
  <c r="N131" i="50873"/>
  <c r="R132" i="50873"/>
  <c r="O134" i="50873"/>
  <c r="S135" i="50873"/>
  <c r="Q135" i="50873" s="1"/>
  <c r="N137" i="50873"/>
  <c r="N138" i="50873"/>
  <c r="N139" i="50873"/>
  <c r="O140" i="50873"/>
  <c r="O141" i="50873"/>
  <c r="O142" i="50873"/>
  <c r="P143" i="50873"/>
  <c r="P144" i="50873"/>
  <c r="P145" i="50873"/>
  <c r="R146" i="50873"/>
  <c r="R147" i="50873"/>
  <c r="R148" i="50873"/>
  <c r="S149" i="50873"/>
  <c r="Q149" i="50873" s="1"/>
  <c r="S150" i="50873"/>
  <c r="Q150" i="50873" s="1"/>
  <c r="S151" i="50873"/>
  <c r="Q151" i="50873" s="1"/>
  <c r="N153" i="50873"/>
  <c r="N154" i="50873"/>
  <c r="N155" i="50873"/>
  <c r="O156" i="50873"/>
  <c r="O157" i="50873"/>
  <c r="O158" i="50873"/>
  <c r="N159" i="50873"/>
  <c r="S159" i="50873"/>
  <c r="Q159" i="50873" s="1"/>
  <c r="R37" i="50873"/>
  <c r="S54" i="50873"/>
  <c r="Q54" i="50873" s="1"/>
  <c r="S71" i="50873"/>
  <c r="Q71" i="50873" s="1"/>
  <c r="O88" i="50873"/>
  <c r="R100" i="50873"/>
  <c r="N109" i="50873"/>
  <c r="O112" i="50873"/>
  <c r="P115" i="50873"/>
  <c r="R118" i="50873"/>
  <c r="S121" i="50873"/>
  <c r="Q121" i="50873" s="1"/>
  <c r="N125" i="50873"/>
  <c r="O128" i="50873"/>
  <c r="P131" i="50873"/>
  <c r="R134" i="50873"/>
  <c r="O137" i="50873"/>
  <c r="P139" i="50873"/>
  <c r="P141" i="50873"/>
  <c r="R143" i="50873"/>
  <c r="S145" i="50873"/>
  <c r="Q145" i="50873" s="1"/>
  <c r="S147" i="50873"/>
  <c r="Q147" i="50873" s="1"/>
  <c r="N150" i="50873"/>
  <c r="O152" i="50873"/>
  <c r="O154" i="50873"/>
  <c r="P156" i="50873"/>
  <c r="P158" i="50873"/>
  <c r="N160" i="50873"/>
  <c r="N161" i="50873"/>
  <c r="O162" i="50873"/>
  <c r="O163" i="50873"/>
  <c r="O164" i="50873"/>
  <c r="P165" i="50873"/>
  <c r="P166" i="50873"/>
  <c r="P167" i="50873"/>
  <c r="R168" i="50873"/>
  <c r="R169" i="50873"/>
  <c r="R170" i="50873"/>
  <c r="S171" i="50873"/>
  <c r="Q171" i="50873" s="1"/>
  <c r="S172" i="50873"/>
  <c r="Q172" i="50873" s="1"/>
  <c r="S173" i="50873"/>
  <c r="Q173" i="50873" s="1"/>
  <c r="N175" i="50873"/>
  <c r="N176" i="50873"/>
  <c r="N177" i="50873"/>
  <c r="O178" i="50873"/>
  <c r="O179" i="50873"/>
  <c r="O180" i="50873"/>
  <c r="P181" i="50873"/>
  <c r="P182" i="50873"/>
  <c r="P183" i="50873"/>
  <c r="R184" i="50873"/>
  <c r="R185" i="50873"/>
  <c r="R186" i="50873"/>
  <c r="R187" i="50873"/>
  <c r="P188" i="50873"/>
  <c r="O189" i="50873"/>
  <c r="N190" i="50873"/>
  <c r="S190" i="50873"/>
  <c r="Q190" i="50873" s="1"/>
  <c r="R191" i="50873"/>
  <c r="P192" i="50873"/>
  <c r="O193" i="50873"/>
  <c r="N194" i="50873"/>
  <c r="S194" i="50873"/>
  <c r="Q194" i="50873" s="1"/>
  <c r="R195" i="50873"/>
  <c r="P196" i="50873"/>
  <c r="O197" i="50873"/>
  <c r="N198" i="50873"/>
  <c r="S198" i="50873"/>
  <c r="Q198" i="50873" s="1"/>
  <c r="R199" i="50873"/>
  <c r="P200" i="50873"/>
  <c r="O201" i="50873"/>
  <c r="N202" i="50873"/>
  <c r="S202" i="50873"/>
  <c r="Q202" i="50873" s="1"/>
  <c r="R203" i="50873"/>
  <c r="P204" i="50873"/>
  <c r="O205" i="50873"/>
  <c r="N206" i="50873"/>
  <c r="S206" i="50873"/>
  <c r="Q206" i="50873" s="1"/>
  <c r="R207" i="50873"/>
  <c r="P208" i="50873"/>
  <c r="O209" i="50873"/>
  <c r="N210" i="50873"/>
  <c r="S210" i="50873"/>
  <c r="Q210" i="50873" s="1"/>
  <c r="R211" i="50873"/>
  <c r="P212" i="50873"/>
  <c r="O213" i="50873"/>
  <c r="N214" i="50873"/>
  <c r="S214" i="50873"/>
  <c r="Q214" i="50873" s="1"/>
  <c r="R215" i="50873"/>
  <c r="N57" i="50873"/>
  <c r="S73" i="50873"/>
  <c r="Q73" i="50873" s="1"/>
  <c r="S89" i="50873"/>
  <c r="Q89" i="50873" s="1"/>
  <c r="O102" i="50873"/>
  <c r="P109" i="50873"/>
  <c r="R112" i="50873"/>
  <c r="S115" i="50873"/>
  <c r="Q115" i="50873" s="1"/>
  <c r="N119" i="50873"/>
  <c r="O122" i="50873"/>
  <c r="P125" i="50873"/>
  <c r="R128" i="50873"/>
  <c r="S131" i="50873"/>
  <c r="Q131" i="50873" s="1"/>
  <c r="N135" i="50873"/>
  <c r="P137" i="50873"/>
  <c r="R139" i="50873"/>
  <c r="S141" i="50873"/>
  <c r="Q141" i="50873" s="1"/>
  <c r="S143" i="50873"/>
  <c r="Q143" i="50873" s="1"/>
  <c r="N146" i="50873"/>
  <c r="O148" i="50873"/>
  <c r="O150" i="50873"/>
  <c r="P152" i="50873"/>
  <c r="R154" i="50873"/>
  <c r="R156" i="50873"/>
  <c r="R158" i="50873"/>
  <c r="O160" i="50873"/>
  <c r="P161" i="50873"/>
  <c r="P162" i="50873"/>
  <c r="P163" i="50873"/>
  <c r="R164" i="50873"/>
  <c r="R165" i="50873"/>
  <c r="R166" i="50873"/>
  <c r="S167" i="50873"/>
  <c r="Q167" i="50873" s="1"/>
  <c r="S168" i="50873"/>
  <c r="Q168" i="50873" s="1"/>
  <c r="S169" i="50873"/>
  <c r="Q169" i="50873" s="1"/>
  <c r="N171" i="50873"/>
  <c r="N172" i="50873"/>
  <c r="N173" i="50873"/>
  <c r="O174" i="50873"/>
  <c r="O175" i="50873"/>
  <c r="O176" i="50873"/>
  <c r="P177" i="50873"/>
  <c r="P178" i="50873"/>
  <c r="P179" i="50873"/>
  <c r="R180" i="50873"/>
  <c r="R181" i="50873"/>
  <c r="R182" i="50873"/>
  <c r="S183" i="50873"/>
  <c r="Q183" i="50873" s="1"/>
  <c r="S184" i="50873"/>
  <c r="Q184" i="50873" s="1"/>
  <c r="S185" i="50873"/>
  <c r="Q185" i="50873" s="1"/>
  <c r="N187" i="50873"/>
  <c r="S187" i="50873"/>
  <c r="Q187" i="50873" s="1"/>
  <c r="R188" i="50873"/>
  <c r="P189" i="50873"/>
  <c r="O190" i="50873"/>
  <c r="N191" i="50873"/>
  <c r="S191" i="50873"/>
  <c r="Q191" i="50873" s="1"/>
  <c r="R192" i="50873"/>
  <c r="P193" i="50873"/>
  <c r="O194" i="50873"/>
  <c r="N195" i="50873"/>
  <c r="S195" i="50873"/>
  <c r="Q195" i="50873" s="1"/>
  <c r="R196" i="50873"/>
  <c r="P197" i="50873"/>
  <c r="O198" i="50873"/>
  <c r="N199" i="50873"/>
  <c r="S199" i="50873"/>
  <c r="Q199" i="50873" s="1"/>
  <c r="R200" i="50873"/>
  <c r="P201" i="50873"/>
  <c r="O202" i="50873"/>
  <c r="N203" i="50873"/>
  <c r="S203" i="50873"/>
  <c r="Q203" i="50873" s="1"/>
  <c r="R204" i="50873"/>
  <c r="P205" i="50873"/>
  <c r="O206" i="50873"/>
  <c r="N207" i="50873"/>
  <c r="S207" i="50873"/>
  <c r="Q207" i="50873" s="1"/>
  <c r="R208" i="50873"/>
  <c r="P209" i="50873"/>
  <c r="O210" i="50873"/>
  <c r="N211" i="50873"/>
  <c r="S211" i="50873"/>
  <c r="Q211" i="50873" s="1"/>
  <c r="R212" i="50873"/>
  <c r="P213" i="50873"/>
  <c r="O214" i="50873"/>
  <c r="N215" i="50873"/>
  <c r="O29" i="50873"/>
  <c r="O63" i="50873"/>
  <c r="O80" i="50873"/>
  <c r="O94" i="50873"/>
  <c r="N107" i="50873"/>
  <c r="R110" i="50873"/>
  <c r="S113" i="50873"/>
  <c r="Q113" i="50873" s="1"/>
  <c r="N117" i="50873"/>
  <c r="O120" i="50873"/>
  <c r="P123" i="50873"/>
  <c r="R126" i="50873"/>
  <c r="S129" i="50873"/>
  <c r="Q129" i="50873" s="1"/>
  <c r="N133" i="50873"/>
  <c r="O136" i="50873"/>
  <c r="O138" i="50873"/>
  <c r="P140" i="50873"/>
  <c r="R142" i="50873"/>
  <c r="R144" i="50873"/>
  <c r="S146" i="50873"/>
  <c r="Q146" i="50873" s="1"/>
  <c r="N149" i="50873"/>
  <c r="N151" i="50873"/>
  <c r="O153" i="50873"/>
  <c r="P155" i="50873"/>
  <c r="P157" i="50873"/>
  <c r="O159" i="50873"/>
  <c r="R160" i="50873"/>
  <c r="R161" i="50873"/>
  <c r="R162" i="50873"/>
  <c r="S163" i="50873"/>
  <c r="Q163" i="50873" s="1"/>
  <c r="S164" i="50873"/>
  <c r="Q164" i="50873" s="1"/>
  <c r="S165" i="50873"/>
  <c r="Q165" i="50873" s="1"/>
  <c r="N167" i="50873"/>
  <c r="N168" i="50873"/>
  <c r="N169" i="50873"/>
  <c r="O170" i="50873"/>
  <c r="O171" i="50873"/>
  <c r="O172" i="50873"/>
  <c r="P173" i="50873"/>
  <c r="P174" i="50873"/>
  <c r="P175" i="50873"/>
  <c r="R176" i="50873"/>
  <c r="R177" i="50873"/>
  <c r="R178" i="50873"/>
  <c r="S179" i="50873"/>
  <c r="Q179" i="50873" s="1"/>
  <c r="S180" i="50873"/>
  <c r="Q180" i="50873" s="1"/>
  <c r="S181" i="50873"/>
  <c r="Q181" i="50873" s="1"/>
  <c r="N183" i="50873"/>
  <c r="N184" i="50873"/>
  <c r="N185" i="50873"/>
  <c r="O186" i="50873"/>
  <c r="O187" i="50873"/>
  <c r="N188" i="50873"/>
  <c r="S188" i="50873"/>
  <c r="Q188" i="50873" s="1"/>
  <c r="R189" i="50873"/>
  <c r="P190" i="50873"/>
  <c r="O191" i="50873"/>
  <c r="N192" i="50873"/>
  <c r="S95" i="50873"/>
  <c r="Q95" i="50873" s="1"/>
  <c r="P117" i="50873"/>
  <c r="O130" i="50873"/>
  <c r="R140" i="50873"/>
  <c r="O149" i="50873"/>
  <c r="S157" i="50873"/>
  <c r="Q157" i="50873" s="1"/>
  <c r="N163" i="50873"/>
  <c r="O167" i="50873"/>
  <c r="P171" i="50873"/>
  <c r="S175" i="50873"/>
  <c r="Q175" i="50873" s="1"/>
  <c r="N180" i="50873"/>
  <c r="O184" i="50873"/>
  <c r="O188" i="50873"/>
  <c r="P191" i="50873"/>
  <c r="R193" i="50873"/>
  <c r="O195" i="50873"/>
  <c r="S196" i="50873"/>
  <c r="Q196" i="50873" s="1"/>
  <c r="P198" i="50873"/>
  <c r="N200" i="50873"/>
  <c r="R201" i="50873"/>
  <c r="O203" i="50873"/>
  <c r="S204" i="50873"/>
  <c r="Q204" i="50873" s="1"/>
  <c r="P206" i="50873"/>
  <c r="N208" i="50873"/>
  <c r="R209" i="50873"/>
  <c r="O211" i="50873"/>
  <c r="S212" i="50873"/>
  <c r="Q212" i="50873" s="1"/>
  <c r="P214" i="50873"/>
  <c r="S215" i="50873"/>
  <c r="Q215" i="50873" s="1"/>
  <c r="R216" i="50873"/>
  <c r="P217" i="50873"/>
  <c r="O218" i="50873"/>
  <c r="N219" i="50873"/>
  <c r="S219" i="50873"/>
  <c r="Q219" i="50873" s="1"/>
  <c r="R220" i="50873"/>
  <c r="P221" i="50873"/>
  <c r="O222" i="50873"/>
  <c r="N223" i="50873"/>
  <c r="S223" i="50873"/>
  <c r="Q223" i="50873" s="1"/>
  <c r="R224" i="50873"/>
  <c r="P225" i="50873"/>
  <c r="O226" i="50873"/>
  <c r="N227" i="50873"/>
  <c r="S227" i="50873"/>
  <c r="Q227" i="50873" s="1"/>
  <c r="R228" i="50873"/>
  <c r="P229" i="50873"/>
  <c r="O230" i="50873"/>
  <c r="N231" i="50873"/>
  <c r="S231" i="50873"/>
  <c r="Q231" i="50873" s="1"/>
  <c r="R232" i="50873"/>
  <c r="P233" i="50873"/>
  <c r="O234" i="50873"/>
  <c r="N235" i="50873"/>
  <c r="S235" i="50873"/>
  <c r="Q235" i="50873" s="1"/>
  <c r="R236" i="50873"/>
  <c r="P237" i="50873"/>
  <c r="O238" i="50873"/>
  <c r="N239" i="50873"/>
  <c r="S239" i="50873"/>
  <c r="Q239" i="50873" s="1"/>
  <c r="R240" i="50873"/>
  <c r="P241" i="50873"/>
  <c r="O242" i="50873"/>
  <c r="N243" i="50873"/>
  <c r="S243" i="50873"/>
  <c r="Q243" i="50873" s="1"/>
  <c r="R244" i="50873"/>
  <c r="P245" i="50873"/>
  <c r="O246" i="50873"/>
  <c r="R247" i="50873"/>
  <c r="P248" i="50873"/>
  <c r="O249" i="50873"/>
  <c r="N250" i="50873"/>
  <c r="S250" i="50873"/>
  <c r="Q250" i="50873" s="1"/>
  <c r="O252" i="50873"/>
  <c r="N253" i="50873"/>
  <c r="S253" i="50873"/>
  <c r="Q253" i="50873" s="1"/>
  <c r="R254" i="50873"/>
  <c r="P255" i="50873"/>
  <c r="O256" i="50873"/>
  <c r="N257" i="50873"/>
  <c r="S257" i="50873"/>
  <c r="Q257" i="50873" s="1"/>
  <c r="R258" i="50873"/>
  <c r="P259" i="50873"/>
  <c r="O260" i="50873"/>
  <c r="N261" i="50873"/>
  <c r="S261" i="50873"/>
  <c r="Q261" i="50873" s="1"/>
  <c r="R262" i="50873"/>
  <c r="P263" i="50873"/>
  <c r="O264" i="50873"/>
  <c r="N265" i="50873"/>
  <c r="S265" i="50873"/>
  <c r="Q265" i="50873" s="1"/>
  <c r="R266" i="50873"/>
  <c r="P267" i="50873"/>
  <c r="O268" i="50873"/>
  <c r="N269" i="50873"/>
  <c r="S269" i="50873"/>
  <c r="Q269" i="50873" s="1"/>
  <c r="R270" i="50873"/>
  <c r="P271" i="50873"/>
  <c r="O272" i="50873"/>
  <c r="N273" i="50873"/>
  <c r="S273" i="50873"/>
  <c r="Q273" i="50873" s="1"/>
  <c r="R274" i="50873"/>
  <c r="P275" i="50873"/>
  <c r="O276" i="50873"/>
  <c r="N277" i="50873"/>
  <c r="S277" i="50873"/>
  <c r="Q277" i="50873" s="1"/>
  <c r="R278" i="50873"/>
  <c r="P279" i="50873"/>
  <c r="O280" i="50873"/>
  <c r="N281" i="50873"/>
  <c r="S281" i="50873"/>
  <c r="Q281" i="50873" s="1"/>
  <c r="R282" i="50873"/>
  <c r="P283" i="50873"/>
  <c r="O284" i="50873"/>
  <c r="N285" i="50873"/>
  <c r="S285" i="50873"/>
  <c r="Q285" i="50873" s="1"/>
  <c r="R286" i="50873"/>
  <c r="P287" i="50873"/>
  <c r="O288" i="50873"/>
  <c r="N289" i="50873"/>
  <c r="S289" i="50873"/>
  <c r="Q289" i="50873" s="1"/>
  <c r="R290" i="50873"/>
  <c r="P291" i="50873"/>
  <c r="O292" i="50873"/>
  <c r="N293" i="50873"/>
  <c r="S293" i="50873"/>
  <c r="Q293" i="50873" s="1"/>
  <c r="R294" i="50873"/>
  <c r="P295" i="50873"/>
  <c r="O296" i="50873"/>
  <c r="N297" i="50873"/>
  <c r="S297" i="50873"/>
  <c r="Q297" i="50873" s="1"/>
  <c r="R298" i="50873"/>
  <c r="P299" i="50873"/>
  <c r="O300" i="50873"/>
  <c r="N301" i="50873"/>
  <c r="S301" i="50873"/>
  <c r="Q301" i="50873" s="1"/>
  <c r="R302" i="50873"/>
  <c r="P303" i="50873"/>
  <c r="O304" i="50873"/>
  <c r="N305" i="50873"/>
  <c r="S305" i="50873"/>
  <c r="Q305" i="50873" s="1"/>
  <c r="R306" i="50873"/>
  <c r="P307" i="50873"/>
  <c r="O308" i="50873"/>
  <c r="N309" i="50873"/>
  <c r="S309" i="50873"/>
  <c r="Q309" i="50873" s="1"/>
  <c r="R310" i="50873"/>
  <c r="P311" i="50873"/>
  <c r="O312" i="50873"/>
  <c r="N313" i="50873"/>
  <c r="S313" i="50873"/>
  <c r="Q313" i="50873" s="1"/>
  <c r="R314" i="50873"/>
  <c r="P315" i="50873"/>
  <c r="O316" i="50873"/>
  <c r="N317" i="50873"/>
  <c r="S317" i="50873"/>
  <c r="Q317" i="50873" s="1"/>
  <c r="R318" i="50873"/>
  <c r="P319" i="50873"/>
  <c r="O320" i="50873"/>
  <c r="N321" i="50873"/>
  <c r="S321" i="50873"/>
  <c r="Q321" i="50873" s="1"/>
  <c r="R322" i="50873"/>
  <c r="P323" i="50873"/>
  <c r="O324" i="50873"/>
  <c r="N325" i="50873"/>
  <c r="S325" i="50873"/>
  <c r="Q325" i="50873" s="1"/>
  <c r="R326" i="50873"/>
  <c r="P327" i="50873"/>
  <c r="P41" i="50873"/>
  <c r="P48" i="50873"/>
  <c r="S107" i="50873"/>
  <c r="Q107" i="50873" s="1"/>
  <c r="R120" i="50873"/>
  <c r="P133" i="50873"/>
  <c r="S142" i="50873"/>
  <c r="Q142" i="50873" s="1"/>
  <c r="P151" i="50873"/>
  <c r="P159" i="50873"/>
  <c r="N164" i="50873"/>
  <c r="O168" i="50873"/>
  <c r="R172" i="50873"/>
  <c r="S176" i="50873"/>
  <c r="Q176" i="50873" s="1"/>
  <c r="N181" i="50873"/>
  <c r="P185" i="50873"/>
  <c r="N189" i="50873"/>
  <c r="O192" i="50873"/>
  <c r="S193" i="50873"/>
  <c r="Q193" i="50873" s="1"/>
  <c r="P195" i="50873"/>
  <c r="N197" i="50873"/>
  <c r="R198" i="50873"/>
  <c r="O200" i="50873"/>
  <c r="S201" i="50873"/>
  <c r="Q201" i="50873" s="1"/>
  <c r="P203" i="50873"/>
  <c r="N205" i="50873"/>
  <c r="R206" i="50873"/>
  <c r="O208" i="50873"/>
  <c r="S209" i="50873"/>
  <c r="Q209" i="50873" s="1"/>
  <c r="P211" i="50873"/>
  <c r="N213" i="50873"/>
  <c r="R214" i="50873"/>
  <c r="N216" i="50873"/>
  <c r="S216" i="50873"/>
  <c r="Q216" i="50873" s="1"/>
  <c r="R217" i="50873"/>
  <c r="P218" i="50873"/>
  <c r="O219" i="50873"/>
  <c r="N220" i="50873"/>
  <c r="S220" i="50873"/>
  <c r="Q220" i="50873" s="1"/>
  <c r="R221" i="50873"/>
  <c r="P222" i="50873"/>
  <c r="O223" i="50873"/>
  <c r="N224" i="50873"/>
  <c r="S224" i="50873"/>
  <c r="Q224" i="50873" s="1"/>
  <c r="R225" i="50873"/>
  <c r="P226" i="50873"/>
  <c r="O227" i="50873"/>
  <c r="N228" i="50873"/>
  <c r="S228" i="50873"/>
  <c r="Q228" i="50873" s="1"/>
  <c r="R229" i="50873"/>
  <c r="P230" i="50873"/>
  <c r="O231" i="50873"/>
  <c r="N232" i="50873"/>
  <c r="S232" i="50873"/>
  <c r="Q232" i="50873" s="1"/>
  <c r="R233" i="50873"/>
  <c r="P234" i="50873"/>
  <c r="O235" i="50873"/>
  <c r="N236" i="50873"/>
  <c r="S236" i="50873"/>
  <c r="Q236" i="50873" s="1"/>
  <c r="R237" i="50873"/>
  <c r="P238" i="50873"/>
  <c r="O239" i="50873"/>
  <c r="N240" i="50873"/>
  <c r="S240" i="50873"/>
  <c r="Q240" i="50873" s="1"/>
  <c r="R241" i="50873"/>
  <c r="P242" i="50873"/>
  <c r="O243" i="50873"/>
  <c r="N244" i="50873"/>
  <c r="S244" i="50873"/>
  <c r="Q244" i="50873" s="1"/>
  <c r="R245" i="50873"/>
  <c r="P246" i="50873"/>
  <c r="N247" i="50873"/>
  <c r="S247" i="50873"/>
  <c r="Q247" i="50873" s="1"/>
  <c r="R248" i="50873"/>
  <c r="P249" i="50873"/>
  <c r="O250" i="50873"/>
  <c r="N251" i="50873"/>
  <c r="R251" i="50873"/>
  <c r="P252" i="50873"/>
  <c r="O253" i="50873"/>
  <c r="N254" i="50873"/>
  <c r="S254" i="50873"/>
  <c r="Q254" i="50873" s="1"/>
  <c r="R255" i="50873"/>
  <c r="P256" i="50873"/>
  <c r="O257" i="50873"/>
  <c r="N258" i="50873"/>
  <c r="S258" i="50873"/>
  <c r="Q258" i="50873" s="1"/>
  <c r="R259" i="50873"/>
  <c r="P260" i="50873"/>
  <c r="O261" i="50873"/>
  <c r="N262" i="50873"/>
  <c r="S262" i="50873"/>
  <c r="Q262" i="50873" s="1"/>
  <c r="R263" i="50873"/>
  <c r="P264" i="50873"/>
  <c r="O265" i="50873"/>
  <c r="N266" i="50873"/>
  <c r="S266" i="50873"/>
  <c r="Q266" i="50873" s="1"/>
  <c r="R267" i="50873"/>
  <c r="P268" i="50873"/>
  <c r="O269" i="50873"/>
  <c r="N270" i="50873"/>
  <c r="S270" i="50873"/>
  <c r="Q270" i="50873" s="1"/>
  <c r="R271" i="50873"/>
  <c r="P272" i="50873"/>
  <c r="O273" i="50873"/>
  <c r="N274" i="50873"/>
  <c r="S274" i="50873"/>
  <c r="Q274" i="50873" s="1"/>
  <c r="R275" i="50873"/>
  <c r="P276" i="50873"/>
  <c r="O277" i="50873"/>
  <c r="N278" i="50873"/>
  <c r="S278" i="50873"/>
  <c r="Q278" i="50873" s="1"/>
  <c r="R279" i="50873"/>
  <c r="P280" i="50873"/>
  <c r="O281" i="50873"/>
  <c r="N282" i="50873"/>
  <c r="S282" i="50873"/>
  <c r="Q282" i="50873" s="1"/>
  <c r="R283" i="50873"/>
  <c r="P284" i="50873"/>
  <c r="O285" i="50873"/>
  <c r="N286" i="50873"/>
  <c r="S286" i="50873"/>
  <c r="Q286" i="50873" s="1"/>
  <c r="R287" i="50873"/>
  <c r="P288" i="50873"/>
  <c r="O289" i="50873"/>
  <c r="N290" i="50873"/>
  <c r="S290" i="50873"/>
  <c r="Q290" i="50873" s="1"/>
  <c r="R291" i="50873"/>
  <c r="P292" i="50873"/>
  <c r="O293" i="50873"/>
  <c r="N294" i="50873"/>
  <c r="S294" i="50873"/>
  <c r="Q294" i="50873" s="1"/>
  <c r="R295" i="50873"/>
  <c r="P296" i="50873"/>
  <c r="O297" i="50873"/>
  <c r="N298" i="50873"/>
  <c r="S298" i="50873"/>
  <c r="Q298" i="50873" s="1"/>
  <c r="R299" i="50873"/>
  <c r="P300" i="50873"/>
  <c r="O301" i="50873"/>
  <c r="N302" i="50873"/>
  <c r="S302" i="50873"/>
  <c r="Q302" i="50873" s="1"/>
  <c r="R303" i="50873"/>
  <c r="P304" i="50873"/>
  <c r="O305" i="50873"/>
  <c r="N306" i="50873"/>
  <c r="S306" i="50873"/>
  <c r="Q306" i="50873" s="1"/>
  <c r="R307" i="50873"/>
  <c r="P308" i="50873"/>
  <c r="O309" i="50873"/>
  <c r="N310" i="50873"/>
  <c r="S310" i="50873"/>
  <c r="Q310" i="50873" s="1"/>
  <c r="R311" i="50873"/>
  <c r="P312" i="50873"/>
  <c r="O313" i="50873"/>
  <c r="N314" i="50873"/>
  <c r="S314" i="50873"/>
  <c r="Q314" i="50873" s="1"/>
  <c r="R315" i="50873"/>
  <c r="P316" i="50873"/>
  <c r="O317" i="50873"/>
  <c r="N318" i="50873"/>
  <c r="S318" i="50873"/>
  <c r="Q318" i="50873" s="1"/>
  <c r="R319" i="50873"/>
  <c r="P320" i="50873"/>
  <c r="O321" i="50873"/>
  <c r="N322" i="50873"/>
  <c r="S322" i="50873"/>
  <c r="Q322" i="50873" s="1"/>
  <c r="R323" i="50873"/>
  <c r="P324" i="50873"/>
  <c r="O325" i="50873"/>
  <c r="N326" i="50873"/>
  <c r="S326" i="50873"/>
  <c r="Q326" i="50873" s="1"/>
  <c r="P65" i="50873"/>
  <c r="N111" i="50873"/>
  <c r="S123" i="50873"/>
  <c r="Q123" i="50873" s="1"/>
  <c r="P136" i="50873"/>
  <c r="N145" i="50873"/>
  <c r="P153" i="50873"/>
  <c r="S160" i="50873"/>
  <c r="Q160" i="50873" s="1"/>
  <c r="N165" i="50873"/>
  <c r="P169" i="50873"/>
  <c r="R173" i="50873"/>
  <c r="S177" i="50873"/>
  <c r="Q177" i="50873" s="1"/>
  <c r="O182" i="50873"/>
  <c r="P186" i="50873"/>
  <c r="S189" i="50873"/>
  <c r="Q189" i="50873" s="1"/>
  <c r="S192" i="50873"/>
  <c r="Q192" i="50873" s="1"/>
  <c r="P194" i="50873"/>
  <c r="N196" i="50873"/>
  <c r="R197" i="50873"/>
  <c r="O199" i="50873"/>
  <c r="S200" i="50873"/>
  <c r="Q200" i="50873" s="1"/>
  <c r="P202" i="50873"/>
  <c r="N204" i="50873"/>
  <c r="R205" i="50873"/>
  <c r="O207" i="50873"/>
  <c r="S208" i="50873"/>
  <c r="Q208" i="50873" s="1"/>
  <c r="P210" i="50873"/>
  <c r="N212" i="50873"/>
  <c r="R213" i="50873"/>
  <c r="O215" i="50873"/>
  <c r="O216" i="50873"/>
  <c r="N217" i="50873"/>
  <c r="S217" i="50873"/>
  <c r="Q217" i="50873" s="1"/>
  <c r="R218" i="50873"/>
  <c r="P219" i="50873"/>
  <c r="O220" i="50873"/>
  <c r="N221" i="50873"/>
  <c r="S221" i="50873"/>
  <c r="Q221" i="50873" s="1"/>
  <c r="R222" i="50873"/>
  <c r="P223" i="50873"/>
  <c r="O224" i="50873"/>
  <c r="N225" i="50873"/>
  <c r="S225" i="50873"/>
  <c r="Q225" i="50873" s="1"/>
  <c r="R226" i="50873"/>
  <c r="P227" i="50873"/>
  <c r="O228" i="50873"/>
  <c r="N229" i="50873"/>
  <c r="S229" i="50873"/>
  <c r="Q229" i="50873" s="1"/>
  <c r="R230" i="50873"/>
  <c r="P231" i="50873"/>
  <c r="O232" i="50873"/>
  <c r="N233" i="50873"/>
  <c r="S233" i="50873"/>
  <c r="Q233" i="50873" s="1"/>
  <c r="R234" i="50873"/>
  <c r="P235" i="50873"/>
  <c r="O236" i="50873"/>
  <c r="N237" i="50873"/>
  <c r="S237" i="50873"/>
  <c r="Q237" i="50873" s="1"/>
  <c r="R238" i="50873"/>
  <c r="P239" i="50873"/>
  <c r="O240" i="50873"/>
  <c r="N241" i="50873"/>
  <c r="S241" i="50873"/>
  <c r="Q241" i="50873" s="1"/>
  <c r="R242" i="50873"/>
  <c r="P243" i="50873"/>
  <c r="O244" i="50873"/>
  <c r="N245" i="50873"/>
  <c r="S245" i="50873"/>
  <c r="Q245" i="50873" s="1"/>
  <c r="R246" i="50873"/>
  <c r="O247" i="50873"/>
  <c r="N248" i="50873"/>
  <c r="S248" i="50873"/>
  <c r="Q248" i="50873" s="1"/>
  <c r="R249" i="50873"/>
  <c r="P250" i="50873"/>
  <c r="O251" i="50873"/>
  <c r="S251" i="50873"/>
  <c r="Q251" i="50873" s="1"/>
  <c r="R252" i="50873"/>
  <c r="P253" i="50873"/>
  <c r="O254" i="50873"/>
  <c r="N255" i="50873"/>
  <c r="S255" i="50873"/>
  <c r="Q255" i="50873" s="1"/>
  <c r="R256" i="50873"/>
  <c r="P257" i="50873"/>
  <c r="O258" i="50873"/>
  <c r="N259" i="50873"/>
  <c r="S259" i="50873"/>
  <c r="Q259" i="50873" s="1"/>
  <c r="R260" i="50873"/>
  <c r="P261" i="50873"/>
  <c r="O262" i="50873"/>
  <c r="N263" i="50873"/>
  <c r="S263" i="50873"/>
  <c r="Q263" i="50873" s="1"/>
  <c r="R264" i="50873"/>
  <c r="P265" i="50873"/>
  <c r="O266" i="50873"/>
  <c r="N267" i="50873"/>
  <c r="S267" i="50873"/>
  <c r="Q267" i="50873" s="1"/>
  <c r="R268" i="50873"/>
  <c r="P269" i="50873"/>
  <c r="O270" i="50873"/>
  <c r="N271" i="50873"/>
  <c r="S271" i="50873"/>
  <c r="Q271" i="50873" s="1"/>
  <c r="R272" i="50873"/>
  <c r="P273" i="50873"/>
  <c r="O274" i="50873"/>
  <c r="N275" i="50873"/>
  <c r="S275" i="50873"/>
  <c r="Q275" i="50873" s="1"/>
  <c r="R276" i="50873"/>
  <c r="P277" i="50873"/>
  <c r="O278" i="50873"/>
  <c r="N279" i="50873"/>
  <c r="S279" i="50873"/>
  <c r="Q279" i="50873" s="1"/>
  <c r="R280" i="50873"/>
  <c r="P281" i="50873"/>
  <c r="O282" i="50873"/>
  <c r="N283" i="50873"/>
  <c r="S283" i="50873"/>
  <c r="Q283" i="50873" s="1"/>
  <c r="R284" i="50873"/>
  <c r="P285" i="50873"/>
  <c r="O286" i="50873"/>
  <c r="N287" i="50873"/>
  <c r="S287" i="50873"/>
  <c r="Q287" i="50873" s="1"/>
  <c r="R288" i="50873"/>
  <c r="P289" i="50873"/>
  <c r="O290" i="50873"/>
  <c r="N291" i="50873"/>
  <c r="S291" i="50873"/>
  <c r="Q291" i="50873" s="1"/>
  <c r="R292" i="50873"/>
  <c r="P293" i="50873"/>
  <c r="O294" i="50873"/>
  <c r="N295" i="50873"/>
  <c r="S295" i="50873"/>
  <c r="Q295" i="50873" s="1"/>
  <c r="R296" i="50873"/>
  <c r="P297" i="50873"/>
  <c r="O298" i="50873"/>
  <c r="N299" i="50873"/>
  <c r="S299" i="50873"/>
  <c r="Q299" i="50873" s="1"/>
  <c r="R300" i="50873"/>
  <c r="P301" i="50873"/>
  <c r="O302" i="50873"/>
  <c r="N303" i="50873"/>
  <c r="S303" i="50873"/>
  <c r="Q303" i="50873" s="1"/>
  <c r="R304" i="50873"/>
  <c r="P305" i="50873"/>
  <c r="O306" i="50873"/>
  <c r="N307" i="50873"/>
  <c r="S307" i="50873"/>
  <c r="Q307" i="50873" s="1"/>
  <c r="R308" i="50873"/>
  <c r="P309" i="50873"/>
  <c r="O310" i="50873"/>
  <c r="N311" i="50873"/>
  <c r="S311" i="50873"/>
  <c r="Q311" i="50873" s="1"/>
  <c r="R312" i="50873"/>
  <c r="P313" i="50873"/>
  <c r="O314" i="50873"/>
  <c r="N315" i="50873"/>
  <c r="S315" i="50873"/>
  <c r="Q315" i="50873" s="1"/>
  <c r="R316" i="50873"/>
  <c r="P317" i="50873"/>
  <c r="O318" i="50873"/>
  <c r="N319" i="50873"/>
  <c r="S319" i="50873"/>
  <c r="Q319" i="50873" s="1"/>
  <c r="R320" i="50873"/>
  <c r="P321" i="50873"/>
  <c r="O322" i="50873"/>
  <c r="N323" i="50873"/>
  <c r="S323" i="50873"/>
  <c r="Q323" i="50873" s="1"/>
  <c r="R324" i="50873"/>
  <c r="P325" i="50873"/>
  <c r="O326" i="50873"/>
  <c r="N327" i="50873"/>
  <c r="P82" i="50873"/>
  <c r="N147" i="50873"/>
  <c r="P170" i="50873"/>
  <c r="P187" i="50873"/>
  <c r="O196" i="50873"/>
  <c r="R202" i="50873"/>
  <c r="N209" i="50873"/>
  <c r="P215" i="50873"/>
  <c r="S218" i="50873"/>
  <c r="Q218" i="50873" s="1"/>
  <c r="N222" i="50873"/>
  <c r="O225" i="50873"/>
  <c r="P228" i="50873"/>
  <c r="R231" i="50873"/>
  <c r="S234" i="50873"/>
  <c r="Q234" i="50873" s="1"/>
  <c r="N238" i="50873"/>
  <c r="O241" i="50873"/>
  <c r="P244" i="50873"/>
  <c r="P247" i="50873"/>
  <c r="R250" i="50873"/>
  <c r="R253" i="50873"/>
  <c r="S256" i="50873"/>
  <c r="Q256" i="50873" s="1"/>
  <c r="N260" i="50873"/>
  <c r="O263" i="50873"/>
  <c r="P266" i="50873"/>
  <c r="R269" i="50873"/>
  <c r="S272" i="50873"/>
  <c r="Q272" i="50873" s="1"/>
  <c r="N276" i="50873"/>
  <c r="O279" i="50873"/>
  <c r="P282" i="50873"/>
  <c r="R285" i="50873"/>
  <c r="S288" i="50873"/>
  <c r="Q288" i="50873" s="1"/>
  <c r="N292" i="50873"/>
  <c r="O295" i="50873"/>
  <c r="P298" i="50873"/>
  <c r="R301" i="50873"/>
  <c r="S304" i="50873"/>
  <c r="Q304" i="50873" s="1"/>
  <c r="N308" i="50873"/>
  <c r="O311" i="50873"/>
  <c r="P314" i="50873"/>
  <c r="R317" i="50873"/>
  <c r="S320" i="50873"/>
  <c r="Q320" i="50873" s="1"/>
  <c r="N324" i="50873"/>
  <c r="O327" i="50873"/>
  <c r="O328" i="50873"/>
  <c r="N329" i="50873"/>
  <c r="S329" i="50873"/>
  <c r="Q329" i="50873" s="1"/>
  <c r="R330" i="50873"/>
  <c r="P331" i="50873"/>
  <c r="O332" i="50873"/>
  <c r="N333" i="50873"/>
  <c r="S333" i="50873"/>
  <c r="Q333" i="50873" s="1"/>
  <c r="R334" i="50873"/>
  <c r="P335" i="50873"/>
  <c r="O336" i="50873"/>
  <c r="N337" i="50873"/>
  <c r="S337" i="50873"/>
  <c r="Q337" i="50873" s="1"/>
  <c r="R338" i="50873"/>
  <c r="P339" i="50873"/>
  <c r="O340" i="50873"/>
  <c r="N341" i="50873"/>
  <c r="S341" i="50873"/>
  <c r="Q341" i="50873" s="1"/>
  <c r="R342" i="50873"/>
  <c r="P343" i="50873"/>
  <c r="O344" i="50873"/>
  <c r="N345" i="50873"/>
  <c r="S345" i="50873"/>
  <c r="Q345" i="50873" s="1"/>
  <c r="R346" i="50873"/>
  <c r="P347" i="50873"/>
  <c r="O348" i="50873"/>
  <c r="N349" i="50873"/>
  <c r="S349" i="50873"/>
  <c r="Q349" i="50873" s="1"/>
  <c r="R350" i="50873"/>
  <c r="P351" i="50873"/>
  <c r="O352" i="50873"/>
  <c r="N353" i="50873"/>
  <c r="S353" i="50873"/>
  <c r="Q353" i="50873" s="1"/>
  <c r="R354" i="50873"/>
  <c r="P355" i="50873"/>
  <c r="O356" i="50873"/>
  <c r="N357" i="50873"/>
  <c r="S357" i="50873"/>
  <c r="Q357" i="50873" s="1"/>
  <c r="R358" i="50873"/>
  <c r="P359" i="50873"/>
  <c r="O360" i="50873"/>
  <c r="N361" i="50873"/>
  <c r="S361" i="50873"/>
  <c r="Q361" i="50873" s="1"/>
  <c r="R362" i="50873"/>
  <c r="P363" i="50873"/>
  <c r="N364" i="50873"/>
  <c r="S364" i="50873"/>
  <c r="Q364" i="50873" s="1"/>
  <c r="R365" i="50873"/>
  <c r="P366" i="50873"/>
  <c r="O367" i="50873"/>
  <c r="N368" i="50873"/>
  <c r="S368" i="50873"/>
  <c r="Q368" i="50873" s="1"/>
  <c r="R369" i="50873"/>
  <c r="P370" i="50873"/>
  <c r="O371" i="50873"/>
  <c r="N372" i="50873"/>
  <c r="S372" i="50873"/>
  <c r="Q372" i="50873" s="1"/>
  <c r="R373" i="50873"/>
  <c r="P374" i="50873"/>
  <c r="O375" i="50873"/>
  <c r="N376" i="50873"/>
  <c r="S376" i="50873"/>
  <c r="Q376" i="50873" s="1"/>
  <c r="R377" i="50873"/>
  <c r="P378" i="50873"/>
  <c r="O379" i="50873"/>
  <c r="N380" i="50873"/>
  <c r="S380" i="50873"/>
  <c r="Q380" i="50873" s="1"/>
  <c r="R381" i="50873"/>
  <c r="P382" i="50873"/>
  <c r="O383" i="50873"/>
  <c r="N384" i="50873"/>
  <c r="S384" i="50873"/>
  <c r="Q384" i="50873" s="1"/>
  <c r="R385" i="50873"/>
  <c r="P386" i="50873"/>
  <c r="O387" i="50873"/>
  <c r="N388" i="50873"/>
  <c r="S388" i="50873"/>
  <c r="Q388" i="50873" s="1"/>
  <c r="R389" i="50873"/>
  <c r="P390" i="50873"/>
  <c r="O391" i="50873"/>
  <c r="N392" i="50873"/>
  <c r="S392" i="50873"/>
  <c r="Q392" i="50873" s="1"/>
  <c r="R393" i="50873"/>
  <c r="P394" i="50873"/>
  <c r="O395" i="50873"/>
  <c r="N396" i="50873"/>
  <c r="S396" i="50873"/>
  <c r="Q396" i="50873" s="1"/>
  <c r="R397" i="50873"/>
  <c r="P398" i="50873"/>
  <c r="O399" i="50873"/>
  <c r="N400" i="50873"/>
  <c r="S400" i="50873"/>
  <c r="Q400" i="50873" s="1"/>
  <c r="R401" i="50873"/>
  <c r="P402" i="50873"/>
  <c r="O403" i="50873"/>
  <c r="N404" i="50873"/>
  <c r="S404" i="50873"/>
  <c r="Q404" i="50873" s="1"/>
  <c r="R405" i="50873"/>
  <c r="P406" i="50873"/>
  <c r="O407" i="50873"/>
  <c r="N408" i="50873"/>
  <c r="S408" i="50873"/>
  <c r="Q408" i="50873" s="1"/>
  <c r="R409" i="50873"/>
  <c r="P410" i="50873"/>
  <c r="O411" i="50873"/>
  <c r="N412" i="50873"/>
  <c r="S412" i="50873"/>
  <c r="Q412" i="50873" s="1"/>
  <c r="R413" i="50873"/>
  <c r="P414" i="50873"/>
  <c r="O415" i="50873"/>
  <c r="N416" i="50873"/>
  <c r="S416" i="50873"/>
  <c r="Q416" i="50873" s="1"/>
  <c r="R417" i="50873"/>
  <c r="P418" i="50873"/>
  <c r="O419" i="50873"/>
  <c r="N420" i="50873"/>
  <c r="S420" i="50873"/>
  <c r="Q420" i="50873" s="1"/>
  <c r="R421" i="50873"/>
  <c r="P422" i="50873"/>
  <c r="O423" i="50873"/>
  <c r="N424" i="50873"/>
  <c r="S424" i="50873"/>
  <c r="Q424" i="50873" s="1"/>
  <c r="R425" i="50873"/>
  <c r="P426" i="50873"/>
  <c r="O427" i="50873"/>
  <c r="N428" i="50873"/>
  <c r="S428" i="50873"/>
  <c r="Q428" i="50873" s="1"/>
  <c r="O114" i="50873"/>
  <c r="R155" i="50873"/>
  <c r="R174" i="50873"/>
  <c r="R190" i="50873"/>
  <c r="S197" i="50873"/>
  <c r="Q197" i="50873" s="1"/>
  <c r="O204" i="50873"/>
  <c r="R210" i="50873"/>
  <c r="P216" i="50873"/>
  <c r="R219" i="50873"/>
  <c r="S222" i="50873"/>
  <c r="Q222" i="50873" s="1"/>
  <c r="N226" i="50873"/>
  <c r="O229" i="50873"/>
  <c r="P232" i="50873"/>
  <c r="R235" i="50873"/>
  <c r="S238" i="50873"/>
  <c r="Q238" i="50873" s="1"/>
  <c r="N242" i="50873"/>
  <c r="O245" i="50873"/>
  <c r="O248" i="50873"/>
  <c r="P251" i="50873"/>
  <c r="P254" i="50873"/>
  <c r="R257" i="50873"/>
  <c r="S260" i="50873"/>
  <c r="Q260" i="50873" s="1"/>
  <c r="N264" i="50873"/>
  <c r="O267" i="50873"/>
  <c r="P270" i="50873"/>
  <c r="R273" i="50873"/>
  <c r="S276" i="50873"/>
  <c r="Q276" i="50873" s="1"/>
  <c r="N280" i="50873"/>
  <c r="O283" i="50873"/>
  <c r="P286" i="50873"/>
  <c r="R289" i="50873"/>
  <c r="S292" i="50873"/>
  <c r="Q292" i="50873" s="1"/>
  <c r="N296" i="50873"/>
  <c r="O299" i="50873"/>
  <c r="P302" i="50873"/>
  <c r="R305" i="50873"/>
  <c r="S308" i="50873"/>
  <c r="Q308" i="50873" s="1"/>
  <c r="N312" i="50873"/>
  <c r="O315" i="50873"/>
  <c r="P318" i="50873"/>
  <c r="R321" i="50873"/>
  <c r="S324" i="50873"/>
  <c r="Q324" i="50873" s="1"/>
  <c r="R327" i="50873"/>
  <c r="P328" i="50873"/>
  <c r="O329" i="50873"/>
  <c r="N330" i="50873"/>
  <c r="S330" i="50873"/>
  <c r="Q330" i="50873" s="1"/>
  <c r="R331" i="50873"/>
  <c r="P332" i="50873"/>
  <c r="O333" i="50873"/>
  <c r="N334" i="50873"/>
  <c r="S334" i="50873"/>
  <c r="Q334" i="50873" s="1"/>
  <c r="R335" i="50873"/>
  <c r="P336" i="50873"/>
  <c r="O337" i="50873"/>
  <c r="N338" i="50873"/>
  <c r="S338" i="50873"/>
  <c r="Q338" i="50873" s="1"/>
  <c r="R339" i="50873"/>
  <c r="P340" i="50873"/>
  <c r="O341" i="50873"/>
  <c r="N342" i="50873"/>
  <c r="S342" i="50873"/>
  <c r="Q342" i="50873" s="1"/>
  <c r="R343" i="50873"/>
  <c r="P344" i="50873"/>
  <c r="O345" i="50873"/>
  <c r="N346" i="50873"/>
  <c r="S346" i="50873"/>
  <c r="Q346" i="50873" s="1"/>
  <c r="R347" i="50873"/>
  <c r="P348" i="50873"/>
  <c r="O349" i="50873"/>
  <c r="N350" i="50873"/>
  <c r="S350" i="50873"/>
  <c r="Q350" i="50873" s="1"/>
  <c r="R351" i="50873"/>
  <c r="P352" i="50873"/>
  <c r="O353" i="50873"/>
  <c r="N354" i="50873"/>
  <c r="S354" i="50873"/>
  <c r="Q354" i="50873" s="1"/>
  <c r="R355" i="50873"/>
  <c r="P356" i="50873"/>
  <c r="O357" i="50873"/>
  <c r="N358" i="50873"/>
  <c r="S358" i="50873"/>
  <c r="Q358" i="50873" s="1"/>
  <c r="R359" i="50873"/>
  <c r="P360" i="50873"/>
  <c r="O361" i="50873"/>
  <c r="N362" i="50873"/>
  <c r="S362" i="50873"/>
  <c r="Q362" i="50873" s="1"/>
  <c r="R363" i="50873"/>
  <c r="O364" i="50873"/>
  <c r="N365" i="50873"/>
  <c r="S365" i="50873"/>
  <c r="Q365" i="50873" s="1"/>
  <c r="R366" i="50873"/>
  <c r="P367" i="50873"/>
  <c r="O368" i="50873"/>
  <c r="N369" i="50873"/>
  <c r="S369" i="50873"/>
  <c r="Q369" i="50873" s="1"/>
  <c r="R370" i="50873"/>
  <c r="P371" i="50873"/>
  <c r="O372" i="50873"/>
  <c r="N373" i="50873"/>
  <c r="S373" i="50873"/>
  <c r="Q373" i="50873" s="1"/>
  <c r="R374" i="50873"/>
  <c r="P375" i="50873"/>
  <c r="O376" i="50873"/>
  <c r="N377" i="50873"/>
  <c r="S377" i="50873"/>
  <c r="Q377" i="50873" s="1"/>
  <c r="R378" i="50873"/>
  <c r="P379" i="50873"/>
  <c r="O380" i="50873"/>
  <c r="N381" i="50873"/>
  <c r="S381" i="50873"/>
  <c r="Q381" i="50873" s="1"/>
  <c r="R382" i="50873"/>
  <c r="P383" i="50873"/>
  <c r="O384" i="50873"/>
  <c r="N385" i="50873"/>
  <c r="S385" i="50873"/>
  <c r="Q385" i="50873" s="1"/>
  <c r="R386" i="50873"/>
  <c r="P387" i="50873"/>
  <c r="O388" i="50873"/>
  <c r="N389" i="50873"/>
  <c r="S389" i="50873"/>
  <c r="Q389" i="50873" s="1"/>
  <c r="R390" i="50873"/>
  <c r="P391" i="50873"/>
  <c r="O392" i="50873"/>
  <c r="N393" i="50873"/>
  <c r="S393" i="50873"/>
  <c r="Q393" i="50873" s="1"/>
  <c r="R394" i="50873"/>
  <c r="P395" i="50873"/>
  <c r="O396" i="50873"/>
  <c r="N397" i="50873"/>
  <c r="S397" i="50873"/>
  <c r="Q397" i="50873" s="1"/>
  <c r="R398" i="50873"/>
  <c r="P399" i="50873"/>
  <c r="O400" i="50873"/>
  <c r="N401" i="50873"/>
  <c r="S401" i="50873"/>
  <c r="Q401" i="50873" s="1"/>
  <c r="R402" i="50873"/>
  <c r="P403" i="50873"/>
  <c r="O404" i="50873"/>
  <c r="N405" i="50873"/>
  <c r="S405" i="50873"/>
  <c r="Q405" i="50873" s="1"/>
  <c r="R406" i="50873"/>
  <c r="P407" i="50873"/>
  <c r="O408" i="50873"/>
  <c r="N409" i="50873"/>
  <c r="S409" i="50873"/>
  <c r="Q409" i="50873" s="1"/>
  <c r="R410" i="50873"/>
  <c r="P411" i="50873"/>
  <c r="O412" i="50873"/>
  <c r="N413" i="50873"/>
  <c r="S413" i="50873"/>
  <c r="Q413" i="50873" s="1"/>
  <c r="R414" i="50873"/>
  <c r="P415" i="50873"/>
  <c r="O416" i="50873"/>
  <c r="N417" i="50873"/>
  <c r="S417" i="50873"/>
  <c r="Q417" i="50873" s="1"/>
  <c r="R418" i="50873"/>
  <c r="P419" i="50873"/>
  <c r="O420" i="50873"/>
  <c r="N421" i="50873"/>
  <c r="S421" i="50873"/>
  <c r="Q421" i="50873" s="1"/>
  <c r="R422" i="50873"/>
  <c r="P423" i="50873"/>
  <c r="O424" i="50873"/>
  <c r="N425" i="50873"/>
  <c r="S425" i="50873"/>
  <c r="Q425" i="50873" s="1"/>
  <c r="R426" i="50873"/>
  <c r="P427" i="50873"/>
  <c r="O428" i="50873"/>
  <c r="N429" i="50873"/>
  <c r="N127" i="50873"/>
  <c r="S161" i="50873"/>
  <c r="Q161" i="50873" s="1"/>
  <c r="N179" i="50873"/>
  <c r="N193" i="50873"/>
  <c r="P199" i="50873"/>
  <c r="S205" i="50873"/>
  <c r="Q205" i="50873" s="1"/>
  <c r="O212" i="50873"/>
  <c r="O217" i="50873"/>
  <c r="P220" i="50873"/>
  <c r="R223" i="50873"/>
  <c r="S226" i="50873"/>
  <c r="Q226" i="50873" s="1"/>
  <c r="N230" i="50873"/>
  <c r="O233" i="50873"/>
  <c r="P236" i="50873"/>
  <c r="R239" i="50873"/>
  <c r="S242" i="50873"/>
  <c r="Q242" i="50873" s="1"/>
  <c r="N246" i="50873"/>
  <c r="N249" i="50873"/>
  <c r="N252" i="50873"/>
  <c r="O255" i="50873"/>
  <c r="P258" i="50873"/>
  <c r="R261" i="50873"/>
  <c r="S264" i="50873"/>
  <c r="Q264" i="50873" s="1"/>
  <c r="N268" i="50873"/>
  <c r="O271" i="50873"/>
  <c r="P274" i="50873"/>
  <c r="R277" i="50873"/>
  <c r="S280" i="50873"/>
  <c r="Q280" i="50873" s="1"/>
  <c r="N284" i="50873"/>
  <c r="O287" i="50873"/>
  <c r="P290" i="50873"/>
  <c r="R293" i="50873"/>
  <c r="S296" i="50873"/>
  <c r="Q296" i="50873" s="1"/>
  <c r="N300" i="50873"/>
  <c r="O303" i="50873"/>
  <c r="P306" i="50873"/>
  <c r="R309" i="50873"/>
  <c r="S312" i="50873"/>
  <c r="Q312" i="50873" s="1"/>
  <c r="N316" i="50873"/>
  <c r="O319" i="50873"/>
  <c r="P322" i="50873"/>
  <c r="R325" i="50873"/>
  <c r="S327" i="50873"/>
  <c r="Q327" i="50873" s="1"/>
  <c r="R328" i="50873"/>
  <c r="P329" i="50873"/>
  <c r="O330" i="50873"/>
  <c r="N331" i="50873"/>
  <c r="S331" i="50873"/>
  <c r="Q331" i="50873" s="1"/>
  <c r="R332" i="50873"/>
  <c r="P333" i="50873"/>
  <c r="O334" i="50873"/>
  <c r="N335" i="50873"/>
  <c r="S335" i="50873"/>
  <c r="Q335" i="50873" s="1"/>
  <c r="R336" i="50873"/>
  <c r="P337" i="50873"/>
  <c r="O338" i="50873"/>
  <c r="N339" i="50873"/>
  <c r="S339" i="50873"/>
  <c r="Q339" i="50873" s="1"/>
  <c r="R340" i="50873"/>
  <c r="P341" i="50873"/>
  <c r="O342" i="50873"/>
  <c r="N343" i="50873"/>
  <c r="S343" i="50873"/>
  <c r="Q343" i="50873" s="1"/>
  <c r="R344" i="50873"/>
  <c r="P345" i="50873"/>
  <c r="O346" i="50873"/>
  <c r="N347" i="50873"/>
  <c r="S347" i="50873"/>
  <c r="Q347" i="50873" s="1"/>
  <c r="R348" i="50873"/>
  <c r="P349" i="50873"/>
  <c r="O350" i="50873"/>
  <c r="N351" i="50873"/>
  <c r="S351" i="50873"/>
  <c r="Q351" i="50873" s="1"/>
  <c r="R352" i="50873"/>
  <c r="P353" i="50873"/>
  <c r="O354" i="50873"/>
  <c r="N355" i="50873"/>
  <c r="S355" i="50873"/>
  <c r="Q355" i="50873" s="1"/>
  <c r="R356" i="50873"/>
  <c r="P357" i="50873"/>
  <c r="O358" i="50873"/>
  <c r="N359" i="50873"/>
  <c r="S359" i="50873"/>
  <c r="Q359" i="50873" s="1"/>
  <c r="R360" i="50873"/>
  <c r="P361" i="50873"/>
  <c r="O362" i="50873"/>
  <c r="N363" i="50873"/>
  <c r="S363" i="50873"/>
  <c r="Q363" i="50873" s="1"/>
  <c r="P364" i="50873"/>
  <c r="O365" i="50873"/>
  <c r="N366" i="50873"/>
  <c r="S366" i="50873"/>
  <c r="Q366" i="50873" s="1"/>
  <c r="R367" i="50873"/>
  <c r="P368" i="50873"/>
  <c r="O369" i="50873"/>
  <c r="N370" i="50873"/>
  <c r="S370" i="50873"/>
  <c r="Q370" i="50873" s="1"/>
  <c r="R371" i="50873"/>
  <c r="P372" i="50873"/>
  <c r="O373" i="50873"/>
  <c r="N374" i="50873"/>
  <c r="S374" i="50873"/>
  <c r="Q374" i="50873" s="1"/>
  <c r="R375" i="50873"/>
  <c r="P376" i="50873"/>
  <c r="O377" i="50873"/>
  <c r="N378" i="50873"/>
  <c r="S378" i="50873"/>
  <c r="Q378" i="50873" s="1"/>
  <c r="R379" i="50873"/>
  <c r="P380" i="50873"/>
  <c r="O381" i="50873"/>
  <c r="N382" i="50873"/>
  <c r="S382" i="50873"/>
  <c r="Q382" i="50873" s="1"/>
  <c r="R383" i="50873"/>
  <c r="P384" i="50873"/>
  <c r="O385" i="50873"/>
  <c r="N386" i="50873"/>
  <c r="S386" i="50873"/>
  <c r="Q386" i="50873" s="1"/>
  <c r="R387" i="50873"/>
  <c r="P388" i="50873"/>
  <c r="O389" i="50873"/>
  <c r="N390" i="50873"/>
  <c r="S390" i="50873"/>
  <c r="Q390" i="50873" s="1"/>
  <c r="R391" i="50873"/>
  <c r="P392" i="50873"/>
  <c r="O393" i="50873"/>
  <c r="N394" i="50873"/>
  <c r="S394" i="50873"/>
  <c r="Q394" i="50873" s="1"/>
  <c r="R395" i="50873"/>
  <c r="P396" i="50873"/>
  <c r="O397" i="50873"/>
  <c r="N398" i="50873"/>
  <c r="S398" i="50873"/>
  <c r="Q398" i="50873" s="1"/>
  <c r="R399" i="50873"/>
  <c r="P400" i="50873"/>
  <c r="O401" i="50873"/>
  <c r="N402" i="50873"/>
  <c r="S402" i="50873"/>
  <c r="Q402" i="50873" s="1"/>
  <c r="R403" i="50873"/>
  <c r="P404" i="50873"/>
  <c r="O405" i="50873"/>
  <c r="N406" i="50873"/>
  <c r="S406" i="50873"/>
  <c r="Q406" i="50873" s="1"/>
  <c r="R407" i="50873"/>
  <c r="P408" i="50873"/>
  <c r="O409" i="50873"/>
  <c r="N410" i="50873"/>
  <c r="S410" i="50873"/>
  <c r="Q410" i="50873" s="1"/>
  <c r="R411" i="50873"/>
  <c r="P412" i="50873"/>
  <c r="O413" i="50873"/>
  <c r="N414" i="50873"/>
  <c r="S414" i="50873"/>
  <c r="Q414" i="50873" s="1"/>
  <c r="R415" i="50873"/>
  <c r="P416" i="50873"/>
  <c r="O417" i="50873"/>
  <c r="N418" i="50873"/>
  <c r="S418" i="50873"/>
  <c r="Q418" i="50873" s="1"/>
  <c r="R419" i="50873"/>
  <c r="P420" i="50873"/>
  <c r="O421" i="50873"/>
  <c r="N422" i="50873"/>
  <c r="S422" i="50873"/>
  <c r="Q422" i="50873" s="1"/>
  <c r="R423" i="50873"/>
  <c r="P424" i="50873"/>
  <c r="O425" i="50873"/>
  <c r="N426" i="50873"/>
  <c r="S426" i="50873"/>
  <c r="Q426" i="50873" s="1"/>
  <c r="R427" i="50873"/>
  <c r="P428" i="50873"/>
  <c r="O429" i="50873"/>
  <c r="R138" i="50873"/>
  <c r="N201" i="50873"/>
  <c r="O221" i="50873"/>
  <c r="N234" i="50873"/>
  <c r="S246" i="50873"/>
  <c r="Q246" i="50873" s="1"/>
  <c r="O259" i="50873"/>
  <c r="N272" i="50873"/>
  <c r="S284" i="50873"/>
  <c r="Q284" i="50873" s="1"/>
  <c r="R297" i="50873"/>
  <c r="P310" i="50873"/>
  <c r="O323" i="50873"/>
  <c r="R329" i="50873"/>
  <c r="S332" i="50873"/>
  <c r="Q332" i="50873" s="1"/>
  <c r="N336" i="50873"/>
  <c r="O339" i="50873"/>
  <c r="P342" i="50873"/>
  <c r="R345" i="50873"/>
  <c r="S348" i="50873"/>
  <c r="Q348" i="50873" s="1"/>
  <c r="N352" i="50873"/>
  <c r="O355" i="50873"/>
  <c r="P358" i="50873"/>
  <c r="R361" i="50873"/>
  <c r="R364" i="50873"/>
  <c r="S367" i="50873"/>
  <c r="Q367" i="50873" s="1"/>
  <c r="N371" i="50873"/>
  <c r="O374" i="50873"/>
  <c r="P377" i="50873"/>
  <c r="R380" i="50873"/>
  <c r="S383" i="50873"/>
  <c r="Q383" i="50873" s="1"/>
  <c r="N387" i="50873"/>
  <c r="O390" i="50873"/>
  <c r="P393" i="50873"/>
  <c r="R396" i="50873"/>
  <c r="S399" i="50873"/>
  <c r="Q399" i="50873" s="1"/>
  <c r="N403" i="50873"/>
  <c r="O406" i="50873"/>
  <c r="P409" i="50873"/>
  <c r="R412" i="50873"/>
  <c r="S415" i="50873"/>
  <c r="Q415" i="50873" s="1"/>
  <c r="N419" i="50873"/>
  <c r="O422" i="50873"/>
  <c r="P425" i="50873"/>
  <c r="R428" i="50873"/>
  <c r="N430" i="50873"/>
  <c r="S430" i="50873"/>
  <c r="Q430" i="50873" s="1"/>
  <c r="R431" i="50873"/>
  <c r="P432" i="50873"/>
  <c r="O433" i="50873"/>
  <c r="N434" i="50873"/>
  <c r="S434" i="50873"/>
  <c r="Q434" i="50873" s="1"/>
  <c r="R435" i="50873"/>
  <c r="P436" i="50873"/>
  <c r="O437" i="50873"/>
  <c r="N438" i="50873"/>
  <c r="S438" i="50873"/>
  <c r="Q438" i="50873" s="1"/>
  <c r="R439" i="50873"/>
  <c r="P440" i="50873"/>
  <c r="O441" i="50873"/>
  <c r="N442" i="50873"/>
  <c r="S442" i="50873"/>
  <c r="Q442" i="50873" s="1"/>
  <c r="R443" i="50873"/>
  <c r="O444" i="50873"/>
  <c r="N445" i="50873"/>
  <c r="S445" i="50873"/>
  <c r="Q445" i="50873" s="1"/>
  <c r="R446" i="50873"/>
  <c r="P447" i="50873"/>
  <c r="O448" i="50873"/>
  <c r="N449" i="50873"/>
  <c r="S449" i="50873"/>
  <c r="Q449" i="50873" s="1"/>
  <c r="R450" i="50873"/>
  <c r="P451" i="50873"/>
  <c r="O452" i="50873"/>
  <c r="N453" i="50873"/>
  <c r="S453" i="50873"/>
  <c r="Q453" i="50873" s="1"/>
  <c r="R454" i="50873"/>
  <c r="P455" i="50873"/>
  <c r="O456" i="50873"/>
  <c r="N457" i="50873"/>
  <c r="S457" i="50873"/>
  <c r="Q457" i="50873" s="1"/>
  <c r="R458" i="50873"/>
  <c r="P459" i="50873"/>
  <c r="O460" i="50873"/>
  <c r="N461" i="50873"/>
  <c r="S461" i="50873"/>
  <c r="Q461" i="50873" s="1"/>
  <c r="R462" i="50873"/>
  <c r="P463" i="50873"/>
  <c r="O464" i="50873"/>
  <c r="N465" i="50873"/>
  <c r="S465" i="50873"/>
  <c r="Q465" i="50873" s="1"/>
  <c r="R466" i="50873"/>
  <c r="P467" i="50873"/>
  <c r="O468" i="50873"/>
  <c r="N469" i="50873"/>
  <c r="S469" i="50873"/>
  <c r="Q469" i="50873" s="1"/>
  <c r="R470" i="50873"/>
  <c r="P471" i="50873"/>
  <c r="O472" i="50873"/>
  <c r="N473" i="50873"/>
  <c r="S473" i="50873"/>
  <c r="Q473" i="50873" s="1"/>
  <c r="R474" i="50873"/>
  <c r="P475" i="50873"/>
  <c r="O476" i="50873"/>
  <c r="N477" i="50873"/>
  <c r="S477" i="50873"/>
  <c r="Q477" i="50873" s="1"/>
  <c r="R478" i="50873"/>
  <c r="P479" i="50873"/>
  <c r="O480" i="50873"/>
  <c r="N481" i="50873"/>
  <c r="S481" i="50873"/>
  <c r="Q481" i="50873" s="1"/>
  <c r="R482" i="50873"/>
  <c r="P483" i="50873"/>
  <c r="O484" i="50873"/>
  <c r="N485" i="50873"/>
  <c r="S485" i="50873"/>
  <c r="Q485" i="50873" s="1"/>
  <c r="R486" i="50873"/>
  <c r="P487" i="50873"/>
  <c r="O488" i="50873"/>
  <c r="N489" i="50873"/>
  <c r="S489" i="50873"/>
  <c r="Q489" i="50873" s="1"/>
  <c r="R490" i="50873"/>
  <c r="P491" i="50873"/>
  <c r="O492" i="50873"/>
  <c r="N493" i="50873"/>
  <c r="S493" i="50873"/>
  <c r="Q493" i="50873" s="1"/>
  <c r="R494" i="50873"/>
  <c r="P495" i="50873"/>
  <c r="N496" i="50873"/>
  <c r="S496" i="50873"/>
  <c r="Q496" i="50873" s="1"/>
  <c r="R497" i="50873"/>
  <c r="P498" i="50873"/>
  <c r="O499" i="50873"/>
  <c r="N500" i="50873"/>
  <c r="S500" i="50873"/>
  <c r="Q500" i="50873" s="1"/>
  <c r="R501" i="50873"/>
  <c r="P502" i="50873"/>
  <c r="O503" i="50873"/>
  <c r="N504" i="50873"/>
  <c r="S504" i="50873"/>
  <c r="Q504" i="50873" s="1"/>
  <c r="R505" i="50873"/>
  <c r="P506" i="50873"/>
  <c r="O507" i="50873"/>
  <c r="N508" i="50873"/>
  <c r="S508" i="50873"/>
  <c r="Q508" i="50873" s="1"/>
  <c r="R509" i="50873"/>
  <c r="P510" i="50873"/>
  <c r="O511" i="50873"/>
  <c r="N512" i="50873"/>
  <c r="S512" i="50873"/>
  <c r="Q512" i="50873" s="1"/>
  <c r="R513" i="50873"/>
  <c r="P514" i="50873"/>
  <c r="O515" i="50873"/>
  <c r="N516" i="50873"/>
  <c r="S516" i="50873"/>
  <c r="Q516" i="50873" s="1"/>
  <c r="R517" i="50873"/>
  <c r="P518" i="50873"/>
  <c r="O519" i="50873"/>
  <c r="N520" i="50873"/>
  <c r="S520" i="50873"/>
  <c r="Q520" i="50873" s="1"/>
  <c r="R521" i="50873"/>
  <c r="P522" i="50873"/>
  <c r="O523" i="50873"/>
  <c r="N524" i="50873"/>
  <c r="S524" i="50873"/>
  <c r="Q524" i="50873" s="1"/>
  <c r="R525" i="50873"/>
  <c r="P526" i="50873"/>
  <c r="O527" i="50873"/>
  <c r="N528" i="50873"/>
  <c r="S528" i="50873"/>
  <c r="Q528" i="50873" s="1"/>
  <c r="R529" i="50873"/>
  <c r="P530" i="50873"/>
  <c r="O531" i="50873"/>
  <c r="O166" i="50873"/>
  <c r="P207" i="50873"/>
  <c r="P224" i="50873"/>
  <c r="O237" i="50873"/>
  <c r="S249" i="50873"/>
  <c r="Q249" i="50873" s="1"/>
  <c r="P262" i="50873"/>
  <c r="O275" i="50873"/>
  <c r="N288" i="50873"/>
  <c r="S300" i="50873"/>
  <c r="Q300" i="50873" s="1"/>
  <c r="R313" i="50873"/>
  <c r="P326" i="50873"/>
  <c r="P330" i="50873"/>
  <c r="R333" i="50873"/>
  <c r="S336" i="50873"/>
  <c r="Q336" i="50873" s="1"/>
  <c r="N340" i="50873"/>
  <c r="O343" i="50873"/>
  <c r="P346" i="50873"/>
  <c r="R349" i="50873"/>
  <c r="S352" i="50873"/>
  <c r="Q352" i="50873" s="1"/>
  <c r="N356" i="50873"/>
  <c r="O359" i="50873"/>
  <c r="P362" i="50873"/>
  <c r="P365" i="50873"/>
  <c r="R368" i="50873"/>
  <c r="S371" i="50873"/>
  <c r="Q371" i="50873" s="1"/>
  <c r="N375" i="50873"/>
  <c r="O378" i="50873"/>
  <c r="P381" i="50873"/>
  <c r="R384" i="50873"/>
  <c r="S387" i="50873"/>
  <c r="Q387" i="50873" s="1"/>
  <c r="N391" i="50873"/>
  <c r="O394" i="50873"/>
  <c r="P397" i="50873"/>
  <c r="R400" i="50873"/>
  <c r="S403" i="50873"/>
  <c r="Q403" i="50873" s="1"/>
  <c r="N407" i="50873"/>
  <c r="O410" i="50873"/>
  <c r="P413" i="50873"/>
  <c r="R416" i="50873"/>
  <c r="S419" i="50873"/>
  <c r="Q419" i="50873" s="1"/>
  <c r="N423" i="50873"/>
  <c r="O426" i="50873"/>
  <c r="P429" i="50873"/>
  <c r="O430" i="50873"/>
  <c r="N431" i="50873"/>
  <c r="S431" i="50873"/>
  <c r="Q431" i="50873" s="1"/>
  <c r="R432" i="50873"/>
  <c r="P433" i="50873"/>
  <c r="O434" i="50873"/>
  <c r="N435" i="50873"/>
  <c r="S435" i="50873"/>
  <c r="Q435" i="50873" s="1"/>
  <c r="R436" i="50873"/>
  <c r="P437" i="50873"/>
  <c r="O438" i="50873"/>
  <c r="N439" i="50873"/>
  <c r="S439" i="50873"/>
  <c r="Q439" i="50873" s="1"/>
  <c r="R440" i="50873"/>
  <c r="P441" i="50873"/>
  <c r="O442" i="50873"/>
  <c r="N443" i="50873"/>
  <c r="S443" i="50873"/>
  <c r="Q443" i="50873" s="1"/>
  <c r="P444" i="50873"/>
  <c r="O445" i="50873"/>
  <c r="N446" i="50873"/>
  <c r="S446" i="50873"/>
  <c r="Q446" i="50873" s="1"/>
  <c r="R447" i="50873"/>
  <c r="P448" i="50873"/>
  <c r="O449" i="50873"/>
  <c r="N450" i="50873"/>
  <c r="S450" i="50873"/>
  <c r="Q450" i="50873" s="1"/>
  <c r="R451" i="50873"/>
  <c r="P452" i="50873"/>
  <c r="O453" i="50873"/>
  <c r="N454" i="50873"/>
  <c r="S454" i="50873"/>
  <c r="Q454" i="50873" s="1"/>
  <c r="R455" i="50873"/>
  <c r="P456" i="50873"/>
  <c r="O457" i="50873"/>
  <c r="N458" i="50873"/>
  <c r="S458" i="50873"/>
  <c r="Q458" i="50873" s="1"/>
  <c r="R459" i="50873"/>
  <c r="P460" i="50873"/>
  <c r="O461" i="50873"/>
  <c r="N462" i="50873"/>
  <c r="S462" i="50873"/>
  <c r="Q462" i="50873" s="1"/>
  <c r="R463" i="50873"/>
  <c r="P464" i="50873"/>
  <c r="O465" i="50873"/>
  <c r="N466" i="50873"/>
  <c r="S466" i="50873"/>
  <c r="Q466" i="50873" s="1"/>
  <c r="R467" i="50873"/>
  <c r="P468" i="50873"/>
  <c r="O469" i="50873"/>
  <c r="N470" i="50873"/>
  <c r="S470" i="50873"/>
  <c r="Q470" i="50873" s="1"/>
  <c r="R471" i="50873"/>
  <c r="P472" i="50873"/>
  <c r="O473" i="50873"/>
  <c r="N474" i="50873"/>
  <c r="S474" i="50873"/>
  <c r="Q474" i="50873" s="1"/>
  <c r="R475" i="50873"/>
  <c r="P476" i="50873"/>
  <c r="O477" i="50873"/>
  <c r="N478" i="50873"/>
  <c r="S478" i="50873"/>
  <c r="Q478" i="50873" s="1"/>
  <c r="R479" i="50873"/>
  <c r="P480" i="50873"/>
  <c r="O481" i="50873"/>
  <c r="N482" i="50873"/>
  <c r="S482" i="50873"/>
  <c r="Q482" i="50873" s="1"/>
  <c r="R483" i="50873"/>
  <c r="P484" i="50873"/>
  <c r="O485" i="50873"/>
  <c r="N486" i="50873"/>
  <c r="S486" i="50873"/>
  <c r="Q486" i="50873" s="1"/>
  <c r="R487" i="50873"/>
  <c r="P488" i="50873"/>
  <c r="O489" i="50873"/>
  <c r="N490" i="50873"/>
  <c r="S490" i="50873"/>
  <c r="Q490" i="50873" s="1"/>
  <c r="R491" i="50873"/>
  <c r="P492" i="50873"/>
  <c r="O493" i="50873"/>
  <c r="N494" i="50873"/>
  <c r="S494" i="50873"/>
  <c r="Q494" i="50873" s="1"/>
  <c r="R495" i="50873"/>
  <c r="O496" i="50873"/>
  <c r="N497" i="50873"/>
  <c r="S497" i="50873"/>
  <c r="Q497" i="50873" s="1"/>
  <c r="R498" i="50873"/>
  <c r="P499" i="50873"/>
  <c r="O500" i="50873"/>
  <c r="N501" i="50873"/>
  <c r="S501" i="50873"/>
  <c r="Q501" i="50873" s="1"/>
  <c r="R502" i="50873"/>
  <c r="P503" i="50873"/>
  <c r="O504" i="50873"/>
  <c r="N505" i="50873"/>
  <c r="S505" i="50873"/>
  <c r="Q505" i="50873" s="1"/>
  <c r="R506" i="50873"/>
  <c r="P507" i="50873"/>
  <c r="O508" i="50873"/>
  <c r="N509" i="50873"/>
  <c r="S509" i="50873"/>
  <c r="Q509" i="50873" s="1"/>
  <c r="R510" i="50873"/>
  <c r="P511" i="50873"/>
  <c r="O512" i="50873"/>
  <c r="N513" i="50873"/>
  <c r="S513" i="50873"/>
  <c r="Q513" i="50873" s="1"/>
  <c r="R514" i="50873"/>
  <c r="P515" i="50873"/>
  <c r="O516" i="50873"/>
  <c r="N517" i="50873"/>
  <c r="S517" i="50873"/>
  <c r="Q517" i="50873" s="1"/>
  <c r="R518" i="50873"/>
  <c r="P519" i="50873"/>
  <c r="O520" i="50873"/>
  <c r="N521" i="50873"/>
  <c r="S521" i="50873"/>
  <c r="Q521" i="50873" s="1"/>
  <c r="R522" i="50873"/>
  <c r="P523" i="50873"/>
  <c r="O524" i="50873"/>
  <c r="N525" i="50873"/>
  <c r="S525" i="50873"/>
  <c r="Q525" i="50873" s="1"/>
  <c r="R526" i="50873"/>
  <c r="P527" i="50873"/>
  <c r="O528" i="50873"/>
  <c r="N529" i="50873"/>
  <c r="S529" i="50873"/>
  <c r="Q529" i="50873" s="1"/>
  <c r="R530" i="50873"/>
  <c r="P531" i="50873"/>
  <c r="O183" i="50873"/>
  <c r="S213" i="50873"/>
  <c r="Q213" i="50873" s="1"/>
  <c r="R227" i="50873"/>
  <c r="P240" i="50873"/>
  <c r="S252" i="50873"/>
  <c r="Q252" i="50873" s="1"/>
  <c r="R265" i="50873"/>
  <c r="P278" i="50873"/>
  <c r="O291" i="50873"/>
  <c r="N304" i="50873"/>
  <c r="S316" i="50873"/>
  <c r="Q316" i="50873" s="1"/>
  <c r="N328" i="50873"/>
  <c r="O331" i="50873"/>
  <c r="P334" i="50873"/>
  <c r="R337" i="50873"/>
  <c r="S340" i="50873"/>
  <c r="Q340" i="50873" s="1"/>
  <c r="N344" i="50873"/>
  <c r="O347" i="50873"/>
  <c r="P350" i="50873"/>
  <c r="R353" i="50873"/>
  <c r="S356" i="50873"/>
  <c r="Q356" i="50873" s="1"/>
  <c r="N360" i="50873"/>
  <c r="O363" i="50873"/>
  <c r="O366" i="50873"/>
  <c r="P369" i="50873"/>
  <c r="R372" i="50873"/>
  <c r="S375" i="50873"/>
  <c r="Q375" i="50873" s="1"/>
  <c r="N379" i="50873"/>
  <c r="O382" i="50873"/>
  <c r="P385" i="50873"/>
  <c r="R388" i="50873"/>
  <c r="S391" i="50873"/>
  <c r="Q391" i="50873" s="1"/>
  <c r="N395" i="50873"/>
  <c r="O398" i="50873"/>
  <c r="P401" i="50873"/>
  <c r="R404" i="50873"/>
  <c r="S407" i="50873"/>
  <c r="Q407" i="50873" s="1"/>
  <c r="N411" i="50873"/>
  <c r="O414" i="50873"/>
  <c r="P417" i="50873"/>
  <c r="R420" i="50873"/>
  <c r="S423" i="50873"/>
  <c r="Q423" i="50873" s="1"/>
  <c r="N427" i="50873"/>
  <c r="R429" i="50873"/>
  <c r="P430" i="50873"/>
  <c r="O431" i="50873"/>
  <c r="N432" i="50873"/>
  <c r="S432" i="50873"/>
  <c r="Q432" i="50873" s="1"/>
  <c r="R433" i="50873"/>
  <c r="P434" i="50873"/>
  <c r="O435" i="50873"/>
  <c r="N436" i="50873"/>
  <c r="S436" i="50873"/>
  <c r="Q436" i="50873" s="1"/>
  <c r="R437" i="50873"/>
  <c r="P438" i="50873"/>
  <c r="O439" i="50873"/>
  <c r="N440" i="50873"/>
  <c r="S440" i="50873"/>
  <c r="Q440" i="50873" s="1"/>
  <c r="R441" i="50873"/>
  <c r="P442" i="50873"/>
  <c r="O443" i="50873"/>
  <c r="R444" i="50873"/>
  <c r="P445" i="50873"/>
  <c r="O446" i="50873"/>
  <c r="N447" i="50873"/>
  <c r="S447" i="50873"/>
  <c r="Q447" i="50873" s="1"/>
  <c r="R448" i="50873"/>
  <c r="P449" i="50873"/>
  <c r="O450" i="50873"/>
  <c r="N451" i="50873"/>
  <c r="S451" i="50873"/>
  <c r="Q451" i="50873" s="1"/>
  <c r="R452" i="50873"/>
  <c r="P453" i="50873"/>
  <c r="O454" i="50873"/>
  <c r="N455" i="50873"/>
  <c r="S455" i="50873"/>
  <c r="Q455" i="50873" s="1"/>
  <c r="R456" i="50873"/>
  <c r="P457" i="50873"/>
  <c r="O458" i="50873"/>
  <c r="N459" i="50873"/>
  <c r="S459" i="50873"/>
  <c r="Q459" i="50873" s="1"/>
  <c r="R460" i="50873"/>
  <c r="P461" i="50873"/>
  <c r="O462" i="50873"/>
  <c r="N463" i="50873"/>
  <c r="S463" i="50873"/>
  <c r="Q463" i="50873" s="1"/>
  <c r="R464" i="50873"/>
  <c r="P465" i="50873"/>
  <c r="O466" i="50873"/>
  <c r="N467" i="50873"/>
  <c r="S467" i="50873"/>
  <c r="Q467" i="50873" s="1"/>
  <c r="R468" i="50873"/>
  <c r="P469" i="50873"/>
  <c r="O470" i="50873"/>
  <c r="N471" i="50873"/>
  <c r="S471" i="50873"/>
  <c r="Q471" i="50873" s="1"/>
  <c r="R472" i="50873"/>
  <c r="P473" i="50873"/>
  <c r="O474" i="50873"/>
  <c r="N475" i="50873"/>
  <c r="S475" i="50873"/>
  <c r="Q475" i="50873" s="1"/>
  <c r="R476" i="50873"/>
  <c r="P477" i="50873"/>
  <c r="O478" i="50873"/>
  <c r="N479" i="50873"/>
  <c r="S479" i="50873"/>
  <c r="Q479" i="50873" s="1"/>
  <c r="R480" i="50873"/>
  <c r="P481" i="50873"/>
  <c r="O482" i="50873"/>
  <c r="N483" i="50873"/>
  <c r="S483" i="50873"/>
  <c r="Q483" i="50873" s="1"/>
  <c r="R484" i="50873"/>
  <c r="P485" i="50873"/>
  <c r="O486" i="50873"/>
  <c r="N487" i="50873"/>
  <c r="S487" i="50873"/>
  <c r="Q487" i="50873" s="1"/>
  <c r="R488" i="50873"/>
  <c r="P489" i="50873"/>
  <c r="O490" i="50873"/>
  <c r="N491" i="50873"/>
  <c r="S491" i="50873"/>
  <c r="Q491" i="50873" s="1"/>
  <c r="R492" i="50873"/>
  <c r="P493" i="50873"/>
  <c r="O494" i="50873"/>
  <c r="N495" i="50873"/>
  <c r="S495" i="50873"/>
  <c r="Q495" i="50873" s="1"/>
  <c r="P496" i="50873"/>
  <c r="O497" i="50873"/>
  <c r="N498" i="50873"/>
  <c r="S498" i="50873"/>
  <c r="Q498" i="50873" s="1"/>
  <c r="R499" i="50873"/>
  <c r="P500" i="50873"/>
  <c r="O501" i="50873"/>
  <c r="N502" i="50873"/>
  <c r="S502" i="50873"/>
  <c r="Q502" i="50873" s="1"/>
  <c r="R503" i="50873"/>
  <c r="P504" i="50873"/>
  <c r="O505" i="50873"/>
  <c r="N506" i="50873"/>
  <c r="S506" i="50873"/>
  <c r="Q506" i="50873" s="1"/>
  <c r="R507" i="50873"/>
  <c r="P508" i="50873"/>
  <c r="O509" i="50873"/>
  <c r="N510" i="50873"/>
  <c r="S510" i="50873"/>
  <c r="Q510" i="50873" s="1"/>
  <c r="R511" i="50873"/>
  <c r="P512" i="50873"/>
  <c r="O513" i="50873"/>
  <c r="N514" i="50873"/>
  <c r="S514" i="50873"/>
  <c r="Q514" i="50873" s="1"/>
  <c r="R515" i="50873"/>
  <c r="P516" i="50873"/>
  <c r="O517" i="50873"/>
  <c r="N518" i="50873"/>
  <c r="S518" i="50873"/>
  <c r="Q518" i="50873" s="1"/>
  <c r="R519" i="50873"/>
  <c r="P520" i="50873"/>
  <c r="O521" i="50873"/>
  <c r="N522" i="50873"/>
  <c r="S522" i="50873"/>
  <c r="Q522" i="50873" s="1"/>
  <c r="R523" i="50873"/>
  <c r="P524" i="50873"/>
  <c r="O525" i="50873"/>
  <c r="N526" i="50873"/>
  <c r="S526" i="50873"/>
  <c r="Q526" i="50873" s="1"/>
  <c r="R527" i="50873"/>
  <c r="P528" i="50873"/>
  <c r="O529" i="50873"/>
  <c r="N530" i="50873"/>
  <c r="S530" i="50873"/>
  <c r="Q530" i="50873" s="1"/>
  <c r="R194" i="50873"/>
  <c r="N256" i="50873"/>
  <c r="O307" i="50873"/>
  <c r="O335" i="50873"/>
  <c r="N348" i="50873"/>
  <c r="S360" i="50873"/>
  <c r="Q360" i="50873" s="1"/>
  <c r="P373" i="50873"/>
  <c r="O386" i="50873"/>
  <c r="N399" i="50873"/>
  <c r="S411" i="50873"/>
  <c r="Q411" i="50873" s="1"/>
  <c r="R424" i="50873"/>
  <c r="P431" i="50873"/>
  <c r="R434" i="50873"/>
  <c r="S437" i="50873"/>
  <c r="Q437" i="50873" s="1"/>
  <c r="N441" i="50873"/>
  <c r="N444" i="50873"/>
  <c r="O447" i="50873"/>
  <c r="P450" i="50873"/>
  <c r="R453" i="50873"/>
  <c r="S456" i="50873"/>
  <c r="Q456" i="50873" s="1"/>
  <c r="N460" i="50873"/>
  <c r="O463" i="50873"/>
  <c r="P466" i="50873"/>
  <c r="R469" i="50873"/>
  <c r="S472" i="50873"/>
  <c r="Q472" i="50873" s="1"/>
  <c r="N476" i="50873"/>
  <c r="O479" i="50873"/>
  <c r="P482" i="50873"/>
  <c r="R485" i="50873"/>
  <c r="S488" i="50873"/>
  <c r="Q488" i="50873" s="1"/>
  <c r="N492" i="50873"/>
  <c r="O495" i="50873"/>
  <c r="O498" i="50873"/>
  <c r="P501" i="50873"/>
  <c r="R504" i="50873"/>
  <c r="S507" i="50873"/>
  <c r="Q507" i="50873" s="1"/>
  <c r="N511" i="50873"/>
  <c r="O514" i="50873"/>
  <c r="P517" i="50873"/>
  <c r="R520" i="50873"/>
  <c r="S523" i="50873"/>
  <c r="Q523" i="50873" s="1"/>
  <c r="N527" i="50873"/>
  <c r="O530" i="50873"/>
  <c r="N532" i="50873"/>
  <c r="S532" i="50873"/>
  <c r="Q532" i="50873" s="1"/>
  <c r="R533" i="50873"/>
  <c r="P534" i="50873"/>
  <c r="O535" i="50873"/>
  <c r="N536" i="50873"/>
  <c r="S536" i="50873"/>
  <c r="Q536" i="50873" s="1"/>
  <c r="R537" i="50873"/>
  <c r="P538" i="50873"/>
  <c r="O539" i="50873"/>
  <c r="N540" i="50873"/>
  <c r="S540" i="50873"/>
  <c r="Q540" i="50873" s="1"/>
  <c r="R541" i="50873"/>
  <c r="P542" i="50873"/>
  <c r="O543" i="50873"/>
  <c r="N544" i="50873"/>
  <c r="S544" i="50873"/>
  <c r="Q544" i="50873" s="1"/>
  <c r="R545" i="50873"/>
  <c r="P546" i="50873"/>
  <c r="O547" i="50873"/>
  <c r="N548" i="50873"/>
  <c r="S548" i="50873"/>
  <c r="Q548" i="50873" s="1"/>
  <c r="R549" i="50873"/>
  <c r="P550" i="50873"/>
  <c r="O551" i="50873"/>
  <c r="N552" i="50873"/>
  <c r="S552" i="50873"/>
  <c r="Q552" i="50873" s="1"/>
  <c r="R553" i="50873"/>
  <c r="P554" i="50873"/>
  <c r="O555" i="50873"/>
  <c r="N556" i="50873"/>
  <c r="S556" i="50873"/>
  <c r="Q556" i="50873" s="1"/>
  <c r="R557" i="50873"/>
  <c r="P558" i="50873"/>
  <c r="O559" i="50873"/>
  <c r="N560" i="50873"/>
  <c r="S560" i="50873"/>
  <c r="Q560" i="50873" s="1"/>
  <c r="R561" i="50873"/>
  <c r="P562" i="50873"/>
  <c r="O563" i="50873"/>
  <c r="N564" i="50873"/>
  <c r="S564" i="50873"/>
  <c r="Q564" i="50873" s="1"/>
  <c r="R565" i="50873"/>
  <c r="P566" i="50873"/>
  <c r="O567" i="50873"/>
  <c r="N568" i="50873"/>
  <c r="S568" i="50873"/>
  <c r="Q568" i="50873" s="1"/>
  <c r="R569" i="50873"/>
  <c r="P570" i="50873"/>
  <c r="O571" i="50873"/>
  <c r="N572" i="50873"/>
  <c r="S572" i="50873"/>
  <c r="Q572" i="50873" s="1"/>
  <c r="R573" i="50873"/>
  <c r="P574" i="50873"/>
  <c r="O575" i="50873"/>
  <c r="N576" i="50873"/>
  <c r="S576" i="50873"/>
  <c r="Q576" i="50873" s="1"/>
  <c r="R577" i="50873"/>
  <c r="P578" i="50873"/>
  <c r="O579" i="50873"/>
  <c r="N580" i="50873"/>
  <c r="S580" i="50873"/>
  <c r="Q580" i="50873" s="1"/>
  <c r="R581" i="50873"/>
  <c r="P582" i="50873"/>
  <c r="O583" i="50873"/>
  <c r="N584" i="50873"/>
  <c r="S584" i="50873"/>
  <c r="Q584" i="50873" s="1"/>
  <c r="R585" i="50873"/>
  <c r="P586" i="50873"/>
  <c r="O587" i="50873"/>
  <c r="N588" i="50873"/>
  <c r="S588" i="50873"/>
  <c r="Q588" i="50873" s="1"/>
  <c r="R589" i="50873"/>
  <c r="P590" i="50873"/>
  <c r="O591" i="50873"/>
  <c r="N592" i="50873"/>
  <c r="S592" i="50873"/>
  <c r="Q592" i="50873" s="1"/>
  <c r="R593" i="50873"/>
  <c r="P594" i="50873"/>
  <c r="O595" i="50873"/>
  <c r="N596" i="50873"/>
  <c r="S596" i="50873"/>
  <c r="Q596" i="50873" s="1"/>
  <c r="R597" i="50873"/>
  <c r="P598" i="50873"/>
  <c r="O599" i="50873"/>
  <c r="N600" i="50873"/>
  <c r="S600" i="50873"/>
  <c r="Q600" i="50873" s="1"/>
  <c r="R601" i="50873"/>
  <c r="P602" i="50873"/>
  <c r="O603" i="50873"/>
  <c r="N604" i="50873"/>
  <c r="S604" i="50873"/>
  <c r="Q604" i="50873" s="1"/>
  <c r="R605" i="50873"/>
  <c r="P606" i="50873"/>
  <c r="O607" i="50873"/>
  <c r="N608" i="50873"/>
  <c r="S608" i="50873"/>
  <c r="Q608" i="50873" s="1"/>
  <c r="R609" i="50873"/>
  <c r="P610" i="50873"/>
  <c r="O611" i="50873"/>
  <c r="N612" i="50873"/>
  <c r="S612" i="50873"/>
  <c r="Q612" i="50873" s="1"/>
  <c r="R613" i="50873"/>
  <c r="P614" i="50873"/>
  <c r="O615" i="50873"/>
  <c r="N616" i="50873"/>
  <c r="S616" i="50873"/>
  <c r="Q616" i="50873" s="1"/>
  <c r="R617" i="50873"/>
  <c r="P618" i="50873"/>
  <c r="O619" i="50873"/>
  <c r="N620" i="50873"/>
  <c r="S620" i="50873"/>
  <c r="Q620" i="50873" s="1"/>
  <c r="R621" i="50873"/>
  <c r="P622" i="50873"/>
  <c r="O623" i="50873"/>
  <c r="N624" i="50873"/>
  <c r="S624" i="50873"/>
  <c r="Q624" i="50873" s="1"/>
  <c r="R625" i="50873"/>
  <c r="P626" i="50873"/>
  <c r="O627" i="50873"/>
  <c r="N628" i="50873"/>
  <c r="S628" i="50873"/>
  <c r="Q628" i="50873" s="1"/>
  <c r="R629" i="50873"/>
  <c r="P630" i="50873"/>
  <c r="O631" i="50873"/>
  <c r="N632" i="50873"/>
  <c r="S632" i="50873"/>
  <c r="Q632" i="50873" s="1"/>
  <c r="R633" i="50873"/>
  <c r="P634" i="50873"/>
  <c r="O635" i="50873"/>
  <c r="N636" i="50873"/>
  <c r="S636" i="50873"/>
  <c r="Q636" i="50873" s="1"/>
  <c r="R637" i="50873"/>
  <c r="P638" i="50873"/>
  <c r="O639" i="50873"/>
  <c r="N640" i="50873"/>
  <c r="S640" i="50873"/>
  <c r="Q640" i="50873" s="1"/>
  <c r="R641" i="50873"/>
  <c r="P642" i="50873"/>
  <c r="O643" i="50873"/>
  <c r="N644" i="50873"/>
  <c r="S644" i="50873"/>
  <c r="Q644" i="50873" s="1"/>
  <c r="R645" i="50873"/>
  <c r="P646" i="50873"/>
  <c r="O647" i="50873"/>
  <c r="N648" i="50873"/>
  <c r="S648" i="50873"/>
  <c r="Q648" i="50873" s="1"/>
  <c r="R649" i="50873"/>
  <c r="P650" i="50873"/>
  <c r="O651" i="50873"/>
  <c r="N652" i="50873"/>
  <c r="S652" i="50873"/>
  <c r="Q652" i="50873" s="1"/>
  <c r="R653" i="50873"/>
  <c r="P654" i="50873"/>
  <c r="O655" i="50873"/>
  <c r="N656" i="50873"/>
  <c r="S656" i="50873"/>
  <c r="Q656" i="50873" s="1"/>
  <c r="R657" i="50873"/>
  <c r="P658" i="50873"/>
  <c r="O659" i="50873"/>
  <c r="N660" i="50873"/>
  <c r="S660" i="50873"/>
  <c r="Q660" i="50873" s="1"/>
  <c r="R661" i="50873"/>
  <c r="P662" i="50873"/>
  <c r="O663" i="50873"/>
  <c r="N664" i="50873"/>
  <c r="S664" i="50873"/>
  <c r="Q664" i="50873" s="1"/>
  <c r="R665" i="50873"/>
  <c r="P666" i="50873"/>
  <c r="O667" i="50873"/>
  <c r="N668" i="50873"/>
  <c r="S668" i="50873"/>
  <c r="Q668" i="50873" s="1"/>
  <c r="R669" i="50873"/>
  <c r="P670" i="50873"/>
  <c r="O671" i="50873"/>
  <c r="N672" i="50873"/>
  <c r="S672" i="50873"/>
  <c r="Q672" i="50873" s="1"/>
  <c r="R673" i="50873"/>
  <c r="P674" i="50873"/>
  <c r="O675" i="50873"/>
  <c r="N676" i="50873"/>
  <c r="S676" i="50873"/>
  <c r="Q676" i="50873" s="1"/>
  <c r="R677" i="50873"/>
  <c r="P678" i="50873"/>
  <c r="O679" i="50873"/>
  <c r="N680" i="50873"/>
  <c r="S680" i="50873"/>
  <c r="Q680" i="50873" s="1"/>
  <c r="R681" i="50873"/>
  <c r="P682" i="50873"/>
  <c r="O683" i="50873"/>
  <c r="N684" i="50873"/>
  <c r="S684" i="50873"/>
  <c r="Q684" i="50873" s="1"/>
  <c r="R685" i="50873"/>
  <c r="P686" i="50873"/>
  <c r="O687" i="50873"/>
  <c r="N688" i="50873"/>
  <c r="S688" i="50873"/>
  <c r="Q688" i="50873" s="1"/>
  <c r="R689" i="50873"/>
  <c r="P690" i="50873"/>
  <c r="O691" i="50873"/>
  <c r="N692" i="50873"/>
  <c r="S692" i="50873"/>
  <c r="Q692" i="50873" s="1"/>
  <c r="R693" i="50873"/>
  <c r="P694" i="50873"/>
  <c r="O695" i="50873"/>
  <c r="N696" i="50873"/>
  <c r="S696" i="50873"/>
  <c r="Q696" i="50873" s="1"/>
  <c r="R697" i="50873"/>
  <c r="P698" i="50873"/>
  <c r="O699" i="50873"/>
  <c r="N700" i="50873"/>
  <c r="S700" i="50873"/>
  <c r="Q700" i="50873" s="1"/>
  <c r="R701" i="50873"/>
  <c r="P702" i="50873"/>
  <c r="O703" i="50873"/>
  <c r="N704" i="50873"/>
  <c r="S704" i="50873"/>
  <c r="Q704" i="50873" s="1"/>
  <c r="R705" i="50873"/>
  <c r="P706" i="50873"/>
  <c r="O707" i="50873"/>
  <c r="N708" i="50873"/>
  <c r="S708" i="50873"/>
  <c r="Q708" i="50873" s="1"/>
  <c r="R709" i="50873"/>
  <c r="P710" i="50873"/>
  <c r="O711" i="50873"/>
  <c r="N712" i="50873"/>
  <c r="S712" i="50873"/>
  <c r="Q712" i="50873" s="1"/>
  <c r="R713" i="50873"/>
  <c r="P714" i="50873"/>
  <c r="O715" i="50873"/>
  <c r="N716" i="50873"/>
  <c r="S716" i="50873"/>
  <c r="Q716" i="50873" s="1"/>
  <c r="R717" i="50873"/>
  <c r="P718" i="50873"/>
  <c r="O719" i="50873"/>
  <c r="N720" i="50873"/>
  <c r="S720" i="50873"/>
  <c r="Q720" i="50873" s="1"/>
  <c r="R721" i="50873"/>
  <c r="R722" i="50873"/>
  <c r="R23" i="50873"/>
  <c r="P23" i="50873"/>
  <c r="N456" i="50873"/>
  <c r="N472" i="50873"/>
  <c r="R481" i="50873"/>
  <c r="O491" i="50873"/>
  <c r="P497" i="50873"/>
  <c r="N507" i="50873"/>
  <c r="R516" i="50873"/>
  <c r="N523" i="50873"/>
  <c r="S531" i="50873"/>
  <c r="Q531" i="50873" s="1"/>
  <c r="P533" i="50873"/>
  <c r="S535" i="50873"/>
  <c r="Q535" i="50873" s="1"/>
  <c r="O538" i="50873"/>
  <c r="P541" i="50873"/>
  <c r="S543" i="50873"/>
  <c r="Q543" i="50873" s="1"/>
  <c r="P545" i="50873"/>
  <c r="S547" i="50873"/>
  <c r="Q547" i="50873" s="1"/>
  <c r="O550" i="50873"/>
  <c r="S551" i="50873"/>
  <c r="Q551" i="50873" s="1"/>
  <c r="O554" i="50873"/>
  <c r="R556" i="50873"/>
  <c r="N559" i="50873"/>
  <c r="O562" i="50873"/>
  <c r="S563" i="50873"/>
  <c r="Q563" i="50873" s="1"/>
  <c r="O566" i="50873"/>
  <c r="R568" i="50873"/>
  <c r="N571" i="50873"/>
  <c r="R572" i="50873"/>
  <c r="N575" i="50873"/>
  <c r="P577" i="50873"/>
  <c r="S579" i="50873"/>
  <c r="Q579" i="50873" s="1"/>
  <c r="P581" i="50873"/>
  <c r="S583" i="50873"/>
  <c r="Q583" i="50873" s="1"/>
  <c r="O586" i="50873"/>
  <c r="R588" i="50873"/>
  <c r="N591" i="50873"/>
  <c r="P593" i="50873"/>
  <c r="P597" i="50873"/>
  <c r="S599" i="50873"/>
  <c r="Q599" i="50873" s="1"/>
  <c r="O602" i="50873"/>
  <c r="R604" i="50873"/>
  <c r="O606" i="50873"/>
  <c r="R608" i="50873"/>
  <c r="N611" i="50873"/>
  <c r="P613" i="50873"/>
  <c r="N218" i="50873"/>
  <c r="S268" i="50873"/>
  <c r="Q268" i="50873" s="1"/>
  <c r="N320" i="50873"/>
  <c r="P338" i="50873"/>
  <c r="O351" i="50873"/>
  <c r="R376" i="50873"/>
  <c r="P389" i="50873"/>
  <c r="O402" i="50873"/>
  <c r="N415" i="50873"/>
  <c r="S427" i="50873"/>
  <c r="Q427" i="50873" s="1"/>
  <c r="O432" i="50873"/>
  <c r="P435" i="50873"/>
  <c r="R438" i="50873"/>
  <c r="S441" i="50873"/>
  <c r="Q441" i="50873" s="1"/>
  <c r="S444" i="50873"/>
  <c r="Q444" i="50873" s="1"/>
  <c r="N448" i="50873"/>
  <c r="O451" i="50873"/>
  <c r="P454" i="50873"/>
  <c r="R457" i="50873"/>
  <c r="S460" i="50873"/>
  <c r="Q460" i="50873" s="1"/>
  <c r="N464" i="50873"/>
  <c r="O467" i="50873"/>
  <c r="P470" i="50873"/>
  <c r="R473" i="50873"/>
  <c r="S476" i="50873"/>
  <c r="Q476" i="50873" s="1"/>
  <c r="N480" i="50873"/>
  <c r="O483" i="50873"/>
  <c r="P486" i="50873"/>
  <c r="R489" i="50873"/>
  <c r="S492" i="50873"/>
  <c r="Q492" i="50873" s="1"/>
  <c r="N499" i="50873"/>
  <c r="O502" i="50873"/>
  <c r="P505" i="50873"/>
  <c r="R508" i="50873"/>
  <c r="S511" i="50873"/>
  <c r="Q511" i="50873" s="1"/>
  <c r="N515" i="50873"/>
  <c r="O518" i="50873"/>
  <c r="P521" i="50873"/>
  <c r="R524" i="50873"/>
  <c r="S527" i="50873"/>
  <c r="Q527" i="50873" s="1"/>
  <c r="N531" i="50873"/>
  <c r="O532" i="50873"/>
  <c r="N533" i="50873"/>
  <c r="S533" i="50873"/>
  <c r="Q533" i="50873" s="1"/>
  <c r="R534" i="50873"/>
  <c r="P535" i="50873"/>
  <c r="O536" i="50873"/>
  <c r="N537" i="50873"/>
  <c r="S537" i="50873"/>
  <c r="Q537" i="50873" s="1"/>
  <c r="R538" i="50873"/>
  <c r="P539" i="50873"/>
  <c r="O540" i="50873"/>
  <c r="N541" i="50873"/>
  <c r="S541" i="50873"/>
  <c r="Q541" i="50873" s="1"/>
  <c r="R542" i="50873"/>
  <c r="P543" i="50873"/>
  <c r="O544" i="50873"/>
  <c r="N545" i="50873"/>
  <c r="S545" i="50873"/>
  <c r="Q545" i="50873" s="1"/>
  <c r="R546" i="50873"/>
  <c r="P547" i="50873"/>
  <c r="O548" i="50873"/>
  <c r="N549" i="50873"/>
  <c r="S549" i="50873"/>
  <c r="Q549" i="50873" s="1"/>
  <c r="R550" i="50873"/>
  <c r="P551" i="50873"/>
  <c r="O552" i="50873"/>
  <c r="N553" i="50873"/>
  <c r="S553" i="50873"/>
  <c r="Q553" i="50873" s="1"/>
  <c r="R554" i="50873"/>
  <c r="P555" i="50873"/>
  <c r="O556" i="50873"/>
  <c r="N557" i="50873"/>
  <c r="S557" i="50873"/>
  <c r="Q557" i="50873" s="1"/>
  <c r="R558" i="50873"/>
  <c r="P559" i="50873"/>
  <c r="O560" i="50873"/>
  <c r="N561" i="50873"/>
  <c r="S561" i="50873"/>
  <c r="Q561" i="50873" s="1"/>
  <c r="R562" i="50873"/>
  <c r="P563" i="50873"/>
  <c r="O564" i="50873"/>
  <c r="N565" i="50873"/>
  <c r="S565" i="50873"/>
  <c r="Q565" i="50873" s="1"/>
  <c r="R566" i="50873"/>
  <c r="P567" i="50873"/>
  <c r="O568" i="50873"/>
  <c r="N569" i="50873"/>
  <c r="S569" i="50873"/>
  <c r="Q569" i="50873" s="1"/>
  <c r="R570" i="50873"/>
  <c r="P571" i="50873"/>
  <c r="O572" i="50873"/>
  <c r="N573" i="50873"/>
  <c r="S573" i="50873"/>
  <c r="Q573" i="50873" s="1"/>
  <c r="R574" i="50873"/>
  <c r="P575" i="50873"/>
  <c r="O576" i="50873"/>
  <c r="N577" i="50873"/>
  <c r="S577" i="50873"/>
  <c r="Q577" i="50873" s="1"/>
  <c r="R578" i="50873"/>
  <c r="P579" i="50873"/>
  <c r="O580" i="50873"/>
  <c r="N581" i="50873"/>
  <c r="S581" i="50873"/>
  <c r="Q581" i="50873" s="1"/>
  <c r="R582" i="50873"/>
  <c r="P583" i="50873"/>
  <c r="O584" i="50873"/>
  <c r="N585" i="50873"/>
  <c r="S585" i="50873"/>
  <c r="Q585" i="50873" s="1"/>
  <c r="R586" i="50873"/>
  <c r="P587" i="50873"/>
  <c r="O588" i="50873"/>
  <c r="N589" i="50873"/>
  <c r="S589" i="50873"/>
  <c r="Q589" i="50873" s="1"/>
  <c r="R590" i="50873"/>
  <c r="P591" i="50873"/>
  <c r="O592" i="50873"/>
  <c r="N593" i="50873"/>
  <c r="S593" i="50873"/>
  <c r="Q593" i="50873" s="1"/>
  <c r="R594" i="50873"/>
  <c r="P595" i="50873"/>
  <c r="O596" i="50873"/>
  <c r="N597" i="50873"/>
  <c r="S597" i="50873"/>
  <c r="Q597" i="50873" s="1"/>
  <c r="R598" i="50873"/>
  <c r="P599" i="50873"/>
  <c r="O600" i="50873"/>
  <c r="N601" i="50873"/>
  <c r="S601" i="50873"/>
  <c r="Q601" i="50873" s="1"/>
  <c r="R602" i="50873"/>
  <c r="P603" i="50873"/>
  <c r="O604" i="50873"/>
  <c r="N605" i="50873"/>
  <c r="S605" i="50873"/>
  <c r="Q605" i="50873" s="1"/>
  <c r="R606" i="50873"/>
  <c r="P607" i="50873"/>
  <c r="O608" i="50873"/>
  <c r="N609" i="50873"/>
  <c r="S609" i="50873"/>
  <c r="Q609" i="50873" s="1"/>
  <c r="R610" i="50873"/>
  <c r="P611" i="50873"/>
  <c r="O612" i="50873"/>
  <c r="N613" i="50873"/>
  <c r="S613" i="50873"/>
  <c r="Q613" i="50873" s="1"/>
  <c r="R614" i="50873"/>
  <c r="P615" i="50873"/>
  <c r="O616" i="50873"/>
  <c r="N617" i="50873"/>
  <c r="S617" i="50873"/>
  <c r="Q617" i="50873" s="1"/>
  <c r="R618" i="50873"/>
  <c r="P619" i="50873"/>
  <c r="O620" i="50873"/>
  <c r="N621" i="50873"/>
  <c r="S621" i="50873"/>
  <c r="Q621" i="50873" s="1"/>
  <c r="R622" i="50873"/>
  <c r="P623" i="50873"/>
  <c r="O624" i="50873"/>
  <c r="N625" i="50873"/>
  <c r="S625" i="50873"/>
  <c r="Q625" i="50873" s="1"/>
  <c r="R626" i="50873"/>
  <c r="P627" i="50873"/>
  <c r="O628" i="50873"/>
  <c r="N629" i="50873"/>
  <c r="S629" i="50873"/>
  <c r="Q629" i="50873" s="1"/>
  <c r="R630" i="50873"/>
  <c r="P631" i="50873"/>
  <c r="O632" i="50873"/>
  <c r="N633" i="50873"/>
  <c r="S633" i="50873"/>
  <c r="Q633" i="50873" s="1"/>
  <c r="R634" i="50873"/>
  <c r="P635" i="50873"/>
  <c r="O636" i="50873"/>
  <c r="N637" i="50873"/>
  <c r="S637" i="50873"/>
  <c r="Q637" i="50873" s="1"/>
  <c r="R638" i="50873"/>
  <c r="P639" i="50873"/>
  <c r="O640" i="50873"/>
  <c r="N641" i="50873"/>
  <c r="S641" i="50873"/>
  <c r="Q641" i="50873" s="1"/>
  <c r="R642" i="50873"/>
  <c r="P643" i="50873"/>
  <c r="O644" i="50873"/>
  <c r="N645" i="50873"/>
  <c r="S645" i="50873"/>
  <c r="Q645" i="50873" s="1"/>
  <c r="R646" i="50873"/>
  <c r="P647" i="50873"/>
  <c r="O648" i="50873"/>
  <c r="N649" i="50873"/>
  <c r="S649" i="50873"/>
  <c r="Q649" i="50873" s="1"/>
  <c r="R650" i="50873"/>
  <c r="P651" i="50873"/>
  <c r="O652" i="50873"/>
  <c r="N653" i="50873"/>
  <c r="S653" i="50873"/>
  <c r="Q653" i="50873" s="1"/>
  <c r="R654" i="50873"/>
  <c r="P655" i="50873"/>
  <c r="O656" i="50873"/>
  <c r="N657" i="50873"/>
  <c r="S657" i="50873"/>
  <c r="Q657" i="50873" s="1"/>
  <c r="R658" i="50873"/>
  <c r="P659" i="50873"/>
  <c r="O660" i="50873"/>
  <c r="N661" i="50873"/>
  <c r="S661" i="50873"/>
  <c r="Q661" i="50873" s="1"/>
  <c r="R662" i="50873"/>
  <c r="P663" i="50873"/>
  <c r="O664" i="50873"/>
  <c r="N665" i="50873"/>
  <c r="S665" i="50873"/>
  <c r="Q665" i="50873" s="1"/>
  <c r="R666" i="50873"/>
  <c r="P667" i="50873"/>
  <c r="O668" i="50873"/>
  <c r="N669" i="50873"/>
  <c r="S669" i="50873"/>
  <c r="Q669" i="50873" s="1"/>
  <c r="R670" i="50873"/>
  <c r="P671" i="50873"/>
  <c r="O672" i="50873"/>
  <c r="N673" i="50873"/>
  <c r="S673" i="50873"/>
  <c r="Q673" i="50873" s="1"/>
  <c r="R674" i="50873"/>
  <c r="P675" i="50873"/>
  <c r="O676" i="50873"/>
  <c r="N677" i="50873"/>
  <c r="S677" i="50873"/>
  <c r="Q677" i="50873" s="1"/>
  <c r="R678" i="50873"/>
  <c r="P679" i="50873"/>
  <c r="O680" i="50873"/>
  <c r="N681" i="50873"/>
  <c r="S681" i="50873"/>
  <c r="Q681" i="50873" s="1"/>
  <c r="R682" i="50873"/>
  <c r="P683" i="50873"/>
  <c r="O684" i="50873"/>
  <c r="N685" i="50873"/>
  <c r="S685" i="50873"/>
  <c r="Q685" i="50873" s="1"/>
  <c r="R686" i="50873"/>
  <c r="P687" i="50873"/>
  <c r="O688" i="50873"/>
  <c r="N689" i="50873"/>
  <c r="S689" i="50873"/>
  <c r="Q689" i="50873" s="1"/>
  <c r="R690" i="50873"/>
  <c r="P691" i="50873"/>
  <c r="O692" i="50873"/>
  <c r="N693" i="50873"/>
  <c r="S693" i="50873"/>
  <c r="Q693" i="50873" s="1"/>
  <c r="R694" i="50873"/>
  <c r="P695" i="50873"/>
  <c r="O696" i="50873"/>
  <c r="N697" i="50873"/>
  <c r="S697" i="50873"/>
  <c r="Q697" i="50873" s="1"/>
  <c r="R698" i="50873"/>
  <c r="P699" i="50873"/>
  <c r="O700" i="50873"/>
  <c r="N701" i="50873"/>
  <c r="S701" i="50873"/>
  <c r="Q701" i="50873" s="1"/>
  <c r="R702" i="50873"/>
  <c r="P703" i="50873"/>
  <c r="O704" i="50873"/>
  <c r="N705" i="50873"/>
  <c r="S705" i="50873"/>
  <c r="Q705" i="50873" s="1"/>
  <c r="R706" i="50873"/>
  <c r="P707" i="50873"/>
  <c r="O708" i="50873"/>
  <c r="N709" i="50873"/>
  <c r="S709" i="50873"/>
  <c r="Q709" i="50873" s="1"/>
  <c r="R710" i="50873"/>
  <c r="P711" i="50873"/>
  <c r="O712" i="50873"/>
  <c r="N713" i="50873"/>
  <c r="S713" i="50873"/>
  <c r="Q713" i="50873" s="1"/>
  <c r="R714" i="50873"/>
  <c r="P715" i="50873"/>
  <c r="O716" i="50873"/>
  <c r="N717" i="50873"/>
  <c r="S717" i="50873"/>
  <c r="Q717" i="50873" s="1"/>
  <c r="R718" i="50873"/>
  <c r="P719" i="50873"/>
  <c r="O720" i="50873"/>
  <c r="N721" i="50873"/>
  <c r="S721" i="50873"/>
  <c r="Q721" i="50873" s="1"/>
  <c r="S722" i="50873"/>
  <c r="Q722" i="50873" s="1"/>
  <c r="N27" i="50873"/>
  <c r="N23" i="50873"/>
  <c r="P294" i="50873"/>
  <c r="S344" i="50873"/>
  <c r="Q344" i="50873" s="1"/>
  <c r="O370" i="50873"/>
  <c r="S395" i="50873"/>
  <c r="Q395" i="50873" s="1"/>
  <c r="R430" i="50873"/>
  <c r="N437" i="50873"/>
  <c r="P443" i="50873"/>
  <c r="R449" i="50873"/>
  <c r="O459" i="50873"/>
  <c r="R465" i="50873"/>
  <c r="O475" i="50873"/>
  <c r="S484" i="50873"/>
  <c r="Q484" i="50873" s="1"/>
  <c r="R500" i="50873"/>
  <c r="O510" i="50873"/>
  <c r="O526" i="50873"/>
  <c r="R532" i="50873"/>
  <c r="N535" i="50873"/>
  <c r="P537" i="50873"/>
  <c r="S539" i="50873"/>
  <c r="Q539" i="50873" s="1"/>
  <c r="N543" i="50873"/>
  <c r="O546" i="50873"/>
  <c r="P549" i="50873"/>
  <c r="R552" i="50873"/>
  <c r="N555" i="50873"/>
  <c r="P557" i="50873"/>
  <c r="S559" i="50873"/>
  <c r="Q559" i="50873" s="1"/>
  <c r="P561" i="50873"/>
  <c r="R564" i="50873"/>
  <c r="N567" i="50873"/>
  <c r="P569" i="50873"/>
  <c r="P573" i="50873"/>
  <c r="S575" i="50873"/>
  <c r="Q575" i="50873" s="1"/>
  <c r="O578" i="50873"/>
  <c r="R580" i="50873"/>
  <c r="N583" i="50873"/>
  <c r="P585" i="50873"/>
  <c r="S587" i="50873"/>
  <c r="Q587" i="50873" s="1"/>
  <c r="O590" i="50873"/>
  <c r="R592" i="50873"/>
  <c r="O594" i="50873"/>
  <c r="S595" i="50873"/>
  <c r="Q595" i="50873" s="1"/>
  <c r="O598" i="50873"/>
  <c r="R600" i="50873"/>
  <c r="N603" i="50873"/>
  <c r="P605" i="50873"/>
  <c r="S607" i="50873"/>
  <c r="Q607" i="50873" s="1"/>
  <c r="O610" i="50873"/>
  <c r="R612" i="50873"/>
  <c r="S230" i="50873"/>
  <c r="Q230" i="50873" s="1"/>
  <c r="R281" i="50873"/>
  <c r="S328" i="50873"/>
  <c r="Q328" i="50873" s="1"/>
  <c r="R341" i="50873"/>
  <c r="P354" i="50873"/>
  <c r="N367" i="50873"/>
  <c r="S379" i="50873"/>
  <c r="Q379" i="50873" s="1"/>
  <c r="R392" i="50873"/>
  <c r="P405" i="50873"/>
  <c r="O418" i="50873"/>
  <c r="S429" i="50873"/>
  <c r="Q429" i="50873" s="1"/>
  <c r="N433" i="50873"/>
  <c r="O436" i="50873"/>
  <c r="P439" i="50873"/>
  <c r="R442" i="50873"/>
  <c r="R445" i="50873"/>
  <c r="S448" i="50873"/>
  <c r="Q448" i="50873" s="1"/>
  <c r="N452" i="50873"/>
  <c r="O455" i="50873"/>
  <c r="P458" i="50873"/>
  <c r="R461" i="50873"/>
  <c r="S464" i="50873"/>
  <c r="Q464" i="50873" s="1"/>
  <c r="N468" i="50873"/>
  <c r="O471" i="50873"/>
  <c r="P474" i="50873"/>
  <c r="R477" i="50873"/>
  <c r="S480" i="50873"/>
  <c r="Q480" i="50873" s="1"/>
  <c r="N484" i="50873"/>
  <c r="O487" i="50873"/>
  <c r="P490" i="50873"/>
  <c r="R493" i="50873"/>
  <c r="R496" i="50873"/>
  <c r="S499" i="50873"/>
  <c r="Q499" i="50873" s="1"/>
  <c r="N503" i="50873"/>
  <c r="O506" i="50873"/>
  <c r="P509" i="50873"/>
  <c r="R512" i="50873"/>
  <c r="S515" i="50873"/>
  <c r="Q515" i="50873" s="1"/>
  <c r="N519" i="50873"/>
  <c r="O522" i="50873"/>
  <c r="P525" i="50873"/>
  <c r="R528" i="50873"/>
  <c r="R531" i="50873"/>
  <c r="P532" i="50873"/>
  <c r="O533" i="50873"/>
  <c r="N534" i="50873"/>
  <c r="S534" i="50873"/>
  <c r="Q534" i="50873" s="1"/>
  <c r="R535" i="50873"/>
  <c r="P536" i="50873"/>
  <c r="O537" i="50873"/>
  <c r="N538" i="50873"/>
  <c r="S538" i="50873"/>
  <c r="Q538" i="50873" s="1"/>
  <c r="R539" i="50873"/>
  <c r="P540" i="50873"/>
  <c r="O541" i="50873"/>
  <c r="N542" i="50873"/>
  <c r="S542" i="50873"/>
  <c r="Q542" i="50873" s="1"/>
  <c r="R543" i="50873"/>
  <c r="P544" i="50873"/>
  <c r="O545" i="50873"/>
  <c r="N546" i="50873"/>
  <c r="S546" i="50873"/>
  <c r="Q546" i="50873" s="1"/>
  <c r="R547" i="50873"/>
  <c r="P548" i="50873"/>
  <c r="O549" i="50873"/>
  <c r="N550" i="50873"/>
  <c r="S550" i="50873"/>
  <c r="Q550" i="50873" s="1"/>
  <c r="R551" i="50873"/>
  <c r="P552" i="50873"/>
  <c r="O553" i="50873"/>
  <c r="N554" i="50873"/>
  <c r="S554" i="50873"/>
  <c r="Q554" i="50873" s="1"/>
  <c r="R555" i="50873"/>
  <c r="P556" i="50873"/>
  <c r="O557" i="50873"/>
  <c r="N558" i="50873"/>
  <c r="S558" i="50873"/>
  <c r="Q558" i="50873" s="1"/>
  <c r="R559" i="50873"/>
  <c r="P560" i="50873"/>
  <c r="O561" i="50873"/>
  <c r="N562" i="50873"/>
  <c r="S562" i="50873"/>
  <c r="Q562" i="50873" s="1"/>
  <c r="R563" i="50873"/>
  <c r="P564" i="50873"/>
  <c r="O565" i="50873"/>
  <c r="N566" i="50873"/>
  <c r="S566" i="50873"/>
  <c r="Q566" i="50873" s="1"/>
  <c r="R567" i="50873"/>
  <c r="P568" i="50873"/>
  <c r="O569" i="50873"/>
  <c r="N570" i="50873"/>
  <c r="S570" i="50873"/>
  <c r="Q570" i="50873" s="1"/>
  <c r="R571" i="50873"/>
  <c r="P572" i="50873"/>
  <c r="O573" i="50873"/>
  <c r="N574" i="50873"/>
  <c r="S574" i="50873"/>
  <c r="Q574" i="50873" s="1"/>
  <c r="R575" i="50873"/>
  <c r="P576" i="50873"/>
  <c r="O577" i="50873"/>
  <c r="N578" i="50873"/>
  <c r="S578" i="50873"/>
  <c r="Q578" i="50873" s="1"/>
  <c r="R579" i="50873"/>
  <c r="P580" i="50873"/>
  <c r="O581" i="50873"/>
  <c r="N582" i="50873"/>
  <c r="S582" i="50873"/>
  <c r="Q582" i="50873" s="1"/>
  <c r="R583" i="50873"/>
  <c r="P584" i="50873"/>
  <c r="O585" i="50873"/>
  <c r="N586" i="50873"/>
  <c r="S586" i="50873"/>
  <c r="Q586" i="50873" s="1"/>
  <c r="R587" i="50873"/>
  <c r="P588" i="50873"/>
  <c r="O589" i="50873"/>
  <c r="N590" i="50873"/>
  <c r="S590" i="50873"/>
  <c r="Q590" i="50873" s="1"/>
  <c r="R591" i="50873"/>
  <c r="P592" i="50873"/>
  <c r="O593" i="50873"/>
  <c r="N594" i="50873"/>
  <c r="S594" i="50873"/>
  <c r="Q594" i="50873" s="1"/>
  <c r="R595" i="50873"/>
  <c r="P596" i="50873"/>
  <c r="O597" i="50873"/>
  <c r="N598" i="50873"/>
  <c r="S598" i="50873"/>
  <c r="Q598" i="50873" s="1"/>
  <c r="R599" i="50873"/>
  <c r="P600" i="50873"/>
  <c r="O601" i="50873"/>
  <c r="N602" i="50873"/>
  <c r="S602" i="50873"/>
  <c r="Q602" i="50873" s="1"/>
  <c r="R603" i="50873"/>
  <c r="P604" i="50873"/>
  <c r="O605" i="50873"/>
  <c r="N606" i="50873"/>
  <c r="S606" i="50873"/>
  <c r="Q606" i="50873" s="1"/>
  <c r="R607" i="50873"/>
  <c r="P608" i="50873"/>
  <c r="O609" i="50873"/>
  <c r="N610" i="50873"/>
  <c r="S610" i="50873"/>
  <c r="Q610" i="50873" s="1"/>
  <c r="R611" i="50873"/>
  <c r="P612" i="50873"/>
  <c r="O613" i="50873"/>
  <c r="N614" i="50873"/>
  <c r="S614" i="50873"/>
  <c r="Q614" i="50873" s="1"/>
  <c r="R615" i="50873"/>
  <c r="P616" i="50873"/>
  <c r="O617" i="50873"/>
  <c r="N618" i="50873"/>
  <c r="S618" i="50873"/>
  <c r="Q618" i="50873" s="1"/>
  <c r="R619" i="50873"/>
  <c r="P620" i="50873"/>
  <c r="O621" i="50873"/>
  <c r="N622" i="50873"/>
  <c r="S622" i="50873"/>
  <c r="Q622" i="50873" s="1"/>
  <c r="R623" i="50873"/>
  <c r="P624" i="50873"/>
  <c r="O625" i="50873"/>
  <c r="N626" i="50873"/>
  <c r="S626" i="50873"/>
  <c r="Q626" i="50873" s="1"/>
  <c r="R627" i="50873"/>
  <c r="P628" i="50873"/>
  <c r="O629" i="50873"/>
  <c r="N630" i="50873"/>
  <c r="S630" i="50873"/>
  <c r="Q630" i="50873" s="1"/>
  <c r="R631" i="50873"/>
  <c r="P632" i="50873"/>
  <c r="O633" i="50873"/>
  <c r="N634" i="50873"/>
  <c r="S634" i="50873"/>
  <c r="Q634" i="50873" s="1"/>
  <c r="R635" i="50873"/>
  <c r="P636" i="50873"/>
  <c r="O637" i="50873"/>
  <c r="N638" i="50873"/>
  <c r="S638" i="50873"/>
  <c r="Q638" i="50873" s="1"/>
  <c r="R639" i="50873"/>
  <c r="P640" i="50873"/>
  <c r="O641" i="50873"/>
  <c r="N642" i="50873"/>
  <c r="S642" i="50873"/>
  <c r="Q642" i="50873" s="1"/>
  <c r="R643" i="50873"/>
  <c r="P644" i="50873"/>
  <c r="O645" i="50873"/>
  <c r="N646" i="50873"/>
  <c r="S646" i="50873"/>
  <c r="Q646" i="50873" s="1"/>
  <c r="R647" i="50873"/>
  <c r="P648" i="50873"/>
  <c r="O649" i="50873"/>
  <c r="N650" i="50873"/>
  <c r="S650" i="50873"/>
  <c r="Q650" i="50873" s="1"/>
  <c r="R651" i="50873"/>
  <c r="P652" i="50873"/>
  <c r="O653" i="50873"/>
  <c r="N654" i="50873"/>
  <c r="S654" i="50873"/>
  <c r="Q654" i="50873" s="1"/>
  <c r="R655" i="50873"/>
  <c r="P656" i="50873"/>
  <c r="O657" i="50873"/>
  <c r="N658" i="50873"/>
  <c r="S658" i="50873"/>
  <c r="Q658" i="50873" s="1"/>
  <c r="R659" i="50873"/>
  <c r="P660" i="50873"/>
  <c r="O661" i="50873"/>
  <c r="N662" i="50873"/>
  <c r="S662" i="50873"/>
  <c r="Q662" i="50873" s="1"/>
  <c r="R663" i="50873"/>
  <c r="P664" i="50873"/>
  <c r="O665" i="50873"/>
  <c r="N666" i="50873"/>
  <c r="S666" i="50873"/>
  <c r="Q666" i="50873" s="1"/>
  <c r="R667" i="50873"/>
  <c r="P668" i="50873"/>
  <c r="O669" i="50873"/>
  <c r="N670" i="50873"/>
  <c r="S670" i="50873"/>
  <c r="Q670" i="50873" s="1"/>
  <c r="R671" i="50873"/>
  <c r="P672" i="50873"/>
  <c r="O673" i="50873"/>
  <c r="N674" i="50873"/>
  <c r="S674" i="50873"/>
  <c r="Q674" i="50873" s="1"/>
  <c r="R675" i="50873"/>
  <c r="P676" i="50873"/>
  <c r="O677" i="50873"/>
  <c r="N678" i="50873"/>
  <c r="S678" i="50873"/>
  <c r="Q678" i="50873" s="1"/>
  <c r="R679" i="50873"/>
  <c r="P680" i="50873"/>
  <c r="O681" i="50873"/>
  <c r="N682" i="50873"/>
  <c r="S682" i="50873"/>
  <c r="Q682" i="50873" s="1"/>
  <c r="R683" i="50873"/>
  <c r="P684" i="50873"/>
  <c r="O685" i="50873"/>
  <c r="N686" i="50873"/>
  <c r="S686" i="50873"/>
  <c r="Q686" i="50873" s="1"/>
  <c r="R687" i="50873"/>
  <c r="P688" i="50873"/>
  <c r="O689" i="50873"/>
  <c r="N690" i="50873"/>
  <c r="S690" i="50873"/>
  <c r="Q690" i="50873" s="1"/>
  <c r="R691" i="50873"/>
  <c r="P692" i="50873"/>
  <c r="O693" i="50873"/>
  <c r="N694" i="50873"/>
  <c r="S694" i="50873"/>
  <c r="Q694" i="50873" s="1"/>
  <c r="R695" i="50873"/>
  <c r="P696" i="50873"/>
  <c r="O697" i="50873"/>
  <c r="N698" i="50873"/>
  <c r="S698" i="50873"/>
  <c r="Q698" i="50873" s="1"/>
  <c r="R699" i="50873"/>
  <c r="P700" i="50873"/>
  <c r="O701" i="50873"/>
  <c r="N702" i="50873"/>
  <c r="S702" i="50873"/>
  <c r="Q702" i="50873" s="1"/>
  <c r="R703" i="50873"/>
  <c r="P704" i="50873"/>
  <c r="O705" i="50873"/>
  <c r="N706" i="50873"/>
  <c r="S706" i="50873"/>
  <c r="Q706" i="50873" s="1"/>
  <c r="R707" i="50873"/>
  <c r="P708" i="50873"/>
  <c r="O709" i="50873"/>
  <c r="N710" i="50873"/>
  <c r="S710" i="50873"/>
  <c r="Q710" i="50873" s="1"/>
  <c r="R711" i="50873"/>
  <c r="P712" i="50873"/>
  <c r="O713" i="50873"/>
  <c r="N714" i="50873"/>
  <c r="S714" i="50873"/>
  <c r="Q714" i="50873" s="1"/>
  <c r="R715" i="50873"/>
  <c r="P716" i="50873"/>
  <c r="O717" i="50873"/>
  <c r="N718" i="50873"/>
  <c r="S718" i="50873"/>
  <c r="Q718" i="50873" s="1"/>
  <c r="R719" i="50873"/>
  <c r="P720" i="50873"/>
  <c r="O721" i="50873"/>
  <c r="O722" i="50873"/>
  <c r="O26" i="50873"/>
  <c r="P24" i="50873"/>
  <c r="R243" i="50873"/>
  <c r="N332" i="50873"/>
  <c r="R357" i="50873"/>
  <c r="N383" i="50873"/>
  <c r="R408" i="50873"/>
  <c r="P421" i="50873"/>
  <c r="S433" i="50873"/>
  <c r="Q433" i="50873" s="1"/>
  <c r="O440" i="50873"/>
  <c r="P446" i="50873"/>
  <c r="S452" i="50873"/>
  <c r="Q452" i="50873" s="1"/>
  <c r="P462" i="50873"/>
  <c r="S468" i="50873"/>
  <c r="Q468" i="50873" s="1"/>
  <c r="P478" i="50873"/>
  <c r="N488" i="50873"/>
  <c r="P494" i="50873"/>
  <c r="S503" i="50873"/>
  <c r="Q503" i="50873" s="1"/>
  <c r="P513" i="50873"/>
  <c r="S519" i="50873"/>
  <c r="Q519" i="50873" s="1"/>
  <c r="P529" i="50873"/>
  <c r="O534" i="50873"/>
  <c r="R536" i="50873"/>
  <c r="N539" i="50873"/>
  <c r="R540" i="50873"/>
  <c r="O542" i="50873"/>
  <c r="R544" i="50873"/>
  <c r="N547" i="50873"/>
  <c r="R548" i="50873"/>
  <c r="N551" i="50873"/>
  <c r="P553" i="50873"/>
  <c r="S555" i="50873"/>
  <c r="Q555" i="50873" s="1"/>
  <c r="O558" i="50873"/>
  <c r="R560" i="50873"/>
  <c r="N563" i="50873"/>
  <c r="P565" i="50873"/>
  <c r="S567" i="50873"/>
  <c r="Q567" i="50873" s="1"/>
  <c r="O570" i="50873"/>
  <c r="S571" i="50873"/>
  <c r="Q571" i="50873" s="1"/>
  <c r="O574" i="50873"/>
  <c r="R576" i="50873"/>
  <c r="N579" i="50873"/>
  <c r="O582" i="50873"/>
  <c r="R584" i="50873"/>
  <c r="N587" i="50873"/>
  <c r="P589" i="50873"/>
  <c r="S591" i="50873"/>
  <c r="Q591" i="50873" s="1"/>
  <c r="N595" i="50873"/>
  <c r="R596" i="50873"/>
  <c r="N599" i="50873"/>
  <c r="P601" i="50873"/>
  <c r="S603" i="50873"/>
  <c r="Q603" i="50873" s="1"/>
  <c r="N607" i="50873"/>
  <c r="P609" i="50873"/>
  <c r="S611" i="50873"/>
  <c r="Q611" i="50873" s="1"/>
  <c r="O614" i="50873"/>
  <c r="P617" i="50873"/>
  <c r="R620" i="50873"/>
  <c r="S623" i="50873"/>
  <c r="Q623" i="50873" s="1"/>
  <c r="N627" i="50873"/>
  <c r="O630" i="50873"/>
  <c r="P633" i="50873"/>
  <c r="R636" i="50873"/>
  <c r="S639" i="50873"/>
  <c r="Q639" i="50873" s="1"/>
  <c r="N643" i="50873"/>
  <c r="O646" i="50873"/>
  <c r="P649" i="50873"/>
  <c r="R652" i="50873"/>
  <c r="S655" i="50873"/>
  <c r="Q655" i="50873" s="1"/>
  <c r="N659" i="50873"/>
  <c r="O662" i="50873"/>
  <c r="P665" i="50873"/>
  <c r="R668" i="50873"/>
  <c r="S671" i="50873"/>
  <c r="Q671" i="50873" s="1"/>
  <c r="N675" i="50873"/>
  <c r="O678" i="50873"/>
  <c r="P681" i="50873"/>
  <c r="R684" i="50873"/>
  <c r="S687" i="50873"/>
  <c r="Q687" i="50873" s="1"/>
  <c r="N691" i="50873"/>
  <c r="O694" i="50873"/>
  <c r="P697" i="50873"/>
  <c r="R700" i="50873"/>
  <c r="S703" i="50873"/>
  <c r="Q703" i="50873" s="1"/>
  <c r="N707" i="50873"/>
  <c r="O710" i="50873"/>
  <c r="P713" i="50873"/>
  <c r="R716" i="50873"/>
  <c r="S719" i="50873"/>
  <c r="Q719" i="50873" s="1"/>
  <c r="N615" i="50873"/>
  <c r="O618" i="50873"/>
  <c r="P621" i="50873"/>
  <c r="R624" i="50873"/>
  <c r="S627" i="50873"/>
  <c r="Q627" i="50873" s="1"/>
  <c r="N631" i="50873"/>
  <c r="O634" i="50873"/>
  <c r="P637" i="50873"/>
  <c r="R640" i="50873"/>
  <c r="S643" i="50873"/>
  <c r="Q643" i="50873" s="1"/>
  <c r="N647" i="50873"/>
  <c r="O650" i="50873"/>
  <c r="P653" i="50873"/>
  <c r="R656" i="50873"/>
  <c r="S659" i="50873"/>
  <c r="Q659" i="50873" s="1"/>
  <c r="N663" i="50873"/>
  <c r="O666" i="50873"/>
  <c r="P669" i="50873"/>
  <c r="R672" i="50873"/>
  <c r="S675" i="50873"/>
  <c r="Q675" i="50873" s="1"/>
  <c r="N679" i="50873"/>
  <c r="O682" i="50873"/>
  <c r="P685" i="50873"/>
  <c r="R688" i="50873"/>
  <c r="S691" i="50873"/>
  <c r="Q691" i="50873" s="1"/>
  <c r="N695" i="50873"/>
  <c r="O698" i="50873"/>
  <c r="P701" i="50873"/>
  <c r="R704" i="50873"/>
  <c r="S707" i="50873"/>
  <c r="Q707" i="50873" s="1"/>
  <c r="N711" i="50873"/>
  <c r="O714" i="50873"/>
  <c r="P717" i="50873"/>
  <c r="R720" i="50873"/>
  <c r="S615" i="50873"/>
  <c r="Q615" i="50873" s="1"/>
  <c r="N619" i="50873"/>
  <c r="O622" i="50873"/>
  <c r="P625" i="50873"/>
  <c r="R628" i="50873"/>
  <c r="S631" i="50873"/>
  <c r="Q631" i="50873" s="1"/>
  <c r="N635" i="50873"/>
  <c r="O638" i="50873"/>
  <c r="P641" i="50873"/>
  <c r="R644" i="50873"/>
  <c r="S647" i="50873"/>
  <c r="Q647" i="50873" s="1"/>
  <c r="N651" i="50873"/>
  <c r="O654" i="50873"/>
  <c r="P657" i="50873"/>
  <c r="R660" i="50873"/>
  <c r="S663" i="50873"/>
  <c r="Q663" i="50873" s="1"/>
  <c r="N667" i="50873"/>
  <c r="O670" i="50873"/>
  <c r="P673" i="50873"/>
  <c r="R676" i="50873"/>
  <c r="S679" i="50873"/>
  <c r="Q679" i="50873" s="1"/>
  <c r="N683" i="50873"/>
  <c r="O686" i="50873"/>
  <c r="P689" i="50873"/>
  <c r="R692" i="50873"/>
  <c r="S695" i="50873"/>
  <c r="Q695" i="50873" s="1"/>
  <c r="N699" i="50873"/>
  <c r="O702" i="50873"/>
  <c r="P705" i="50873"/>
  <c r="R708" i="50873"/>
  <c r="S711" i="50873"/>
  <c r="Q711" i="50873" s="1"/>
  <c r="N715" i="50873"/>
  <c r="O718" i="50873"/>
  <c r="P721" i="50873"/>
  <c r="O24" i="50873"/>
  <c r="R616" i="50873"/>
  <c r="S619" i="50873"/>
  <c r="Q619" i="50873" s="1"/>
  <c r="N623" i="50873"/>
  <c r="O626" i="50873"/>
  <c r="P629" i="50873"/>
  <c r="R632" i="50873"/>
  <c r="S635" i="50873"/>
  <c r="Q635" i="50873" s="1"/>
  <c r="N639" i="50873"/>
  <c r="O642" i="50873"/>
  <c r="P645" i="50873"/>
  <c r="R648" i="50873"/>
  <c r="S651" i="50873"/>
  <c r="Q651" i="50873" s="1"/>
  <c r="N655" i="50873"/>
  <c r="O658" i="50873"/>
  <c r="P661" i="50873"/>
  <c r="R664" i="50873"/>
  <c r="S667" i="50873"/>
  <c r="Q667" i="50873" s="1"/>
  <c r="N671" i="50873"/>
  <c r="O674" i="50873"/>
  <c r="P677" i="50873"/>
  <c r="R680" i="50873"/>
  <c r="S683" i="50873"/>
  <c r="Q683" i="50873" s="1"/>
  <c r="N687" i="50873"/>
  <c r="O690" i="50873"/>
  <c r="P693" i="50873"/>
  <c r="R696" i="50873"/>
  <c r="S699" i="50873"/>
  <c r="Q699" i="50873" s="1"/>
  <c r="N703" i="50873"/>
  <c r="O706" i="50873"/>
  <c r="P709" i="50873"/>
  <c r="R712" i="50873"/>
  <c r="S715" i="50873"/>
  <c r="Q715" i="50873" s="1"/>
  <c r="N719" i="50873"/>
  <c r="P722" i="50873"/>
  <c r="P25" i="50873"/>
  <c r="N40" i="50873"/>
  <c r="P36" i="50873"/>
  <c r="O32" i="50873"/>
  <c r="P26" i="50873"/>
  <c r="E14" i="2"/>
  <c r="E14" i="3" s="1"/>
  <c r="M27" i="2"/>
  <c r="O84" i="1" s="1"/>
  <c r="AE53" i="3"/>
  <c r="E9" i="2"/>
  <c r="H39" i="2"/>
  <c r="M19" i="2" s="1"/>
  <c r="G39" i="2"/>
  <c r="H42" i="50873" s="1"/>
  <c r="M83" i="3"/>
  <c r="G50" i="50873"/>
  <c r="V59" i="4"/>
  <c r="V76" i="4" s="1"/>
  <c r="W35" i="4"/>
  <c r="N723" i="50873"/>
  <c r="A384" i="8364" s="1"/>
  <c r="B390" i="8364" s="1"/>
  <c r="R723" i="50873"/>
  <c r="B385" i="8364" s="1"/>
  <c r="D390" i="8364" s="1"/>
  <c r="C391" i="8364" s="1"/>
  <c r="O723" i="50873"/>
  <c r="S723" i="50873"/>
  <c r="B17" i="50873" s="1"/>
  <c r="P723" i="50873"/>
  <c r="Q723" i="50873"/>
  <c r="B386" i="8364" s="1"/>
  <c r="H49" i="50873"/>
  <c r="R34" i="2"/>
  <c r="BM78" i="4" s="1"/>
  <c r="M22" i="2"/>
  <c r="M25" i="2"/>
  <c r="AK78" i="4" s="1"/>
  <c r="F13" i="50873"/>
  <c r="M29" i="2"/>
  <c r="J31" i="2"/>
  <c r="K31" i="3"/>
  <c r="L34" i="50873"/>
  <c r="V38" i="4"/>
  <c r="J20" i="2"/>
  <c r="M52" i="2" s="1"/>
  <c r="C70" i="50873"/>
  <c r="C75" i="50873"/>
  <c r="G6" i="3"/>
  <c r="BM9" i="8194"/>
  <c r="BM108" i="8194" s="1"/>
  <c r="T13" i="8194"/>
  <c r="T104" i="8194" s="1"/>
  <c r="T6" i="8194"/>
  <c r="T120" i="8194" s="1"/>
  <c r="AG6" i="8194"/>
  <c r="AG120" i="8194" s="1"/>
  <c r="W8" i="8194"/>
  <c r="AJ6" i="8194"/>
  <c r="AJ120" i="8194" s="1"/>
  <c r="H10" i="8194"/>
  <c r="H101" i="8194" s="1"/>
  <c r="BC9" i="8194"/>
  <c r="BC108" i="8194" s="1"/>
  <c r="AC13" i="8194"/>
  <c r="AC104" i="8194" s="1"/>
  <c r="AQ11" i="8194"/>
  <c r="AQ100" i="8194" s="1"/>
  <c r="AQ8" i="8194"/>
  <c r="AA6" i="8194"/>
  <c r="AA120" i="8194" s="1"/>
  <c r="BO7" i="8194"/>
  <c r="BO79" i="8194" s="1"/>
  <c r="AP9" i="8194"/>
  <c r="AP108" i="8194" s="1"/>
  <c r="BA7" i="8194"/>
  <c r="AZ3" i="267" s="1"/>
  <c r="AJ7" i="8194"/>
  <c r="E12" i="8194"/>
  <c r="E105" i="8194" s="1"/>
  <c r="W9" i="8194"/>
  <c r="W108" i="8194" s="1"/>
  <c r="AR10" i="8194"/>
  <c r="AR101" i="8194" s="1"/>
  <c r="W12" i="8194"/>
  <c r="W105" i="8194" s="1"/>
  <c r="BC12" i="8194"/>
  <c r="BC105" i="8194" s="1"/>
  <c r="AC9" i="8194"/>
  <c r="AC108" i="8194" s="1"/>
  <c r="BI7" i="8194"/>
  <c r="BI79" i="8194" s="1"/>
  <c r="BH13" i="267" s="1"/>
  <c r="BD8" i="8194"/>
  <c r="BD80" i="8194" s="1"/>
  <c r="BK6" i="8194"/>
  <c r="BK120" i="8194" s="1"/>
  <c r="BP8" i="8194"/>
  <c r="BP80" i="8194" s="1"/>
  <c r="BE7" i="8194"/>
  <c r="AO9" i="8194"/>
  <c r="AO108" i="8194" s="1"/>
  <c r="O7" i="8194"/>
  <c r="AV13" i="8194"/>
  <c r="AV104" i="8194" s="1"/>
  <c r="M8" i="8194"/>
  <c r="M80" i="8194" s="1"/>
  <c r="AE12" i="8194"/>
  <c r="AE105" i="8194" s="1"/>
  <c r="Y10" i="8194"/>
  <c r="Y101" i="8194" s="1"/>
  <c r="V7" i="8194"/>
  <c r="U3" i="267" s="1"/>
  <c r="BG12" i="8194"/>
  <c r="BG105" i="8194" s="1"/>
  <c r="AH13" i="8194"/>
  <c r="AH104" i="8194" s="1"/>
  <c r="J13" i="8194"/>
  <c r="J104" i="8194" s="1"/>
  <c r="H7" i="8194"/>
  <c r="H79" i="8194" s="1"/>
  <c r="AV63" i="2" s="1"/>
  <c r="U6" i="8194"/>
  <c r="T2" i="267" s="1"/>
  <c r="Z13" i="8194"/>
  <c r="Z104" i="8194" s="1"/>
  <c r="AO8" i="8194"/>
  <c r="AH6" i="8194"/>
  <c r="AG2" i="267" s="1"/>
  <c r="AN11" i="8194"/>
  <c r="AN100" i="8194" s="1"/>
  <c r="AC7" i="8194"/>
  <c r="BF13" i="8194"/>
  <c r="BF104" i="8194" s="1"/>
  <c r="J11" i="8194"/>
  <c r="J100" i="8194" s="1"/>
  <c r="BN6" i="8194"/>
  <c r="BN120" i="8194" s="1"/>
  <c r="AT8" i="8194"/>
  <c r="BM10" i="8194"/>
  <c r="BM101" i="8194" s="1"/>
  <c r="AK11" i="8194"/>
  <c r="AK100" i="8194" s="1"/>
  <c r="BF11" i="8194"/>
  <c r="BF100" i="8194" s="1"/>
  <c r="U10" i="8194"/>
  <c r="U101" i="8194" s="1"/>
  <c r="AQ7" i="8194"/>
  <c r="AP3" i="267" s="1"/>
  <c r="AH8" i="8194"/>
  <c r="BQ8" i="8194"/>
  <c r="BQ80" i="8194" s="1"/>
  <c r="J7" i="8194"/>
  <c r="I3" i="267" s="1"/>
  <c r="AM12" i="8194"/>
  <c r="AM105" i="8194" s="1"/>
  <c r="AN6" i="8194"/>
  <c r="AM2" i="267" s="1"/>
  <c r="AB11" i="8194"/>
  <c r="AB100" i="8194" s="1"/>
  <c r="AK7" i="8194"/>
  <c r="AJ3" i="267" s="1"/>
  <c r="E7" i="8194"/>
  <c r="E18" i="8194" s="1"/>
  <c r="AR9" i="8194"/>
  <c r="AR108" i="8194" s="1"/>
  <c r="BG13" i="8194"/>
  <c r="BG104" i="8194" s="1"/>
  <c r="BB11" i="8194"/>
  <c r="BB100" i="8194" s="1"/>
  <c r="BL8" i="8194"/>
  <c r="BL80" i="8194" s="1"/>
  <c r="AM11" i="8194"/>
  <c r="AM100" i="8194" s="1"/>
  <c r="BK7" i="8194"/>
  <c r="BK79" i="8194" s="1"/>
  <c r="BG11" i="8194"/>
  <c r="BG100" i="8194" s="1"/>
  <c r="AK9" i="8194"/>
  <c r="AK108" i="8194" s="1"/>
  <c r="F7" i="8194"/>
  <c r="F79" i="8194" s="1"/>
  <c r="V9" i="8194"/>
  <c r="V108" i="8194" s="1"/>
  <c r="AO10" i="8194"/>
  <c r="AO101" i="8194" s="1"/>
  <c r="AX13" i="8194"/>
  <c r="AX104" i="8194" s="1"/>
  <c r="O13" i="8194"/>
  <c r="O104" i="8194" s="1"/>
  <c r="AC11" i="8194"/>
  <c r="AC100" i="8194" s="1"/>
  <c r="AJ12" i="8194"/>
  <c r="AJ105" i="8194" s="1"/>
  <c r="BI9" i="8194"/>
  <c r="BI108" i="8194" s="1"/>
  <c r="U9" i="8194"/>
  <c r="U108" i="8194" s="1"/>
  <c r="I7" i="8194"/>
  <c r="I79" i="8194" s="1"/>
  <c r="AV64" i="2" s="1"/>
  <c r="AG10" i="8194"/>
  <c r="AG101" i="8194" s="1"/>
  <c r="J10" i="8194"/>
  <c r="J101" i="8194" s="1"/>
  <c r="P9" i="8194"/>
  <c r="P108" i="8194" s="1"/>
  <c r="AT7" i="8194"/>
  <c r="AS3" i="267" s="1"/>
  <c r="BO13" i="8194"/>
  <c r="BO104" i="8194" s="1"/>
  <c r="AE8" i="8194"/>
  <c r="BP12" i="8194"/>
  <c r="BP105" i="8194" s="1"/>
  <c r="BF10" i="8194"/>
  <c r="BF101" i="8194" s="1"/>
  <c r="F13" i="8194"/>
  <c r="F104" i="8194" s="1"/>
  <c r="BQ6" i="8194"/>
  <c r="BQ120" i="8194" s="1"/>
  <c r="E6" i="8194"/>
  <c r="D2" i="267" s="1"/>
  <c r="J6" i="8194"/>
  <c r="J120" i="8194" s="1"/>
  <c r="I13" i="8194"/>
  <c r="I104" i="8194" s="1"/>
  <c r="AU10" i="8194"/>
  <c r="AU101" i="8194" s="1"/>
  <c r="Z7" i="8194"/>
  <c r="Y3" i="267" s="1"/>
  <c r="M85" i="3"/>
  <c r="AQ10" i="8194"/>
  <c r="AQ101" i="8194" s="1"/>
  <c r="AD10" i="8194"/>
  <c r="AD101" i="8194" s="1"/>
  <c r="AM7" i="8194"/>
  <c r="AL3" i="267" s="1"/>
  <c r="X7" i="8194"/>
  <c r="AP6" i="8194"/>
  <c r="AO2" i="267" s="1"/>
  <c r="BF12" i="8194"/>
  <c r="BF105" i="8194" s="1"/>
  <c r="P6" i="8194"/>
  <c r="O2" i="267" s="1"/>
  <c r="AZ8" i="8194"/>
  <c r="AZ80" i="8194" s="1"/>
  <c r="BJ10" i="8194"/>
  <c r="BJ101" i="8194" s="1"/>
  <c r="H11" i="8194"/>
  <c r="H100" i="8194" s="1"/>
  <c r="G9" i="8194"/>
  <c r="G108" i="8194" s="1"/>
  <c r="AU7" i="8194"/>
  <c r="AT3" i="267" s="1"/>
  <c r="BN7" i="8194"/>
  <c r="BM3" i="267" s="1"/>
  <c r="AC12" i="8194"/>
  <c r="AC105" i="8194" s="1"/>
  <c r="BK8" i="8194"/>
  <c r="BK80" i="8194" s="1"/>
  <c r="H9" i="8194"/>
  <c r="H108" i="8194" s="1"/>
  <c r="BP13" i="8194"/>
  <c r="BP104" i="8194" s="1"/>
  <c r="AZ9" i="8194"/>
  <c r="AZ108" i="8194" s="1"/>
  <c r="AF8" i="8194"/>
  <c r="E10" i="8194"/>
  <c r="E101" i="8194" s="1"/>
  <c r="BN10" i="8194"/>
  <c r="BN101" i="8194" s="1"/>
  <c r="AQ9" i="8194"/>
  <c r="AQ108" i="8194" s="1"/>
  <c r="AB10" i="8194"/>
  <c r="AB101" i="8194" s="1"/>
  <c r="AX11" i="8194"/>
  <c r="AX100" i="8194" s="1"/>
  <c r="AC6" i="8194"/>
  <c r="AB2" i="267" s="1"/>
  <c r="AB7" i="8194"/>
  <c r="R8" i="8194"/>
  <c r="AN12" i="8194"/>
  <c r="AN105" i="8194" s="1"/>
  <c r="AT13" i="8194"/>
  <c r="AT104" i="8194" s="1"/>
  <c r="I10" i="8194"/>
  <c r="I101" i="8194" s="1"/>
  <c r="BP6" i="8194"/>
  <c r="BO2" i="267" s="1"/>
  <c r="BG10" i="8194"/>
  <c r="BG101" i="8194" s="1"/>
  <c r="BE13" i="8194"/>
  <c r="BE104" i="8194" s="1"/>
  <c r="S7" i="8194"/>
  <c r="R3" i="267" s="1"/>
  <c r="BL13" i="8194"/>
  <c r="BL104" i="8194" s="1"/>
  <c r="AY7" i="8194"/>
  <c r="X12" i="8194"/>
  <c r="X105" i="8194" s="1"/>
  <c r="BQ10" i="8194"/>
  <c r="BQ101" i="8194" s="1"/>
  <c r="D11" i="8194"/>
  <c r="D100" i="8194" s="1"/>
  <c r="AV8" i="8194"/>
  <c r="AR11" i="8194"/>
  <c r="AR100" i="8194" s="1"/>
  <c r="BA6" i="8194"/>
  <c r="AZ2" i="267" s="1"/>
  <c r="F11" i="8194"/>
  <c r="F100" i="8194" s="1"/>
  <c r="BR10" i="8194"/>
  <c r="BR101" i="8194" s="1"/>
  <c r="BD6" i="8194"/>
  <c r="BD120" i="8194" s="1"/>
  <c r="BN13" i="8194"/>
  <c r="BN104" i="8194" s="1"/>
  <c r="Y6" i="8194"/>
  <c r="X2" i="267" s="1"/>
  <c r="I8" i="8194"/>
  <c r="I80" i="8194" s="1"/>
  <c r="V10" i="8194"/>
  <c r="V101" i="8194" s="1"/>
  <c r="Q9" i="8194"/>
  <c r="Q108" i="8194" s="1"/>
  <c r="K10" i="8194"/>
  <c r="K101" i="8194" s="1"/>
  <c r="H6" i="8194"/>
  <c r="H120" i="8194" s="1"/>
  <c r="F9" i="8194"/>
  <c r="F108" i="8194" s="1"/>
  <c r="AP13" i="8194"/>
  <c r="AP104" i="8194" s="1"/>
  <c r="AP11" i="8194"/>
  <c r="AP100" i="8194" s="1"/>
  <c r="Q12" i="8194"/>
  <c r="Q105" i="8194" s="1"/>
  <c r="Z12" i="8194"/>
  <c r="Z105" i="8194" s="1"/>
  <c r="AP10" i="8194"/>
  <c r="AP101" i="8194" s="1"/>
  <c r="AH12" i="8194"/>
  <c r="AH105" i="8194" s="1"/>
  <c r="AZ12" i="8194"/>
  <c r="AZ105" i="8194" s="1"/>
  <c r="BH7" i="8194"/>
  <c r="BH79" i="8194" s="1"/>
  <c r="BG13" i="267" s="1"/>
  <c r="P13" i="8194"/>
  <c r="P104" i="8194" s="1"/>
  <c r="AI8" i="8194"/>
  <c r="BR7" i="8194"/>
  <c r="AW13" i="8194"/>
  <c r="AW104" i="8194" s="1"/>
  <c r="AN10" i="8194"/>
  <c r="AN101" i="8194" s="1"/>
  <c r="BB8" i="8194"/>
  <c r="BB80" i="8194" s="1"/>
  <c r="X8" i="8194"/>
  <c r="AU6" i="8194"/>
  <c r="AT2" i="267" s="1"/>
  <c r="AR7" i="8194"/>
  <c r="AQ3" i="267" s="1"/>
  <c r="Y9" i="8194"/>
  <c r="Y108" i="8194" s="1"/>
  <c r="AB9" i="8194"/>
  <c r="AB108" i="8194" s="1"/>
  <c r="BJ11" i="8194"/>
  <c r="BJ100" i="8194" s="1"/>
  <c r="M9" i="8194"/>
  <c r="M108" i="8194" s="1"/>
  <c r="AU9" i="8194"/>
  <c r="AU108" i="8194" s="1"/>
  <c r="AW9" i="8194"/>
  <c r="AW108" i="8194" s="1"/>
  <c r="F8" i="8194"/>
  <c r="F80" i="8194" s="1"/>
  <c r="AT6" i="8194"/>
  <c r="AS2" i="267" s="1"/>
  <c r="BH8" i="8194"/>
  <c r="BH80" i="8194" s="1"/>
  <c r="P11" i="8194"/>
  <c r="P100" i="8194" s="1"/>
  <c r="AT9" i="8194"/>
  <c r="AT108" i="8194" s="1"/>
  <c r="BD10" i="8194"/>
  <c r="BD101" i="8194" s="1"/>
  <c r="BM7" i="8194"/>
  <c r="BI6" i="8194"/>
  <c r="BH2" i="267" s="1"/>
  <c r="BP11" i="8194"/>
  <c r="BP100" i="8194" s="1"/>
  <c r="BE8" i="8194"/>
  <c r="BE80" i="8194" s="1"/>
  <c r="BL11" i="8194"/>
  <c r="BL100" i="8194" s="1"/>
  <c r="AK6" i="8194"/>
  <c r="AK120" i="8194" s="1"/>
  <c r="AP7" i="8194"/>
  <c r="AO3" i="267" s="1"/>
  <c r="N8" i="8194"/>
  <c r="N80" i="8194" s="1"/>
  <c r="Z10" i="8194"/>
  <c r="Z101" i="8194" s="1"/>
  <c r="G10" i="8194"/>
  <c r="G101" i="8194" s="1"/>
  <c r="AU11" i="8194"/>
  <c r="AU100" i="8194" s="1"/>
  <c r="AZ7" i="8194"/>
  <c r="AY3" i="267" s="1"/>
  <c r="R10" i="8194"/>
  <c r="R101" i="8194" s="1"/>
  <c r="P10" i="8194"/>
  <c r="P101" i="8194" s="1"/>
  <c r="H13" i="8194"/>
  <c r="H104" i="8194" s="1"/>
  <c r="AQ12" i="8194"/>
  <c r="AQ105" i="8194" s="1"/>
  <c r="BM12" i="8194"/>
  <c r="BM105" i="8194" s="1"/>
  <c r="L11" i="8194"/>
  <c r="L100" i="8194" s="1"/>
  <c r="AO7" i="8194"/>
  <c r="BL6" i="8194"/>
  <c r="BK2" i="267" s="1"/>
  <c r="BI12" i="8194"/>
  <c r="BI105" i="8194" s="1"/>
  <c r="AM6" i="8194"/>
  <c r="AM120" i="8194" s="1"/>
  <c r="AV9" i="8194"/>
  <c r="AV108" i="8194" s="1"/>
  <c r="AE11" i="8194"/>
  <c r="AE100" i="8194" s="1"/>
  <c r="AR12" i="8194"/>
  <c r="AR105" i="8194" s="1"/>
  <c r="X9" i="8194"/>
  <c r="X108" i="8194" s="1"/>
  <c r="AA13" i="8194"/>
  <c r="AA104" i="8194" s="1"/>
  <c r="AF11" i="8194"/>
  <c r="AF100" i="8194" s="1"/>
  <c r="AH9" i="8194"/>
  <c r="AH108" i="8194" s="1"/>
  <c r="L13" i="8194"/>
  <c r="L104" i="8194" s="1"/>
  <c r="AD12" i="8194"/>
  <c r="AD105" i="8194" s="1"/>
  <c r="N7" i="8194"/>
  <c r="M3" i="267" s="1"/>
  <c r="S8" i="8194"/>
  <c r="AS7" i="8194"/>
  <c r="AR3" i="267" s="1"/>
  <c r="K12" i="8194"/>
  <c r="K105" i="8194" s="1"/>
  <c r="R9" i="8194"/>
  <c r="R108" i="8194" s="1"/>
  <c r="L9" i="8194"/>
  <c r="L108" i="8194" s="1"/>
  <c r="AC10" i="8194"/>
  <c r="AC101" i="8194" s="1"/>
  <c r="L10" i="8194"/>
  <c r="L101" i="8194" s="1"/>
  <c r="O8" i="8194"/>
  <c r="O80" i="8194" s="1"/>
  <c r="AA9" i="8194"/>
  <c r="AA108" i="8194" s="1"/>
  <c r="AK12" i="8194"/>
  <c r="AK105" i="8194" s="1"/>
  <c r="W6" i="8194"/>
  <c r="V2" i="267" s="1"/>
  <c r="E9" i="8194"/>
  <c r="E108" i="8194" s="1"/>
  <c r="D12" i="8194"/>
  <c r="D105" i="8194" s="1"/>
  <c r="U12" i="8194"/>
  <c r="U105" i="8194" s="1"/>
  <c r="AI6" i="8194"/>
  <c r="AI120" i="8194" s="1"/>
  <c r="AJ11" i="8194"/>
  <c r="AJ100" i="8194" s="1"/>
  <c r="BL7" i="8194"/>
  <c r="BL79" i="8194" s="1"/>
  <c r="AY6" i="8194"/>
  <c r="AX2" i="267" s="1"/>
  <c r="W11" i="8194"/>
  <c r="W100" i="8194" s="1"/>
  <c r="Z6" i="8194"/>
  <c r="Z120" i="8194" s="1"/>
  <c r="AN13" i="8194"/>
  <c r="AN104" i="8194" s="1"/>
  <c r="G8" i="8194"/>
  <c r="G80" i="8194" s="1"/>
  <c r="AQ6" i="8194"/>
  <c r="AQ120" i="8194" s="1"/>
  <c r="AS11" i="8194"/>
  <c r="AS100" i="8194" s="1"/>
  <c r="AG8" i="8194"/>
  <c r="BN11" i="8194"/>
  <c r="BN100" i="8194" s="1"/>
  <c r="BB9" i="8194"/>
  <c r="BB108" i="8194" s="1"/>
  <c r="AK10" i="8194"/>
  <c r="AK101" i="8194" s="1"/>
  <c r="BI8" i="8194"/>
  <c r="BI80" i="8194" s="1"/>
  <c r="BM8" i="8194"/>
  <c r="BM80" i="8194" s="1"/>
  <c r="T8" i="8194"/>
  <c r="AF9" i="8194"/>
  <c r="AF108" i="8194" s="1"/>
  <c r="AG9" i="8194"/>
  <c r="AG108" i="8194" s="1"/>
  <c r="K7" i="8194"/>
  <c r="K79" i="8194" s="1"/>
  <c r="AO6" i="8194"/>
  <c r="AO120" i="8194" s="1"/>
  <c r="BG7" i="8194"/>
  <c r="BF3" i="267" s="1"/>
  <c r="AL8" i="8194"/>
  <c r="Q13" i="8194"/>
  <c r="Q104" i="8194" s="1"/>
  <c r="BA8" i="8194"/>
  <c r="BA80" i="8194" s="1"/>
  <c r="AW8" i="8194"/>
  <c r="S10" i="8194"/>
  <c r="S101" i="8194" s="1"/>
  <c r="L12" i="8194"/>
  <c r="L105" i="8194" s="1"/>
  <c r="R7" i="8194"/>
  <c r="Q3" i="267" s="1"/>
  <c r="AJ8" i="8194"/>
  <c r="AA7" i="8194"/>
  <c r="Z3" i="267" s="1"/>
  <c r="AF10" i="8194"/>
  <c r="AF101" i="8194" s="1"/>
  <c r="Z8" i="8194"/>
  <c r="M10" i="8194"/>
  <c r="M101" i="8194" s="1"/>
  <c r="V8" i="8194"/>
  <c r="K8" i="8194"/>
  <c r="K80" i="8194" s="1"/>
  <c r="AM9" i="8194"/>
  <c r="AM108" i="8194" s="1"/>
  <c r="AU13" i="8194"/>
  <c r="AU104" i="8194" s="1"/>
  <c r="AL10" i="8194"/>
  <c r="AL101" i="8194" s="1"/>
  <c r="AX8" i="8194"/>
  <c r="AX80" i="8194" s="1"/>
  <c r="AV7" i="8194"/>
  <c r="AU3" i="267" s="1"/>
  <c r="Y13" i="8194"/>
  <c r="Y104" i="8194" s="1"/>
  <c r="AH7" i="8194"/>
  <c r="AN8" i="8194"/>
  <c r="L8" i="8194"/>
  <c r="L80" i="8194" s="1"/>
  <c r="AL6" i="8194"/>
  <c r="AL120" i="8194" s="1"/>
  <c r="O9" i="8194"/>
  <c r="O108" i="8194" s="1"/>
  <c r="AD7" i="8194"/>
  <c r="AC3" i="267" s="1"/>
  <c r="BO9" i="8194"/>
  <c r="BO108" i="8194" s="1"/>
  <c r="BB6" i="8194"/>
  <c r="BB120" i="8194" s="1"/>
  <c r="P12" i="8194"/>
  <c r="P105" i="8194" s="1"/>
  <c r="BJ13" i="8194"/>
  <c r="BJ104" i="8194" s="1"/>
  <c r="BE11" i="8194"/>
  <c r="BE100" i="8194" s="1"/>
  <c r="V11" i="8194"/>
  <c r="V100" i="8194" s="1"/>
  <c r="AD6" i="8194"/>
  <c r="AD120" i="8194" s="1"/>
  <c r="AI7" i="8194"/>
  <c r="AH3" i="267" s="1"/>
  <c r="AU8" i="8194"/>
  <c r="F12" i="8194"/>
  <c r="F105" i="8194" s="1"/>
  <c r="BC8" i="8194"/>
  <c r="BC80" i="8194" s="1"/>
  <c r="AZ6" i="8194"/>
  <c r="AY2" i="267" s="1"/>
  <c r="BR9" i="8194"/>
  <c r="BR108" i="8194" s="1"/>
  <c r="T7" i="8194"/>
  <c r="AH11" i="8194"/>
  <c r="AH100" i="8194" s="1"/>
  <c r="N13" i="8194"/>
  <c r="N104" i="8194" s="1"/>
  <c r="AJ9" i="8194"/>
  <c r="AJ108" i="8194" s="1"/>
  <c r="AG7" i="8194"/>
  <c r="AF3" i="267" s="1"/>
  <c r="BR6" i="8194"/>
  <c r="BR120" i="8194" s="1"/>
  <c r="AF13" i="8194"/>
  <c r="AF104" i="8194" s="1"/>
  <c r="AF6" i="8194"/>
  <c r="AE2" i="267" s="1"/>
  <c r="S6" i="8194"/>
  <c r="R2" i="267" s="1"/>
  <c r="Q6" i="8194"/>
  <c r="P2" i="267" s="1"/>
  <c r="O6" i="8194"/>
  <c r="O120" i="8194" s="1"/>
  <c r="AO11" i="8194"/>
  <c r="AO100" i="8194" s="1"/>
  <c r="L6" i="8194"/>
  <c r="L120" i="8194" s="1"/>
  <c r="Y12" i="8194"/>
  <c r="Y105" i="8194" s="1"/>
  <c r="AE9" i="8194"/>
  <c r="AE108" i="8194" s="1"/>
  <c r="S13" i="8194"/>
  <c r="S104" i="8194" s="1"/>
  <c r="BE6" i="8194"/>
  <c r="BE120" i="8194" s="1"/>
  <c r="BQ13" i="8194"/>
  <c r="BQ104" i="8194" s="1"/>
  <c r="BJ8" i="8194"/>
  <c r="BJ80" i="8194" s="1"/>
  <c r="D6" i="8194"/>
  <c r="AD9" i="8194"/>
  <c r="AD108" i="8194" s="1"/>
  <c r="J9" i="8194"/>
  <c r="J108" i="8194" s="1"/>
  <c r="BN12" i="8194"/>
  <c r="BN105" i="8194" s="1"/>
  <c r="D8" i="8194"/>
  <c r="M11" i="8194"/>
  <c r="M100" i="8194" s="1"/>
  <c r="BF6" i="8194"/>
  <c r="BF120" i="8194" s="1"/>
  <c r="AC8" i="8194"/>
  <c r="AX7" i="8194"/>
  <c r="AW3" i="267" s="1"/>
  <c r="W10" i="8194"/>
  <c r="W101" i="8194" s="1"/>
  <c r="BD7" i="8194"/>
  <c r="BC3" i="267" s="1"/>
  <c r="AK8" i="8194"/>
  <c r="AD8" i="8194"/>
  <c r="BH9" i="8194"/>
  <c r="BH108" i="8194" s="1"/>
  <c r="AW7" i="8194"/>
  <c r="AV3" i="267" s="1"/>
  <c r="AP8" i="8194"/>
  <c r="BA12" i="8194"/>
  <c r="BA105" i="8194" s="1"/>
  <c r="AT11" i="8194"/>
  <c r="AT100" i="8194" s="1"/>
  <c r="H12" i="8194"/>
  <c r="H105" i="8194" s="1"/>
  <c r="R12" i="8194"/>
  <c r="R105" i="8194" s="1"/>
  <c r="AO13" i="8194"/>
  <c r="AO104" i="8194" s="1"/>
  <c r="H8" i="8194"/>
  <c r="H80" i="8194" s="1"/>
  <c r="M6" i="8194"/>
  <c r="M120" i="8194" s="1"/>
  <c r="BF8" i="8194"/>
  <c r="BF80" i="8194" s="1"/>
  <c r="AY11" i="8194"/>
  <c r="AY100" i="8194" s="1"/>
  <c r="Y8" i="8194"/>
  <c r="AS8" i="8194"/>
  <c r="BQ9" i="8194"/>
  <c r="BQ108" i="8194" s="1"/>
  <c r="AX6" i="8194"/>
  <c r="AW2" i="267" s="1"/>
  <c r="AS6" i="8194"/>
  <c r="AS120" i="8194" s="1"/>
  <c r="BI13" i="8194"/>
  <c r="BI104" i="8194" s="1"/>
  <c r="BP10" i="8194"/>
  <c r="BP101" i="8194" s="1"/>
  <c r="BL10" i="8194"/>
  <c r="BL101" i="8194" s="1"/>
  <c r="E13" i="8194"/>
  <c r="E104" i="8194" s="1"/>
  <c r="BK13" i="8194"/>
  <c r="BK104" i="8194" s="1"/>
  <c r="D7" i="8194"/>
  <c r="G7" i="8194"/>
  <c r="F3" i="267" s="1"/>
  <c r="V13" i="8194"/>
  <c r="V104" i="8194" s="1"/>
  <c r="I9" i="8194"/>
  <c r="I108" i="8194" s="1"/>
  <c r="G6" i="8194"/>
  <c r="F2" i="267" s="1"/>
  <c r="I6" i="8194"/>
  <c r="H2" i="267" s="1"/>
  <c r="AS13" i="8194"/>
  <c r="AS104" i="8194" s="1"/>
  <c r="BR8" i="8194"/>
  <c r="BR80" i="8194" s="1"/>
  <c r="AA8" i="8194"/>
  <c r="AY8" i="8194"/>
  <c r="AV6" i="8194"/>
  <c r="AV120" i="8194" s="1"/>
  <c r="AX10" i="8194"/>
  <c r="AX101" i="8194" s="1"/>
  <c r="E8" i="8194"/>
  <c r="E19" i="8194" s="1"/>
  <c r="BF9" i="8194"/>
  <c r="BF108" i="8194" s="1"/>
  <c r="AW11" i="8194"/>
  <c r="AW100" i="8194" s="1"/>
  <c r="BL12" i="8194"/>
  <c r="BL105" i="8194" s="1"/>
  <c r="Y7" i="8194"/>
  <c r="X3" i="267" s="1"/>
  <c r="AS9" i="8194"/>
  <c r="AS108" i="8194" s="1"/>
  <c r="W7" i="8194"/>
  <c r="Q8" i="8194"/>
  <c r="Q80" i="8194" s="1"/>
  <c r="BO6" i="8194"/>
  <c r="BN2" i="267" s="1"/>
  <c r="BH6" i="8194"/>
  <c r="BG2" i="267" s="1"/>
  <c r="Q7" i="8194"/>
  <c r="P3" i="267" s="1"/>
  <c r="V12" i="8194"/>
  <c r="V105" i="8194" s="1"/>
  <c r="Z11" i="8194"/>
  <c r="Z100" i="8194" s="1"/>
  <c r="N12" i="8194"/>
  <c r="N105" i="8194" s="1"/>
  <c r="BM11" i="8194"/>
  <c r="BM100" i="8194" s="1"/>
  <c r="BB7" i="8194"/>
  <c r="BO8" i="8194"/>
  <c r="BO80" i="8194" s="1"/>
  <c r="BC7" i="8194"/>
  <c r="BB3" i="267" s="1"/>
  <c r="BG8" i="8194"/>
  <c r="BG80" i="8194" s="1"/>
  <c r="BM6" i="8194"/>
  <c r="BM120" i="8194" s="1"/>
  <c r="J8" i="8194"/>
  <c r="J80" i="8194" s="1"/>
  <c r="AR6" i="8194"/>
  <c r="AQ2" i="267" s="1"/>
  <c r="I11" i="8194"/>
  <c r="I100" i="8194" s="1"/>
  <c r="U7" i="8194"/>
  <c r="T3" i="267" s="1"/>
  <c r="AR8" i="8194"/>
  <c r="D10" i="8194"/>
  <c r="D101" i="8194" s="1"/>
  <c r="BA10" i="8194"/>
  <c r="BA101" i="8194" s="1"/>
  <c r="X13" i="8194"/>
  <c r="X104" i="8194" s="1"/>
  <c r="S9" i="8194"/>
  <c r="S108" i="8194" s="1"/>
  <c r="K6" i="8194"/>
  <c r="K120" i="8194" s="1"/>
  <c r="AL12" i="8194"/>
  <c r="AL105" i="8194" s="1"/>
  <c r="AB8" i="8194"/>
  <c r="BQ12" i="8194"/>
  <c r="BQ105" i="8194" s="1"/>
  <c r="K9" i="8194"/>
  <c r="K108" i="8194" s="1"/>
  <c r="AW6" i="8194"/>
  <c r="AV2" i="267" s="1"/>
  <c r="BB10" i="8194"/>
  <c r="BB101" i="8194" s="1"/>
  <c r="AK13" i="8194"/>
  <c r="AK104" i="8194" s="1"/>
  <c r="AE6" i="8194"/>
  <c r="AE120" i="8194" s="1"/>
  <c r="BE9" i="8194"/>
  <c r="BE108" i="8194" s="1"/>
  <c r="AM10" i="8194"/>
  <c r="AM101" i="8194" s="1"/>
  <c r="K13" i="8194"/>
  <c r="K104" i="8194" s="1"/>
  <c r="BJ6" i="8194"/>
  <c r="BI2" i="267" s="1"/>
  <c r="BK10" i="8194"/>
  <c r="BK101" i="8194" s="1"/>
  <c r="AN7" i="8194"/>
  <c r="AM3" i="267" s="1"/>
  <c r="BJ9" i="8194"/>
  <c r="BJ108" i="8194" s="1"/>
  <c r="N9" i="8194"/>
  <c r="N108" i="8194" s="1"/>
  <c r="AL7" i="8194"/>
  <c r="BF7" i="8194"/>
  <c r="BF79" i="8194" s="1"/>
  <c r="D9" i="8194"/>
  <c r="D108" i="8194" s="1"/>
  <c r="U8" i="8194"/>
  <c r="R6" i="8194"/>
  <c r="Q2" i="267" s="1"/>
  <c r="AE7" i="8194"/>
  <c r="AD3" i="267" s="1"/>
  <c r="BG9" i="8194"/>
  <c r="BG108" i="8194" s="1"/>
  <c r="BQ7" i="8194"/>
  <c r="BP3" i="267" s="1"/>
  <c r="BD12" i="8194"/>
  <c r="BD105" i="8194" s="1"/>
  <c r="M7" i="8194"/>
  <c r="M79" i="8194" s="1"/>
  <c r="BN8" i="8194"/>
  <c r="BN80" i="8194" s="1"/>
  <c r="P7" i="8194"/>
  <c r="O3" i="267" s="1"/>
  <c r="AB6" i="8194"/>
  <c r="AA2" i="267" s="1"/>
  <c r="BD9" i="8194"/>
  <c r="BD108" i="8194" s="1"/>
  <c r="AI10" i="8194"/>
  <c r="AI101" i="8194" s="1"/>
  <c r="AA11" i="8194"/>
  <c r="AA100" i="8194" s="1"/>
  <c r="X6" i="8194"/>
  <c r="X120" i="8194" s="1"/>
  <c r="BL9" i="8194"/>
  <c r="BL108" i="8194" s="1"/>
  <c r="BG6" i="8194"/>
  <c r="BF2" i="267" s="1"/>
  <c r="P8" i="8194"/>
  <c r="P80" i="8194" s="1"/>
  <c r="AL9" i="8194"/>
  <c r="AL108" i="8194" s="1"/>
  <c r="T11" i="8194"/>
  <c r="T100" i="8194" s="1"/>
  <c r="BN9" i="8194"/>
  <c r="BN108" i="8194" s="1"/>
  <c r="BH12" i="8194"/>
  <c r="BH105" i="8194" s="1"/>
  <c r="AY10" i="8194"/>
  <c r="AY101" i="8194" s="1"/>
  <c r="N6" i="8194"/>
  <c r="M2" i="267" s="1"/>
  <c r="L7" i="8194"/>
  <c r="K3" i="267" s="1"/>
  <c r="AE10" i="8194"/>
  <c r="AE101" i="8194" s="1"/>
  <c r="BJ7" i="8194"/>
  <c r="BJ79" i="8194" s="1"/>
  <c r="AI13" i="8194"/>
  <c r="AI104" i="8194" s="1"/>
  <c r="X11" i="8194"/>
  <c r="X100" i="8194" s="1"/>
  <c r="BP7" i="8194"/>
  <c r="AG12" i="8194"/>
  <c r="AG105" i="8194" s="1"/>
  <c r="AM13" i="8194"/>
  <c r="AM104" i="8194" s="1"/>
  <c r="AM8" i="8194"/>
  <c r="F6" i="8194"/>
  <c r="E2" i="267" s="1"/>
  <c r="V6" i="8194"/>
  <c r="V120" i="8194" s="1"/>
  <c r="BC6" i="8194"/>
  <c r="BC120" i="8194" s="1"/>
  <c r="J12" i="8194"/>
  <c r="J105" i="8194" s="1"/>
  <c r="G13" i="8194"/>
  <c r="G104" i="8194" s="1"/>
  <c r="BH11" i="8194"/>
  <c r="BH100" i="8194" s="1"/>
  <c r="AF7" i="8194"/>
  <c r="M76" i="3"/>
  <c r="C71" i="50873"/>
  <c r="B105" i="2"/>
  <c r="C7" i="1" s="1"/>
  <c r="E105" i="2"/>
  <c r="H105" i="2"/>
  <c r="D105" i="2"/>
  <c r="G105" i="2"/>
  <c r="F105" i="2"/>
  <c r="C105" i="2"/>
  <c r="C74" i="50873"/>
  <c r="BO12" i="8194"/>
  <c r="BO105" i="8194" s="1"/>
  <c r="AS12" i="8194"/>
  <c r="AS105" i="8194" s="1"/>
  <c r="U13" i="8194"/>
  <c r="U104" i="8194" s="1"/>
  <c r="BH13" i="8194"/>
  <c r="BH104" i="8194" s="1"/>
  <c r="Y11" i="8194"/>
  <c r="Y100" i="8194" s="1"/>
  <c r="AR13" i="8194"/>
  <c r="AR104" i="8194" s="1"/>
  <c r="AW12" i="8194"/>
  <c r="AW105" i="8194" s="1"/>
  <c r="BK11" i="8194"/>
  <c r="BK100" i="8194" s="1"/>
  <c r="R11" i="8194"/>
  <c r="R100" i="8194" s="1"/>
  <c r="AD11" i="8194"/>
  <c r="AD100" i="8194" s="1"/>
  <c r="BR11" i="8194"/>
  <c r="BR100" i="8194" s="1"/>
  <c r="AT10" i="8194"/>
  <c r="AT101" i="8194" s="1"/>
  <c r="AB13" i="8194"/>
  <c r="AB104" i="8194" s="1"/>
  <c r="AZ10" i="8194"/>
  <c r="AZ101" i="8194" s="1"/>
  <c r="AV11" i="8194"/>
  <c r="AV100" i="8194" s="1"/>
  <c r="AA12" i="8194"/>
  <c r="AA105" i="8194" s="1"/>
  <c r="AS10" i="8194"/>
  <c r="AS101" i="8194" s="1"/>
  <c r="F10" i="8194"/>
  <c r="F101" i="8194" s="1"/>
  <c r="AU12" i="8194"/>
  <c r="AU105" i="8194" s="1"/>
  <c r="U11" i="8194"/>
  <c r="U100" i="8194" s="1"/>
  <c r="K11" i="8194"/>
  <c r="K100" i="8194" s="1"/>
  <c r="AN9" i="8194"/>
  <c r="AN108" i="8194" s="1"/>
  <c r="AT12" i="8194"/>
  <c r="AT105" i="8194" s="1"/>
  <c r="M12" i="8194"/>
  <c r="M105" i="8194" s="1"/>
  <c r="AX9" i="8194"/>
  <c r="AX108" i="8194" s="1"/>
  <c r="BE12" i="8194"/>
  <c r="BE105" i="8194" s="1"/>
  <c r="AL13" i="8194"/>
  <c r="AL104" i="8194" s="1"/>
  <c r="BC10" i="8194"/>
  <c r="BC101" i="8194" s="1"/>
  <c r="S11" i="8194"/>
  <c r="S100" i="8194" s="1"/>
  <c r="AO12" i="8194"/>
  <c r="AO105" i="8194" s="1"/>
  <c r="AY12" i="8194"/>
  <c r="AY105" i="8194" s="1"/>
  <c r="AY106" i="8194" s="1"/>
  <c r="O10" i="8194"/>
  <c r="O101" i="8194" s="1"/>
  <c r="AP12" i="8194"/>
  <c r="AP105" i="8194" s="1"/>
  <c r="BH10" i="8194"/>
  <c r="BH101" i="8194" s="1"/>
  <c r="BB12" i="8194"/>
  <c r="BB105" i="8194" s="1"/>
  <c r="BK12" i="8194"/>
  <c r="BK105" i="8194" s="1"/>
  <c r="AJ13" i="8194"/>
  <c r="AJ104" i="8194" s="1"/>
  <c r="AD13" i="8194"/>
  <c r="AD104" i="8194" s="1"/>
  <c r="BD13" i="8194"/>
  <c r="BD104" i="8194" s="1"/>
  <c r="AG13" i="8194"/>
  <c r="AG104" i="8194" s="1"/>
  <c r="BQ11" i="8194"/>
  <c r="BQ100" i="8194" s="1"/>
  <c r="T12" i="8194"/>
  <c r="T105" i="8194" s="1"/>
  <c r="BR12" i="8194"/>
  <c r="BR105" i="8194" s="1"/>
  <c r="BJ12" i="8194"/>
  <c r="BJ105" i="8194" s="1"/>
  <c r="G11" i="8194"/>
  <c r="G100" i="8194" s="1"/>
  <c r="R13" i="8194"/>
  <c r="R104" i="8194" s="1"/>
  <c r="O12" i="8194"/>
  <c r="O105" i="8194" s="1"/>
  <c r="AX12" i="8194"/>
  <c r="AX105" i="8194" s="1"/>
  <c r="W13" i="8194"/>
  <c r="W104" i="8194" s="1"/>
  <c r="AL11" i="8194"/>
  <c r="AL100" i="8194" s="1"/>
  <c r="BD11" i="8194"/>
  <c r="BD100" i="8194" s="1"/>
  <c r="T10" i="8194"/>
  <c r="T101" i="8194" s="1"/>
  <c r="BP9" i="8194"/>
  <c r="BP108" i="8194" s="1"/>
  <c r="Q11" i="8194"/>
  <c r="Q100" i="8194" s="1"/>
  <c r="BI11" i="8194"/>
  <c r="BI100" i="8194" s="1"/>
  <c r="D13" i="8194"/>
  <c r="D104" i="8194" s="1"/>
  <c r="M13" i="8194"/>
  <c r="M104" i="8194" s="1"/>
  <c r="BO11" i="8194"/>
  <c r="BO100" i="8194" s="1"/>
  <c r="I12" i="8194"/>
  <c r="I105" i="8194" s="1"/>
  <c r="AV10" i="8194"/>
  <c r="AV101" i="8194" s="1"/>
  <c r="AY9" i="8194"/>
  <c r="AY108" i="8194" s="1"/>
  <c r="AI9" i="8194"/>
  <c r="AI108" i="8194" s="1"/>
  <c r="BE10" i="8194"/>
  <c r="BE101" i="8194" s="1"/>
  <c r="Q10" i="8194"/>
  <c r="Q101" i="8194" s="1"/>
  <c r="N11" i="8194"/>
  <c r="N100" i="8194" s="1"/>
  <c r="BR13" i="8194"/>
  <c r="BR104" i="8194" s="1"/>
  <c r="W99" i="2"/>
  <c r="W96" i="2"/>
  <c r="W101" i="2"/>
  <c r="W76" i="2"/>
  <c r="W94" i="2"/>
  <c r="W117" i="2"/>
  <c r="W60" i="2"/>
  <c r="W110" i="2"/>
  <c r="W118" i="2"/>
  <c r="W112" i="2"/>
  <c r="W119" i="2"/>
  <c r="W108" i="2"/>
  <c r="W98" i="2"/>
  <c r="W104" i="2"/>
  <c r="W120" i="2"/>
  <c r="W103" i="2"/>
  <c r="W116" i="2"/>
  <c r="W95" i="2"/>
  <c r="W69" i="2"/>
  <c r="W97" i="2"/>
  <c r="W73" i="2"/>
  <c r="W107" i="2"/>
  <c r="W113" i="2"/>
  <c r="W62" i="2"/>
  <c r="W102" i="2"/>
  <c r="W105" i="2"/>
  <c r="W70" i="2"/>
  <c r="W71" i="2"/>
  <c r="W74" i="2"/>
  <c r="W65" i="2"/>
  <c r="W67" i="2"/>
  <c r="W68" i="2"/>
  <c r="W61" i="2"/>
  <c r="W93" i="2"/>
  <c r="W64" i="2"/>
  <c r="W63" i="2"/>
  <c r="W109" i="2"/>
  <c r="W122" i="2"/>
  <c r="W66" i="2"/>
  <c r="W123" i="2"/>
  <c r="W106" i="2"/>
  <c r="W114" i="2"/>
  <c r="W75" i="2"/>
  <c r="W115" i="2"/>
  <c r="W72" i="2"/>
  <c r="W111" i="2"/>
  <c r="W124" i="2"/>
  <c r="W125" i="2"/>
  <c r="W100" i="2"/>
  <c r="W121" i="2"/>
  <c r="AV12" i="8194"/>
  <c r="AV105" i="8194" s="1"/>
  <c r="AF12" i="8194"/>
  <c r="AF105" i="8194" s="1"/>
  <c r="AI11" i="8194"/>
  <c r="AI100" i="8194" s="1"/>
  <c r="BA11" i="8194"/>
  <c r="BA100" i="8194" s="1"/>
  <c r="BM13" i="8194"/>
  <c r="BM104" i="8194" s="1"/>
  <c r="BO10" i="8194"/>
  <c r="BO101" i="8194" s="1"/>
  <c r="AE13" i="8194"/>
  <c r="AE104" i="8194" s="1"/>
  <c r="AG11" i="8194"/>
  <c r="AG100" i="8194" s="1"/>
  <c r="BB13" i="8194"/>
  <c r="BB104" i="8194" s="1"/>
  <c r="AI12" i="8194"/>
  <c r="AI105" i="8194" s="1"/>
  <c r="AQ13" i="8194"/>
  <c r="AQ104" i="8194" s="1"/>
  <c r="X10" i="8194"/>
  <c r="X101" i="8194" s="1"/>
  <c r="AB12" i="8194"/>
  <c r="AB105" i="8194" s="1"/>
  <c r="BA13" i="8194"/>
  <c r="BA104" i="8194" s="1"/>
  <c r="G12" i="8194"/>
  <c r="G105" i="8194" s="1"/>
  <c r="E11" i="8194"/>
  <c r="E100" i="8194" s="1"/>
  <c r="AW10" i="8194"/>
  <c r="AW101" i="8194" s="1"/>
  <c r="S12" i="8194"/>
  <c r="S105" i="8194" s="1"/>
  <c r="BC13" i="8194"/>
  <c r="BC104" i="8194" s="1"/>
  <c r="BA9" i="8194"/>
  <c r="BA108" i="8194" s="1"/>
  <c r="AZ13" i="8194"/>
  <c r="AZ104" i="8194" s="1"/>
  <c r="AZ11" i="8194"/>
  <c r="AZ100" i="8194" s="1"/>
  <c r="AH10" i="8194"/>
  <c r="AH101" i="8194" s="1"/>
  <c r="AA10" i="8194"/>
  <c r="AA101" i="8194" s="1"/>
  <c r="O11" i="8194"/>
  <c r="O100" i="8194" s="1"/>
  <c r="Z9" i="8194"/>
  <c r="Z108" i="8194" s="1"/>
  <c r="N10" i="8194"/>
  <c r="N101" i="8194" s="1"/>
  <c r="BK9" i="8194"/>
  <c r="BK108" i="8194" s="1"/>
  <c r="BI10" i="8194"/>
  <c r="BI101" i="8194" s="1"/>
  <c r="AJ10" i="8194"/>
  <c r="AJ101" i="8194" s="1"/>
  <c r="BC11" i="8194"/>
  <c r="BC100" i="8194" s="1"/>
  <c r="T9" i="8194"/>
  <c r="T108" i="8194" s="1"/>
  <c r="C79" i="50873"/>
  <c r="M84" i="3"/>
  <c r="AQ11" i="50873"/>
  <c r="AQ10" i="50873"/>
  <c r="M77" i="3"/>
  <c r="C76" i="50873"/>
  <c r="M81" i="3"/>
  <c r="Z13" i="50873"/>
  <c r="L30" i="3"/>
  <c r="K8" i="1"/>
  <c r="P62" i="2"/>
  <c r="P63" i="2" s="1"/>
  <c r="T72" i="1" s="1"/>
  <c r="T73" i="1" s="1"/>
  <c r="T74" i="1" s="1"/>
  <c r="T75" i="1" s="1"/>
  <c r="T76" i="1" s="1"/>
  <c r="T77" i="1" s="1"/>
  <c r="T78" i="1" s="1"/>
  <c r="T79" i="1" s="1"/>
  <c r="T80" i="1" s="1"/>
  <c r="T81" i="1" s="1"/>
  <c r="T82" i="1" s="1"/>
  <c r="T83" i="1" s="1"/>
  <c r="T84" i="1" s="1"/>
  <c r="T85" i="1" s="1"/>
  <c r="T86" i="1" s="1"/>
  <c r="T87" i="1" s="1"/>
  <c r="T88" i="1" s="1"/>
  <c r="H53" i="2"/>
  <c r="Q61" i="2" s="1"/>
  <c r="L59" i="3"/>
  <c r="K63" i="2"/>
  <c r="K7" i="1" s="1"/>
  <c r="Y33" i="2"/>
  <c r="AI33" i="2"/>
  <c r="Y34" i="2"/>
  <c r="Z12" i="50873"/>
  <c r="L29" i="3"/>
  <c r="K21" i="3" s="1"/>
  <c r="AT10" i="50873"/>
  <c r="N59" i="3"/>
  <c r="C81" i="50873"/>
  <c r="M86" i="3"/>
  <c r="M89" i="3"/>
  <c r="C84" i="50873"/>
  <c r="N60" i="3"/>
  <c r="AT11" i="50873"/>
  <c r="C73" i="50873"/>
  <c r="M78" i="3"/>
  <c r="C82" i="50873"/>
  <c r="M87" i="3"/>
  <c r="E51" i="2"/>
  <c r="F50" i="50873"/>
  <c r="E47" i="3"/>
  <c r="AI69" i="4"/>
  <c r="K60" i="2"/>
  <c r="L56" i="3"/>
  <c r="C48" i="3"/>
  <c r="G52" i="2"/>
  <c r="G48" i="3"/>
  <c r="B51" i="50873"/>
  <c r="B52" i="2"/>
  <c r="D51" i="50873"/>
  <c r="C52" i="2"/>
  <c r="F51" i="50873"/>
  <c r="P64" i="2"/>
  <c r="E48" i="3"/>
  <c r="Q65" i="2"/>
  <c r="H51" i="50873"/>
  <c r="E52" i="2"/>
  <c r="B48" i="3"/>
  <c r="Q64" i="2"/>
  <c r="M82" i="3"/>
  <c r="C77" i="50873"/>
  <c r="C83" i="50873"/>
  <c r="M88" i="3"/>
  <c r="C85" i="50873"/>
  <c r="M90" i="3"/>
  <c r="E4" i="8194" l="1"/>
  <c r="E46" i="3"/>
  <c r="E5" i="8194"/>
  <c r="D5" i="8194"/>
  <c r="F26" i="8194"/>
  <c r="G7" i="2"/>
  <c r="G7" i="3"/>
  <c r="Y64" i="50872"/>
  <c r="Y65" i="50872" s="1"/>
  <c r="Y66" i="50872" s="1"/>
  <c r="Y67" i="50872" s="1"/>
  <c r="Y68" i="50872" s="1"/>
  <c r="Y69" i="50872" s="1"/>
  <c r="AF139" i="2"/>
  <c r="BG69" i="2" s="1"/>
  <c r="X22" i="3" s="1"/>
  <c r="AE139" i="2"/>
  <c r="B66" i="2" s="1"/>
  <c r="B60" i="3" s="1"/>
  <c r="B45" i="2"/>
  <c r="B44" i="2"/>
  <c r="G46" i="2"/>
  <c r="G44" i="2"/>
  <c r="G47" i="2"/>
  <c r="G45" i="2"/>
  <c r="J61" i="2"/>
  <c r="B47" i="2"/>
  <c r="BG74" i="2"/>
  <c r="B46" i="2"/>
  <c r="P102" i="8194"/>
  <c r="J40" i="2"/>
  <c r="BG83" i="2" s="1"/>
  <c r="AI137" i="2"/>
  <c r="Y84" i="50872"/>
  <c r="Y85" i="50872" s="1"/>
  <c r="Y86" i="50872" s="1"/>
  <c r="Y74" i="50872"/>
  <c r="Y75" i="50872" s="1"/>
  <c r="Y63" i="50872"/>
  <c r="Y80" i="50872"/>
  <c r="AI138" i="2"/>
  <c r="Y70" i="50872"/>
  <c r="Y71" i="50872" s="1"/>
  <c r="W57" i="50872"/>
  <c r="Y82" i="50872"/>
  <c r="J43" i="2"/>
  <c r="J16" i="2" s="1"/>
  <c r="Y83" i="50872"/>
  <c r="AI136" i="2"/>
  <c r="Y60" i="50872"/>
  <c r="Y61" i="50872" s="1"/>
  <c r="Y62" i="50872" s="1"/>
  <c r="BH58" i="2"/>
  <c r="E21" i="2" s="1"/>
  <c r="O82" i="1"/>
  <c r="Z82" i="1"/>
  <c r="M26" i="3"/>
  <c r="B39" i="3"/>
  <c r="G39" i="3"/>
  <c r="U27" i="3"/>
  <c r="V27" i="3"/>
  <c r="E23" i="3"/>
  <c r="Z81" i="1"/>
  <c r="P106" i="8194"/>
  <c r="O33" i="1"/>
  <c r="Z31" i="1"/>
  <c r="O32" i="1"/>
  <c r="O80" i="1"/>
  <c r="O90" i="1"/>
  <c r="O34" i="1"/>
  <c r="Z91" i="1"/>
  <c r="Z34" i="1"/>
  <c r="Z89" i="1"/>
  <c r="Z26" i="1"/>
  <c r="O27" i="1"/>
  <c r="B20" i="50873"/>
  <c r="Z80" i="1"/>
  <c r="O91" i="1"/>
  <c r="Z92" i="1"/>
  <c r="Z27" i="1"/>
  <c r="O35" i="1"/>
  <c r="V130" i="2"/>
  <c r="Z30" i="1"/>
  <c r="Z86" i="1"/>
  <c r="O86" i="1"/>
  <c r="Z33" i="1"/>
  <c r="O36" i="1"/>
  <c r="O88" i="1"/>
  <c r="O87" i="1"/>
  <c r="Z90" i="1"/>
  <c r="Z87" i="1"/>
  <c r="O79" i="1"/>
  <c r="O31" i="1"/>
  <c r="O83" i="1"/>
  <c r="Z28" i="1"/>
  <c r="Z29" i="1"/>
  <c r="Z79" i="1"/>
  <c r="Z83" i="1"/>
  <c r="O28" i="1"/>
  <c r="O85" i="1"/>
  <c r="Z85" i="1"/>
  <c r="O29" i="1"/>
  <c r="Z32" i="1"/>
  <c r="M30" i="2"/>
  <c r="B30" i="8194" s="1"/>
  <c r="O89" i="1"/>
  <c r="Z35" i="1"/>
  <c r="Z84" i="1"/>
  <c r="Z36" i="1"/>
  <c r="F7" i="1"/>
  <c r="O30" i="1"/>
  <c r="Z88" i="1"/>
  <c r="F8" i="1"/>
  <c r="O81" i="1"/>
  <c r="O26" i="1"/>
  <c r="C392" i="8364"/>
  <c r="D391" i="8364"/>
  <c r="E391" i="8364"/>
  <c r="W59" i="4"/>
  <c r="W76" i="4" s="1"/>
  <c r="X35" i="4"/>
  <c r="AX155" i="8194"/>
  <c r="AX157" i="8194" s="1"/>
  <c r="BN78" i="4"/>
  <c r="BL78" i="4"/>
  <c r="AX105" i="2"/>
  <c r="AX77" i="2"/>
  <c r="AJ78" i="4"/>
  <c r="V155" i="8194"/>
  <c r="V157" i="8194" s="1"/>
  <c r="AP106" i="8194"/>
  <c r="AV106" i="8194"/>
  <c r="AS106" i="8194"/>
  <c r="H13" i="267"/>
  <c r="AA106" i="8194"/>
  <c r="K106" i="8194"/>
  <c r="BF106" i="8194"/>
  <c r="W130" i="2"/>
  <c r="U49" i="2"/>
  <c r="W49" i="2"/>
  <c r="W38" i="4"/>
  <c r="L39" i="3"/>
  <c r="N39" i="3"/>
  <c r="W102" i="8194"/>
  <c r="AU106" i="8194"/>
  <c r="AT106" i="8194"/>
  <c r="BA106" i="8194"/>
  <c r="I106" i="8194"/>
  <c r="AH106" i="8194"/>
  <c r="S106" i="8194"/>
  <c r="BE102" i="8194"/>
  <c r="Y102" i="8194"/>
  <c r="AZ106" i="8194"/>
  <c r="AI2" i="267"/>
  <c r="BK102" i="8194"/>
  <c r="F19" i="8194"/>
  <c r="G19" i="8194" s="1"/>
  <c r="H19" i="8194" s="1"/>
  <c r="I19" i="8194" s="1"/>
  <c r="J19" i="8194" s="1"/>
  <c r="K19" i="8194" s="1"/>
  <c r="L19" i="8194" s="1"/>
  <c r="M19" i="8194" s="1"/>
  <c r="N19" i="8194" s="1"/>
  <c r="O19" i="8194" s="1"/>
  <c r="P19" i="8194" s="1"/>
  <c r="Q19" i="8194" s="1"/>
  <c r="R19" i="8194" s="1"/>
  <c r="S19" i="8194" s="1"/>
  <c r="T19" i="8194" s="1"/>
  <c r="U19" i="8194" s="1"/>
  <c r="V19" i="8194" s="1"/>
  <c r="W19" i="8194" s="1"/>
  <c r="X19" i="8194" s="1"/>
  <c r="Y19" i="8194" s="1"/>
  <c r="Z19" i="8194" s="1"/>
  <c r="AA19" i="8194" s="1"/>
  <c r="AB19" i="8194" s="1"/>
  <c r="AC19" i="8194" s="1"/>
  <c r="AD19" i="8194" s="1"/>
  <c r="AE19" i="8194" s="1"/>
  <c r="AF19" i="8194" s="1"/>
  <c r="AG19" i="8194" s="1"/>
  <c r="AH19" i="8194" s="1"/>
  <c r="AI19" i="8194" s="1"/>
  <c r="AJ19" i="8194" s="1"/>
  <c r="AK19" i="8194" s="1"/>
  <c r="AL19" i="8194" s="1"/>
  <c r="AM19" i="8194" s="1"/>
  <c r="AN19" i="8194" s="1"/>
  <c r="AO19" i="8194" s="1"/>
  <c r="AP19" i="8194" s="1"/>
  <c r="AQ19" i="8194" s="1"/>
  <c r="AR19" i="8194" s="1"/>
  <c r="AS19" i="8194" s="1"/>
  <c r="AT19" i="8194" s="1"/>
  <c r="AU19" i="8194" s="1"/>
  <c r="AV19" i="8194" s="1"/>
  <c r="AW19" i="8194" s="1"/>
  <c r="AX19" i="8194" s="1"/>
  <c r="AY19" i="8194" s="1"/>
  <c r="AZ19" i="8194" s="1"/>
  <c r="BA19" i="8194" s="1"/>
  <c r="BB19" i="8194" s="1"/>
  <c r="BC19" i="8194" s="1"/>
  <c r="BD19" i="8194" s="1"/>
  <c r="BE19" i="8194" s="1"/>
  <c r="BF19" i="8194" s="1"/>
  <c r="BG19" i="8194" s="1"/>
  <c r="BH19" i="8194" s="1"/>
  <c r="BI19" i="8194" s="1"/>
  <c r="BJ19" i="8194" s="1"/>
  <c r="BK19" i="8194" s="1"/>
  <c r="BL19" i="8194" s="1"/>
  <c r="BM19" i="8194" s="1"/>
  <c r="BN19" i="8194" s="1"/>
  <c r="BO19" i="8194" s="1"/>
  <c r="BP19" i="8194" s="1"/>
  <c r="BQ19" i="8194" s="1"/>
  <c r="BR19" i="8194" s="1"/>
  <c r="BP102" i="8194"/>
  <c r="BG79" i="8194"/>
  <c r="BF13" i="267" s="1"/>
  <c r="E3" i="267"/>
  <c r="N102" i="8194"/>
  <c r="AX106" i="8194"/>
  <c r="AG106" i="8194"/>
  <c r="U2" i="267"/>
  <c r="W120" i="8194"/>
  <c r="I120" i="8194"/>
  <c r="BN3" i="267"/>
  <c r="AU120" i="8194"/>
  <c r="F120" i="8194"/>
  <c r="J3" i="267"/>
  <c r="BH120" i="8194"/>
  <c r="O102" i="8194"/>
  <c r="R120" i="8194"/>
  <c r="BL102" i="8194"/>
  <c r="BJ120" i="8194"/>
  <c r="BI3" i="267"/>
  <c r="AB120" i="8194"/>
  <c r="AH136" i="2"/>
  <c r="O24" i="3" s="1"/>
  <c r="AZ120" i="8194"/>
  <c r="H3" i="267"/>
  <c r="AH137" i="2"/>
  <c r="O25" i="3" s="1"/>
  <c r="AV102" i="8194"/>
  <c r="AX102" i="8194"/>
  <c r="AH138" i="2"/>
  <c r="O26" i="3" s="1"/>
  <c r="Y106" i="8194"/>
  <c r="AS102" i="8194"/>
  <c r="AJ102" i="8194"/>
  <c r="AE102" i="8194"/>
  <c r="BR102" i="8194"/>
  <c r="E102" i="8194"/>
  <c r="AB102" i="8194"/>
  <c r="BF102" i="8194"/>
  <c r="BG106" i="8194"/>
  <c r="BH3" i="267"/>
  <c r="BL2" i="267"/>
  <c r="BB106" i="8194"/>
  <c r="BG102" i="8194"/>
  <c r="R3" i="2"/>
  <c r="X60" i="50872" s="1"/>
  <c r="AI106" i="8194"/>
  <c r="Q102" i="8194"/>
  <c r="AF102" i="8194"/>
  <c r="U120" i="8194"/>
  <c r="BM2" i="267"/>
  <c r="Y2" i="267"/>
  <c r="BB2" i="267"/>
  <c r="T102" i="8194"/>
  <c r="BJ106" i="8194"/>
  <c r="BK106" i="8194"/>
  <c r="R102" i="8194"/>
  <c r="F18" i="8194"/>
  <c r="G18" i="8194" s="1"/>
  <c r="H18" i="8194" s="1"/>
  <c r="I18" i="8194" s="1"/>
  <c r="J18" i="8194" s="1"/>
  <c r="K18" i="8194" s="1"/>
  <c r="L18" i="8194" s="1"/>
  <c r="M18" i="8194" s="1"/>
  <c r="N18" i="8194" s="1"/>
  <c r="O18" i="8194" s="1"/>
  <c r="P18" i="8194" s="1"/>
  <c r="Q18" i="8194" s="1"/>
  <c r="R18" i="8194" s="1"/>
  <c r="S18" i="8194" s="1"/>
  <c r="T18" i="8194" s="1"/>
  <c r="U18" i="8194" s="1"/>
  <c r="V18" i="8194" s="1"/>
  <c r="W18" i="8194" s="1"/>
  <c r="X18" i="8194" s="1"/>
  <c r="Y18" i="8194" s="1"/>
  <c r="Z18" i="8194" s="1"/>
  <c r="AA18" i="8194" s="1"/>
  <c r="AB18" i="8194" s="1"/>
  <c r="AC18" i="8194" s="1"/>
  <c r="AD18" i="8194" s="1"/>
  <c r="AE18" i="8194" s="1"/>
  <c r="AF18" i="8194" s="1"/>
  <c r="AG18" i="8194" s="1"/>
  <c r="AH18" i="8194" s="1"/>
  <c r="AI18" i="8194" s="1"/>
  <c r="AJ18" i="8194" s="1"/>
  <c r="AK18" i="8194" s="1"/>
  <c r="AL18" i="8194" s="1"/>
  <c r="AM18" i="8194" s="1"/>
  <c r="AN18" i="8194" s="1"/>
  <c r="AO18" i="8194" s="1"/>
  <c r="AP18" i="8194" s="1"/>
  <c r="AQ18" i="8194" s="1"/>
  <c r="AR18" i="8194" s="1"/>
  <c r="AS18" i="8194" s="1"/>
  <c r="AT18" i="8194" s="1"/>
  <c r="AU18" i="8194" s="1"/>
  <c r="AV18" i="8194" s="1"/>
  <c r="AW18" i="8194" s="1"/>
  <c r="AX18" i="8194" s="1"/>
  <c r="AY18" i="8194" s="1"/>
  <c r="AZ18" i="8194" s="1"/>
  <c r="BA18" i="8194" s="1"/>
  <c r="BB18" i="8194" s="1"/>
  <c r="BC18" i="8194" s="1"/>
  <c r="BD18" i="8194" s="1"/>
  <c r="BE18" i="8194" s="1"/>
  <c r="BF18" i="8194" s="1"/>
  <c r="BG18" i="8194" s="1"/>
  <c r="BH18" i="8194" s="1"/>
  <c r="BI18" i="8194" s="1"/>
  <c r="BJ18" i="8194" s="1"/>
  <c r="BK18" i="8194" s="1"/>
  <c r="BL18" i="8194" s="1"/>
  <c r="BM18" i="8194" s="1"/>
  <c r="BN18" i="8194" s="1"/>
  <c r="BO18" i="8194" s="1"/>
  <c r="BP18" i="8194" s="1"/>
  <c r="BQ18" i="8194" s="1"/>
  <c r="BR18" i="8194" s="1"/>
  <c r="AF106" i="8194"/>
  <c r="H102" i="8194"/>
  <c r="K20" i="3"/>
  <c r="BN106" i="8194"/>
  <c r="AU102" i="8194"/>
  <c r="AW102" i="8194"/>
  <c r="Y120" i="8194"/>
  <c r="O79" i="8194"/>
  <c r="AV70" i="2" s="1"/>
  <c r="AT120" i="8194"/>
  <c r="AN2" i="267"/>
  <c r="AN3" i="267"/>
  <c r="O86" i="8194"/>
  <c r="D3" i="267"/>
  <c r="P120" i="8194"/>
  <c r="BG3" i="267"/>
  <c r="G3" i="267"/>
  <c r="BP120" i="8194"/>
  <c r="BL120" i="8194"/>
  <c r="AT102" i="8194"/>
  <c r="J106" i="8194"/>
  <c r="AK106" i="8194"/>
  <c r="R106" i="8194"/>
  <c r="BE106" i="8194"/>
  <c r="BP106" i="8194"/>
  <c r="F106" i="8194"/>
  <c r="BB102" i="8194"/>
  <c r="AW120" i="8194"/>
  <c r="K2" i="267"/>
  <c r="N3" i="267"/>
  <c r="E79" i="8194"/>
  <c r="D13" i="267" s="1"/>
  <c r="BA2" i="267"/>
  <c r="AY120" i="8194"/>
  <c r="BC106" i="8194"/>
  <c r="BC102" i="8194"/>
  <c r="K102" i="8194"/>
  <c r="AA102" i="8194"/>
  <c r="N106" i="8194"/>
  <c r="U106" i="8194"/>
  <c r="AC102" i="8194"/>
  <c r="L106" i="8194"/>
  <c r="H106" i="8194"/>
  <c r="AD102" i="8194"/>
  <c r="J102" i="8194"/>
  <c r="AM106" i="8194"/>
  <c r="BM102" i="8194"/>
  <c r="E106" i="8194"/>
  <c r="AC106" i="8194"/>
  <c r="AV115" i="2"/>
  <c r="BO120" i="8194"/>
  <c r="BA102" i="8194"/>
  <c r="W106" i="8194"/>
  <c r="BQ102" i="8194"/>
  <c r="S102" i="8194"/>
  <c r="AZ102" i="8194"/>
  <c r="AR106" i="8194"/>
  <c r="AY102" i="8194"/>
  <c r="AY109" i="8194" s="1"/>
  <c r="I102" i="8194"/>
  <c r="V106" i="8194"/>
  <c r="AH102" i="8194"/>
  <c r="L102" i="8194"/>
  <c r="AD106" i="8194"/>
  <c r="AN102" i="8194"/>
  <c r="AP102" i="8194"/>
  <c r="F102" i="8194"/>
  <c r="BL106" i="8194"/>
  <c r="AK102" i="8194"/>
  <c r="X106" i="8194"/>
  <c r="BN102" i="8194"/>
  <c r="AI3" i="267"/>
  <c r="G102" i="8194"/>
  <c r="BO106" i="8194"/>
  <c r="AJ106" i="8194"/>
  <c r="BR79" i="8194"/>
  <c r="AV125" i="2" s="1"/>
  <c r="AI102" i="8194"/>
  <c r="AE106" i="8194"/>
  <c r="Z106" i="8194"/>
  <c r="J79" i="8194"/>
  <c r="AV65" i="2" s="1"/>
  <c r="X102" i="8194"/>
  <c r="BD106" i="8194"/>
  <c r="O106" i="8194"/>
  <c r="AL102" i="8194"/>
  <c r="BI106" i="8194"/>
  <c r="AN106" i="8194"/>
  <c r="AF120" i="8194"/>
  <c r="AC120" i="8194"/>
  <c r="AG102" i="8194"/>
  <c r="BH106" i="8194"/>
  <c r="Q106" i="8194"/>
  <c r="BJ102" i="8194"/>
  <c r="AQ102" i="8194"/>
  <c r="BI102" i="8194"/>
  <c r="Z102" i="8194"/>
  <c r="AR102" i="8194"/>
  <c r="AJ2" i="267"/>
  <c r="AO102" i="8194"/>
  <c r="U102" i="8194"/>
  <c r="AG3" i="267"/>
  <c r="AB3" i="267"/>
  <c r="BQ106" i="8194"/>
  <c r="BA3" i="267"/>
  <c r="Q120" i="8194"/>
  <c r="AP120" i="8194"/>
  <c r="G2" i="267"/>
  <c r="BN79" i="8194"/>
  <c r="AV121" i="2" s="1"/>
  <c r="AR2" i="267"/>
  <c r="Z2" i="267"/>
  <c r="N330" i="8194"/>
  <c r="N348" i="8194"/>
  <c r="AK3" i="267"/>
  <c r="AD2" i="267"/>
  <c r="H357" i="8194"/>
  <c r="AK2" i="267"/>
  <c r="AE3" i="267"/>
  <c r="H246" i="8194"/>
  <c r="H237" i="8194"/>
  <c r="AH2" i="267"/>
  <c r="AO106" i="8194"/>
  <c r="BM106" i="8194"/>
  <c r="L3" i="267"/>
  <c r="H339" i="8194"/>
  <c r="H327" i="8194"/>
  <c r="H225" i="8194"/>
  <c r="V102" i="8194"/>
  <c r="N309" i="8194"/>
  <c r="N306" i="8194"/>
  <c r="AM102" i="8194"/>
  <c r="H228" i="8194"/>
  <c r="N315" i="8194"/>
  <c r="L79" i="8194"/>
  <c r="AV67" i="2" s="1"/>
  <c r="E80" i="8194"/>
  <c r="AN120" i="8194"/>
  <c r="H255" i="8194"/>
  <c r="AQ106" i="8194"/>
  <c r="N270" i="8194"/>
  <c r="AA3" i="267"/>
  <c r="M102" i="8194"/>
  <c r="H333" i="8194"/>
  <c r="AH120" i="8194"/>
  <c r="BJ3" i="267"/>
  <c r="N390" i="8194"/>
  <c r="N267" i="8194"/>
  <c r="BA120" i="8194"/>
  <c r="H381" i="8194"/>
  <c r="H345" i="8194"/>
  <c r="N294" i="8194"/>
  <c r="H285" i="8194"/>
  <c r="H396" i="8194"/>
  <c r="N261" i="8194"/>
  <c r="T106" i="8194"/>
  <c r="AW106" i="8194"/>
  <c r="H336" i="8194"/>
  <c r="N225" i="8194"/>
  <c r="H249" i="8194"/>
  <c r="H402" i="8194"/>
  <c r="AX3" i="267"/>
  <c r="W2" i="267"/>
  <c r="BQ79" i="8194"/>
  <c r="AV124" i="2" s="1"/>
  <c r="AB106" i="8194"/>
  <c r="N291" i="8194"/>
  <c r="N264" i="8194"/>
  <c r="H348" i="8194"/>
  <c r="H393" i="8194"/>
  <c r="N342" i="8194"/>
  <c r="N408" i="8194"/>
  <c r="N279" i="8194"/>
  <c r="N396" i="8194"/>
  <c r="H267" i="8194"/>
  <c r="H390" i="8194"/>
  <c r="H309" i="8194"/>
  <c r="BK3" i="267"/>
  <c r="W3" i="267"/>
  <c r="L2" i="267"/>
  <c r="AF2" i="267"/>
  <c r="BD3" i="267"/>
  <c r="BG120" i="8194"/>
  <c r="BM79" i="8194"/>
  <c r="BL13" i="267" s="1"/>
  <c r="BO102" i="8194"/>
  <c r="N318" i="8194"/>
  <c r="N285" i="8194"/>
  <c r="N414" i="8194"/>
  <c r="H321" i="8194"/>
  <c r="BP2" i="267"/>
  <c r="H330" i="8194"/>
  <c r="AL2" i="267"/>
  <c r="N351" i="8194"/>
  <c r="H384" i="8194"/>
  <c r="BJ2" i="267"/>
  <c r="H405" i="8194"/>
  <c r="N363" i="8194"/>
  <c r="H282" i="8194"/>
  <c r="H288" i="8194"/>
  <c r="BE2" i="267"/>
  <c r="BR106" i="8194"/>
  <c r="H261" i="8194"/>
  <c r="N219" i="8194"/>
  <c r="P220" i="8194" s="1"/>
  <c r="P221" i="8194" s="1"/>
  <c r="P222" i="8194" s="1"/>
  <c r="N243" i="8194"/>
  <c r="H219" i="8194"/>
  <c r="K220" i="8194" s="1"/>
  <c r="K221" i="8194" s="1"/>
  <c r="K222" i="8194" s="1"/>
  <c r="N276" i="8194"/>
  <c r="N324" i="8194"/>
  <c r="N384" i="8194"/>
  <c r="N240" i="8194"/>
  <c r="H414" i="8194"/>
  <c r="H294" i="8194"/>
  <c r="J2" i="267"/>
  <c r="N387" i="8194"/>
  <c r="H297" i="8194"/>
  <c r="H240" i="8194"/>
  <c r="H375" i="8194"/>
  <c r="N246" i="8194"/>
  <c r="H303" i="8194"/>
  <c r="AU2" i="267"/>
  <c r="H273" i="8194"/>
  <c r="H312" i="8194"/>
  <c r="H399" i="8194"/>
  <c r="N360" i="8194"/>
  <c r="N372" i="8194"/>
  <c r="N411" i="8194"/>
  <c r="H408" i="8194"/>
  <c r="S2" i="267"/>
  <c r="N2" i="267"/>
  <c r="S120" i="8194"/>
  <c r="BO3" i="267"/>
  <c r="BL3" i="267"/>
  <c r="E120" i="8194"/>
  <c r="G106" i="8194"/>
  <c r="N312" i="8194"/>
  <c r="N234" i="8194"/>
  <c r="N252" i="8194"/>
  <c r="N258" i="8194"/>
  <c r="N288" i="8194"/>
  <c r="H306" i="8194"/>
  <c r="H300" i="8194"/>
  <c r="N333" i="8194"/>
  <c r="N297" i="8194"/>
  <c r="N237" i="8194"/>
  <c r="H363" i="8194"/>
  <c r="M106" i="8194"/>
  <c r="N228" i="8194"/>
  <c r="H324" i="8194"/>
  <c r="H276" i="8194"/>
  <c r="H387" i="8194"/>
  <c r="N327" i="8194"/>
  <c r="N381" i="8194"/>
  <c r="N282" i="8194"/>
  <c r="H222" i="8194"/>
  <c r="H318" i="8194"/>
  <c r="N300" i="8194"/>
  <c r="N222" i="8194"/>
  <c r="N120" i="8194"/>
  <c r="BE3" i="267"/>
  <c r="AX120" i="8194"/>
  <c r="AR120" i="8194"/>
  <c r="BC2" i="267"/>
  <c r="V3" i="267"/>
  <c r="BI120" i="8194"/>
  <c r="S3" i="267"/>
  <c r="N79" i="8194"/>
  <c r="M13" i="267" s="1"/>
  <c r="BP79" i="8194"/>
  <c r="AV123" i="2" s="1"/>
  <c r="BD2" i="267"/>
  <c r="AC2" i="267"/>
  <c r="G120" i="8194"/>
  <c r="E117" i="8194"/>
  <c r="AD117" i="8194" s="1"/>
  <c r="I2" i="267"/>
  <c r="BH102" i="8194"/>
  <c r="H378" i="8194"/>
  <c r="N393" i="8194"/>
  <c r="H231" i="8194"/>
  <c r="H366" i="8194"/>
  <c r="G79" i="8194"/>
  <c r="AV62" i="2" s="1"/>
  <c r="H243" i="8194"/>
  <c r="H234" i="8194"/>
  <c r="N321" i="8194"/>
  <c r="H360" i="8194"/>
  <c r="N249" i="8194"/>
  <c r="N378" i="8194"/>
  <c r="H354" i="8194"/>
  <c r="N255" i="8194"/>
  <c r="N405" i="8194"/>
  <c r="N336" i="8194"/>
  <c r="AP2" i="267"/>
  <c r="BD102" i="8194"/>
  <c r="H270" i="8194"/>
  <c r="N354" i="8194"/>
  <c r="H252" i="8194"/>
  <c r="N273" i="8194"/>
  <c r="N339" i="8194"/>
  <c r="N402" i="8194"/>
  <c r="N399" i="8194"/>
  <c r="H351" i="8194"/>
  <c r="H369" i="8194"/>
  <c r="H279" i="8194"/>
  <c r="H372" i="8194"/>
  <c r="N303" i="8194"/>
  <c r="N231" i="8194"/>
  <c r="N369" i="8194"/>
  <c r="H291" i="8194"/>
  <c r="N357" i="8194"/>
  <c r="N375" i="8194"/>
  <c r="H258" i="8194"/>
  <c r="N345" i="8194"/>
  <c r="H315" i="8194"/>
  <c r="N366" i="8194"/>
  <c r="H411" i="8194"/>
  <c r="H342" i="8194"/>
  <c r="H264" i="8194"/>
  <c r="AL106" i="8194"/>
  <c r="BN36" i="4"/>
  <c r="P72" i="1"/>
  <c r="BX36" i="4"/>
  <c r="P82" i="1"/>
  <c r="P91" i="1"/>
  <c r="CG36" i="4"/>
  <c r="BC36" i="4"/>
  <c r="P61" i="1"/>
  <c r="AI36" i="4"/>
  <c r="P41" i="1"/>
  <c r="P87" i="1"/>
  <c r="CC36" i="4"/>
  <c r="BW36" i="4"/>
  <c r="P81" i="1"/>
  <c r="P63" i="1"/>
  <c r="BE36" i="4"/>
  <c r="T36" i="4"/>
  <c r="P26" i="1"/>
  <c r="P27" i="1"/>
  <c r="U36" i="4"/>
  <c r="AD36" i="4"/>
  <c r="P36" i="1"/>
  <c r="P39" i="1"/>
  <c r="AG36" i="4"/>
  <c r="P70" i="1"/>
  <c r="BL36" i="4"/>
  <c r="BR36" i="4"/>
  <c r="P76" i="1"/>
  <c r="BD36" i="4"/>
  <c r="P62" i="1"/>
  <c r="BV36" i="4"/>
  <c r="P80" i="1"/>
  <c r="P28" i="1"/>
  <c r="V36" i="4"/>
  <c r="P66" i="1"/>
  <c r="BH36" i="4"/>
  <c r="BJ36" i="4"/>
  <c r="P68" i="1"/>
  <c r="BF36" i="4"/>
  <c r="P64" i="1"/>
  <c r="BG36" i="4"/>
  <c r="P65" i="1"/>
  <c r="B31" i="8194"/>
  <c r="E14" i="8194" s="1"/>
  <c r="F231" i="3072"/>
  <c r="B231" i="3072" s="1"/>
  <c r="E16" i="1" s="1"/>
  <c r="F19" i="3072"/>
  <c r="B19" i="3072" s="1"/>
  <c r="M34" i="2"/>
  <c r="F230" i="3072"/>
  <c r="B230" i="3072" s="1"/>
  <c r="E15" i="1" s="1"/>
  <c r="L17" i="50873"/>
  <c r="K14" i="3"/>
  <c r="AF36" i="4"/>
  <c r="P38" i="1"/>
  <c r="Z36" i="4"/>
  <c r="P32" i="1"/>
  <c r="BA36" i="4"/>
  <c r="P59" i="1"/>
  <c r="BO36" i="4"/>
  <c r="P73" i="1"/>
  <c r="CB36" i="4"/>
  <c r="P86" i="1"/>
  <c r="P84" i="1"/>
  <c r="BZ36" i="4"/>
  <c r="BI36" i="4"/>
  <c r="P67" i="1"/>
  <c r="BQ36" i="4"/>
  <c r="P75" i="1"/>
  <c r="CA36" i="4"/>
  <c r="P85" i="1"/>
  <c r="CD36" i="4"/>
  <c r="P88" i="1"/>
  <c r="P33" i="1"/>
  <c r="AA36" i="4"/>
  <c r="AC36" i="4"/>
  <c r="P35" i="1"/>
  <c r="P34" i="1"/>
  <c r="AB36" i="4"/>
  <c r="BS36" i="4"/>
  <c r="P77" i="1"/>
  <c r="P89" i="1"/>
  <c r="CE36" i="4"/>
  <c r="X36" i="4"/>
  <c r="P30" i="1"/>
  <c r="P37" i="1"/>
  <c r="AE36" i="4"/>
  <c r="P79" i="1"/>
  <c r="BU36" i="4"/>
  <c r="AJ36" i="4"/>
  <c r="P42" i="1"/>
  <c r="Y36" i="4"/>
  <c r="P31" i="1"/>
  <c r="BY36" i="4"/>
  <c r="P83" i="1"/>
  <c r="BP36" i="4"/>
  <c r="P74" i="1"/>
  <c r="P71" i="1"/>
  <c r="BM36" i="4"/>
  <c r="CF36" i="4"/>
  <c r="P90" i="1"/>
  <c r="W36" i="4"/>
  <c r="P29" i="1"/>
  <c r="P40" i="1"/>
  <c r="AH36" i="4"/>
  <c r="BK36" i="4"/>
  <c r="P69" i="1"/>
  <c r="P78" i="1"/>
  <c r="BT36" i="4"/>
  <c r="P60" i="1"/>
  <c r="BB36" i="4"/>
  <c r="H49" i="3"/>
  <c r="I52" i="50873"/>
  <c r="K58" i="2"/>
  <c r="L54" i="3"/>
  <c r="T89" i="1"/>
  <c r="AJ69" i="4"/>
  <c r="AV116" i="2"/>
  <c r="G13" i="267"/>
  <c r="BE13" i="267"/>
  <c r="AV113" i="2"/>
  <c r="L13" i="267"/>
  <c r="AV68" i="2"/>
  <c r="BK13" i="267"/>
  <c r="AV119" i="2"/>
  <c r="BJ13" i="267"/>
  <c r="AV118" i="2"/>
  <c r="E13" i="267"/>
  <c r="AV61" i="2"/>
  <c r="J13" i="267"/>
  <c r="AV66" i="2"/>
  <c r="BI13" i="267"/>
  <c r="AV117" i="2"/>
  <c r="AV122" i="2"/>
  <c r="BN13" i="267"/>
  <c r="E24" i="2" l="1"/>
  <c r="Y22" i="3"/>
  <c r="B24" i="2"/>
  <c r="E24" i="3"/>
  <c r="AN4" i="50873"/>
  <c r="B24" i="3"/>
  <c r="B27" i="50873"/>
  <c r="BH69" i="2"/>
  <c r="G66" i="2"/>
  <c r="G60" i="3" s="1"/>
  <c r="BH64" i="2"/>
  <c r="H63" i="2" s="1"/>
  <c r="Y57" i="50872"/>
  <c r="Y58" i="50872" s="1"/>
  <c r="BH65" i="2"/>
  <c r="H57" i="2" s="1"/>
  <c r="AB85" i="50872"/>
  <c r="AC85" i="50872" s="1"/>
  <c r="P109" i="8194"/>
  <c r="M49" i="2"/>
  <c r="AB35" i="2"/>
  <c r="X35" i="2"/>
  <c r="AD35" i="2" s="1"/>
  <c r="V35" i="2"/>
  <c r="Z35" i="2"/>
  <c r="P24" i="3"/>
  <c r="P26" i="3"/>
  <c r="M27" i="3"/>
  <c r="E21" i="3" s="1"/>
  <c r="K43" i="3"/>
  <c r="K40" i="3"/>
  <c r="AA27" i="3" s="1"/>
  <c r="P25" i="3"/>
  <c r="B28" i="8194"/>
  <c r="Y35" i="4"/>
  <c r="X59" i="4"/>
  <c r="X76" i="4" s="1"/>
  <c r="D392" i="8364"/>
  <c r="D394" i="8364" s="1"/>
  <c r="E392" i="8364"/>
  <c r="E394" i="8364" s="1"/>
  <c r="AV109" i="8194"/>
  <c r="BE109" i="8194"/>
  <c r="AX106" i="2"/>
  <c r="AY155" i="8194"/>
  <c r="AY157" i="8194" s="1"/>
  <c r="BO78" i="4"/>
  <c r="AW155" i="8194"/>
  <c r="AW157" i="8194" s="1"/>
  <c r="AX104" i="2"/>
  <c r="BK78" i="4"/>
  <c r="U155" i="8194"/>
  <c r="U157" i="8194" s="1"/>
  <c r="AI78" i="4"/>
  <c r="AX76" i="2"/>
  <c r="AP109" i="8194"/>
  <c r="AT109" i="8194"/>
  <c r="K109" i="8194"/>
  <c r="AS109" i="8194"/>
  <c r="AA109" i="8194"/>
  <c r="BG109" i="8194"/>
  <c r="BF109" i="8194"/>
  <c r="X38" i="4"/>
  <c r="Y109" i="8194"/>
  <c r="W109" i="8194"/>
  <c r="AU109" i="8194"/>
  <c r="I109" i="8194"/>
  <c r="BA109" i="8194"/>
  <c r="AH109" i="8194"/>
  <c r="S109" i="8194"/>
  <c r="AZ109" i="8194"/>
  <c r="BP109" i="8194"/>
  <c r="T109" i="8194"/>
  <c r="BJ109" i="8194"/>
  <c r="L109" i="8194"/>
  <c r="AV114" i="2"/>
  <c r="BK109" i="8194"/>
  <c r="BN109" i="8194"/>
  <c r="AC109" i="8194"/>
  <c r="AN109" i="8194"/>
  <c r="AE109" i="8194"/>
  <c r="AD109" i="8194"/>
  <c r="AJ109" i="8194"/>
  <c r="AX109" i="8194"/>
  <c r="AG109" i="8194"/>
  <c r="N109" i="8194"/>
  <c r="Y117" i="8194"/>
  <c r="O109" i="8194"/>
  <c r="BL109" i="8194"/>
  <c r="AR109" i="8194"/>
  <c r="AF109" i="8194"/>
  <c r="H109" i="8194"/>
  <c r="BR109" i="8194"/>
  <c r="S55" i="50872"/>
  <c r="X70" i="50872"/>
  <c r="X71" i="50872" s="1"/>
  <c r="X72" i="50872" s="1"/>
  <c r="X73" i="50872" s="1"/>
  <c r="X74" i="50872" s="1"/>
  <c r="X75" i="50872" s="1"/>
  <c r="X76" i="50872" s="1"/>
  <c r="X77" i="50872" s="1"/>
  <c r="X78" i="50872" s="1"/>
  <c r="X79" i="50872" s="1"/>
  <c r="Q109" i="8194"/>
  <c r="X58" i="50872"/>
  <c r="X57" i="50872"/>
  <c r="X82" i="50872" s="1"/>
  <c r="X83" i="50872" s="1"/>
  <c r="X84" i="50872" s="1"/>
  <c r="AB84" i="50872" s="1"/>
  <c r="AC84" i="50872" s="1"/>
  <c r="X61" i="50872"/>
  <c r="X62" i="50872" s="1"/>
  <c r="W81" i="50872"/>
  <c r="AB81" i="50872" s="1"/>
  <c r="AC81" i="50872" s="1"/>
  <c r="R4" i="2"/>
  <c r="B31" i="3" s="1"/>
  <c r="S54" i="50872"/>
  <c r="AV60" i="2"/>
  <c r="R109" i="8194"/>
  <c r="BN117" i="8194"/>
  <c r="AE8" i="50873"/>
  <c r="F109" i="8194"/>
  <c r="BB109" i="8194"/>
  <c r="BD117" i="8194"/>
  <c r="AM109" i="8194"/>
  <c r="AU117" i="8194"/>
  <c r="N117" i="8194"/>
  <c r="AE7" i="50873"/>
  <c r="BI109" i="8194"/>
  <c r="AI109" i="8194"/>
  <c r="J109" i="8194"/>
  <c r="I13" i="267"/>
  <c r="E109" i="8194"/>
  <c r="AB109" i="8194"/>
  <c r="AW109" i="8194"/>
  <c r="X109" i="8194"/>
  <c r="H117" i="8194"/>
  <c r="AK109" i="8194"/>
  <c r="U109" i="8194"/>
  <c r="BC109" i="8194"/>
  <c r="BD109" i="8194"/>
  <c r="V109" i="8194"/>
  <c r="N13" i="267"/>
  <c r="BM109" i="8194"/>
  <c r="BQ109" i="8194"/>
  <c r="Z109" i="8194"/>
  <c r="M109" i="8194"/>
  <c r="BQ117" i="8194"/>
  <c r="K13" i="267"/>
  <c r="I117" i="8194"/>
  <c r="K117" i="8194"/>
  <c r="AT117" i="8194"/>
  <c r="G109" i="8194"/>
  <c r="AL109" i="8194"/>
  <c r="BO109" i="8194"/>
  <c r="L117" i="8194"/>
  <c r="BK117" i="8194"/>
  <c r="J117" i="8194"/>
  <c r="AM117" i="8194"/>
  <c r="AQ109" i="8194"/>
  <c r="BP13" i="267"/>
  <c r="AO109" i="8194"/>
  <c r="AV120" i="2"/>
  <c r="V117" i="8194"/>
  <c r="BG117" i="8194"/>
  <c r="BH109" i="8194"/>
  <c r="G117" i="8194"/>
  <c r="O117" i="8194"/>
  <c r="BA117" i="8194"/>
  <c r="S117" i="8194"/>
  <c r="F13" i="267"/>
  <c r="BM13" i="267"/>
  <c r="R117" i="8194"/>
  <c r="AB117" i="8194"/>
  <c r="BI117" i="8194"/>
  <c r="U117" i="8194"/>
  <c r="BF117" i="8194"/>
  <c r="AI117" i="8194"/>
  <c r="W117" i="8194"/>
  <c r="BB117" i="8194"/>
  <c r="AC117" i="8194"/>
  <c r="AG117" i="8194"/>
  <c r="AX117" i="8194"/>
  <c r="AJ117" i="8194"/>
  <c r="AK117" i="8194"/>
  <c r="BH117" i="8194"/>
  <c r="AA117" i="8194"/>
  <c r="AZ117" i="8194"/>
  <c r="AP117" i="8194"/>
  <c r="BR117" i="8194"/>
  <c r="Q117" i="8194"/>
  <c r="BP117" i="8194"/>
  <c r="X117" i="8194"/>
  <c r="P117" i="8194"/>
  <c r="AH117" i="8194"/>
  <c r="Z117" i="8194"/>
  <c r="M117" i="8194"/>
  <c r="AQ117" i="8194"/>
  <c r="BO117" i="8194"/>
  <c r="AY117" i="8194"/>
  <c r="AF117" i="8194"/>
  <c r="AR117" i="8194"/>
  <c r="AO117" i="8194"/>
  <c r="F117" i="8194"/>
  <c r="BE117" i="8194"/>
  <c r="BJ117" i="8194"/>
  <c r="T117" i="8194"/>
  <c r="AV117" i="8194"/>
  <c r="AL117" i="8194"/>
  <c r="AW117" i="8194"/>
  <c r="BM117" i="8194"/>
  <c r="BC117" i="8194"/>
  <c r="BL117" i="8194"/>
  <c r="AN117" i="8194"/>
  <c r="AS117" i="8194"/>
  <c r="AE117" i="8194"/>
  <c r="K223" i="8194"/>
  <c r="K224" i="8194" s="1"/>
  <c r="K225" i="8194" s="1"/>
  <c r="K226" i="8194" s="1"/>
  <c r="K227" i="8194" s="1"/>
  <c r="K228" i="8194" s="1"/>
  <c r="K229" i="8194" s="1"/>
  <c r="K230" i="8194" s="1"/>
  <c r="K231" i="8194" s="1"/>
  <c r="K232" i="8194" s="1"/>
  <c r="K233" i="8194" s="1"/>
  <c r="K234" i="8194" s="1"/>
  <c r="K235" i="8194" s="1"/>
  <c r="K236" i="8194" s="1"/>
  <c r="K237" i="8194" s="1"/>
  <c r="K238" i="8194" s="1"/>
  <c r="K239" i="8194" s="1"/>
  <c r="K240" i="8194" s="1"/>
  <c r="K241" i="8194" s="1"/>
  <c r="K242" i="8194" s="1"/>
  <c r="K243" i="8194" s="1"/>
  <c r="K244" i="8194" s="1"/>
  <c r="K245" i="8194" s="1"/>
  <c r="K246" i="8194" s="1"/>
  <c r="K247" i="8194" s="1"/>
  <c r="K248" i="8194" s="1"/>
  <c r="K249" i="8194" s="1"/>
  <c r="K250" i="8194" s="1"/>
  <c r="K251" i="8194" s="1"/>
  <c r="K252" i="8194" s="1"/>
  <c r="K253" i="8194" s="1"/>
  <c r="K254" i="8194" s="1"/>
  <c r="K255" i="8194" s="1"/>
  <c r="K256" i="8194" s="1"/>
  <c r="K257" i="8194" s="1"/>
  <c r="K258" i="8194" s="1"/>
  <c r="K259" i="8194" s="1"/>
  <c r="K260" i="8194" s="1"/>
  <c r="K261" i="8194" s="1"/>
  <c r="K262" i="8194" s="1"/>
  <c r="K263" i="8194" s="1"/>
  <c r="K264" i="8194" s="1"/>
  <c r="K265" i="8194" s="1"/>
  <c r="K266" i="8194" s="1"/>
  <c r="K267" i="8194" s="1"/>
  <c r="K268" i="8194" s="1"/>
  <c r="K269" i="8194" s="1"/>
  <c r="K270" i="8194" s="1"/>
  <c r="K271" i="8194" s="1"/>
  <c r="K272" i="8194" s="1"/>
  <c r="K273" i="8194" s="1"/>
  <c r="K274" i="8194" s="1"/>
  <c r="K275" i="8194" s="1"/>
  <c r="K276" i="8194" s="1"/>
  <c r="K277" i="8194" s="1"/>
  <c r="K278" i="8194" s="1"/>
  <c r="K279" i="8194" s="1"/>
  <c r="K280" i="8194" s="1"/>
  <c r="K281" i="8194" s="1"/>
  <c r="K282" i="8194" s="1"/>
  <c r="K283" i="8194" s="1"/>
  <c r="K284" i="8194" s="1"/>
  <c r="K285" i="8194" s="1"/>
  <c r="K286" i="8194" s="1"/>
  <c r="K287" i="8194" s="1"/>
  <c r="K288" i="8194" s="1"/>
  <c r="K289" i="8194" s="1"/>
  <c r="K290" i="8194" s="1"/>
  <c r="K291" i="8194" s="1"/>
  <c r="K292" i="8194" s="1"/>
  <c r="K293" i="8194" s="1"/>
  <c r="K294" i="8194" s="1"/>
  <c r="K295" i="8194" s="1"/>
  <c r="K296" i="8194" s="1"/>
  <c r="K297" i="8194" s="1"/>
  <c r="K298" i="8194" s="1"/>
  <c r="K299" i="8194" s="1"/>
  <c r="K300" i="8194" s="1"/>
  <c r="K301" i="8194" s="1"/>
  <c r="K302" i="8194" s="1"/>
  <c r="K303" i="8194" s="1"/>
  <c r="K304" i="8194" s="1"/>
  <c r="K305" i="8194" s="1"/>
  <c r="K306" i="8194" s="1"/>
  <c r="K307" i="8194" s="1"/>
  <c r="K308" i="8194" s="1"/>
  <c r="K309" i="8194" s="1"/>
  <c r="K310" i="8194" s="1"/>
  <c r="K311" i="8194" s="1"/>
  <c r="K312" i="8194" s="1"/>
  <c r="K313" i="8194" s="1"/>
  <c r="K314" i="8194" s="1"/>
  <c r="K315" i="8194" s="1"/>
  <c r="K316" i="8194" s="1"/>
  <c r="K317" i="8194" s="1"/>
  <c r="K318" i="8194" s="1"/>
  <c r="K319" i="8194" s="1"/>
  <c r="K320" i="8194" s="1"/>
  <c r="K321" i="8194" s="1"/>
  <c r="K322" i="8194" s="1"/>
  <c r="K323" i="8194" s="1"/>
  <c r="K324" i="8194" s="1"/>
  <c r="K325" i="8194" s="1"/>
  <c r="K326" i="8194" s="1"/>
  <c r="K327" i="8194" s="1"/>
  <c r="K328" i="8194" s="1"/>
  <c r="K329" i="8194" s="1"/>
  <c r="K330" i="8194" s="1"/>
  <c r="K331" i="8194" s="1"/>
  <c r="K332" i="8194" s="1"/>
  <c r="K333" i="8194" s="1"/>
  <c r="K334" i="8194" s="1"/>
  <c r="K335" i="8194" s="1"/>
  <c r="K336" i="8194" s="1"/>
  <c r="K337" i="8194" s="1"/>
  <c r="K338" i="8194" s="1"/>
  <c r="K339" i="8194" s="1"/>
  <c r="K340" i="8194" s="1"/>
  <c r="K341" i="8194" s="1"/>
  <c r="K342" i="8194" s="1"/>
  <c r="K343" i="8194" s="1"/>
  <c r="K344" i="8194" s="1"/>
  <c r="K345" i="8194" s="1"/>
  <c r="K346" i="8194" s="1"/>
  <c r="K347" i="8194" s="1"/>
  <c r="K348" i="8194" s="1"/>
  <c r="K349" i="8194" s="1"/>
  <c r="K350" i="8194" s="1"/>
  <c r="K351" i="8194" s="1"/>
  <c r="K352" i="8194" s="1"/>
  <c r="K353" i="8194" s="1"/>
  <c r="K354" i="8194" s="1"/>
  <c r="K355" i="8194" s="1"/>
  <c r="K356" i="8194" s="1"/>
  <c r="K357" i="8194" s="1"/>
  <c r="K358" i="8194" s="1"/>
  <c r="K359" i="8194" s="1"/>
  <c r="K360" i="8194" s="1"/>
  <c r="K361" i="8194" s="1"/>
  <c r="K362" i="8194" s="1"/>
  <c r="K363" i="8194" s="1"/>
  <c r="K364" i="8194" s="1"/>
  <c r="K365" i="8194" s="1"/>
  <c r="K366" i="8194" s="1"/>
  <c r="K367" i="8194" s="1"/>
  <c r="K368" i="8194" s="1"/>
  <c r="K369" i="8194" s="1"/>
  <c r="K370" i="8194" s="1"/>
  <c r="K371" i="8194" s="1"/>
  <c r="K372" i="8194" s="1"/>
  <c r="K373" i="8194" s="1"/>
  <c r="K374" i="8194" s="1"/>
  <c r="K375" i="8194" s="1"/>
  <c r="K376" i="8194" s="1"/>
  <c r="K377" i="8194" s="1"/>
  <c r="K378" i="8194" s="1"/>
  <c r="K379" i="8194" s="1"/>
  <c r="K380" i="8194" s="1"/>
  <c r="K381" i="8194" s="1"/>
  <c r="K382" i="8194" s="1"/>
  <c r="K383" i="8194" s="1"/>
  <c r="K384" i="8194" s="1"/>
  <c r="K385" i="8194" s="1"/>
  <c r="K386" i="8194" s="1"/>
  <c r="K387" i="8194" s="1"/>
  <c r="K388" i="8194" s="1"/>
  <c r="K389" i="8194" s="1"/>
  <c r="K390" i="8194" s="1"/>
  <c r="K391" i="8194" s="1"/>
  <c r="K392" i="8194" s="1"/>
  <c r="K393" i="8194" s="1"/>
  <c r="K394" i="8194" s="1"/>
  <c r="K395" i="8194" s="1"/>
  <c r="K396" i="8194" s="1"/>
  <c r="K397" i="8194" s="1"/>
  <c r="K398" i="8194" s="1"/>
  <c r="K399" i="8194" s="1"/>
  <c r="K400" i="8194" s="1"/>
  <c r="K401" i="8194" s="1"/>
  <c r="K402" i="8194" s="1"/>
  <c r="K403" i="8194" s="1"/>
  <c r="K404" i="8194" s="1"/>
  <c r="K405" i="8194" s="1"/>
  <c r="K406" i="8194" s="1"/>
  <c r="K407" i="8194" s="1"/>
  <c r="K408" i="8194" s="1"/>
  <c r="K409" i="8194" s="1"/>
  <c r="K410" i="8194" s="1"/>
  <c r="K411" i="8194" s="1"/>
  <c r="K412" i="8194" s="1"/>
  <c r="K413" i="8194" s="1"/>
  <c r="K414" i="8194" s="1"/>
  <c r="K415" i="8194" s="1"/>
  <c r="K416" i="8194" s="1"/>
  <c r="P223" i="8194"/>
  <c r="P224" i="8194" s="1"/>
  <c r="P226" i="8194" s="1"/>
  <c r="P227" i="8194" s="1"/>
  <c r="BO13" i="267"/>
  <c r="AV69" i="2"/>
  <c r="Q64" i="1"/>
  <c r="AA82" i="1"/>
  <c r="Q82" i="1"/>
  <c r="Q60" i="1"/>
  <c r="AA31" i="1"/>
  <c r="Q31" i="1"/>
  <c r="AA85" i="1"/>
  <c r="Q85" i="1"/>
  <c r="Q38" i="1"/>
  <c r="U83" i="2"/>
  <c r="U91" i="2"/>
  <c r="U77" i="2"/>
  <c r="U78" i="2"/>
  <c r="U81" i="2"/>
  <c r="U82" i="2"/>
  <c r="U80" i="2"/>
  <c r="U84" i="2"/>
  <c r="U90" i="2"/>
  <c r="U92" i="2"/>
  <c r="U88" i="2"/>
  <c r="U85" i="2"/>
  <c r="U86" i="2"/>
  <c r="U89" i="2"/>
  <c r="U79" i="2"/>
  <c r="U87" i="2"/>
  <c r="AA27" i="1"/>
  <c r="Q27" i="1"/>
  <c r="AA91" i="1"/>
  <c r="Q91" i="1"/>
  <c r="Q39" i="1"/>
  <c r="AA81" i="1"/>
  <c r="Q81" i="1"/>
  <c r="Q69" i="1"/>
  <c r="Q74" i="1"/>
  <c r="Q42" i="1"/>
  <c r="AA28" i="1"/>
  <c r="Q28" i="1"/>
  <c r="Q63" i="1"/>
  <c r="Q78" i="1"/>
  <c r="AA29" i="1"/>
  <c r="Q29" i="1"/>
  <c r="Q71" i="1"/>
  <c r="Q89" i="1"/>
  <c r="AA89" i="1"/>
  <c r="Q75" i="1"/>
  <c r="AA90" i="1"/>
  <c r="Q90" i="1"/>
  <c r="Q30" i="1"/>
  <c r="AA30" i="1"/>
  <c r="AA35" i="1"/>
  <c r="Q35" i="1"/>
  <c r="Q73" i="1"/>
  <c r="Q65" i="1"/>
  <c r="Q76" i="1"/>
  <c r="Q26" i="1"/>
  <c r="AA26" i="1"/>
  <c r="AA87" i="1"/>
  <c r="Q87" i="1"/>
  <c r="Q79" i="1"/>
  <c r="AA79" i="1"/>
  <c r="AA84" i="1"/>
  <c r="Q84" i="1"/>
  <c r="Q80" i="1"/>
  <c r="AA80" i="1"/>
  <c r="Q72" i="1"/>
  <c r="Q33" i="1"/>
  <c r="AA33" i="1"/>
  <c r="Q67" i="1"/>
  <c r="Q83" i="1"/>
  <c r="AA83" i="1"/>
  <c r="Q37" i="1"/>
  <c r="Q34" i="1"/>
  <c r="AA34" i="1"/>
  <c r="Q88" i="1"/>
  <c r="AA88" i="1"/>
  <c r="Q32" i="1"/>
  <c r="AA32" i="1"/>
  <c r="G252" i="8194"/>
  <c r="G264" i="8194"/>
  <c r="G348" i="8194"/>
  <c r="G372" i="8194"/>
  <c r="G396" i="8194"/>
  <c r="G381" i="8194"/>
  <c r="G225" i="8194"/>
  <c r="G288" i="8194"/>
  <c r="G306" i="8194"/>
  <c r="G312" i="8194"/>
  <c r="G360" i="8194"/>
  <c r="G384" i="8194"/>
  <c r="G402" i="8194"/>
  <c r="G414" i="8194"/>
  <c r="G234" i="8194"/>
  <c r="G279" i="8194"/>
  <c r="G303" i="8194"/>
  <c r="G246" i="8194"/>
  <c r="G342" i="8194"/>
  <c r="G363" i="8194"/>
  <c r="G405" i="8194"/>
  <c r="G231" i="8194"/>
  <c r="G267" i="8194"/>
  <c r="G291" i="8194"/>
  <c r="G315" i="8194"/>
  <c r="G339" i="8194"/>
  <c r="G351" i="8194"/>
  <c r="G387" i="8194"/>
  <c r="G399" i="8194"/>
  <c r="G270" i="8194"/>
  <c r="G282" i="8194"/>
  <c r="G300" i="8194"/>
  <c r="G333" i="8194"/>
  <c r="G354" i="8194"/>
  <c r="G222" i="8194"/>
  <c r="G324" i="8194"/>
  <c r="G408" i="8194"/>
  <c r="G243" i="8194"/>
  <c r="G285" i="8194"/>
  <c r="G309" i="8194"/>
  <c r="G393" i="8194"/>
  <c r="G228" i="8194"/>
  <c r="G249" i="8194"/>
  <c r="G258" i="8194"/>
  <c r="G273" i="8194"/>
  <c r="G297" i="8194"/>
  <c r="G318" i="8194"/>
  <c r="G321" i="8194"/>
  <c r="G369" i="8194"/>
  <c r="G240" i="8194"/>
  <c r="G327" i="8194"/>
  <c r="G255" i="8194"/>
  <c r="G357" i="8194"/>
  <c r="G375" i="8194"/>
  <c r="G411" i="8194"/>
  <c r="G276" i="8194"/>
  <c r="G219" i="8194"/>
  <c r="G261" i="8194"/>
  <c r="G294" i="8194"/>
  <c r="G378" i="8194"/>
  <c r="G390" i="8194"/>
  <c r="G336" i="8194"/>
  <c r="G237" i="8194"/>
  <c r="G330" i="8194"/>
  <c r="G345" i="8194"/>
  <c r="G366" i="8194"/>
  <c r="BL16" i="8194"/>
  <c r="E16" i="8194"/>
  <c r="X16" i="8194"/>
  <c r="AG16" i="8194"/>
  <c r="AT16" i="8194"/>
  <c r="O16" i="8194"/>
  <c r="Y16" i="8194"/>
  <c r="AC16" i="8194"/>
  <c r="BG16" i="8194"/>
  <c r="AZ16" i="8194"/>
  <c r="T16" i="8194"/>
  <c r="BP16" i="8194"/>
  <c r="AB16" i="8194"/>
  <c r="AR16" i="8194"/>
  <c r="AN16" i="8194"/>
  <c r="S16" i="8194"/>
  <c r="M16" i="8194"/>
  <c r="H16" i="8194"/>
  <c r="AF16" i="8194"/>
  <c r="BN16" i="8194"/>
  <c r="BK16" i="8194"/>
  <c r="AP16" i="8194"/>
  <c r="AI16" i="8194"/>
  <c r="F16" i="8194"/>
  <c r="G16" i="8194"/>
  <c r="W16" i="8194"/>
  <c r="AO16" i="8194"/>
  <c r="N16" i="8194"/>
  <c r="AQ16" i="8194"/>
  <c r="AS16" i="8194"/>
  <c r="AD16" i="8194"/>
  <c r="AA16" i="8194"/>
  <c r="BF16" i="8194"/>
  <c r="U16" i="8194"/>
  <c r="BO16" i="8194"/>
  <c r="R16" i="8194"/>
  <c r="P16" i="8194"/>
  <c r="AK16" i="8194"/>
  <c r="BD16" i="8194"/>
  <c r="AJ16" i="8194"/>
  <c r="AL16" i="8194"/>
  <c r="BA16" i="8194"/>
  <c r="AE16" i="8194"/>
  <c r="AY16" i="8194"/>
  <c r="BE16" i="8194"/>
  <c r="Z16" i="8194"/>
  <c r="BQ16" i="8194"/>
  <c r="BI16" i="8194"/>
  <c r="AH16" i="8194"/>
  <c r="AX16" i="8194"/>
  <c r="V16" i="8194"/>
  <c r="BB16" i="8194"/>
  <c r="Q16" i="8194"/>
  <c r="BM16" i="8194"/>
  <c r="BJ16" i="8194"/>
  <c r="L16" i="8194"/>
  <c r="AV16" i="8194"/>
  <c r="K16" i="8194"/>
  <c r="AU16" i="8194"/>
  <c r="BR16" i="8194"/>
  <c r="BC16" i="8194"/>
  <c r="I16" i="8194"/>
  <c r="AM16" i="8194"/>
  <c r="BH16" i="8194"/>
  <c r="J16" i="8194"/>
  <c r="AW16" i="8194"/>
  <c r="Q68" i="1"/>
  <c r="Q59" i="1"/>
  <c r="Q77" i="1"/>
  <c r="Q41" i="1"/>
  <c r="B14" i="3"/>
  <c r="B14" i="2"/>
  <c r="D35" i="8194" s="1"/>
  <c r="Q70" i="1"/>
  <c r="Q40" i="1"/>
  <c r="Q66" i="1"/>
  <c r="AA86" i="1"/>
  <c r="Q86" i="1"/>
  <c r="Q62" i="1"/>
  <c r="Q36" i="1"/>
  <c r="AA36" i="1"/>
  <c r="Q61" i="1"/>
  <c r="AK69" i="4"/>
  <c r="Y72" i="50872"/>
  <c r="O16" i="3"/>
  <c r="O11" i="3"/>
  <c r="N6" i="2"/>
  <c r="O7" i="3"/>
  <c r="K15" i="3" s="1"/>
  <c r="O14" i="3"/>
  <c r="N12" i="2"/>
  <c r="O9" i="3"/>
  <c r="N9" i="2"/>
  <c r="N8" i="2"/>
  <c r="O13" i="3"/>
  <c r="N17" i="2"/>
  <c r="N11" i="2"/>
  <c r="O17" i="3"/>
  <c r="N7" i="2"/>
  <c r="J15" i="2" s="1"/>
  <c r="N10" i="2"/>
  <c r="O10" i="3"/>
  <c r="O15" i="3"/>
  <c r="N13" i="2"/>
  <c r="O12" i="3"/>
  <c r="O8" i="3"/>
  <c r="N14" i="2"/>
  <c r="O6" i="3"/>
  <c r="N16" i="2"/>
  <c r="N15" i="2"/>
  <c r="O18" i="50873"/>
  <c r="Y87" i="50872"/>
  <c r="AB86" i="50872"/>
  <c r="AC86" i="50872" s="1"/>
  <c r="J60" i="2"/>
  <c r="J59" i="2"/>
  <c r="BG84" i="2"/>
  <c r="BH83" i="2"/>
  <c r="J41" i="2"/>
  <c r="L44" i="50873" s="1"/>
  <c r="BG85" i="2"/>
  <c r="H58" i="2" s="1"/>
  <c r="J58" i="2"/>
  <c r="B188" i="8194"/>
  <c r="Q39" i="3"/>
  <c r="Z49" i="2"/>
  <c r="P58" i="2"/>
  <c r="T90" i="1"/>
  <c r="Y76" i="50872"/>
  <c r="H56" i="50873" l="1"/>
  <c r="G35" i="3"/>
  <c r="B36" i="3"/>
  <c r="F36" i="3"/>
  <c r="AC6" i="2"/>
  <c r="AE9" i="2"/>
  <c r="G38" i="50873"/>
  <c r="F36" i="2"/>
  <c r="Z65" i="2"/>
  <c r="AJ65" i="2" s="1"/>
  <c r="G37" i="3"/>
  <c r="H66" i="2"/>
  <c r="I63" i="50873" s="1"/>
  <c r="Z66" i="2"/>
  <c r="T66" i="2" s="1"/>
  <c r="E40" i="50873"/>
  <c r="AT114" i="2"/>
  <c r="AU76" i="2"/>
  <c r="AU112" i="2"/>
  <c r="E37" i="3"/>
  <c r="E39" i="50873"/>
  <c r="AU88" i="2"/>
  <c r="AT87" i="2"/>
  <c r="AT107" i="2"/>
  <c r="Z63" i="2"/>
  <c r="T63" i="2" s="1"/>
  <c r="F35" i="3"/>
  <c r="Z123" i="2"/>
  <c r="V123" i="2" s="1"/>
  <c r="AT102" i="2"/>
  <c r="Y8" i="2"/>
  <c r="F37" i="3"/>
  <c r="AT73" i="2"/>
  <c r="AT103" i="2"/>
  <c r="AU117" i="2"/>
  <c r="G57" i="2"/>
  <c r="G53" i="3" s="1"/>
  <c r="B40" i="50873"/>
  <c r="Z118" i="2"/>
  <c r="AJ118" i="2" s="1"/>
  <c r="AG7" i="2"/>
  <c r="F60" i="2"/>
  <c r="F56" i="3" s="1"/>
  <c r="H56" i="3" s="1"/>
  <c r="G36" i="3"/>
  <c r="G35" i="2"/>
  <c r="AU113" i="2"/>
  <c r="AU74" i="2"/>
  <c r="AT83" i="2"/>
  <c r="G42" i="2"/>
  <c r="X8" i="2"/>
  <c r="AU70" i="2"/>
  <c r="AU73" i="2"/>
  <c r="B43" i="50873"/>
  <c r="AT92" i="2"/>
  <c r="B39" i="50873"/>
  <c r="H36" i="50873"/>
  <c r="U8" i="2"/>
  <c r="B22" i="3"/>
  <c r="G33" i="2"/>
  <c r="E36" i="3"/>
  <c r="B37" i="2"/>
  <c r="G33" i="3"/>
  <c r="AG9" i="2"/>
  <c r="E37" i="2"/>
  <c r="Z126" i="2"/>
  <c r="H40" i="50873"/>
  <c r="E46" i="50873"/>
  <c r="AT80" i="2"/>
  <c r="AU102" i="2"/>
  <c r="AU64" i="2"/>
  <c r="AT77" i="2"/>
  <c r="B60" i="50873"/>
  <c r="AT99" i="2"/>
  <c r="AU94" i="2"/>
  <c r="BG79" i="2"/>
  <c r="AA23" i="3" s="1"/>
  <c r="AU82" i="2"/>
  <c r="AT91" i="2"/>
  <c r="AU77" i="2"/>
  <c r="AT125" i="2"/>
  <c r="AT64" i="2"/>
  <c r="AU108" i="2"/>
  <c r="AT121" i="2"/>
  <c r="AU78" i="2"/>
  <c r="U6" i="2"/>
  <c r="AU68" i="2"/>
  <c r="AU71" i="2"/>
  <c r="AT123" i="2"/>
  <c r="AU66" i="2"/>
  <c r="AT62" i="2"/>
  <c r="AT106" i="2"/>
  <c r="AT76" i="2"/>
  <c r="AU60" i="2"/>
  <c r="J42" i="2"/>
  <c r="L45" i="50873" s="1"/>
  <c r="E40" i="2"/>
  <c r="F43" i="50873" s="1"/>
  <c r="AT88" i="2"/>
  <c r="AB7" i="2"/>
  <c r="AT115" i="2"/>
  <c r="E42" i="2"/>
  <c r="F45" i="50873" s="1"/>
  <c r="AT105" i="2"/>
  <c r="AU114" i="2"/>
  <c r="B41" i="2"/>
  <c r="AU104" i="2"/>
  <c r="B43" i="2"/>
  <c r="AT82" i="2"/>
  <c r="AU69" i="2"/>
  <c r="AU126" i="2"/>
  <c r="AU63" i="2"/>
  <c r="AT69" i="2"/>
  <c r="AU99" i="2"/>
  <c r="AT101" i="2"/>
  <c r="B63" i="50873"/>
  <c r="E63" i="2"/>
  <c r="E59" i="3" s="1"/>
  <c r="AT97" i="2"/>
  <c r="AT119" i="2"/>
  <c r="AU98" i="2"/>
  <c r="AT81" i="2"/>
  <c r="E36" i="2"/>
  <c r="V8" i="2"/>
  <c r="AD6" i="2"/>
  <c r="G36" i="2"/>
  <c r="Z60" i="2"/>
  <c r="T60" i="2" s="1"/>
  <c r="F35" i="2"/>
  <c r="AF9" i="2"/>
  <c r="Z120" i="2"/>
  <c r="AJ120" i="2" s="1"/>
  <c r="B35" i="3"/>
  <c r="X6" i="2"/>
  <c r="V6" i="2"/>
  <c r="F61" i="50873"/>
  <c r="BG80" i="2"/>
  <c r="AA24" i="3" s="1"/>
  <c r="AT108" i="2"/>
  <c r="AU100" i="2"/>
  <c r="AU86" i="2"/>
  <c r="AT90" i="2"/>
  <c r="H45" i="50873"/>
  <c r="AU84" i="2"/>
  <c r="AU87" i="2"/>
  <c r="AT126" i="2"/>
  <c r="T6" i="2"/>
  <c r="AU96" i="2"/>
  <c r="AT122" i="2"/>
  <c r="AU80" i="2"/>
  <c r="AT104" i="2"/>
  <c r="AT66" i="2"/>
  <c r="AT75" i="2"/>
  <c r="G42" i="3"/>
  <c r="AU123" i="2"/>
  <c r="AT72" i="2"/>
  <c r="F62" i="50873"/>
  <c r="AT89" i="2"/>
  <c r="AT109" i="2"/>
  <c r="AE6" i="2"/>
  <c r="Z114" i="2"/>
  <c r="AJ114" i="2" s="1"/>
  <c r="Z68" i="2"/>
  <c r="V68" i="2" s="1"/>
  <c r="E62" i="2"/>
  <c r="E58" i="3" s="1"/>
  <c r="G37" i="2"/>
  <c r="F37" i="2"/>
  <c r="AE7" i="2"/>
  <c r="Z113" i="2"/>
  <c r="T113" i="2" s="1"/>
  <c r="Z70" i="2"/>
  <c r="AJ70" i="2" s="1"/>
  <c r="Y6" i="2"/>
  <c r="W6" i="2"/>
  <c r="B36" i="2"/>
  <c r="G41" i="2"/>
  <c r="B42" i="3"/>
  <c r="B40" i="2"/>
  <c r="AU115" i="2"/>
  <c r="H44" i="50873"/>
  <c r="AU111" i="2"/>
  <c r="T8" i="2"/>
  <c r="E41" i="2"/>
  <c r="F44" i="50873" s="1"/>
  <c r="AT111" i="2"/>
  <c r="AU92" i="2"/>
  <c r="AC7" i="2"/>
  <c r="B41" i="3"/>
  <c r="AT124" i="2"/>
  <c r="AU101" i="2"/>
  <c r="AB6" i="2"/>
  <c r="Z115" i="2"/>
  <c r="AJ115" i="2" s="1"/>
  <c r="Z67" i="2"/>
  <c r="T67" i="2" s="1"/>
  <c r="B59" i="50873"/>
  <c r="Z69" i="2"/>
  <c r="T69" i="2" s="1"/>
  <c r="Z61" i="2"/>
  <c r="V61" i="2" s="1"/>
  <c r="E42" i="3"/>
  <c r="AU109" i="2"/>
  <c r="B44" i="50873"/>
  <c r="AT74" i="2"/>
  <c r="AU81" i="2"/>
  <c r="AT117" i="2"/>
  <c r="AU75" i="2"/>
  <c r="AT127" i="2"/>
  <c r="AU72" i="2"/>
  <c r="AT120" i="2"/>
  <c r="B62" i="50873"/>
  <c r="E35" i="2"/>
  <c r="Z117" i="2"/>
  <c r="AJ117" i="2" s="1"/>
  <c r="AD9" i="2"/>
  <c r="AT68" i="2"/>
  <c r="AU95" i="2"/>
  <c r="AT85" i="2"/>
  <c r="AU120" i="2"/>
  <c r="AU67" i="2"/>
  <c r="AT61" i="2"/>
  <c r="AU116" i="2"/>
  <c r="AT65" i="2"/>
  <c r="AT60" i="2"/>
  <c r="AU122" i="2"/>
  <c r="BG81" i="2"/>
  <c r="AA25" i="3" s="1"/>
  <c r="B43" i="3"/>
  <c r="AT84" i="2"/>
  <c r="AU105" i="2"/>
  <c r="AU125" i="2"/>
  <c r="AU110" i="2"/>
  <c r="AT100" i="2"/>
  <c r="AT113" i="2"/>
  <c r="AU106" i="2"/>
  <c r="AT96" i="2"/>
  <c r="AU124" i="2"/>
  <c r="AU97" i="2"/>
  <c r="B40" i="3"/>
  <c r="D43" i="3"/>
  <c r="D43" i="2"/>
  <c r="AU62" i="2"/>
  <c r="C11" i="1"/>
  <c r="AT79" i="2"/>
  <c r="AU83" i="2"/>
  <c r="B42" i="2"/>
  <c r="B45" i="50873" s="1"/>
  <c r="E41" i="3"/>
  <c r="AU119" i="2"/>
  <c r="AT93" i="2"/>
  <c r="B46" i="50873"/>
  <c r="AD7" i="2"/>
  <c r="AH135" i="2"/>
  <c r="AE5" i="50873" s="1"/>
  <c r="Z122" i="2"/>
  <c r="V122" i="2" s="1"/>
  <c r="Z124" i="2"/>
  <c r="AJ124" i="2" s="1"/>
  <c r="Z64" i="2"/>
  <c r="V64" i="2" s="1"/>
  <c r="B22" i="2"/>
  <c r="AU65" i="2"/>
  <c r="AU85" i="2"/>
  <c r="AU91" i="2"/>
  <c r="AT116" i="2"/>
  <c r="AU93" i="2"/>
  <c r="F42" i="3"/>
  <c r="AT112" i="2"/>
  <c r="AU90" i="2"/>
  <c r="AT95" i="2"/>
  <c r="H64" i="2"/>
  <c r="H63" i="3" s="1"/>
  <c r="G41" i="3"/>
  <c r="AT67" i="2"/>
  <c r="Z119" i="2"/>
  <c r="AJ119" i="2" s="1"/>
  <c r="AA6" i="2"/>
  <c r="Z62" i="2"/>
  <c r="AJ62" i="2" s="1"/>
  <c r="Z125" i="2"/>
  <c r="V125" i="2" s="1"/>
  <c r="Z121" i="2"/>
  <c r="T121" i="2" s="1"/>
  <c r="E35" i="3"/>
  <c r="AG6" i="2"/>
  <c r="Z6" i="2"/>
  <c r="AF6" i="2"/>
  <c r="Z116" i="2"/>
  <c r="T116" i="2" s="1"/>
  <c r="H38" i="50873"/>
  <c r="AH134" i="2"/>
  <c r="J22" i="2" s="1"/>
  <c r="AI132" i="2" s="1"/>
  <c r="W8" i="2"/>
  <c r="B38" i="50873"/>
  <c r="B25" i="50873"/>
  <c r="H39" i="50873"/>
  <c r="B37" i="3"/>
  <c r="B35" i="2"/>
  <c r="AF7" i="2"/>
  <c r="F38" i="50873"/>
  <c r="B61" i="50873"/>
  <c r="AT71" i="2"/>
  <c r="AT63" i="2"/>
  <c r="BG82" i="2"/>
  <c r="AA26" i="3" s="1"/>
  <c r="AU103" i="2"/>
  <c r="AT98" i="2"/>
  <c r="AU89" i="2"/>
  <c r="AT86" i="2"/>
  <c r="AT94" i="2"/>
  <c r="AU79" i="2"/>
  <c r="AU107" i="2"/>
  <c r="AC9" i="2"/>
  <c r="F42" i="2"/>
  <c r="G45" i="50873" s="1"/>
  <c r="AU118" i="2"/>
  <c r="AT78" i="2"/>
  <c r="AT118" i="2"/>
  <c r="BG78" i="2"/>
  <c r="AQ4" i="50873" s="1"/>
  <c r="H65" i="2"/>
  <c r="H64" i="3" s="1"/>
  <c r="AU121" i="2"/>
  <c r="AA77" i="2"/>
  <c r="AU61" i="2"/>
  <c r="AT110" i="2"/>
  <c r="AT70" i="2"/>
  <c r="E40" i="3"/>
  <c r="H15" i="2"/>
  <c r="F9" i="1" s="1"/>
  <c r="I57" i="50873"/>
  <c r="H54" i="3"/>
  <c r="H60" i="3"/>
  <c r="AA28" i="3"/>
  <c r="AA29" i="3"/>
  <c r="I66" i="50873"/>
  <c r="H394" i="8364"/>
  <c r="E390" i="8364" s="1"/>
  <c r="AK373" i="8364" s="1"/>
  <c r="AK374" i="8364" s="1"/>
  <c r="AK375" i="8364" s="1"/>
  <c r="AK376" i="8364" s="1"/>
  <c r="AK377" i="8364" s="1"/>
  <c r="Y59" i="4"/>
  <c r="Y76" i="4" s="1"/>
  <c r="Z35" i="4"/>
  <c r="T155" i="8194"/>
  <c r="T157" i="8194" s="1"/>
  <c r="AH78" i="4"/>
  <c r="AX75" i="2"/>
  <c r="BP78" i="4"/>
  <c r="AX107" i="2"/>
  <c r="AZ155" i="8194"/>
  <c r="AZ157" i="8194" s="1"/>
  <c r="AX103" i="2"/>
  <c r="AE69" i="1" s="1"/>
  <c r="BJ78" i="4"/>
  <c r="AV155" i="8194"/>
  <c r="AV157" i="8194" s="1"/>
  <c r="L15" i="50872"/>
  <c r="F19" i="2" s="1"/>
  <c r="N5" i="50872"/>
  <c r="N4" i="50872"/>
  <c r="P15" i="50872"/>
  <c r="D64" i="50872" s="1"/>
  <c r="Y38" i="4"/>
  <c r="AB82" i="50872"/>
  <c r="AC82" i="50872" s="1"/>
  <c r="B29" i="3"/>
  <c r="H25" i="2"/>
  <c r="H25" i="3" s="1"/>
  <c r="O14" i="50872"/>
  <c r="C63" i="50872" s="1"/>
  <c r="B30" i="3"/>
  <c r="E36" i="50873"/>
  <c r="F23" i="50873"/>
  <c r="AE72" i="1"/>
  <c r="Q19" i="2"/>
  <c r="D32" i="3"/>
  <c r="AB83" i="50872"/>
  <c r="AC83" i="50872" s="1"/>
  <c r="P12" i="50872"/>
  <c r="D61" i="50872" s="1"/>
  <c r="B31" i="2"/>
  <c r="E20" i="3"/>
  <c r="Q18" i="2"/>
  <c r="P13" i="50872"/>
  <c r="D62" i="50872" s="1"/>
  <c r="B28" i="3"/>
  <c r="W80" i="50872"/>
  <c r="AB73" i="50872"/>
  <c r="AC73" i="50872" s="1"/>
  <c r="E2" i="4"/>
  <c r="O15" i="50872"/>
  <c r="C64" i="50872" s="1"/>
  <c r="C2" i="4"/>
  <c r="E35" i="50873"/>
  <c r="Q16" i="2"/>
  <c r="AE41" i="1"/>
  <c r="Q14" i="50872"/>
  <c r="P14" i="50872"/>
  <c r="D63" i="50872" s="1"/>
  <c r="Q20" i="2"/>
  <c r="S21" i="2"/>
  <c r="S15" i="2"/>
  <c r="E20" i="2"/>
  <c r="I28" i="50873"/>
  <c r="Z17" i="2"/>
  <c r="B32" i="2"/>
  <c r="R15" i="50872"/>
  <c r="F64" i="50872" s="1"/>
  <c r="G32" i="2"/>
  <c r="Q14" i="2"/>
  <c r="F32" i="2"/>
  <c r="O12" i="50872"/>
  <c r="C61" i="50872" s="1"/>
  <c r="Q12" i="50872"/>
  <c r="T3" i="50873"/>
  <c r="N14" i="50872"/>
  <c r="B63" i="50872" s="1"/>
  <c r="AE43" i="1"/>
  <c r="N15" i="50872"/>
  <c r="B64" i="50872" s="1"/>
  <c r="G62" i="50873"/>
  <c r="I60" i="50873" s="1"/>
  <c r="G35" i="50873"/>
  <c r="AE73" i="1"/>
  <c r="S18" i="2"/>
  <c r="S16" i="2"/>
  <c r="Q21" i="2"/>
  <c r="O19" i="50872"/>
  <c r="S21" i="50872" s="1"/>
  <c r="U52" i="2" s="1"/>
  <c r="R12" i="50872"/>
  <c r="F61" i="50872" s="1"/>
  <c r="L35" i="50873"/>
  <c r="B27" i="3"/>
  <c r="B34" i="50873"/>
  <c r="F32" i="3"/>
  <c r="B32" i="3"/>
  <c r="C10" i="18176"/>
  <c r="H6" i="50872"/>
  <c r="AE70" i="1"/>
  <c r="AE71" i="1"/>
  <c r="V22" i="2"/>
  <c r="V20" i="2"/>
  <c r="S20" i="2"/>
  <c r="I67" i="50873"/>
  <c r="Q15" i="2"/>
  <c r="E67" i="4"/>
  <c r="N13" i="50872"/>
  <c r="B62" i="50872" s="1"/>
  <c r="I56" i="50873"/>
  <c r="R13" i="50872"/>
  <c r="F62" i="50872" s="1"/>
  <c r="Q13" i="50872"/>
  <c r="E62" i="50872" s="1"/>
  <c r="AK5" i="50872"/>
  <c r="AM5" i="50872" s="1"/>
  <c r="N12" i="50872"/>
  <c r="B61" i="50872" s="1"/>
  <c r="R14" i="50872"/>
  <c r="AE42" i="1"/>
  <c r="Q17" i="2"/>
  <c r="S19" i="2"/>
  <c r="S17" i="2"/>
  <c r="F63" i="2"/>
  <c r="O13" i="50872"/>
  <c r="C62" i="50872" s="1"/>
  <c r="D32" i="2"/>
  <c r="Q15" i="50872"/>
  <c r="E64" i="50872" s="1"/>
  <c r="E32" i="2"/>
  <c r="AB23" i="2" s="1"/>
  <c r="H35" i="50873"/>
  <c r="V21" i="2"/>
  <c r="G32" i="3"/>
  <c r="B35" i="50873"/>
  <c r="B65" i="4"/>
  <c r="X63" i="50872"/>
  <c r="AB63" i="50872" s="1"/>
  <c r="AC63" i="50872" s="1"/>
  <c r="P225" i="8194"/>
  <c r="N17" i="8194"/>
  <c r="N22" i="8194"/>
  <c r="N21" i="8194"/>
  <c r="L297" i="8194"/>
  <c r="L298" i="8194" s="1"/>
  <c r="Q297" i="8194"/>
  <c r="Q298" i="8194" s="1"/>
  <c r="U126" i="2"/>
  <c r="U128" i="2" s="1"/>
  <c r="Q17" i="8194"/>
  <c r="Q21" i="8194"/>
  <c r="Q22" i="8194"/>
  <c r="BK21" i="8194"/>
  <c r="BK22" i="8194"/>
  <c r="BK17" i="8194"/>
  <c r="L411" i="8194"/>
  <c r="L412" i="8194" s="1"/>
  <c r="Q411" i="8194"/>
  <c r="Q412" i="8194" s="1"/>
  <c r="Q267" i="8194"/>
  <c r="Q268" i="8194" s="1"/>
  <c r="L267" i="8194"/>
  <c r="L268" i="8194" s="1"/>
  <c r="AK22" i="8194"/>
  <c r="AK21" i="8194"/>
  <c r="AK17" i="8194"/>
  <c r="O21" i="8194"/>
  <c r="O17" i="8194"/>
  <c r="O22" i="8194"/>
  <c r="Q309" i="8194"/>
  <c r="Q310" i="8194" s="1"/>
  <c r="L309" i="8194"/>
  <c r="L310" i="8194" s="1"/>
  <c r="L279" i="8194"/>
  <c r="L280" i="8194" s="1"/>
  <c r="Q279" i="8194"/>
  <c r="Q280" i="8194" s="1"/>
  <c r="BJ22" i="8194"/>
  <c r="BJ17" i="8194"/>
  <c r="BJ21" i="8194"/>
  <c r="BD21" i="8194"/>
  <c r="BD22" i="8194"/>
  <c r="BD17" i="8194"/>
  <c r="AI21" i="8194"/>
  <c r="AI17" i="8194"/>
  <c r="AI22" i="8194"/>
  <c r="Y22" i="8194"/>
  <c r="Y17" i="8194"/>
  <c r="Y21" i="8194"/>
  <c r="Q219" i="8194"/>
  <c r="Q220" i="8194" s="1"/>
  <c r="L219" i="8194"/>
  <c r="L220" i="8194" s="1"/>
  <c r="L393" i="8194"/>
  <c r="L394" i="8194" s="1"/>
  <c r="Q393" i="8194"/>
  <c r="Q394" i="8194" s="1"/>
  <c r="Q315" i="8194"/>
  <c r="Q316" i="8194" s="1"/>
  <c r="L315" i="8194"/>
  <c r="L316" i="8194" s="1"/>
  <c r="Q306" i="8194"/>
  <c r="Q307" i="8194" s="1"/>
  <c r="L306" i="8194"/>
  <c r="L307" i="8194" s="1"/>
  <c r="BH17" i="8194"/>
  <c r="BH21" i="8194"/>
  <c r="BH22" i="8194"/>
  <c r="L22" i="8194"/>
  <c r="L21" i="8194"/>
  <c r="L17" i="8194"/>
  <c r="BI17" i="8194"/>
  <c r="BI21" i="8194"/>
  <c r="BI22" i="8194"/>
  <c r="AJ21" i="8194"/>
  <c r="AJ17" i="8194"/>
  <c r="AJ22" i="8194"/>
  <c r="AA21" i="8194"/>
  <c r="AA22" i="8194"/>
  <c r="AA17" i="8194"/>
  <c r="F17" i="8194"/>
  <c r="F21" i="8194"/>
  <c r="F22" i="8194"/>
  <c r="S21" i="8194"/>
  <c r="S17" i="8194"/>
  <c r="S22" i="8194"/>
  <c r="AC21" i="8194"/>
  <c r="AC17" i="8194"/>
  <c r="AC22" i="8194"/>
  <c r="Q366" i="8194"/>
  <c r="Q367" i="8194" s="1"/>
  <c r="L366" i="8194"/>
  <c r="L367" i="8194" s="1"/>
  <c r="Q261" i="8194"/>
  <c r="Q262" i="8194" s="1"/>
  <c r="L261" i="8194"/>
  <c r="L262" i="8194" s="1"/>
  <c r="L240" i="8194"/>
  <c r="L241" i="8194" s="1"/>
  <c r="Q240" i="8194"/>
  <c r="Q241" i="8194" s="1"/>
  <c r="Q228" i="8194"/>
  <c r="Q229" i="8194" s="1"/>
  <c r="L228" i="8194"/>
  <c r="L229" i="8194" s="1"/>
  <c r="Q354" i="8194"/>
  <c r="Q355" i="8194" s="1"/>
  <c r="L354" i="8194"/>
  <c r="L355" i="8194" s="1"/>
  <c r="L339" i="8194"/>
  <c r="L340" i="8194" s="1"/>
  <c r="Q339" i="8194"/>
  <c r="Q340" i="8194" s="1"/>
  <c r="L246" i="8194"/>
  <c r="L247" i="8194" s="1"/>
  <c r="Q246" i="8194"/>
  <c r="Q247" i="8194" s="1"/>
  <c r="L312" i="8194"/>
  <c r="L313" i="8194" s="1"/>
  <c r="Q312" i="8194"/>
  <c r="Q313" i="8194" s="1"/>
  <c r="L264" i="8194"/>
  <c r="L265" i="8194" s="1"/>
  <c r="Q264" i="8194"/>
  <c r="Q265" i="8194" s="1"/>
  <c r="BR22" i="8194"/>
  <c r="BR21" i="8194"/>
  <c r="BR17" i="8194"/>
  <c r="BP17" i="8194"/>
  <c r="BP21" i="8194"/>
  <c r="BP22" i="8194"/>
  <c r="L375" i="8194"/>
  <c r="L376" i="8194" s="1"/>
  <c r="Q375" i="8194"/>
  <c r="Q376" i="8194" s="1"/>
  <c r="L231" i="8194"/>
  <c r="L232" i="8194" s="1"/>
  <c r="Q231" i="8194"/>
  <c r="Q232" i="8194" s="1"/>
  <c r="BE17" i="8194"/>
  <c r="BE22" i="8194"/>
  <c r="BE21" i="8194"/>
  <c r="AB22" i="8194"/>
  <c r="AB21" i="8194"/>
  <c r="AB17" i="8194"/>
  <c r="Q318" i="8194"/>
  <c r="Q319" i="8194" s="1"/>
  <c r="L318" i="8194"/>
  <c r="L319" i="8194" s="1"/>
  <c r="L225" i="8194"/>
  <c r="L226" i="8194" s="1"/>
  <c r="Q225" i="8194"/>
  <c r="Q226" i="8194" s="1"/>
  <c r="I22" i="8194"/>
  <c r="I21" i="8194"/>
  <c r="I17" i="8194"/>
  <c r="AS22" i="8194"/>
  <c r="AS17" i="8194"/>
  <c r="AS21" i="8194"/>
  <c r="L330" i="8194"/>
  <c r="L331" i="8194" s="1"/>
  <c r="Q330" i="8194"/>
  <c r="Q331" i="8194" s="1"/>
  <c r="Q300" i="8194"/>
  <c r="Q301" i="8194" s="1"/>
  <c r="L300" i="8194"/>
  <c r="L301" i="8194" s="1"/>
  <c r="BQ17" i="8194"/>
  <c r="BQ21" i="8194"/>
  <c r="BQ22" i="8194"/>
  <c r="AD22" i="8194"/>
  <c r="AD17" i="8194"/>
  <c r="AD21" i="8194"/>
  <c r="AN22" i="8194"/>
  <c r="AN17" i="8194"/>
  <c r="AN21" i="8194"/>
  <c r="Q345" i="8194"/>
  <c r="Q346" i="8194" s="1"/>
  <c r="L345" i="8194"/>
  <c r="L346" i="8194" s="1"/>
  <c r="Q369" i="8194"/>
  <c r="Q370" i="8194" s="1"/>
  <c r="L369" i="8194"/>
  <c r="L370" i="8194" s="1"/>
  <c r="Q333" i="8194"/>
  <c r="Q334" i="8194" s="1"/>
  <c r="L333" i="8194"/>
  <c r="L334" i="8194" s="1"/>
  <c r="L303" i="8194"/>
  <c r="L304" i="8194" s="1"/>
  <c r="Q303" i="8194"/>
  <c r="Q304" i="8194" s="1"/>
  <c r="L252" i="8194"/>
  <c r="L253" i="8194" s="1"/>
  <c r="Q252" i="8194"/>
  <c r="Q253" i="8194" s="1"/>
  <c r="J17" i="8194"/>
  <c r="J22" i="8194"/>
  <c r="J21" i="8194"/>
  <c r="AV22" i="8194"/>
  <c r="AV17" i="8194"/>
  <c r="AV21" i="8194"/>
  <c r="AH17" i="8194"/>
  <c r="AH21" i="8194"/>
  <c r="AH22" i="8194"/>
  <c r="AL17" i="8194"/>
  <c r="AL21" i="8194"/>
  <c r="AL22" i="8194"/>
  <c r="BF17" i="8194"/>
  <c r="BF22" i="8194"/>
  <c r="BF21" i="8194"/>
  <c r="G21" i="8194"/>
  <c r="G22" i="8194"/>
  <c r="G17" i="8194"/>
  <c r="M17" i="8194"/>
  <c r="M21" i="8194"/>
  <c r="M22" i="8194"/>
  <c r="BG17" i="8194"/>
  <c r="BG22" i="8194"/>
  <c r="BG21" i="8194"/>
  <c r="BL17" i="8194"/>
  <c r="BL22" i="8194"/>
  <c r="BL21" i="8194"/>
  <c r="L294" i="8194"/>
  <c r="L295" i="8194" s="1"/>
  <c r="Q294" i="8194"/>
  <c r="Q295" i="8194" s="1"/>
  <c r="Q327" i="8194"/>
  <c r="Q328" i="8194" s="1"/>
  <c r="L327" i="8194"/>
  <c r="L328" i="8194" s="1"/>
  <c r="Q249" i="8194"/>
  <c r="Q250" i="8194" s="1"/>
  <c r="L249" i="8194"/>
  <c r="L250" i="8194" s="1"/>
  <c r="L222" i="8194"/>
  <c r="L223" i="8194" s="1"/>
  <c r="Q222" i="8194"/>
  <c r="Q223" i="8194" s="1"/>
  <c r="Q351" i="8194"/>
  <c r="Q352" i="8194" s="1"/>
  <c r="L351" i="8194"/>
  <c r="L352" i="8194" s="1"/>
  <c r="L342" i="8194"/>
  <c r="L343" i="8194" s="1"/>
  <c r="Q342" i="8194"/>
  <c r="Q343" i="8194" s="1"/>
  <c r="L360" i="8194"/>
  <c r="L361" i="8194" s="1"/>
  <c r="Q360" i="8194"/>
  <c r="Q361" i="8194" s="1"/>
  <c r="L348" i="8194"/>
  <c r="L349" i="8194" s="1"/>
  <c r="Q348" i="8194"/>
  <c r="Q349" i="8194" s="1"/>
  <c r="AY21" i="8194"/>
  <c r="AY22" i="8194"/>
  <c r="AY17" i="8194"/>
  <c r="BN21" i="8194"/>
  <c r="BN22" i="8194"/>
  <c r="BN17" i="8194"/>
  <c r="Q336" i="8194"/>
  <c r="Q337" i="8194" s="1"/>
  <c r="L336" i="8194"/>
  <c r="L337" i="8194" s="1"/>
  <c r="Q270" i="8194"/>
  <c r="Q271" i="8194" s="1"/>
  <c r="L270" i="8194"/>
  <c r="L271" i="8194" s="1"/>
  <c r="L381" i="8194"/>
  <c r="L382" i="8194" s="1"/>
  <c r="Q381" i="8194"/>
  <c r="Q382" i="8194" s="1"/>
  <c r="R26" i="1"/>
  <c r="R27" i="1" s="1"/>
  <c r="R28" i="1" s="1"/>
  <c r="R29" i="1" s="1"/>
  <c r="R30" i="1" s="1"/>
  <c r="R31" i="1" s="1"/>
  <c r="R32" i="1" s="1"/>
  <c r="R33" i="1" s="1"/>
  <c r="R34" i="1" s="1"/>
  <c r="R35" i="1" s="1"/>
  <c r="R36" i="1" s="1"/>
  <c r="R37" i="1" s="1"/>
  <c r="R38" i="1" s="1"/>
  <c r="R39" i="1" s="1"/>
  <c r="R40" i="1" s="1"/>
  <c r="R41" i="1" s="1"/>
  <c r="R42" i="1" s="1"/>
  <c r="P22" i="8194"/>
  <c r="P21" i="8194"/>
  <c r="P17" i="8194"/>
  <c r="AT17" i="8194"/>
  <c r="AT22" i="8194"/>
  <c r="AT21" i="8194"/>
  <c r="Q282" i="8194"/>
  <c r="Q283" i="8194" s="1"/>
  <c r="L282" i="8194"/>
  <c r="L283" i="8194" s="1"/>
  <c r="Z17" i="8194"/>
  <c r="Z22" i="8194"/>
  <c r="Z21" i="8194"/>
  <c r="AP22" i="8194"/>
  <c r="AP17" i="8194"/>
  <c r="AP21" i="8194"/>
  <c r="L321" i="8194"/>
  <c r="L322" i="8194" s="1"/>
  <c r="Q321" i="8194"/>
  <c r="Q322" i="8194" s="1"/>
  <c r="L291" i="8194"/>
  <c r="L292" i="8194" s="1"/>
  <c r="Q291" i="8194"/>
  <c r="Q292" i="8194" s="1"/>
  <c r="AM22" i="8194"/>
  <c r="AM21" i="8194"/>
  <c r="AM17" i="8194"/>
  <c r="AW17" i="8194"/>
  <c r="AW22" i="8194"/>
  <c r="AW21" i="8194"/>
  <c r="K21" i="8194"/>
  <c r="K22" i="8194"/>
  <c r="K17" i="8194"/>
  <c r="AX17" i="8194"/>
  <c r="AX21" i="8194"/>
  <c r="AX22" i="8194"/>
  <c r="BA22" i="8194"/>
  <c r="BA17" i="8194"/>
  <c r="BA21" i="8194"/>
  <c r="U17" i="8194"/>
  <c r="U21" i="8194"/>
  <c r="U22" i="8194"/>
  <c r="W17" i="8194"/>
  <c r="W22" i="8194"/>
  <c r="W21" i="8194"/>
  <c r="H21" i="8194"/>
  <c r="H17" i="8194"/>
  <c r="H22" i="8194"/>
  <c r="AZ22" i="8194"/>
  <c r="AZ21" i="8194"/>
  <c r="AZ17" i="8194"/>
  <c r="E17" i="8194"/>
  <c r="E22" i="8194"/>
  <c r="E21" i="8194"/>
  <c r="L378" i="8194"/>
  <c r="L379" i="8194" s="1"/>
  <c r="Q378" i="8194"/>
  <c r="Q379" i="8194" s="1"/>
  <c r="L255" i="8194"/>
  <c r="L256" i="8194" s="1"/>
  <c r="Q255" i="8194"/>
  <c r="Q256" i="8194" s="1"/>
  <c r="L258" i="8194"/>
  <c r="L259" i="8194" s="1"/>
  <c r="Q258" i="8194"/>
  <c r="Q259" i="8194" s="1"/>
  <c r="Q324" i="8194"/>
  <c r="Q325" i="8194" s="1"/>
  <c r="L324" i="8194"/>
  <c r="L325" i="8194" s="1"/>
  <c r="L387" i="8194"/>
  <c r="L388" i="8194" s="1"/>
  <c r="Q387" i="8194"/>
  <c r="Q388" i="8194" s="1"/>
  <c r="L363" i="8194"/>
  <c r="L364" i="8194" s="1"/>
  <c r="Q363" i="8194"/>
  <c r="Q364" i="8194" s="1"/>
  <c r="L384" i="8194"/>
  <c r="L385" i="8194" s="1"/>
  <c r="Q384" i="8194"/>
  <c r="Q385" i="8194" s="1"/>
  <c r="L372" i="8194"/>
  <c r="L373" i="8194" s="1"/>
  <c r="Q372" i="8194"/>
  <c r="Q373" i="8194" s="1"/>
  <c r="BB22" i="8194"/>
  <c r="BB17" i="8194"/>
  <c r="BB21" i="8194"/>
  <c r="R17" i="8194"/>
  <c r="R22" i="8194"/>
  <c r="R21" i="8194"/>
  <c r="AG22" i="8194"/>
  <c r="AG17" i="8194"/>
  <c r="AG21" i="8194"/>
  <c r="L243" i="8194"/>
  <c r="L244" i="8194" s="1"/>
  <c r="Q243" i="8194"/>
  <c r="Q244" i="8194" s="1"/>
  <c r="L414" i="8194"/>
  <c r="L415" i="8194" s="1"/>
  <c r="Q414" i="8194"/>
  <c r="Q415" i="8194" s="1"/>
  <c r="BC17" i="8194"/>
  <c r="BC21" i="8194"/>
  <c r="BC22" i="8194"/>
  <c r="AQ21" i="8194"/>
  <c r="AQ22" i="8194"/>
  <c r="AQ17" i="8194"/>
  <c r="Q237" i="8194"/>
  <c r="Q238" i="8194" s="1"/>
  <c r="L237" i="8194"/>
  <c r="L238" i="8194" s="1"/>
  <c r="L285" i="8194"/>
  <c r="L286" i="8194" s="1"/>
  <c r="Q285" i="8194"/>
  <c r="Q286" i="8194" s="1"/>
  <c r="Q234" i="8194"/>
  <c r="Q235" i="8194" s="1"/>
  <c r="L234" i="8194"/>
  <c r="L235" i="8194" s="1"/>
  <c r="BM17" i="8194"/>
  <c r="BM21" i="8194"/>
  <c r="BM22" i="8194"/>
  <c r="AR21" i="8194"/>
  <c r="AR22" i="8194"/>
  <c r="AR17" i="8194"/>
  <c r="Q276" i="8194"/>
  <c r="Q277" i="8194" s="1"/>
  <c r="L276" i="8194"/>
  <c r="L277" i="8194" s="1"/>
  <c r="Q288" i="8194"/>
  <c r="Q289" i="8194" s="1"/>
  <c r="L288" i="8194"/>
  <c r="L289" i="8194" s="1"/>
  <c r="AU21" i="8194"/>
  <c r="AU17" i="8194"/>
  <c r="AU22" i="8194"/>
  <c r="V17" i="8194"/>
  <c r="V21" i="8194"/>
  <c r="V22" i="8194"/>
  <c r="AE21" i="8194"/>
  <c r="AE22" i="8194"/>
  <c r="AE17" i="8194"/>
  <c r="BO17" i="8194"/>
  <c r="BO22" i="8194"/>
  <c r="BO21" i="8194"/>
  <c r="AO22" i="8194"/>
  <c r="AO17" i="8194"/>
  <c r="AO21" i="8194"/>
  <c r="AF21" i="8194"/>
  <c r="AF17" i="8194"/>
  <c r="AF22" i="8194"/>
  <c r="T17" i="8194"/>
  <c r="T21" i="8194"/>
  <c r="T22" i="8194"/>
  <c r="X22" i="8194"/>
  <c r="X21" i="8194"/>
  <c r="X17" i="8194"/>
  <c r="L390" i="8194"/>
  <c r="L391" i="8194" s="1"/>
  <c r="Q390" i="8194"/>
  <c r="Q391" i="8194" s="1"/>
  <c r="L357" i="8194"/>
  <c r="L358" i="8194" s="1"/>
  <c r="Q357" i="8194"/>
  <c r="Q358" i="8194" s="1"/>
  <c r="L273" i="8194"/>
  <c r="L274" i="8194" s="1"/>
  <c r="Q273" i="8194"/>
  <c r="Q274" i="8194" s="1"/>
  <c r="L408" i="8194"/>
  <c r="L409" i="8194" s="1"/>
  <c r="Q408" i="8194"/>
  <c r="Q409" i="8194" s="1"/>
  <c r="L399" i="8194"/>
  <c r="L400" i="8194" s="1"/>
  <c r="Q399" i="8194"/>
  <c r="Q400" i="8194" s="1"/>
  <c r="L405" i="8194"/>
  <c r="L406" i="8194" s="1"/>
  <c r="Q405" i="8194"/>
  <c r="Q406" i="8194" s="1"/>
  <c r="L402" i="8194"/>
  <c r="L403" i="8194" s="1"/>
  <c r="Q402" i="8194"/>
  <c r="Q403" i="8194" s="1"/>
  <c r="L396" i="8194"/>
  <c r="L397" i="8194" s="1"/>
  <c r="Q396" i="8194"/>
  <c r="Q397" i="8194" s="1"/>
  <c r="E58" i="2"/>
  <c r="F58" i="2"/>
  <c r="G58" i="2"/>
  <c r="B58" i="2"/>
  <c r="K12" i="1"/>
  <c r="AB87" i="50872"/>
  <c r="AC87" i="50872" s="1"/>
  <c r="Y88" i="50872"/>
  <c r="Y77" i="50872"/>
  <c r="AL69" i="4"/>
  <c r="T91" i="1"/>
  <c r="P229" i="8194"/>
  <c r="P230" i="8194" s="1"/>
  <c r="P228" i="8194"/>
  <c r="V116" i="2" l="1"/>
  <c r="AJ116" i="2"/>
  <c r="T115" i="2"/>
  <c r="AJ68" i="2"/>
  <c r="V65" i="2"/>
  <c r="T65" i="2"/>
  <c r="AQ6" i="50873"/>
  <c r="AJ66" i="2"/>
  <c r="AT128" i="2"/>
  <c r="V66" i="2"/>
  <c r="AA22" i="3"/>
  <c r="V60" i="2"/>
  <c r="T118" i="2"/>
  <c r="AJ60" i="2"/>
  <c r="T68" i="2"/>
  <c r="T119" i="2"/>
  <c r="V118" i="2"/>
  <c r="V119" i="2"/>
  <c r="AJ61" i="2"/>
  <c r="AJ123" i="2"/>
  <c r="T64" i="2"/>
  <c r="V62" i="2"/>
  <c r="V69" i="2"/>
  <c r="V63" i="2"/>
  <c r="AJ69" i="2"/>
  <c r="AJ63" i="2"/>
  <c r="T123" i="2"/>
  <c r="T125" i="2"/>
  <c r="V117" i="2"/>
  <c r="T117" i="2"/>
  <c r="M51" i="2"/>
  <c r="M20" i="2" s="1"/>
  <c r="M24" i="2" s="1"/>
  <c r="M23" i="2" s="1"/>
  <c r="V18" i="2" s="1"/>
  <c r="AQ5" i="50873"/>
  <c r="AJ67" i="2"/>
  <c r="V67" i="2"/>
  <c r="AU128" i="2"/>
  <c r="H60" i="2"/>
  <c r="V121" i="2"/>
  <c r="AJ64" i="2"/>
  <c r="AJ121" i="2"/>
  <c r="T62" i="2"/>
  <c r="AE4" i="50873"/>
  <c r="V120" i="2"/>
  <c r="AJ125" i="2"/>
  <c r="T120" i="2"/>
  <c r="O22" i="3"/>
  <c r="K22" i="3" s="1"/>
  <c r="P20" i="3" s="1"/>
  <c r="Q34" i="3" s="1"/>
  <c r="O23" i="3"/>
  <c r="AJ113" i="2"/>
  <c r="V114" i="2"/>
  <c r="V115" i="2"/>
  <c r="T70" i="2"/>
  <c r="AJ122" i="2"/>
  <c r="T124" i="2"/>
  <c r="V113" i="2"/>
  <c r="AQ7" i="50873"/>
  <c r="T114" i="2"/>
  <c r="AQ8" i="50873"/>
  <c r="V70" i="2"/>
  <c r="T61" i="2"/>
  <c r="T122" i="2"/>
  <c r="V124" i="2"/>
  <c r="K18" i="1"/>
  <c r="H15" i="3"/>
  <c r="Z50" i="2"/>
  <c r="Z51" i="2" s="1"/>
  <c r="B130" i="8194"/>
  <c r="B118" i="8194" s="1"/>
  <c r="B131" i="8194" s="1"/>
  <c r="L62" i="3"/>
  <c r="L60" i="3"/>
  <c r="L55" i="3" s="1"/>
  <c r="Q40" i="3"/>
  <c r="Q41" i="3" s="1"/>
  <c r="Q60" i="2"/>
  <c r="K64" i="2"/>
  <c r="K59" i="2" s="1"/>
  <c r="K66" i="2"/>
  <c r="M50" i="2"/>
  <c r="F10" i="1"/>
  <c r="F11" i="1" s="1"/>
  <c r="M36" i="2"/>
  <c r="Q58" i="2"/>
  <c r="Q59" i="2" s="1"/>
  <c r="K10" i="1"/>
  <c r="K15" i="1" s="1"/>
  <c r="F59" i="3"/>
  <c r="AJ146" i="2"/>
  <c r="F59" i="2" s="1"/>
  <c r="AH146" i="2"/>
  <c r="Z57" i="50872"/>
  <c r="AI146" i="2"/>
  <c r="AK146" i="2"/>
  <c r="E22" i="2"/>
  <c r="B29" i="50873"/>
  <c r="F18" i="3"/>
  <c r="F19" i="3"/>
  <c r="G22" i="50873"/>
  <c r="B26" i="2"/>
  <c r="F18" i="2"/>
  <c r="L47" i="50872"/>
  <c r="B4" i="3" s="1"/>
  <c r="N27" i="4"/>
  <c r="M10" i="4" s="1"/>
  <c r="G21" i="50873"/>
  <c r="B26" i="3"/>
  <c r="CL373" i="8364"/>
  <c r="CL374" i="8364" s="1"/>
  <c r="CL375" i="8364" s="1"/>
  <c r="CL376" i="8364" s="1"/>
  <c r="CL377" i="8364" s="1"/>
  <c r="AV373" i="8364"/>
  <c r="AV374" i="8364" s="1"/>
  <c r="AV375" i="8364" s="1"/>
  <c r="AV376" i="8364" s="1"/>
  <c r="AV377" i="8364" s="1"/>
  <c r="AN373" i="8364"/>
  <c r="AN374" i="8364" s="1"/>
  <c r="AN375" i="8364" s="1"/>
  <c r="AN376" i="8364" s="1"/>
  <c r="AN377" i="8364" s="1"/>
  <c r="AE373" i="8364"/>
  <c r="AE374" i="8364" s="1"/>
  <c r="B378" i="8364" s="1"/>
  <c r="BT373" i="8364"/>
  <c r="BT374" i="8364" s="1"/>
  <c r="BT375" i="8364" s="1"/>
  <c r="BT376" i="8364" s="1"/>
  <c r="BT377" i="8364" s="1"/>
  <c r="CJ373" i="8364"/>
  <c r="CJ374" i="8364" s="1"/>
  <c r="CJ375" i="8364" s="1"/>
  <c r="CJ376" i="8364" s="1"/>
  <c r="CJ377" i="8364" s="1"/>
  <c r="AY373" i="8364"/>
  <c r="AY374" i="8364" s="1"/>
  <c r="AY375" i="8364" s="1"/>
  <c r="AY376" i="8364" s="1"/>
  <c r="AY377" i="8364" s="1"/>
  <c r="BM373" i="8364"/>
  <c r="BM374" i="8364" s="1"/>
  <c r="BM375" i="8364" s="1"/>
  <c r="BM376" i="8364" s="1"/>
  <c r="BM377" i="8364" s="1"/>
  <c r="CD373" i="8364"/>
  <c r="CD374" i="8364" s="1"/>
  <c r="CD375" i="8364" s="1"/>
  <c r="CD376" i="8364" s="1"/>
  <c r="CD377" i="8364" s="1"/>
  <c r="AI373" i="8364"/>
  <c r="AI374" i="8364" s="1"/>
  <c r="AI375" i="8364" s="1"/>
  <c r="AI376" i="8364" s="1"/>
  <c r="AI377" i="8364" s="1"/>
  <c r="BF373" i="8364"/>
  <c r="BF374" i="8364" s="1"/>
  <c r="BF375" i="8364" s="1"/>
  <c r="BF376" i="8364" s="1"/>
  <c r="BF377" i="8364" s="1"/>
  <c r="BG373" i="8364"/>
  <c r="BG374" i="8364" s="1"/>
  <c r="BG375" i="8364" s="1"/>
  <c r="BG376" i="8364" s="1"/>
  <c r="BG377" i="8364" s="1"/>
  <c r="BQ373" i="8364"/>
  <c r="BQ374" i="8364" s="1"/>
  <c r="BQ375" i="8364" s="1"/>
  <c r="BQ376" i="8364" s="1"/>
  <c r="BQ377" i="8364" s="1"/>
  <c r="BK373" i="8364"/>
  <c r="BK374" i="8364" s="1"/>
  <c r="BK375" i="8364" s="1"/>
  <c r="BK376" i="8364" s="1"/>
  <c r="BK377" i="8364" s="1"/>
  <c r="CN373" i="8364"/>
  <c r="CN374" i="8364" s="1"/>
  <c r="CN375" i="8364" s="1"/>
  <c r="CN376" i="8364" s="1"/>
  <c r="CN377" i="8364" s="1"/>
  <c r="BC373" i="8364"/>
  <c r="BC374" i="8364" s="1"/>
  <c r="BC375" i="8364" s="1"/>
  <c r="BC376" i="8364" s="1"/>
  <c r="BC377" i="8364" s="1"/>
  <c r="BP373" i="8364"/>
  <c r="BP374" i="8364" s="1"/>
  <c r="BP375" i="8364" s="1"/>
  <c r="BP376" i="8364" s="1"/>
  <c r="BP377" i="8364" s="1"/>
  <c r="AG373" i="8364"/>
  <c r="AG374" i="8364" s="1"/>
  <c r="AG375" i="8364" s="1"/>
  <c r="AG376" i="8364" s="1"/>
  <c r="AG377" i="8364" s="1"/>
  <c r="BX373" i="8364"/>
  <c r="BX374" i="8364" s="1"/>
  <c r="BX375" i="8364" s="1"/>
  <c r="BX376" i="8364" s="1"/>
  <c r="BX377" i="8364" s="1"/>
  <c r="BA373" i="8364"/>
  <c r="BA374" i="8364" s="1"/>
  <c r="BA375" i="8364" s="1"/>
  <c r="BA376" i="8364" s="1"/>
  <c r="BA377" i="8364" s="1"/>
  <c r="AO373" i="8364"/>
  <c r="AO374" i="8364" s="1"/>
  <c r="AO375" i="8364" s="1"/>
  <c r="AO376" i="8364" s="1"/>
  <c r="AO377" i="8364" s="1"/>
  <c r="CM373" i="8364"/>
  <c r="CM374" i="8364" s="1"/>
  <c r="CM375" i="8364" s="1"/>
  <c r="CM376" i="8364" s="1"/>
  <c r="CM377" i="8364" s="1"/>
  <c r="CP373" i="8364"/>
  <c r="CP374" i="8364" s="1"/>
  <c r="CP375" i="8364" s="1"/>
  <c r="CP376" i="8364" s="1"/>
  <c r="CP377" i="8364" s="1"/>
  <c r="CC373" i="8364"/>
  <c r="CC374" i="8364" s="1"/>
  <c r="CC375" i="8364" s="1"/>
  <c r="CC376" i="8364" s="1"/>
  <c r="CC377" i="8364" s="1"/>
  <c r="CK373" i="8364"/>
  <c r="CK374" i="8364" s="1"/>
  <c r="CK375" i="8364" s="1"/>
  <c r="CK376" i="8364" s="1"/>
  <c r="CK377" i="8364" s="1"/>
  <c r="CF373" i="8364"/>
  <c r="CF374" i="8364" s="1"/>
  <c r="CF375" i="8364" s="1"/>
  <c r="CF376" i="8364" s="1"/>
  <c r="CF377" i="8364" s="1"/>
  <c r="AQ373" i="8364"/>
  <c r="AQ374" i="8364" s="1"/>
  <c r="AQ375" i="8364" s="1"/>
  <c r="AQ376" i="8364" s="1"/>
  <c r="AQ377" i="8364" s="1"/>
  <c r="AT373" i="8364"/>
  <c r="AT374" i="8364" s="1"/>
  <c r="AT375" i="8364" s="1"/>
  <c r="AT376" i="8364" s="1"/>
  <c r="AT377" i="8364" s="1"/>
  <c r="BU373" i="8364"/>
  <c r="BU374" i="8364" s="1"/>
  <c r="BU375" i="8364" s="1"/>
  <c r="BU376" i="8364" s="1"/>
  <c r="BU377" i="8364" s="1"/>
  <c r="BS373" i="8364"/>
  <c r="BS374" i="8364" s="1"/>
  <c r="BS375" i="8364" s="1"/>
  <c r="BS376" i="8364" s="1"/>
  <c r="BS377" i="8364" s="1"/>
  <c r="AF373" i="8364"/>
  <c r="AF374" i="8364" s="1"/>
  <c r="AF375" i="8364" s="1"/>
  <c r="AF376" i="8364" s="1"/>
  <c r="AF377" i="8364" s="1"/>
  <c r="BD373" i="8364"/>
  <c r="BD374" i="8364" s="1"/>
  <c r="BD375" i="8364" s="1"/>
  <c r="BD376" i="8364" s="1"/>
  <c r="BD377" i="8364" s="1"/>
  <c r="BH373" i="8364"/>
  <c r="BH374" i="8364" s="1"/>
  <c r="BH375" i="8364" s="1"/>
  <c r="BH376" i="8364" s="1"/>
  <c r="BH377" i="8364" s="1"/>
  <c r="AP373" i="8364"/>
  <c r="AP374" i="8364" s="1"/>
  <c r="AP375" i="8364" s="1"/>
  <c r="AP376" i="8364" s="1"/>
  <c r="AP377" i="8364" s="1"/>
  <c r="BZ373" i="8364"/>
  <c r="BZ374" i="8364" s="1"/>
  <c r="BZ375" i="8364" s="1"/>
  <c r="BZ376" i="8364" s="1"/>
  <c r="BZ377" i="8364" s="1"/>
  <c r="BW373" i="8364"/>
  <c r="BW374" i="8364" s="1"/>
  <c r="BW375" i="8364" s="1"/>
  <c r="BW376" i="8364" s="1"/>
  <c r="BW377" i="8364" s="1"/>
  <c r="CO373" i="8364"/>
  <c r="CO374" i="8364" s="1"/>
  <c r="CO375" i="8364" s="1"/>
  <c r="CO376" i="8364" s="1"/>
  <c r="CO377" i="8364" s="1"/>
  <c r="BO373" i="8364"/>
  <c r="BO374" i="8364" s="1"/>
  <c r="BO375" i="8364" s="1"/>
  <c r="BO376" i="8364" s="1"/>
  <c r="BO377" i="8364" s="1"/>
  <c r="AH373" i="8364"/>
  <c r="AH374" i="8364" s="1"/>
  <c r="AH375" i="8364" s="1"/>
  <c r="AH376" i="8364" s="1"/>
  <c r="AH377" i="8364" s="1"/>
  <c r="CB373" i="8364"/>
  <c r="CB374" i="8364" s="1"/>
  <c r="CB375" i="8364" s="1"/>
  <c r="CB376" i="8364" s="1"/>
  <c r="CB377" i="8364" s="1"/>
  <c r="BJ373" i="8364"/>
  <c r="BJ374" i="8364" s="1"/>
  <c r="BJ375" i="8364" s="1"/>
  <c r="BJ376" i="8364" s="1"/>
  <c r="BJ377" i="8364" s="1"/>
  <c r="BL373" i="8364"/>
  <c r="BL374" i="8364" s="1"/>
  <c r="BL375" i="8364" s="1"/>
  <c r="BL376" i="8364" s="1"/>
  <c r="BL377" i="8364" s="1"/>
  <c r="BE373" i="8364"/>
  <c r="BE374" i="8364" s="1"/>
  <c r="BE375" i="8364" s="1"/>
  <c r="BE376" i="8364" s="1"/>
  <c r="BE377" i="8364" s="1"/>
  <c r="BY373" i="8364"/>
  <c r="BY374" i="8364" s="1"/>
  <c r="BY375" i="8364" s="1"/>
  <c r="BY376" i="8364" s="1"/>
  <c r="BY377" i="8364" s="1"/>
  <c r="AL373" i="8364"/>
  <c r="AL374" i="8364" s="1"/>
  <c r="AL375" i="8364" s="1"/>
  <c r="AL376" i="8364" s="1"/>
  <c r="AL377" i="8364" s="1"/>
  <c r="CG373" i="8364"/>
  <c r="CG374" i="8364" s="1"/>
  <c r="CG375" i="8364" s="1"/>
  <c r="CG376" i="8364" s="1"/>
  <c r="CG377" i="8364" s="1"/>
  <c r="AZ373" i="8364"/>
  <c r="AZ374" i="8364" s="1"/>
  <c r="AZ375" i="8364" s="1"/>
  <c r="AZ376" i="8364" s="1"/>
  <c r="AZ377" i="8364" s="1"/>
  <c r="AS373" i="8364"/>
  <c r="AS374" i="8364" s="1"/>
  <c r="AS375" i="8364" s="1"/>
  <c r="AS376" i="8364" s="1"/>
  <c r="AS377" i="8364" s="1"/>
  <c r="AU373" i="8364"/>
  <c r="AU374" i="8364" s="1"/>
  <c r="AU375" i="8364" s="1"/>
  <c r="AU376" i="8364" s="1"/>
  <c r="AU377" i="8364" s="1"/>
  <c r="AJ373" i="8364"/>
  <c r="AJ374" i="8364" s="1"/>
  <c r="AJ375" i="8364" s="1"/>
  <c r="AJ376" i="8364" s="1"/>
  <c r="AJ377" i="8364" s="1"/>
  <c r="BN373" i="8364"/>
  <c r="BN374" i="8364" s="1"/>
  <c r="BN375" i="8364" s="1"/>
  <c r="BN376" i="8364" s="1"/>
  <c r="BN377" i="8364" s="1"/>
  <c r="CA373" i="8364"/>
  <c r="CA374" i="8364" s="1"/>
  <c r="CA375" i="8364" s="1"/>
  <c r="CA376" i="8364" s="1"/>
  <c r="CA377" i="8364" s="1"/>
  <c r="BI373" i="8364"/>
  <c r="BI374" i="8364" s="1"/>
  <c r="BI375" i="8364" s="1"/>
  <c r="BI376" i="8364" s="1"/>
  <c r="BI377" i="8364" s="1"/>
  <c r="CE373" i="8364"/>
  <c r="CE374" i="8364" s="1"/>
  <c r="CE375" i="8364" s="1"/>
  <c r="CE376" i="8364" s="1"/>
  <c r="CE377" i="8364" s="1"/>
  <c r="AW373" i="8364"/>
  <c r="AW374" i="8364" s="1"/>
  <c r="AW375" i="8364" s="1"/>
  <c r="AW376" i="8364" s="1"/>
  <c r="AW377" i="8364" s="1"/>
  <c r="CQ373" i="8364"/>
  <c r="CQ374" i="8364" s="1"/>
  <c r="CQ375" i="8364" s="1"/>
  <c r="CQ376" i="8364" s="1"/>
  <c r="CQ377" i="8364" s="1"/>
  <c r="CH373" i="8364"/>
  <c r="CH374" i="8364" s="1"/>
  <c r="CH375" i="8364" s="1"/>
  <c r="CH376" i="8364" s="1"/>
  <c r="CH377" i="8364" s="1"/>
  <c r="BB373" i="8364"/>
  <c r="BB374" i="8364" s="1"/>
  <c r="BB375" i="8364" s="1"/>
  <c r="BB376" i="8364" s="1"/>
  <c r="BB377" i="8364" s="1"/>
  <c r="BR373" i="8364"/>
  <c r="BR374" i="8364" s="1"/>
  <c r="BR375" i="8364" s="1"/>
  <c r="BR376" i="8364" s="1"/>
  <c r="BR377" i="8364" s="1"/>
  <c r="AM373" i="8364"/>
  <c r="AM374" i="8364" s="1"/>
  <c r="AM375" i="8364" s="1"/>
  <c r="AM376" i="8364" s="1"/>
  <c r="AM377" i="8364" s="1"/>
  <c r="BV373" i="8364"/>
  <c r="BV374" i="8364" s="1"/>
  <c r="BV375" i="8364" s="1"/>
  <c r="BV376" i="8364" s="1"/>
  <c r="BV377" i="8364" s="1"/>
  <c r="CI373" i="8364"/>
  <c r="CI374" i="8364" s="1"/>
  <c r="CI375" i="8364" s="1"/>
  <c r="CI376" i="8364" s="1"/>
  <c r="CI377" i="8364" s="1"/>
  <c r="CR373" i="8364"/>
  <c r="CR374" i="8364" s="1"/>
  <c r="CS374" i="8364" s="1"/>
  <c r="CT374" i="8364" s="1"/>
  <c r="CU374" i="8364" s="1"/>
  <c r="CV374" i="8364" s="1"/>
  <c r="CW374" i="8364" s="1"/>
  <c r="CX374" i="8364" s="1"/>
  <c r="CY374" i="8364" s="1"/>
  <c r="CZ374" i="8364" s="1"/>
  <c r="DA374" i="8364" s="1"/>
  <c r="DB374" i="8364" s="1"/>
  <c r="DC374" i="8364" s="1"/>
  <c r="DD374" i="8364" s="1"/>
  <c r="DE374" i="8364" s="1"/>
  <c r="DF374" i="8364" s="1"/>
  <c r="DG374" i="8364" s="1"/>
  <c r="DH374" i="8364" s="1"/>
  <c r="DI374" i="8364" s="1"/>
  <c r="DJ374" i="8364" s="1"/>
  <c r="DK374" i="8364" s="1"/>
  <c r="DL374" i="8364" s="1"/>
  <c r="DM374" i="8364" s="1"/>
  <c r="DN374" i="8364" s="1"/>
  <c r="DO374" i="8364" s="1"/>
  <c r="DP374" i="8364" s="1"/>
  <c r="DQ374" i="8364" s="1"/>
  <c r="DR374" i="8364" s="1"/>
  <c r="DS374" i="8364" s="1"/>
  <c r="DT374" i="8364" s="1"/>
  <c r="DU374" i="8364" s="1"/>
  <c r="AR373" i="8364"/>
  <c r="AR374" i="8364" s="1"/>
  <c r="AR375" i="8364" s="1"/>
  <c r="AR376" i="8364" s="1"/>
  <c r="AR377" i="8364" s="1"/>
  <c r="AX373" i="8364"/>
  <c r="AX374" i="8364" s="1"/>
  <c r="AX375" i="8364" s="1"/>
  <c r="AX376" i="8364" s="1"/>
  <c r="AX377" i="8364" s="1"/>
  <c r="AA35" i="4"/>
  <c r="Z59" i="4"/>
  <c r="Z76" i="4" s="1"/>
  <c r="AG78" i="4"/>
  <c r="AX74" i="2"/>
  <c r="AE40" i="1" s="1"/>
  <c r="S155" i="8194"/>
  <c r="S157" i="8194" s="1"/>
  <c r="BQ78" i="4"/>
  <c r="BA155" i="8194"/>
  <c r="BA157" i="8194" s="1"/>
  <c r="AX108" i="2"/>
  <c r="AE74" i="1" s="1"/>
  <c r="AX102" i="2"/>
  <c r="AE68" i="1" s="1"/>
  <c r="AU155" i="8194"/>
  <c r="AU157" i="8194" s="1"/>
  <c r="BI78" i="4"/>
  <c r="O46" i="50872"/>
  <c r="Q28" i="50872"/>
  <c r="S46" i="50872"/>
  <c r="O37" i="50872"/>
  <c r="Q37" i="50872"/>
  <c r="O28" i="50872"/>
  <c r="Z38" i="4"/>
  <c r="M68" i="4"/>
  <c r="M72" i="4" s="1"/>
  <c r="R18" i="50872"/>
  <c r="N18" i="50872"/>
  <c r="P17" i="50872"/>
  <c r="P8" i="50872" s="1"/>
  <c r="P9" i="50872" s="1"/>
  <c r="AO5" i="50872"/>
  <c r="AN5" i="50872"/>
  <c r="X22" i="2"/>
  <c r="O17" i="50872"/>
  <c r="O8" i="50872" s="1"/>
  <c r="O9" i="50872" s="1"/>
  <c r="T5" i="50873"/>
  <c r="T7" i="50873" s="1"/>
  <c r="AK6" i="50872"/>
  <c r="AK7" i="50872" s="1"/>
  <c r="AL5" i="50872"/>
  <c r="Q17" i="50872"/>
  <c r="Q8" i="50872" s="1"/>
  <c r="Q9" i="50872" s="1"/>
  <c r="N17" i="50872"/>
  <c r="N8" i="50872" s="1"/>
  <c r="N22" i="50872" s="1"/>
  <c r="Q18" i="50872"/>
  <c r="F63" i="50872"/>
  <c r="L42" i="3"/>
  <c r="R17" i="50872"/>
  <c r="R8" i="50872" s="1"/>
  <c r="R9" i="50872" s="1"/>
  <c r="P18" i="50872"/>
  <c r="E63" i="50872"/>
  <c r="S22" i="50872"/>
  <c r="U51" i="2" s="1"/>
  <c r="E61" i="50872"/>
  <c r="S23" i="50872"/>
  <c r="L43" i="3" s="1"/>
  <c r="I62" i="50873"/>
  <c r="L60" i="50873"/>
  <c r="O18" i="50872"/>
  <c r="S20" i="50872"/>
  <c r="U50" i="2" s="1"/>
  <c r="X64" i="50872"/>
  <c r="B21" i="8194"/>
  <c r="B22" i="8194"/>
  <c r="Y78" i="50872"/>
  <c r="B57" i="50873"/>
  <c r="B54" i="3"/>
  <c r="H57" i="50873"/>
  <c r="G54" i="3"/>
  <c r="G57" i="50873"/>
  <c r="F54" i="3"/>
  <c r="Y89" i="50872"/>
  <c r="AB89" i="50872" s="1"/>
  <c r="AC89" i="50872" s="1"/>
  <c r="AB88" i="50872"/>
  <c r="AC88" i="50872" s="1"/>
  <c r="E54" i="3"/>
  <c r="F57" i="50873"/>
  <c r="AM69" i="4"/>
  <c r="P231" i="8194"/>
  <c r="P232" i="8194"/>
  <c r="P233" i="8194" s="1"/>
  <c r="AE375" i="8364" l="1"/>
  <c r="AE376" i="8364" s="1"/>
  <c r="O34" i="3"/>
  <c r="R34" i="3"/>
  <c r="P34" i="3"/>
  <c r="E22" i="3"/>
  <c r="AK77" i="4"/>
  <c r="V156" i="8194" s="1"/>
  <c r="U17" i="2"/>
  <c r="U19" i="2"/>
  <c r="U18" i="2"/>
  <c r="Y24" i="2"/>
  <c r="AC24" i="2"/>
  <c r="K16" i="1"/>
  <c r="G30" i="4"/>
  <c r="B119" i="8194"/>
  <c r="B121" i="8194" s="1"/>
  <c r="I122" i="8194" s="1"/>
  <c r="I126" i="8194" s="1"/>
  <c r="I127" i="8194" s="1"/>
  <c r="I128" i="8194" s="1"/>
  <c r="B4" i="2"/>
  <c r="Q151" i="8194"/>
  <c r="AN151" i="8194"/>
  <c r="AT151" i="8194"/>
  <c r="AE132" i="8194"/>
  <c r="AE165" i="8194" s="1"/>
  <c r="H151" i="8194"/>
  <c r="AY132" i="8194"/>
  <c r="AY165" i="8194" s="1"/>
  <c r="AS132" i="8194"/>
  <c r="AS165" i="8194" s="1"/>
  <c r="BF151" i="8194"/>
  <c r="BE132" i="8194"/>
  <c r="BE165" i="8194" s="1"/>
  <c r="BF132" i="8194"/>
  <c r="BF165" i="8194" s="1"/>
  <c r="X151" i="8194"/>
  <c r="BN132" i="8194"/>
  <c r="BN165" i="8194" s="1"/>
  <c r="AS151" i="8194"/>
  <c r="BR132" i="8194"/>
  <c r="BR165" i="8194" s="1"/>
  <c r="E151" i="8194"/>
  <c r="BR151" i="8194"/>
  <c r="N132" i="8194"/>
  <c r="N165" i="8194" s="1"/>
  <c r="BD151" i="8194"/>
  <c r="AB132" i="8194"/>
  <c r="AB165" i="8194" s="1"/>
  <c r="AQ132" i="8194"/>
  <c r="AQ165" i="8194" s="1"/>
  <c r="BE151" i="8194"/>
  <c r="S132" i="8194"/>
  <c r="S165" i="8194" s="1"/>
  <c r="K151" i="8194"/>
  <c r="BH151" i="8194"/>
  <c r="L151" i="8194"/>
  <c r="BM132" i="8194"/>
  <c r="BM165" i="8194" s="1"/>
  <c r="F132" i="8194"/>
  <c r="F165" i="8194" s="1"/>
  <c r="AK132" i="8194"/>
  <c r="AK165" i="8194" s="1"/>
  <c r="W132" i="8194"/>
  <c r="W165" i="8194" s="1"/>
  <c r="O132" i="8194"/>
  <c r="O165" i="8194" s="1"/>
  <c r="BB151" i="8194"/>
  <c r="AO151" i="8194"/>
  <c r="Z132" i="8194"/>
  <c r="Z165" i="8194" s="1"/>
  <c r="AK151" i="8194"/>
  <c r="AI132" i="8194"/>
  <c r="AI165" i="8194" s="1"/>
  <c r="N151" i="8194"/>
  <c r="AJ132" i="8194"/>
  <c r="AJ165" i="8194" s="1"/>
  <c r="O151" i="8194"/>
  <c r="I132" i="8194"/>
  <c r="I165" i="8194" s="1"/>
  <c r="Z151" i="8194"/>
  <c r="AT132" i="8194"/>
  <c r="AT165" i="8194" s="1"/>
  <c r="W151" i="8194"/>
  <c r="AF132" i="8194"/>
  <c r="AF165" i="8194" s="1"/>
  <c r="AW132" i="8194"/>
  <c r="AW165" i="8194" s="1"/>
  <c r="AZ132" i="8194"/>
  <c r="AZ165" i="8194" s="1"/>
  <c r="AD151" i="8194"/>
  <c r="AG151" i="8194"/>
  <c r="AR132" i="8194"/>
  <c r="AR165" i="8194" s="1"/>
  <c r="AL132" i="8194"/>
  <c r="AL165" i="8194" s="1"/>
  <c r="BQ151" i="8194"/>
  <c r="BN151" i="8194"/>
  <c r="U132" i="8194"/>
  <c r="U165" i="8194" s="1"/>
  <c r="BA151" i="8194"/>
  <c r="H132" i="8194"/>
  <c r="H165" i="8194" s="1"/>
  <c r="S151" i="8194"/>
  <c r="R151" i="8194"/>
  <c r="G151" i="8194"/>
  <c r="AU151" i="8194"/>
  <c r="AY151" i="8194"/>
  <c r="AN132" i="8194"/>
  <c r="AN165" i="8194" s="1"/>
  <c r="AI151" i="8194"/>
  <c r="P132" i="8194"/>
  <c r="P165" i="8194" s="1"/>
  <c r="AD132" i="8194"/>
  <c r="AD165" i="8194" s="1"/>
  <c r="Y151" i="8194"/>
  <c r="T132" i="8194"/>
  <c r="T165" i="8194" s="1"/>
  <c r="BC132" i="8194"/>
  <c r="BC165" i="8194" s="1"/>
  <c r="BP132" i="8194"/>
  <c r="BP165" i="8194" s="1"/>
  <c r="Q132" i="8194"/>
  <c r="Q165" i="8194" s="1"/>
  <c r="BO132" i="8194"/>
  <c r="BO165" i="8194" s="1"/>
  <c r="F151" i="8194"/>
  <c r="M132" i="8194"/>
  <c r="M165" i="8194" s="1"/>
  <c r="U151" i="8194"/>
  <c r="BK151" i="8194"/>
  <c r="V151" i="8194"/>
  <c r="AX151" i="8194"/>
  <c r="AL151" i="8194"/>
  <c r="R132" i="8194"/>
  <c r="R165" i="8194" s="1"/>
  <c r="AH132" i="8194"/>
  <c r="AH165" i="8194" s="1"/>
  <c r="BH132" i="8194"/>
  <c r="BH165" i="8194" s="1"/>
  <c r="P151" i="8194"/>
  <c r="AM151" i="8194"/>
  <c r="AA151" i="8194"/>
  <c r="I151" i="8194"/>
  <c r="BB132" i="8194"/>
  <c r="BB165" i="8194" s="1"/>
  <c r="BD132" i="8194"/>
  <c r="BD165" i="8194" s="1"/>
  <c r="AC132" i="8194"/>
  <c r="AC165" i="8194" s="1"/>
  <c r="AH151" i="8194"/>
  <c r="J151" i="8194"/>
  <c r="BL151" i="8194"/>
  <c r="BC151" i="8194"/>
  <c r="BJ132" i="8194"/>
  <c r="BJ165" i="8194" s="1"/>
  <c r="BG151" i="8194"/>
  <c r="BL132" i="8194"/>
  <c r="BL165" i="8194" s="1"/>
  <c r="X132" i="8194"/>
  <c r="X165" i="8194" s="1"/>
  <c r="BK132" i="8194"/>
  <c r="BK165" i="8194" s="1"/>
  <c r="BI132" i="8194"/>
  <c r="BI165" i="8194" s="1"/>
  <c r="BP151" i="8194"/>
  <c r="K132" i="8194"/>
  <c r="K165" i="8194" s="1"/>
  <c r="BG132" i="8194"/>
  <c r="BG165" i="8194" s="1"/>
  <c r="V132" i="8194"/>
  <c r="V165" i="8194" s="1"/>
  <c r="J132" i="8194"/>
  <c r="J165" i="8194" s="1"/>
  <c r="AC151" i="8194"/>
  <c r="AP132" i="8194"/>
  <c r="AP165" i="8194" s="1"/>
  <c r="L132" i="8194"/>
  <c r="L165" i="8194" s="1"/>
  <c r="BJ151" i="8194"/>
  <c r="AA132" i="8194"/>
  <c r="AA165" i="8194" s="1"/>
  <c r="AF151" i="8194"/>
  <c r="G132" i="8194"/>
  <c r="G165" i="8194" s="1"/>
  <c r="T151" i="8194"/>
  <c r="AR151" i="8194"/>
  <c r="AG132" i="8194"/>
  <c r="AG165" i="8194" s="1"/>
  <c r="AU132" i="8194"/>
  <c r="AU165" i="8194" s="1"/>
  <c r="AV151" i="8194"/>
  <c r="AM132" i="8194"/>
  <c r="AM165" i="8194" s="1"/>
  <c r="AJ151" i="8194"/>
  <c r="AV132" i="8194"/>
  <c r="AV165" i="8194" s="1"/>
  <c r="M151" i="8194"/>
  <c r="AX132" i="8194"/>
  <c r="AX165" i="8194" s="1"/>
  <c r="AZ151" i="8194"/>
  <c r="BQ132" i="8194"/>
  <c r="BQ165" i="8194" s="1"/>
  <c r="AQ151" i="8194"/>
  <c r="BO151" i="8194"/>
  <c r="AP151" i="8194"/>
  <c r="E132" i="8194"/>
  <c r="AB151" i="8194"/>
  <c r="AW151" i="8194"/>
  <c r="BI151" i="8194"/>
  <c r="BM151" i="8194"/>
  <c r="AE151" i="8194"/>
  <c r="Y132" i="8194"/>
  <c r="Y165" i="8194" s="1"/>
  <c r="AO132" i="8194"/>
  <c r="AO165" i="8194" s="1"/>
  <c r="BA132" i="8194"/>
  <c r="BA165" i="8194" s="1"/>
  <c r="K59" i="3"/>
  <c r="T6" i="50873"/>
  <c r="V19" i="2"/>
  <c r="H59" i="2"/>
  <c r="F55" i="3"/>
  <c r="H55" i="3" s="1"/>
  <c r="V17" i="2"/>
  <c r="AH24" i="2"/>
  <c r="Z71" i="50872"/>
  <c r="AB71" i="50872" s="1"/>
  <c r="AC71" i="50872" s="1"/>
  <c r="Z76" i="50872"/>
  <c r="AB76" i="50872" s="1"/>
  <c r="AC76" i="50872" s="1"/>
  <c r="Z74" i="50872"/>
  <c r="AB74" i="50872" s="1"/>
  <c r="AC74" i="50872" s="1"/>
  <c r="Z61" i="50872"/>
  <c r="AB61" i="50872" s="1"/>
  <c r="AC61" i="50872" s="1"/>
  <c r="Z79" i="50872"/>
  <c r="Z67" i="50872"/>
  <c r="Z77" i="50872"/>
  <c r="AB77" i="50872" s="1"/>
  <c r="AC77" i="50872" s="1"/>
  <c r="Z62" i="50872"/>
  <c r="AB62" i="50872" s="1"/>
  <c r="AC62" i="50872" s="1"/>
  <c r="Z64" i="50872"/>
  <c r="AB64" i="50872" s="1"/>
  <c r="AC64" i="50872" s="1"/>
  <c r="Z72" i="50872"/>
  <c r="AB72" i="50872" s="1"/>
  <c r="AC72" i="50872" s="1"/>
  <c r="Z80" i="50872"/>
  <c r="AB80" i="50872" s="1"/>
  <c r="AC80" i="50872" s="1"/>
  <c r="Z78" i="50872"/>
  <c r="AB78" i="50872" s="1"/>
  <c r="AC78" i="50872" s="1"/>
  <c r="Z58" i="50872"/>
  <c r="Z65" i="50872"/>
  <c r="Z69" i="50872"/>
  <c r="Z75" i="50872"/>
  <c r="AB75" i="50872" s="1"/>
  <c r="AC75" i="50872" s="1"/>
  <c r="Z70" i="50872"/>
  <c r="AB70" i="50872" s="1"/>
  <c r="AC70" i="50872" s="1"/>
  <c r="Z68" i="50872"/>
  <c r="Z66" i="50872"/>
  <c r="Z60" i="50872"/>
  <c r="AB60" i="50872" s="1"/>
  <c r="AC60" i="50872" s="1"/>
  <c r="BG70" i="2"/>
  <c r="BG71" i="2"/>
  <c r="Y23" i="3"/>
  <c r="BH70" i="2"/>
  <c r="BH71" i="2"/>
  <c r="Y24" i="3"/>
  <c r="BH66" i="2"/>
  <c r="H30" i="4"/>
  <c r="J30" i="4"/>
  <c r="E30" i="4"/>
  <c r="B31" i="4"/>
  <c r="AB5" i="4" s="1"/>
  <c r="B34" i="4"/>
  <c r="CD7" i="4" s="1"/>
  <c r="F30" i="4"/>
  <c r="D30" i="4"/>
  <c r="I30" i="4"/>
  <c r="AD374" i="8364"/>
  <c r="AC374" i="8364" s="1"/>
  <c r="AB374" i="8364" s="1"/>
  <c r="AA374" i="8364" s="1"/>
  <c r="Z374" i="8364" s="1"/>
  <c r="Y374" i="8364" s="1"/>
  <c r="X374" i="8364" s="1"/>
  <c r="W374" i="8364" s="1"/>
  <c r="V374" i="8364" s="1"/>
  <c r="U374" i="8364" s="1"/>
  <c r="T374" i="8364" s="1"/>
  <c r="S374" i="8364" s="1"/>
  <c r="R374" i="8364" s="1"/>
  <c r="Q374" i="8364" s="1"/>
  <c r="P374" i="8364" s="1"/>
  <c r="O374" i="8364" s="1"/>
  <c r="N374" i="8364" s="1"/>
  <c r="M374" i="8364" s="1"/>
  <c r="L374" i="8364" s="1"/>
  <c r="K374" i="8364" s="1"/>
  <c r="J374" i="8364" s="1"/>
  <c r="I374" i="8364" s="1"/>
  <c r="H374" i="8364" s="1"/>
  <c r="G374" i="8364" s="1"/>
  <c r="F374" i="8364" s="1"/>
  <c r="E374" i="8364" s="1"/>
  <c r="D374" i="8364" s="1"/>
  <c r="C374" i="8364" s="1"/>
  <c r="B374" i="8364" s="1"/>
  <c r="CR375" i="8364"/>
  <c r="CR376" i="8364" s="1"/>
  <c r="CR377" i="8364" s="1"/>
  <c r="BF380" i="8364"/>
  <c r="BF358" i="8364" s="1"/>
  <c r="AB380" i="8364"/>
  <c r="AB358" i="8364" s="1"/>
  <c r="J379" i="8364"/>
  <c r="BJ380" i="8364"/>
  <c r="BJ358" i="8364" s="1"/>
  <c r="B380" i="8364"/>
  <c r="B358" i="8364" s="1"/>
  <c r="R380" i="8364"/>
  <c r="R358" i="8364" s="1"/>
  <c r="BI379" i="8364"/>
  <c r="D380" i="8364"/>
  <c r="D358" i="8364" s="1"/>
  <c r="X379" i="8364"/>
  <c r="BE379" i="8364"/>
  <c r="S380" i="8364"/>
  <c r="S358" i="8364" s="1"/>
  <c r="AH380" i="8364"/>
  <c r="AH358" i="8364" s="1"/>
  <c r="C380" i="8364"/>
  <c r="C358" i="8364" s="1"/>
  <c r="AI379" i="8364"/>
  <c r="L379" i="8364"/>
  <c r="BD380" i="8364"/>
  <c r="BD358" i="8364" s="1"/>
  <c r="AS380" i="8364"/>
  <c r="AS358" i="8364" s="1"/>
  <c r="AS379" i="8364"/>
  <c r="AH379" i="8364"/>
  <c r="BL380" i="8364"/>
  <c r="BL358" i="8364" s="1"/>
  <c r="O380" i="8364"/>
  <c r="O358" i="8364" s="1"/>
  <c r="AB379" i="8364"/>
  <c r="BL379" i="8364"/>
  <c r="E379" i="8364"/>
  <c r="G379" i="8364"/>
  <c r="AV379" i="8364"/>
  <c r="AU379" i="8364"/>
  <c r="W379" i="8364"/>
  <c r="AP380" i="8364"/>
  <c r="AP358" i="8364" s="1"/>
  <c r="I380" i="8364"/>
  <c r="I358" i="8364" s="1"/>
  <c r="N380" i="8364"/>
  <c r="N358" i="8364" s="1"/>
  <c r="AE379" i="8364"/>
  <c r="D379" i="8364"/>
  <c r="L380" i="8364"/>
  <c r="L358" i="8364" s="1"/>
  <c r="BK380" i="8364"/>
  <c r="BK358" i="8364" s="1"/>
  <c r="P380" i="8364"/>
  <c r="P358" i="8364" s="1"/>
  <c r="AF379" i="8364"/>
  <c r="BH379" i="8364"/>
  <c r="AD379" i="8364"/>
  <c r="AG379" i="8364"/>
  <c r="AY379" i="8364"/>
  <c r="T380" i="8364"/>
  <c r="T358" i="8364" s="1"/>
  <c r="P379" i="8364"/>
  <c r="AY380" i="8364"/>
  <c r="AY358" i="8364" s="1"/>
  <c r="C379" i="8364"/>
  <c r="N379" i="8364"/>
  <c r="Q379" i="8364"/>
  <c r="U380" i="8364"/>
  <c r="U358" i="8364" s="1"/>
  <c r="AN380" i="8364"/>
  <c r="AN358" i="8364" s="1"/>
  <c r="AP379" i="8364"/>
  <c r="U379" i="8364"/>
  <c r="BO380" i="8364"/>
  <c r="BO358" i="8364" s="1"/>
  <c r="Y379" i="8364"/>
  <c r="BF379" i="8364"/>
  <c r="AW379" i="8364"/>
  <c r="AR379" i="8364"/>
  <c r="I379" i="8364"/>
  <c r="J380" i="8364"/>
  <c r="J358" i="8364" s="1"/>
  <c r="F380" i="8364"/>
  <c r="F358" i="8364" s="1"/>
  <c r="AC379" i="8364"/>
  <c r="BO379" i="8364"/>
  <c r="BC379" i="8364"/>
  <c r="AT380" i="8364"/>
  <c r="AT358" i="8364" s="1"/>
  <c r="AM380" i="8364"/>
  <c r="AM358" i="8364" s="1"/>
  <c r="BD379" i="8364"/>
  <c r="AQ379" i="8364"/>
  <c r="AM379" i="8364"/>
  <c r="AN379" i="8364"/>
  <c r="AD380" i="8364"/>
  <c r="AD358" i="8364" s="1"/>
  <c r="W380" i="8364"/>
  <c r="W358" i="8364" s="1"/>
  <c r="AX380" i="8364"/>
  <c r="AX358" i="8364" s="1"/>
  <c r="B379" i="8364"/>
  <c r="X380" i="8364"/>
  <c r="X358" i="8364" s="1"/>
  <c r="V380" i="8364"/>
  <c r="V358" i="8364" s="1"/>
  <c r="M379" i="8364"/>
  <c r="AK380" i="8364"/>
  <c r="AK358" i="8364" s="1"/>
  <c r="AO379" i="8364"/>
  <c r="AI380" i="8364"/>
  <c r="AI358" i="8364" s="1"/>
  <c r="K379" i="8364"/>
  <c r="BH380" i="8364"/>
  <c r="BH358" i="8364" s="1"/>
  <c r="BJ379" i="8364"/>
  <c r="F379" i="8364"/>
  <c r="AU380" i="8364"/>
  <c r="AU358" i="8364" s="1"/>
  <c r="H380" i="8364"/>
  <c r="H358" i="8364" s="1"/>
  <c r="BC380" i="8364"/>
  <c r="BC358" i="8364" s="1"/>
  <c r="E380" i="8364"/>
  <c r="E358" i="8364" s="1"/>
  <c r="AC380" i="8364"/>
  <c r="AC358" i="8364" s="1"/>
  <c r="AT379" i="8364"/>
  <c r="AR380" i="8364"/>
  <c r="AR358" i="8364" s="1"/>
  <c r="G380" i="8364"/>
  <c r="G358" i="8364" s="1"/>
  <c r="BN380" i="8364"/>
  <c r="BN358" i="8364" s="1"/>
  <c r="BA380" i="8364"/>
  <c r="BA358" i="8364" s="1"/>
  <c r="AX379" i="8364"/>
  <c r="AW380" i="8364"/>
  <c r="AW358" i="8364" s="1"/>
  <c r="R379" i="8364"/>
  <c r="Z379" i="8364"/>
  <c r="BA379" i="8364"/>
  <c r="T379" i="8364"/>
  <c r="Z380" i="8364"/>
  <c r="Z358" i="8364" s="1"/>
  <c r="AA380" i="8364"/>
  <c r="AA358" i="8364" s="1"/>
  <c r="AK379" i="8364"/>
  <c r="AZ380" i="8364"/>
  <c r="AZ358" i="8364" s="1"/>
  <c r="Q380" i="8364"/>
  <c r="Q358" i="8364" s="1"/>
  <c r="S379" i="8364"/>
  <c r="AV380" i="8364"/>
  <c r="AV358" i="8364" s="1"/>
  <c r="BE380" i="8364"/>
  <c r="BE358" i="8364" s="1"/>
  <c r="AJ379" i="8364"/>
  <c r="H379" i="8364"/>
  <c r="BB379" i="8364"/>
  <c r="BI380" i="8364"/>
  <c r="BI358" i="8364" s="1"/>
  <c r="AQ380" i="8364"/>
  <c r="AQ358" i="8364" s="1"/>
  <c r="BK379" i="8364"/>
  <c r="AJ380" i="8364"/>
  <c r="AJ358" i="8364" s="1"/>
  <c r="BG379" i="8364"/>
  <c r="K380" i="8364"/>
  <c r="K358" i="8364" s="1"/>
  <c r="AG380" i="8364"/>
  <c r="AG358" i="8364" s="1"/>
  <c r="AO380" i="8364"/>
  <c r="AO358" i="8364" s="1"/>
  <c r="M380" i="8364"/>
  <c r="M358" i="8364" s="1"/>
  <c r="V379" i="8364"/>
  <c r="O379" i="8364"/>
  <c r="AF380" i="8364"/>
  <c r="AF358" i="8364" s="1"/>
  <c r="BG380" i="8364"/>
  <c r="BG358" i="8364" s="1"/>
  <c r="BM380" i="8364"/>
  <c r="BM358" i="8364" s="1"/>
  <c r="AE380" i="8364"/>
  <c r="AE358" i="8364" s="1"/>
  <c r="BN379" i="8364"/>
  <c r="AZ379" i="8364"/>
  <c r="BM379" i="8364"/>
  <c r="AA379" i="8364"/>
  <c r="AL379" i="8364"/>
  <c r="AL380" i="8364"/>
  <c r="AL358" i="8364" s="1"/>
  <c r="BB380" i="8364"/>
  <c r="BB358" i="8364" s="1"/>
  <c r="Y380" i="8364"/>
  <c r="Y358" i="8364" s="1"/>
  <c r="AB35" i="4"/>
  <c r="AA59" i="4"/>
  <c r="AA76" i="4" s="1"/>
  <c r="AX73" i="2"/>
  <c r="AE39" i="1" s="1"/>
  <c r="R155" i="8194"/>
  <c r="R157" i="8194" s="1"/>
  <c r="AF78" i="4"/>
  <c r="AX109" i="2"/>
  <c r="AE75" i="1" s="1"/>
  <c r="BR78" i="4"/>
  <c r="BB155" i="8194"/>
  <c r="BB157" i="8194" s="1"/>
  <c r="BH78" i="4"/>
  <c r="AT155" i="8194"/>
  <c r="AT157" i="8194" s="1"/>
  <c r="AX101" i="2"/>
  <c r="AE67" i="1" s="1"/>
  <c r="R49" i="50872"/>
  <c r="P40" i="50872"/>
  <c r="AA38" i="4"/>
  <c r="AA39" i="4" s="1"/>
  <c r="U53" i="2"/>
  <c r="AM6" i="50872"/>
  <c r="AN6" i="50872"/>
  <c r="O23" i="50872"/>
  <c r="O21" i="50872"/>
  <c r="N9" i="50872"/>
  <c r="T9" i="50872" s="1"/>
  <c r="P21" i="50872"/>
  <c r="P20" i="50872"/>
  <c r="R20" i="50872"/>
  <c r="R22" i="50872"/>
  <c r="N21" i="50872"/>
  <c r="P23" i="50872"/>
  <c r="Q22" i="50872"/>
  <c r="R23" i="50872"/>
  <c r="Q20" i="50872"/>
  <c r="R21" i="50872"/>
  <c r="N20" i="50872"/>
  <c r="P22" i="50872"/>
  <c r="Q21" i="50872"/>
  <c r="O20" i="50872"/>
  <c r="Q23" i="50872"/>
  <c r="N23" i="50872"/>
  <c r="X65" i="50872"/>
  <c r="X66" i="50872" s="1"/>
  <c r="O22" i="50872"/>
  <c r="AO6" i="50872"/>
  <c r="Q29" i="50872"/>
  <c r="AL6" i="50872"/>
  <c r="Q40" i="50872"/>
  <c r="L40" i="3"/>
  <c r="L41" i="3"/>
  <c r="S48" i="50872"/>
  <c r="S49" i="50872"/>
  <c r="S47" i="50872"/>
  <c r="AK8" i="50872"/>
  <c r="AM7" i="50872"/>
  <c r="AO7" i="50872"/>
  <c r="AN7" i="50872"/>
  <c r="AL7" i="50872"/>
  <c r="T39" i="4"/>
  <c r="U39" i="4"/>
  <c r="V39" i="4"/>
  <c r="Z39" i="4"/>
  <c r="X39" i="4"/>
  <c r="W39" i="4"/>
  <c r="Y39" i="4"/>
  <c r="B37" i="8194"/>
  <c r="B40" i="8194"/>
  <c r="B36" i="8194"/>
  <c r="B23" i="8194"/>
  <c r="B39" i="8194"/>
  <c r="AN69" i="4"/>
  <c r="Y79" i="50872"/>
  <c r="P234" i="8194"/>
  <c r="P235" i="8194"/>
  <c r="P236" i="8194" s="1"/>
  <c r="AK62" i="4" l="1"/>
  <c r="AK43" i="4"/>
  <c r="AY77" i="2" s="1"/>
  <c r="AD43" i="1" s="1"/>
  <c r="U122" i="8194"/>
  <c r="U126" i="8194" s="1"/>
  <c r="U127" i="8194" s="1"/>
  <c r="U128" i="8194" s="1"/>
  <c r="U133" i="8194" s="1"/>
  <c r="U136" i="8194" s="1"/>
  <c r="U137" i="8194" s="1"/>
  <c r="U143" i="8194" s="1"/>
  <c r="AV122" i="8194"/>
  <c r="AV126" i="8194" s="1"/>
  <c r="AV127" i="8194" s="1"/>
  <c r="AV128" i="8194" s="1"/>
  <c r="AW122" i="8194"/>
  <c r="AW126" i="8194" s="1"/>
  <c r="AW127" i="8194" s="1"/>
  <c r="AW128" i="8194" s="1"/>
  <c r="AL122" i="8194"/>
  <c r="AL126" i="8194" s="1"/>
  <c r="AL127" i="8194" s="1"/>
  <c r="AL128" i="8194" s="1"/>
  <c r="H122" i="8194"/>
  <c r="H126" i="8194" s="1"/>
  <c r="H127" i="8194" s="1"/>
  <c r="H128" i="8194" s="1"/>
  <c r="AG122" i="8194"/>
  <c r="AG126" i="8194" s="1"/>
  <c r="AG127" i="8194" s="1"/>
  <c r="AG128" i="8194" s="1"/>
  <c r="Z122" i="8194"/>
  <c r="Z126" i="8194" s="1"/>
  <c r="Z127" i="8194" s="1"/>
  <c r="Z128" i="8194" s="1"/>
  <c r="Z133" i="8194" s="1"/>
  <c r="Z136" i="8194" s="1"/>
  <c r="Z137" i="8194" s="1"/>
  <c r="Z143" i="8194" s="1"/>
  <c r="AS122" i="8194"/>
  <c r="AS126" i="8194" s="1"/>
  <c r="AS127" i="8194" s="1"/>
  <c r="AS128" i="8194" s="1"/>
  <c r="AS133" i="8194" s="1"/>
  <c r="AS136" i="8194" s="1"/>
  <c r="AS137" i="8194" s="1"/>
  <c r="AS138" i="8194" s="1"/>
  <c r="F122" i="8194"/>
  <c r="F126" i="8194" s="1"/>
  <c r="F127" i="8194" s="1"/>
  <c r="F128" i="8194" s="1"/>
  <c r="F133" i="8194" s="1"/>
  <c r="F136" i="8194" s="1"/>
  <c r="F137" i="8194" s="1"/>
  <c r="F143" i="8194" s="1"/>
  <c r="BC122" i="8194"/>
  <c r="BC126" i="8194" s="1"/>
  <c r="BC127" i="8194" s="1"/>
  <c r="BC128" i="8194" s="1"/>
  <c r="BO122" i="8194"/>
  <c r="BO126" i="8194" s="1"/>
  <c r="BO127" i="8194" s="1"/>
  <c r="BO128" i="8194" s="1"/>
  <c r="AH122" i="8194"/>
  <c r="AH126" i="8194" s="1"/>
  <c r="AH127" i="8194" s="1"/>
  <c r="AH128" i="8194" s="1"/>
  <c r="AU122" i="8194"/>
  <c r="AU126" i="8194" s="1"/>
  <c r="AU127" i="8194" s="1"/>
  <c r="AU128" i="8194" s="1"/>
  <c r="AJ122" i="8194"/>
  <c r="AJ126" i="8194" s="1"/>
  <c r="AJ127" i="8194" s="1"/>
  <c r="AJ128" i="8194" s="1"/>
  <c r="AJ133" i="8194" s="1"/>
  <c r="AJ136" i="8194" s="1"/>
  <c r="AJ137" i="8194" s="1"/>
  <c r="AJ138" i="8194" s="1"/>
  <c r="BA122" i="8194"/>
  <c r="BA126" i="8194" s="1"/>
  <c r="BA127" i="8194" s="1"/>
  <c r="BA128" i="8194" s="1"/>
  <c r="BA133" i="8194" s="1"/>
  <c r="BA136" i="8194" s="1"/>
  <c r="BA137" i="8194" s="1"/>
  <c r="BA138" i="8194" s="1"/>
  <c r="G122" i="8194"/>
  <c r="G126" i="8194" s="1"/>
  <c r="G127" i="8194" s="1"/>
  <c r="G128" i="8194" s="1"/>
  <c r="G133" i="8194" s="1"/>
  <c r="G136" i="8194" s="1"/>
  <c r="G137" i="8194" s="1"/>
  <c r="G143" i="8194" s="1"/>
  <c r="R122" i="8194"/>
  <c r="R126" i="8194" s="1"/>
  <c r="R127" i="8194" s="1"/>
  <c r="R128" i="8194" s="1"/>
  <c r="R133" i="8194" s="1"/>
  <c r="R136" i="8194" s="1"/>
  <c r="R137" i="8194" s="1"/>
  <c r="R143" i="8194" s="1"/>
  <c r="AC122" i="8194"/>
  <c r="AC126" i="8194" s="1"/>
  <c r="AC127" i="8194" s="1"/>
  <c r="AC128" i="8194" s="1"/>
  <c r="AP122" i="8194"/>
  <c r="AP126" i="8194" s="1"/>
  <c r="AP127" i="8194" s="1"/>
  <c r="AP128" i="8194" s="1"/>
  <c r="J122" i="8194"/>
  <c r="J126" i="8194" s="1"/>
  <c r="J127" i="8194" s="1"/>
  <c r="J128" i="8194" s="1"/>
  <c r="J133" i="8194" s="1"/>
  <c r="J136" i="8194" s="1"/>
  <c r="J137" i="8194" s="1"/>
  <c r="J143" i="8194" s="1"/>
  <c r="AO122" i="8194"/>
  <c r="AO126" i="8194" s="1"/>
  <c r="AO127" i="8194" s="1"/>
  <c r="AO128" i="8194" s="1"/>
  <c r="L122" i="8194"/>
  <c r="L126" i="8194" s="1"/>
  <c r="L127" i="8194" s="1"/>
  <c r="L128" i="8194" s="1"/>
  <c r="L133" i="8194" s="1"/>
  <c r="L136" i="8194" s="1"/>
  <c r="L137" i="8194" s="1"/>
  <c r="L143" i="8194" s="1"/>
  <c r="X122" i="8194"/>
  <c r="X126" i="8194" s="1"/>
  <c r="X127" i="8194" s="1"/>
  <c r="X128" i="8194" s="1"/>
  <c r="X133" i="8194" s="1"/>
  <c r="X136" i="8194" s="1"/>
  <c r="X137" i="8194" s="1"/>
  <c r="X143" i="8194" s="1"/>
  <c r="BI122" i="8194"/>
  <c r="BI126" i="8194" s="1"/>
  <c r="BI127" i="8194" s="1"/>
  <c r="BI128" i="8194" s="1"/>
  <c r="BI133" i="8194" s="1"/>
  <c r="BI136" i="8194" s="1"/>
  <c r="BI137" i="8194" s="1"/>
  <c r="BI138" i="8194" s="1"/>
  <c r="Q122" i="8194"/>
  <c r="Q126" i="8194" s="1"/>
  <c r="Q127" i="8194" s="1"/>
  <c r="Q128" i="8194" s="1"/>
  <c r="Q133" i="8194" s="1"/>
  <c r="Q136" i="8194" s="1"/>
  <c r="Q137" i="8194" s="1"/>
  <c r="Q143" i="8194" s="1"/>
  <c r="T122" i="8194"/>
  <c r="T126" i="8194" s="1"/>
  <c r="T127" i="8194" s="1"/>
  <c r="T128" i="8194" s="1"/>
  <c r="BP122" i="8194"/>
  <c r="BP126" i="8194" s="1"/>
  <c r="BP127" i="8194" s="1"/>
  <c r="BP128" i="8194" s="1"/>
  <c r="Y122" i="8194"/>
  <c r="Y126" i="8194" s="1"/>
  <c r="Y127" i="8194" s="1"/>
  <c r="Y128" i="8194" s="1"/>
  <c r="Y133" i="8194" s="1"/>
  <c r="Y136" i="8194" s="1"/>
  <c r="Y137" i="8194" s="1"/>
  <c r="Y143" i="8194" s="1"/>
  <c r="BB122" i="8194"/>
  <c r="BB126" i="8194" s="1"/>
  <c r="BB127" i="8194" s="1"/>
  <c r="BB128" i="8194" s="1"/>
  <c r="N122" i="8194"/>
  <c r="N126" i="8194" s="1"/>
  <c r="N127" i="8194" s="1"/>
  <c r="N128" i="8194" s="1"/>
  <c r="N133" i="8194" s="1"/>
  <c r="N136" i="8194" s="1"/>
  <c r="N137" i="8194" s="1"/>
  <c r="N143" i="8194" s="1"/>
  <c r="AA122" i="8194"/>
  <c r="AA126" i="8194" s="1"/>
  <c r="AA127" i="8194" s="1"/>
  <c r="AA128" i="8194" s="1"/>
  <c r="AA133" i="8194" s="1"/>
  <c r="AA136" i="8194" s="1"/>
  <c r="AA137" i="8194" s="1"/>
  <c r="AA143" i="8194" s="1"/>
  <c r="BR122" i="8194"/>
  <c r="BR126" i="8194" s="1"/>
  <c r="BR127" i="8194" s="1"/>
  <c r="BR128" i="8194" s="1"/>
  <c r="BR133" i="8194" s="1"/>
  <c r="BR136" i="8194" s="1"/>
  <c r="BR137" i="8194" s="1"/>
  <c r="BR138" i="8194" s="1"/>
  <c r="AQ122" i="8194"/>
  <c r="AQ126" i="8194" s="1"/>
  <c r="AQ127" i="8194" s="1"/>
  <c r="AQ128" i="8194" s="1"/>
  <c r="AQ133" i="8194" s="1"/>
  <c r="AQ136" i="8194" s="1"/>
  <c r="AQ137" i="8194" s="1"/>
  <c r="AQ138" i="8194" s="1"/>
  <c r="BJ122" i="8194"/>
  <c r="BJ126" i="8194" s="1"/>
  <c r="BJ127" i="8194" s="1"/>
  <c r="BJ128" i="8194" s="1"/>
  <c r="AN122" i="8194"/>
  <c r="AN126" i="8194" s="1"/>
  <c r="AN127" i="8194" s="1"/>
  <c r="AN128" i="8194" s="1"/>
  <c r="BE122" i="8194"/>
  <c r="BE126" i="8194" s="1"/>
  <c r="BE127" i="8194" s="1"/>
  <c r="BE128" i="8194" s="1"/>
  <c r="AT122" i="8194"/>
  <c r="AT126" i="8194" s="1"/>
  <c r="AT127" i="8194" s="1"/>
  <c r="AT128" i="8194" s="1"/>
  <c r="BM122" i="8194"/>
  <c r="BM126" i="8194" s="1"/>
  <c r="BM127" i="8194" s="1"/>
  <c r="BM128" i="8194" s="1"/>
  <c r="BM133" i="8194" s="1"/>
  <c r="BM136" i="8194" s="1"/>
  <c r="BM137" i="8194" s="1"/>
  <c r="BM138" i="8194" s="1"/>
  <c r="M122" i="8194"/>
  <c r="M126" i="8194" s="1"/>
  <c r="M127" i="8194" s="1"/>
  <c r="M128" i="8194" s="1"/>
  <c r="M133" i="8194" s="1"/>
  <c r="M136" i="8194" s="1"/>
  <c r="M137" i="8194" s="1"/>
  <c r="M143" i="8194" s="1"/>
  <c r="AY122" i="8194"/>
  <c r="AY126" i="8194" s="1"/>
  <c r="AY127" i="8194" s="1"/>
  <c r="AY128" i="8194" s="1"/>
  <c r="AY133" i="8194" s="1"/>
  <c r="AY136" i="8194" s="1"/>
  <c r="AY137" i="8194" s="1"/>
  <c r="AY138" i="8194" s="1"/>
  <c r="S122" i="8194"/>
  <c r="S126" i="8194" s="1"/>
  <c r="S127" i="8194" s="1"/>
  <c r="S128" i="8194" s="1"/>
  <c r="S133" i="8194" s="1"/>
  <c r="S136" i="8194" s="1"/>
  <c r="S137" i="8194" s="1"/>
  <c r="S143" i="8194" s="1"/>
  <c r="BF122" i="8194"/>
  <c r="BF126" i="8194" s="1"/>
  <c r="BF127" i="8194" s="1"/>
  <c r="BF128" i="8194" s="1"/>
  <c r="AK122" i="8194"/>
  <c r="AK126" i="8194" s="1"/>
  <c r="AK127" i="8194" s="1"/>
  <c r="AK128" i="8194" s="1"/>
  <c r="AR122" i="8194"/>
  <c r="AR126" i="8194" s="1"/>
  <c r="AR127" i="8194" s="1"/>
  <c r="AR128" i="8194" s="1"/>
  <c r="O122" i="8194"/>
  <c r="O126" i="8194" s="1"/>
  <c r="O127" i="8194" s="1"/>
  <c r="O128" i="8194" s="1"/>
  <c r="O133" i="8194" s="1"/>
  <c r="O136" i="8194" s="1"/>
  <c r="O137" i="8194" s="1"/>
  <c r="O143" i="8194" s="1"/>
  <c r="BL122" i="8194"/>
  <c r="BL126" i="8194" s="1"/>
  <c r="BL127" i="8194" s="1"/>
  <c r="BL128" i="8194" s="1"/>
  <c r="BL133" i="8194" s="1"/>
  <c r="BL136" i="8194" s="1"/>
  <c r="BL137" i="8194" s="1"/>
  <c r="BL138" i="8194" s="1"/>
  <c r="AZ122" i="8194"/>
  <c r="AZ126" i="8194" s="1"/>
  <c r="AZ127" i="8194" s="1"/>
  <c r="AZ128" i="8194" s="1"/>
  <c r="AZ133" i="8194" s="1"/>
  <c r="AZ136" i="8194" s="1"/>
  <c r="AZ137" i="8194" s="1"/>
  <c r="AZ138" i="8194" s="1"/>
  <c r="BQ122" i="8194"/>
  <c r="BQ126" i="8194" s="1"/>
  <c r="BQ127" i="8194" s="1"/>
  <c r="BQ128" i="8194" s="1"/>
  <c r="BQ133" i="8194" s="1"/>
  <c r="BQ136" i="8194" s="1"/>
  <c r="BQ137" i="8194" s="1"/>
  <c r="BQ138" i="8194" s="1"/>
  <c r="AD122" i="8194"/>
  <c r="AD126" i="8194" s="1"/>
  <c r="AD127" i="8194" s="1"/>
  <c r="AD128" i="8194" s="1"/>
  <c r="AD133" i="8194" s="1"/>
  <c r="AD136" i="8194" s="1"/>
  <c r="AD137" i="8194" s="1"/>
  <c r="AD138" i="8194" s="1"/>
  <c r="B138" i="8194" s="1"/>
  <c r="AI122" i="8194"/>
  <c r="AI126" i="8194" s="1"/>
  <c r="AI127" i="8194" s="1"/>
  <c r="AI128" i="8194" s="1"/>
  <c r="AI133" i="8194" s="1"/>
  <c r="AI136" i="8194" s="1"/>
  <c r="AI137" i="8194" s="1"/>
  <c r="AI138" i="8194" s="1"/>
  <c r="BH122" i="8194"/>
  <c r="BH126" i="8194" s="1"/>
  <c r="BH127" i="8194" s="1"/>
  <c r="BH128" i="8194" s="1"/>
  <c r="P122" i="8194"/>
  <c r="P126" i="8194" s="1"/>
  <c r="P127" i="8194" s="1"/>
  <c r="P128" i="8194" s="1"/>
  <c r="P133" i="8194" s="1"/>
  <c r="P136" i="8194" s="1"/>
  <c r="P137" i="8194" s="1"/>
  <c r="P143" i="8194" s="1"/>
  <c r="AF122" i="8194"/>
  <c r="AF126" i="8194" s="1"/>
  <c r="AF127" i="8194" s="1"/>
  <c r="AF128" i="8194" s="1"/>
  <c r="K122" i="8194"/>
  <c r="K126" i="8194" s="1"/>
  <c r="K127" i="8194" s="1"/>
  <c r="K128" i="8194" s="1"/>
  <c r="K133" i="8194" s="1"/>
  <c r="K136" i="8194" s="1"/>
  <c r="K137" i="8194" s="1"/>
  <c r="K143" i="8194" s="1"/>
  <c r="AB122" i="8194"/>
  <c r="AB126" i="8194" s="1"/>
  <c r="AB127" i="8194" s="1"/>
  <c r="AB128" i="8194" s="1"/>
  <c r="AB133" i="8194" s="1"/>
  <c r="AB136" i="8194" s="1"/>
  <c r="AB137" i="8194" s="1"/>
  <c r="AB143" i="8194" s="1"/>
  <c r="AM122" i="8194"/>
  <c r="AM126" i="8194" s="1"/>
  <c r="AM127" i="8194" s="1"/>
  <c r="AM128" i="8194" s="1"/>
  <c r="AM133" i="8194" s="1"/>
  <c r="AM136" i="8194" s="1"/>
  <c r="AM137" i="8194" s="1"/>
  <c r="AM138" i="8194" s="1"/>
  <c r="V122" i="8194"/>
  <c r="V126" i="8194" s="1"/>
  <c r="V127" i="8194" s="1"/>
  <c r="V128" i="8194" s="1"/>
  <c r="V133" i="8194" s="1"/>
  <c r="V136" i="8194" s="1"/>
  <c r="V137" i="8194" s="1"/>
  <c r="V143" i="8194" s="1"/>
  <c r="E122" i="8194"/>
  <c r="E126" i="8194" s="1"/>
  <c r="E127" i="8194" s="1"/>
  <c r="E128" i="8194" s="1"/>
  <c r="E133" i="8194" s="1"/>
  <c r="BK122" i="8194"/>
  <c r="BK126" i="8194" s="1"/>
  <c r="BK127" i="8194" s="1"/>
  <c r="BK128" i="8194" s="1"/>
  <c r="BK133" i="8194" s="1"/>
  <c r="BK136" i="8194" s="1"/>
  <c r="BK137" i="8194" s="1"/>
  <c r="BK138" i="8194" s="1"/>
  <c r="BG122" i="8194"/>
  <c r="BG126" i="8194" s="1"/>
  <c r="BG127" i="8194" s="1"/>
  <c r="BG128" i="8194" s="1"/>
  <c r="BG133" i="8194" s="1"/>
  <c r="BG136" i="8194" s="1"/>
  <c r="BG137" i="8194" s="1"/>
  <c r="BG138" i="8194" s="1"/>
  <c r="W122" i="8194"/>
  <c r="W126" i="8194" s="1"/>
  <c r="W127" i="8194" s="1"/>
  <c r="W128" i="8194" s="1"/>
  <c r="W133" i="8194" s="1"/>
  <c r="W136" i="8194" s="1"/>
  <c r="W137" i="8194" s="1"/>
  <c r="W143" i="8194" s="1"/>
  <c r="BN122" i="8194"/>
  <c r="BN126" i="8194" s="1"/>
  <c r="BN127" i="8194" s="1"/>
  <c r="BN128" i="8194" s="1"/>
  <c r="BN133" i="8194" s="1"/>
  <c r="BN136" i="8194" s="1"/>
  <c r="BN137" i="8194" s="1"/>
  <c r="BN138" i="8194" s="1"/>
  <c r="AE122" i="8194"/>
  <c r="AE126" i="8194" s="1"/>
  <c r="AE127" i="8194" s="1"/>
  <c r="AE128" i="8194" s="1"/>
  <c r="AE133" i="8194" s="1"/>
  <c r="AE136" i="8194" s="1"/>
  <c r="AE137" i="8194" s="1"/>
  <c r="AE138" i="8194" s="1"/>
  <c r="AX122" i="8194"/>
  <c r="AX126" i="8194" s="1"/>
  <c r="AX127" i="8194" s="1"/>
  <c r="AX128" i="8194" s="1"/>
  <c r="AX133" i="8194" s="1"/>
  <c r="AX136" i="8194" s="1"/>
  <c r="AX137" i="8194" s="1"/>
  <c r="AX138" i="8194" s="1"/>
  <c r="BD122" i="8194"/>
  <c r="BD126" i="8194" s="1"/>
  <c r="BD127" i="8194" s="1"/>
  <c r="BD128" i="8194" s="1"/>
  <c r="BD133" i="8194" s="1"/>
  <c r="BD136" i="8194" s="1"/>
  <c r="BD137" i="8194" s="1"/>
  <c r="BD138" i="8194" s="1"/>
  <c r="AV133" i="8194"/>
  <c r="AV136" i="8194" s="1"/>
  <c r="AV137" i="8194" s="1"/>
  <c r="AV138" i="8194" s="1"/>
  <c r="AW133" i="8194"/>
  <c r="AW136" i="8194" s="1"/>
  <c r="AW137" i="8194" s="1"/>
  <c r="AW138" i="8194" s="1"/>
  <c r="AL133" i="8194"/>
  <c r="AL136" i="8194" s="1"/>
  <c r="AL137" i="8194" s="1"/>
  <c r="AL138" i="8194" s="1"/>
  <c r="AG133" i="8194"/>
  <c r="AG136" i="8194" s="1"/>
  <c r="AG137" i="8194" s="1"/>
  <c r="AG138" i="8194" s="1"/>
  <c r="BC133" i="8194"/>
  <c r="BC136" i="8194" s="1"/>
  <c r="BC137" i="8194" s="1"/>
  <c r="BC138" i="8194" s="1"/>
  <c r="AU133" i="8194"/>
  <c r="AU136" i="8194" s="1"/>
  <c r="AU137" i="8194" s="1"/>
  <c r="AU138" i="8194" s="1"/>
  <c r="T133" i="8194"/>
  <c r="T136" i="8194" s="1"/>
  <c r="T137" i="8194" s="1"/>
  <c r="T143" i="8194" s="1"/>
  <c r="BP133" i="8194"/>
  <c r="BP136" i="8194" s="1"/>
  <c r="BP137" i="8194" s="1"/>
  <c r="BP138" i="8194" s="1"/>
  <c r="I133" i="8194"/>
  <c r="I136" i="8194" s="1"/>
  <c r="I137" i="8194" s="1"/>
  <c r="I143" i="8194" s="1"/>
  <c r="E165" i="8194"/>
  <c r="B165" i="8194" s="1"/>
  <c r="B132" i="8194"/>
  <c r="AC133" i="8194"/>
  <c r="AC136" i="8194" s="1"/>
  <c r="AC137" i="8194" s="1"/>
  <c r="AC143" i="8194" s="1"/>
  <c r="AP133" i="8194"/>
  <c r="AP136" i="8194" s="1"/>
  <c r="AP137" i="8194" s="1"/>
  <c r="AP138" i="8194" s="1"/>
  <c r="AO133" i="8194"/>
  <c r="AO136" i="8194" s="1"/>
  <c r="AO137" i="8194" s="1"/>
  <c r="AO138" i="8194" s="1"/>
  <c r="H133" i="8194"/>
  <c r="H136" i="8194" s="1"/>
  <c r="H137" i="8194" s="1"/>
  <c r="H143" i="8194" s="1"/>
  <c r="BO133" i="8194"/>
  <c r="BO136" i="8194" s="1"/>
  <c r="BO137" i="8194" s="1"/>
  <c r="BO138" i="8194" s="1"/>
  <c r="BB133" i="8194"/>
  <c r="BB136" i="8194" s="1"/>
  <c r="BB137" i="8194" s="1"/>
  <c r="BB138" i="8194" s="1"/>
  <c r="AH133" i="8194"/>
  <c r="AH136" i="8194" s="1"/>
  <c r="AH137" i="8194" s="1"/>
  <c r="AH138" i="8194" s="1"/>
  <c r="BJ133" i="8194"/>
  <c r="BJ136" i="8194" s="1"/>
  <c r="BJ137" i="8194" s="1"/>
  <c r="BJ138" i="8194" s="1"/>
  <c r="AN133" i="8194"/>
  <c r="AN136" i="8194" s="1"/>
  <c r="AN137" i="8194" s="1"/>
  <c r="AN138" i="8194" s="1"/>
  <c r="BE133" i="8194"/>
  <c r="BE136" i="8194" s="1"/>
  <c r="BE137" i="8194" s="1"/>
  <c r="BE138" i="8194" s="1"/>
  <c r="AT133" i="8194"/>
  <c r="AT136" i="8194" s="1"/>
  <c r="AT137" i="8194" s="1"/>
  <c r="AT138" i="8194" s="1"/>
  <c r="BF133" i="8194"/>
  <c r="BF136" i="8194" s="1"/>
  <c r="BF137" i="8194" s="1"/>
  <c r="BF138" i="8194" s="1"/>
  <c r="AK133" i="8194"/>
  <c r="AK136" i="8194" s="1"/>
  <c r="AK137" i="8194" s="1"/>
  <c r="AK138" i="8194" s="1"/>
  <c r="AR133" i="8194"/>
  <c r="AR136" i="8194" s="1"/>
  <c r="AR137" i="8194" s="1"/>
  <c r="AR138" i="8194" s="1"/>
  <c r="BH133" i="8194"/>
  <c r="BH136" i="8194" s="1"/>
  <c r="BH137" i="8194" s="1"/>
  <c r="BH138" i="8194" s="1"/>
  <c r="AF133" i="8194"/>
  <c r="AF136" i="8194" s="1"/>
  <c r="AF137" i="8194" s="1"/>
  <c r="AF138" i="8194" s="1"/>
  <c r="M31" i="2"/>
  <c r="F14" i="2" s="1"/>
  <c r="F14" i="3" s="1"/>
  <c r="AB79" i="50872"/>
  <c r="AC79" i="50872" s="1"/>
  <c r="BF7" i="4"/>
  <c r="AJ7" i="4"/>
  <c r="X24" i="3"/>
  <c r="AN6" i="50873"/>
  <c r="U7" i="4"/>
  <c r="X23" i="3"/>
  <c r="AN5" i="50873"/>
  <c r="BY7" i="4"/>
  <c r="AX7" i="4"/>
  <c r="AJ7" i="2"/>
  <c r="AH7" i="2"/>
  <c r="B41" i="50873"/>
  <c r="AJ6" i="2"/>
  <c r="B38" i="2"/>
  <c r="F38" i="2"/>
  <c r="B38" i="3"/>
  <c r="AJ9" i="2"/>
  <c r="F38" i="3"/>
  <c r="AG8" i="2"/>
  <c r="AI7" i="2"/>
  <c r="AI9" i="2"/>
  <c r="G38" i="3"/>
  <c r="AJ8" i="2"/>
  <c r="AH9" i="2"/>
  <c r="G41" i="50873"/>
  <c r="AI6" i="2"/>
  <c r="AI10" i="2"/>
  <c r="AF8" i="2"/>
  <c r="H41" i="50873"/>
  <c r="AH10" i="2"/>
  <c r="AH6" i="2"/>
  <c r="G38" i="2"/>
  <c r="BX7" i="4"/>
  <c r="AZ7" i="4"/>
  <c r="AF126" i="2"/>
  <c r="AQ78" i="2"/>
  <c r="AQ92" i="2"/>
  <c r="AQ87" i="2"/>
  <c r="Y7" i="4"/>
  <c r="AY7" i="4"/>
  <c r="CG7" i="4"/>
  <c r="W7" i="4"/>
  <c r="BD7" i="4"/>
  <c r="BW7" i="4"/>
  <c r="AP7" i="4"/>
  <c r="AM7" i="4"/>
  <c r="BZ7" i="4"/>
  <c r="BL7" i="4"/>
  <c r="BM7" i="4"/>
  <c r="AU7" i="4"/>
  <c r="BB7" i="4"/>
  <c r="CC7" i="4"/>
  <c r="AF7" i="4"/>
  <c r="X7" i="4"/>
  <c r="AT7" i="4"/>
  <c r="BQ7" i="4"/>
  <c r="AN7" i="4"/>
  <c r="AH7" i="4"/>
  <c r="AB7" i="4"/>
  <c r="AI7" i="4"/>
  <c r="AA7" i="4"/>
  <c r="AR7" i="4"/>
  <c r="AD7" i="4"/>
  <c r="BG7" i="4"/>
  <c r="BN5" i="4"/>
  <c r="AG7" i="4"/>
  <c r="AE7" i="4"/>
  <c r="BH7" i="4"/>
  <c r="BC7" i="4"/>
  <c r="AO7" i="4"/>
  <c r="BQ5" i="4"/>
  <c r="BR7" i="4"/>
  <c r="Z7" i="4"/>
  <c r="T7" i="4"/>
  <c r="BO7" i="4"/>
  <c r="AQ7" i="4"/>
  <c r="AC5" i="4"/>
  <c r="AN5" i="4"/>
  <c r="AU5" i="4"/>
  <c r="BP5" i="4"/>
  <c r="CC5" i="4"/>
  <c r="CE5" i="4"/>
  <c r="BB5" i="4"/>
  <c r="BG5" i="4"/>
  <c r="BE7" i="4"/>
  <c r="AV7" i="4"/>
  <c r="CE7" i="4"/>
  <c r="S84" i="4"/>
  <c r="BT7" i="4"/>
  <c r="CB7" i="4"/>
  <c r="AC7" i="4"/>
  <c r="BN7" i="4"/>
  <c r="BV7" i="4"/>
  <c r="CA5" i="4"/>
  <c r="BS5" i="4"/>
  <c r="BL5" i="4"/>
  <c r="BV5" i="4"/>
  <c r="BY5" i="4"/>
  <c r="AS7" i="4"/>
  <c r="BJ7" i="4"/>
  <c r="V7" i="4"/>
  <c r="CA7" i="4"/>
  <c r="AK7" i="4"/>
  <c r="AL7" i="4"/>
  <c r="BP7" i="4"/>
  <c r="AM5" i="4"/>
  <c r="AW5" i="4"/>
  <c r="BI7" i="4"/>
  <c r="BU7" i="4"/>
  <c r="BS7" i="4"/>
  <c r="AW7" i="4"/>
  <c r="BA7" i="4"/>
  <c r="BK7" i="4"/>
  <c r="CF7" i="4"/>
  <c r="AY5" i="4"/>
  <c r="CF5" i="4"/>
  <c r="AV5" i="4"/>
  <c r="BA5" i="4"/>
  <c r="BU5" i="4"/>
  <c r="BO5" i="4"/>
  <c r="AJ5" i="4"/>
  <c r="AG5" i="4"/>
  <c r="AD5" i="4"/>
  <c r="BJ5" i="4"/>
  <c r="AZ5" i="4"/>
  <c r="AO5" i="4"/>
  <c r="BW5" i="4"/>
  <c r="BH5" i="4"/>
  <c r="W5" i="4"/>
  <c r="AP5" i="4"/>
  <c r="BI5" i="4"/>
  <c r="BM5" i="4"/>
  <c r="V5" i="4"/>
  <c r="AS5" i="4"/>
  <c r="AF5" i="4"/>
  <c r="AE5" i="4"/>
  <c r="BE5" i="4"/>
  <c r="AL5" i="4"/>
  <c r="BT5" i="4"/>
  <c r="Z5" i="4"/>
  <c r="BF5" i="4"/>
  <c r="BZ5" i="4"/>
  <c r="T5" i="4"/>
  <c r="AH5" i="4"/>
  <c r="AX5" i="4"/>
  <c r="AK5" i="4"/>
  <c r="BK5" i="4"/>
  <c r="AI5" i="4"/>
  <c r="AQ5" i="4"/>
  <c r="BX5" i="4"/>
  <c r="X5" i="4"/>
  <c r="BD5" i="4"/>
  <c r="Y5" i="4"/>
  <c r="AR5" i="4"/>
  <c r="BR5" i="4"/>
  <c r="CG5" i="4"/>
  <c r="CD5" i="4"/>
  <c r="AT5" i="4"/>
  <c r="U5" i="4"/>
  <c r="S81" i="4"/>
  <c r="AA5" i="4"/>
  <c r="CB5" i="4"/>
  <c r="S82" i="4"/>
  <c r="BC5" i="4"/>
  <c r="AB59" i="4"/>
  <c r="AB76" i="4" s="1"/>
  <c r="AC35" i="4"/>
  <c r="AX110" i="2"/>
  <c r="AE76" i="1" s="1"/>
  <c r="BC155" i="8194"/>
  <c r="BC157" i="8194" s="1"/>
  <c r="BS78" i="4"/>
  <c r="AX100" i="2"/>
  <c r="AE66" i="1" s="1"/>
  <c r="BG78" i="4"/>
  <c r="AS155" i="8194"/>
  <c r="AS157" i="8194" s="1"/>
  <c r="AX72" i="2"/>
  <c r="AE38" i="1" s="1"/>
  <c r="Q155" i="8194"/>
  <c r="Q157" i="8194" s="1"/>
  <c r="AE78" i="4"/>
  <c r="T53" i="4"/>
  <c r="U53" i="4"/>
  <c r="Y53" i="4"/>
  <c r="W53" i="4"/>
  <c r="AA53" i="4"/>
  <c r="X53" i="4"/>
  <c r="Z53" i="4"/>
  <c r="V53" i="4"/>
  <c r="R47" i="50872"/>
  <c r="R48" i="50872"/>
  <c r="Q31" i="50872"/>
  <c r="O49" i="50872"/>
  <c r="O47" i="50872" s="1"/>
  <c r="Q47" i="50872" s="1"/>
  <c r="Q48" i="50872" s="1"/>
  <c r="R46" i="50872"/>
  <c r="P38" i="50872"/>
  <c r="P39" i="50872"/>
  <c r="O40" i="50872"/>
  <c r="O38" i="50872" s="1"/>
  <c r="P37" i="50872"/>
  <c r="P29" i="50872"/>
  <c r="P30" i="50872"/>
  <c r="P31" i="50872"/>
  <c r="P28" i="50872"/>
  <c r="Q30" i="50872"/>
  <c r="O31" i="50872"/>
  <c r="O29" i="50872" s="1"/>
  <c r="N28" i="50872"/>
  <c r="N32" i="50872" s="1"/>
  <c r="N49" i="50872"/>
  <c r="O48" i="50872"/>
  <c r="N47" i="50872"/>
  <c r="N48" i="50872"/>
  <c r="N46" i="50872"/>
  <c r="P46" i="50872" s="1"/>
  <c r="P47" i="50872" s="1"/>
  <c r="P48" i="50872" s="1"/>
  <c r="N40" i="50872"/>
  <c r="O39" i="50872"/>
  <c r="N38" i="50872"/>
  <c r="N39" i="50872"/>
  <c r="N37" i="50872"/>
  <c r="N31" i="50872"/>
  <c r="O30" i="50872"/>
  <c r="N29" i="50872"/>
  <c r="N30" i="50872"/>
  <c r="Q46" i="50872"/>
  <c r="AB38" i="4"/>
  <c r="AB39" i="4" s="1"/>
  <c r="AB3" i="4" s="1"/>
  <c r="Q38" i="50872"/>
  <c r="L20" i="50872"/>
  <c r="L23" i="50872"/>
  <c r="T23" i="50872"/>
  <c r="L22" i="50872"/>
  <c r="T21" i="50872"/>
  <c r="T20" i="50872"/>
  <c r="L21" i="50872"/>
  <c r="T22" i="50872"/>
  <c r="AB65" i="50872"/>
  <c r="AC65" i="50872" s="1"/>
  <c r="Q39" i="50872"/>
  <c r="Y3" i="4"/>
  <c r="X3" i="4"/>
  <c r="AA3" i="4"/>
  <c r="T3" i="4"/>
  <c r="U3" i="4"/>
  <c r="AB18" i="50872"/>
  <c r="X5" i="50872"/>
  <c r="Y18" i="50872"/>
  <c r="AA18" i="50872"/>
  <c r="Z18" i="50872"/>
  <c r="X18" i="50872"/>
  <c r="W3" i="4"/>
  <c r="Z3" i="4"/>
  <c r="V3" i="4"/>
  <c r="AL8" i="50872"/>
  <c r="AK9" i="50872"/>
  <c r="AO8" i="50872"/>
  <c r="AM8" i="50872"/>
  <c r="AN8" i="50872"/>
  <c r="AI43" i="8194"/>
  <c r="AB43" i="8194"/>
  <c r="AD43" i="8194"/>
  <c r="AX43" i="8194"/>
  <c r="BA43" i="8194"/>
  <c r="Q43" i="8194"/>
  <c r="AF43" i="8194"/>
  <c r="AV43" i="8194"/>
  <c r="M43" i="8194"/>
  <c r="AS43" i="8194"/>
  <c r="BN43" i="8194"/>
  <c r="V43" i="8194"/>
  <c r="AH43" i="8194"/>
  <c r="BJ43" i="8194"/>
  <c r="AE43" i="8194"/>
  <c r="AU43" i="8194"/>
  <c r="AW43" i="8194"/>
  <c r="AM43" i="8194"/>
  <c r="AR43" i="8194"/>
  <c r="AK43" i="8194"/>
  <c r="BQ43" i="8194"/>
  <c r="J43" i="8194"/>
  <c r="X43" i="8194"/>
  <c r="AA43" i="8194"/>
  <c r="BB43" i="8194"/>
  <c r="AN43" i="8194"/>
  <c r="BD43" i="8194"/>
  <c r="S43" i="8194"/>
  <c r="K43" i="8194"/>
  <c r="BR43" i="8194"/>
  <c r="AY43" i="8194"/>
  <c r="BM43" i="8194"/>
  <c r="U43" i="8194"/>
  <c r="AT43" i="8194"/>
  <c r="AC43" i="8194"/>
  <c r="AZ43" i="8194"/>
  <c r="F43" i="8194"/>
  <c r="BO43" i="8194"/>
  <c r="BL43" i="8194"/>
  <c r="E43" i="8194"/>
  <c r="G43" i="8194"/>
  <c r="I43" i="8194"/>
  <c r="Z43" i="8194"/>
  <c r="N43" i="8194"/>
  <c r="BI43" i="8194"/>
  <c r="R43" i="8194"/>
  <c r="Y43" i="8194"/>
  <c r="BE43" i="8194"/>
  <c r="H43" i="8194"/>
  <c r="AJ43" i="8194"/>
  <c r="BP43" i="8194"/>
  <c r="W43" i="8194"/>
  <c r="BH43" i="8194"/>
  <c r="BF43" i="8194"/>
  <c r="BC43" i="8194"/>
  <c r="AG43" i="8194"/>
  <c r="AP43" i="8194"/>
  <c r="AO43" i="8194"/>
  <c r="AQ43" i="8194"/>
  <c r="L43" i="8194"/>
  <c r="BK43" i="8194"/>
  <c r="BG43" i="8194"/>
  <c r="O43" i="8194"/>
  <c r="AL43" i="8194"/>
  <c r="T43" i="8194"/>
  <c r="P43" i="8194"/>
  <c r="I42" i="8194"/>
  <c r="AY42" i="8194"/>
  <c r="AX42" i="8194"/>
  <c r="G42" i="8194"/>
  <c r="AC42" i="8194"/>
  <c r="M42" i="8194"/>
  <c r="AF42" i="8194"/>
  <c r="BO42" i="8194"/>
  <c r="BH42" i="8194"/>
  <c r="BE42" i="8194"/>
  <c r="N42" i="8194"/>
  <c r="AG42" i="8194"/>
  <c r="X42" i="8194"/>
  <c r="BP42" i="8194"/>
  <c r="AM42" i="8194"/>
  <c r="BF42" i="8194"/>
  <c r="AO42" i="8194"/>
  <c r="BK42" i="8194"/>
  <c r="AI42" i="8194"/>
  <c r="H42" i="8194"/>
  <c r="Y42" i="8194"/>
  <c r="BM42" i="8194"/>
  <c r="AR42" i="8194"/>
  <c r="V42" i="8194"/>
  <c r="F42" i="8194"/>
  <c r="AT42" i="8194"/>
  <c r="U42" i="8194"/>
  <c r="AJ42" i="8194"/>
  <c r="Q42" i="8194"/>
  <c r="BR42" i="8194"/>
  <c r="S42" i="8194"/>
  <c r="P42" i="8194"/>
  <c r="AP42" i="8194"/>
  <c r="AZ42" i="8194"/>
  <c r="T42" i="8194"/>
  <c r="AV42" i="8194"/>
  <c r="W42" i="8194"/>
  <c r="K42" i="8194"/>
  <c r="AA42" i="8194"/>
  <c r="AS42" i="8194"/>
  <c r="BD42" i="8194"/>
  <c r="Z42" i="8194"/>
  <c r="BN42" i="8194"/>
  <c r="AH42" i="8194"/>
  <c r="AD42" i="8194"/>
  <c r="BQ42" i="8194"/>
  <c r="BI42" i="8194"/>
  <c r="J42" i="8194"/>
  <c r="BG42" i="8194"/>
  <c r="E42" i="8194"/>
  <c r="BL42" i="8194"/>
  <c r="BA42" i="8194"/>
  <c r="AU42" i="8194"/>
  <c r="AB42" i="8194"/>
  <c r="L42" i="8194"/>
  <c r="AN42" i="8194"/>
  <c r="BJ42" i="8194"/>
  <c r="AE42" i="8194"/>
  <c r="O42" i="8194"/>
  <c r="AK42" i="8194"/>
  <c r="R42" i="8194"/>
  <c r="AW42" i="8194"/>
  <c r="BC42" i="8194"/>
  <c r="AL42" i="8194"/>
  <c r="AQ42" i="8194"/>
  <c r="BB42" i="8194"/>
  <c r="AB66" i="50872"/>
  <c r="AC66" i="50872" s="1"/>
  <c r="X67" i="50872"/>
  <c r="AO69" i="4"/>
  <c r="P237" i="8194"/>
  <c r="P238" i="8194"/>
  <c r="P239" i="8194" s="1"/>
  <c r="N41" i="50872" l="1"/>
  <c r="Q22" i="2"/>
  <c r="B34" i="2" s="1"/>
  <c r="B34" i="3" s="1"/>
  <c r="AJ4" i="2"/>
  <c r="B133" i="8194"/>
  <c r="E136" i="8194"/>
  <c r="B136" i="8194" s="1"/>
  <c r="M28" i="2"/>
  <c r="M32" i="2" s="1"/>
  <c r="F15" i="1"/>
  <c r="O24" i="1" s="1"/>
  <c r="S22" i="2"/>
  <c r="G34" i="2" s="1"/>
  <c r="G34" i="3" s="1"/>
  <c r="AQ88" i="2"/>
  <c r="AQ89" i="2" s="1"/>
  <c r="AQ90" i="2" s="1"/>
  <c r="AQ91" i="2" s="1"/>
  <c r="AQ93" i="2"/>
  <c r="AQ94" i="2" s="1"/>
  <c r="AQ95" i="2" s="1"/>
  <c r="AQ96" i="2" s="1"/>
  <c r="AQ97" i="2" s="1"/>
  <c r="AQ98" i="2" s="1"/>
  <c r="AQ99" i="2" s="1"/>
  <c r="AQ100" i="2" s="1"/>
  <c r="AQ101" i="2" s="1"/>
  <c r="AQ102" i="2" s="1"/>
  <c r="AQ103" i="2" s="1"/>
  <c r="AQ104" i="2" s="1"/>
  <c r="AQ105" i="2" s="1"/>
  <c r="AQ106" i="2" s="1"/>
  <c r="AQ107" i="2" s="1"/>
  <c r="AQ108" i="2" s="1"/>
  <c r="AQ109" i="2" s="1"/>
  <c r="AQ110" i="2" s="1"/>
  <c r="AQ111" i="2" s="1"/>
  <c r="AQ112" i="2" s="1"/>
  <c r="AQ113" i="2" s="1"/>
  <c r="AQ114" i="2" s="1"/>
  <c r="AQ115" i="2" s="1"/>
  <c r="AQ116" i="2" s="1"/>
  <c r="AQ117" i="2" s="1"/>
  <c r="AQ118" i="2" s="1"/>
  <c r="AQ119" i="2" s="1"/>
  <c r="AQ120" i="2" s="1"/>
  <c r="AQ121" i="2" s="1"/>
  <c r="AQ122" i="2" s="1"/>
  <c r="AQ123" i="2" s="1"/>
  <c r="AQ124" i="2" s="1"/>
  <c r="AQ125" i="2" s="1"/>
  <c r="AQ126" i="2"/>
  <c r="AQ127" i="2" s="1"/>
  <c r="AQ77" i="2"/>
  <c r="AQ76" i="2" s="1"/>
  <c r="AQ75" i="2" s="1"/>
  <c r="AQ74" i="2" s="1"/>
  <c r="AQ73" i="2" s="1"/>
  <c r="AQ72" i="2" s="1"/>
  <c r="AQ71" i="2" s="1"/>
  <c r="AQ70" i="2" s="1"/>
  <c r="AQ69" i="2" s="1"/>
  <c r="AQ68" i="2" s="1"/>
  <c r="AQ67" i="2" s="1"/>
  <c r="AQ66" i="2" s="1"/>
  <c r="AQ65" i="2" s="1"/>
  <c r="AQ64" i="2" s="1"/>
  <c r="AQ63" i="2" s="1"/>
  <c r="AQ62" i="2" s="1"/>
  <c r="AQ61" i="2" s="1"/>
  <c r="AQ60" i="2" s="1"/>
  <c r="AQ79" i="2"/>
  <c r="AQ80" i="2" s="1"/>
  <c r="AQ81" i="2" s="1"/>
  <c r="AQ82" i="2" s="1"/>
  <c r="AQ83" i="2" s="1"/>
  <c r="AQ84" i="2" s="1"/>
  <c r="AQ85" i="2" s="1"/>
  <c r="AQ86" i="2" s="1"/>
  <c r="AD35" i="4"/>
  <c r="AC59" i="4"/>
  <c r="AC76" i="4" s="1"/>
  <c r="AX111" i="2"/>
  <c r="AE77" i="1" s="1"/>
  <c r="BD155" i="8194"/>
  <c r="BD157" i="8194" s="1"/>
  <c r="BT78" i="4"/>
  <c r="BF78" i="4"/>
  <c r="AX99" i="2"/>
  <c r="AE65" i="1" s="1"/>
  <c r="AR155" i="8194"/>
  <c r="AR157" i="8194" s="1"/>
  <c r="AD78" i="4"/>
  <c r="P155" i="8194"/>
  <c r="P157" i="8194" s="1"/>
  <c r="AX71" i="2"/>
  <c r="AE37" i="1" s="1"/>
  <c r="AB53" i="4"/>
  <c r="Q49" i="50872"/>
  <c r="N50" i="50872"/>
  <c r="Q50" i="50872" s="1"/>
  <c r="Q51" i="50872" s="1"/>
  <c r="P49" i="50872"/>
  <c r="AC38" i="4"/>
  <c r="AC39" i="4" s="1"/>
  <c r="Y5" i="50872"/>
  <c r="X6" i="50872"/>
  <c r="AM9" i="50872"/>
  <c r="AN9" i="50872"/>
  <c r="AK10" i="50872"/>
  <c r="AL9" i="50872"/>
  <c r="AO9" i="50872"/>
  <c r="Z6" i="4"/>
  <c r="Z4" i="4"/>
  <c r="Z8" i="4" s="1"/>
  <c r="T4" i="4"/>
  <c r="T8" i="4" s="1"/>
  <c r="T6" i="4"/>
  <c r="X6" i="4"/>
  <c r="X4" i="4"/>
  <c r="X8" i="4" s="1"/>
  <c r="AB4" i="4"/>
  <c r="AB8" i="4" s="1"/>
  <c r="AB6" i="4"/>
  <c r="U6" i="4"/>
  <c r="U4" i="4"/>
  <c r="U8" i="4" s="1"/>
  <c r="V6" i="4"/>
  <c r="V4" i="4"/>
  <c r="V8" i="4" s="1"/>
  <c r="AA4" i="4"/>
  <c r="AA8" i="4" s="1"/>
  <c r="AA6" i="4"/>
  <c r="W4" i="4"/>
  <c r="W8" i="4" s="1"/>
  <c r="W6" i="4"/>
  <c r="Y4" i="4"/>
  <c r="Y8" i="4" s="1"/>
  <c r="Y6" i="4"/>
  <c r="AA45" i="8194"/>
  <c r="AA71" i="8194" s="1"/>
  <c r="AA69" i="8194"/>
  <c r="AF69" i="8194"/>
  <c r="AF45" i="8194"/>
  <c r="AW70" i="8194"/>
  <c r="AW46" i="8194"/>
  <c r="AL45" i="8194"/>
  <c r="AL71" i="8194" s="1"/>
  <c r="AL69" i="8194"/>
  <c r="AS69" i="8194"/>
  <c r="AS45" i="8194"/>
  <c r="V69" i="8194"/>
  <c r="V45" i="8194"/>
  <c r="AO46" i="8194"/>
  <c r="AO72" i="8194" s="1"/>
  <c r="AO70" i="8194"/>
  <c r="AT70" i="8194"/>
  <c r="AT46" i="8194"/>
  <c r="AB70" i="8194"/>
  <c r="AB46" i="8194"/>
  <c r="BD69" i="8194"/>
  <c r="BD45" i="8194"/>
  <c r="BH69" i="8194"/>
  <c r="BH45" i="8194"/>
  <c r="AC46" i="8194"/>
  <c r="AC72" i="8194" s="1"/>
  <c r="AC70" i="8194"/>
  <c r="AR70" i="8194"/>
  <c r="AR46" i="8194"/>
  <c r="AE69" i="8194"/>
  <c r="AE45" i="8194"/>
  <c r="Z69" i="8194"/>
  <c r="Z45" i="8194"/>
  <c r="AT45" i="8194"/>
  <c r="AT71" i="8194" s="1"/>
  <c r="AT69" i="8194"/>
  <c r="AY69" i="8194"/>
  <c r="AY45" i="8194"/>
  <c r="N46" i="8194"/>
  <c r="N72" i="8194" s="1"/>
  <c r="N70" i="8194"/>
  <c r="S46" i="8194"/>
  <c r="S72" i="8194" s="1"/>
  <c r="S70" i="8194"/>
  <c r="AX46" i="8194"/>
  <c r="AX70" i="8194"/>
  <c r="O45" i="8194"/>
  <c r="O71" i="8194" s="1"/>
  <c r="O69" i="8194"/>
  <c r="BL69" i="8194"/>
  <c r="BL45" i="8194"/>
  <c r="BN45" i="8194"/>
  <c r="BN71" i="8194" s="1"/>
  <c r="BN69" i="8194"/>
  <c r="T45" i="8194"/>
  <c r="T71" i="8194" s="1"/>
  <c r="T69" i="8194"/>
  <c r="U45" i="8194"/>
  <c r="U71" i="8194" s="1"/>
  <c r="U69" i="8194"/>
  <c r="AI45" i="8194"/>
  <c r="AI71" i="8194" s="1"/>
  <c r="AI69" i="8194"/>
  <c r="N69" i="8194"/>
  <c r="N45" i="8194"/>
  <c r="AX69" i="8194"/>
  <c r="AX45" i="8194"/>
  <c r="BK70" i="8194"/>
  <c r="BK46" i="8194"/>
  <c r="BH70" i="8194"/>
  <c r="BH46" i="8194"/>
  <c r="BI46" i="8194"/>
  <c r="BI72" i="8194" s="1"/>
  <c r="BI70" i="8194"/>
  <c r="F70" i="8194"/>
  <c r="F46" i="8194"/>
  <c r="K70" i="8194"/>
  <c r="K46" i="8194"/>
  <c r="BQ70" i="8194"/>
  <c r="BQ46" i="8194"/>
  <c r="AH70" i="8194"/>
  <c r="AH46" i="8194"/>
  <c r="BA70" i="8194"/>
  <c r="BA46" i="8194"/>
  <c r="BI69" i="8194"/>
  <c r="BI45" i="8194"/>
  <c r="AM45" i="8194"/>
  <c r="AM71" i="8194" s="1"/>
  <c r="AM69" i="8194"/>
  <c r="AP46" i="8194"/>
  <c r="AP72" i="8194" s="1"/>
  <c r="AP70" i="8194"/>
  <c r="G46" i="8194"/>
  <c r="G72" i="8194" s="1"/>
  <c r="G70" i="8194"/>
  <c r="M46" i="8194"/>
  <c r="M72" i="8194" s="1"/>
  <c r="M70" i="8194"/>
  <c r="AN45" i="8194"/>
  <c r="AN71" i="8194" s="1"/>
  <c r="AN69" i="8194"/>
  <c r="BO45" i="8194"/>
  <c r="BO71" i="8194" s="1"/>
  <c r="BO69" i="8194"/>
  <c r="AM70" i="8194"/>
  <c r="AM46" i="8194"/>
  <c r="BJ45" i="8194"/>
  <c r="BJ71" i="8194" s="1"/>
  <c r="BJ69" i="8194"/>
  <c r="F69" i="8194"/>
  <c r="F45" i="8194"/>
  <c r="AQ46" i="8194"/>
  <c r="AQ72" i="8194" s="1"/>
  <c r="AQ70" i="8194"/>
  <c r="AD70" i="8194"/>
  <c r="AD46" i="8194"/>
  <c r="AK70" i="8194"/>
  <c r="AK46" i="8194"/>
  <c r="AK69" i="8194"/>
  <c r="AK45" i="8194"/>
  <c r="BA45" i="8194"/>
  <c r="BA71" i="8194" s="1"/>
  <c r="BA69" i="8194"/>
  <c r="AH69" i="8194"/>
  <c r="AH45" i="8194"/>
  <c r="AV69" i="8194"/>
  <c r="AV45" i="8194"/>
  <c r="AJ45" i="8194"/>
  <c r="AJ69" i="8194"/>
  <c r="H45" i="8194"/>
  <c r="H69" i="8194"/>
  <c r="AG45" i="8194"/>
  <c r="AG71" i="8194" s="1"/>
  <c r="AG69" i="8194"/>
  <c r="G45" i="8194"/>
  <c r="G71" i="8194" s="1"/>
  <c r="G69" i="8194"/>
  <c r="BG46" i="8194"/>
  <c r="BG72" i="8194" s="1"/>
  <c r="BG70" i="8194"/>
  <c r="BF70" i="8194"/>
  <c r="BF46" i="8194"/>
  <c r="R46" i="8194"/>
  <c r="R72" i="8194" s="1"/>
  <c r="R70" i="8194"/>
  <c r="BO70" i="8194"/>
  <c r="BO46" i="8194"/>
  <c r="BR46" i="8194"/>
  <c r="BR70" i="8194"/>
  <c r="J46" i="8194"/>
  <c r="J72" i="8194" s="1"/>
  <c r="J70" i="8194"/>
  <c r="BJ70" i="8194"/>
  <c r="BJ46" i="8194"/>
  <c r="Q46" i="8194"/>
  <c r="Q70" i="8194"/>
  <c r="BC69" i="8194"/>
  <c r="BC45" i="8194"/>
  <c r="S45" i="8194"/>
  <c r="S71" i="8194" s="1"/>
  <c r="S69" i="8194"/>
  <c r="T70" i="8194"/>
  <c r="T46" i="8194"/>
  <c r="BB46" i="8194"/>
  <c r="BB72" i="8194" s="1"/>
  <c r="BB70" i="8194"/>
  <c r="P45" i="8194"/>
  <c r="P71" i="8194" s="1"/>
  <c r="P69" i="8194"/>
  <c r="BF45" i="8194"/>
  <c r="BF71" i="8194" s="1"/>
  <c r="BF69" i="8194"/>
  <c r="AJ46" i="8194"/>
  <c r="AJ72" i="8194" s="1"/>
  <c r="AJ70" i="8194"/>
  <c r="I70" i="8194"/>
  <c r="I46" i="8194"/>
  <c r="AS46" i="8194"/>
  <c r="AS72" i="8194" s="1"/>
  <c r="AS70" i="8194"/>
  <c r="BG45" i="8194"/>
  <c r="BG71" i="8194" s="1"/>
  <c r="BG69" i="8194"/>
  <c r="AO69" i="8194"/>
  <c r="AO45" i="8194"/>
  <c r="Z70" i="8194"/>
  <c r="Z46" i="8194"/>
  <c r="BN46" i="8194"/>
  <c r="BN72" i="8194" s="1"/>
  <c r="BN70" i="8194"/>
  <c r="BB69" i="8194"/>
  <c r="BB45" i="8194"/>
  <c r="B42" i="8194"/>
  <c r="E45" i="8194"/>
  <c r="E69" i="8194"/>
  <c r="AZ69" i="8194"/>
  <c r="AZ45" i="8194"/>
  <c r="BK69" i="8194"/>
  <c r="BK45" i="8194"/>
  <c r="L70" i="8194"/>
  <c r="L46" i="8194"/>
  <c r="W46" i="8194"/>
  <c r="W72" i="8194" s="1"/>
  <c r="W70" i="8194"/>
  <c r="AZ70" i="8194"/>
  <c r="AZ46" i="8194"/>
  <c r="V46" i="8194"/>
  <c r="V72" i="8194" s="1"/>
  <c r="V70" i="8194"/>
  <c r="R45" i="8194"/>
  <c r="R71" i="8194" s="1"/>
  <c r="R69" i="8194"/>
  <c r="AU45" i="8194"/>
  <c r="AU71" i="8194" s="1"/>
  <c r="AU69" i="8194"/>
  <c r="AD45" i="8194"/>
  <c r="AD71" i="8194" s="1"/>
  <c r="AD69" i="8194"/>
  <c r="W45" i="8194"/>
  <c r="W71" i="8194" s="1"/>
  <c r="W69" i="8194"/>
  <c r="Q69" i="8194"/>
  <c r="Q45" i="8194"/>
  <c r="Y45" i="8194"/>
  <c r="Y71" i="8194" s="1"/>
  <c r="Y69" i="8194"/>
  <c r="X45" i="8194"/>
  <c r="X71" i="8194" s="1"/>
  <c r="X69" i="8194"/>
  <c r="AC69" i="8194"/>
  <c r="AC45" i="8194"/>
  <c r="O46" i="8194"/>
  <c r="O72" i="8194" s="1"/>
  <c r="O70" i="8194"/>
  <c r="BC70" i="8194"/>
  <c r="BC46" i="8194"/>
  <c r="Y46" i="8194"/>
  <c r="Y72" i="8194" s="1"/>
  <c r="Y70" i="8194"/>
  <c r="BL46" i="8194"/>
  <c r="BL72" i="8194" s="1"/>
  <c r="BL70" i="8194"/>
  <c r="AY70" i="8194"/>
  <c r="AY46" i="8194"/>
  <c r="X46" i="8194"/>
  <c r="X70" i="8194"/>
  <c r="AE70" i="8194"/>
  <c r="AE46" i="8194"/>
  <c r="AF70" i="8194"/>
  <c r="AF46" i="8194"/>
  <c r="L69" i="8194"/>
  <c r="L45" i="8194"/>
  <c r="AR45" i="8194"/>
  <c r="AR71" i="8194" s="1"/>
  <c r="AR69" i="8194"/>
  <c r="H70" i="8194"/>
  <c r="H46" i="8194"/>
  <c r="U70" i="8194"/>
  <c r="U46" i="8194"/>
  <c r="AI70" i="8194"/>
  <c r="AI46" i="8194"/>
  <c r="J45" i="8194"/>
  <c r="J71" i="8194" s="1"/>
  <c r="J69" i="8194"/>
  <c r="P46" i="8194"/>
  <c r="P72" i="8194" s="1"/>
  <c r="P70" i="8194"/>
  <c r="AN46" i="8194"/>
  <c r="AN72" i="8194" s="1"/>
  <c r="AN70" i="8194"/>
  <c r="AQ69" i="8194"/>
  <c r="AQ45" i="8194"/>
  <c r="AP45" i="8194"/>
  <c r="AP71" i="8194" s="1"/>
  <c r="AP69" i="8194"/>
  <c r="I45" i="8194"/>
  <c r="I69" i="8194"/>
  <c r="BP70" i="8194"/>
  <c r="BP46" i="8194"/>
  <c r="BD46" i="8194"/>
  <c r="BD70" i="8194"/>
  <c r="BE45" i="8194"/>
  <c r="BE69" i="8194"/>
  <c r="AW69" i="8194"/>
  <c r="AW45" i="8194"/>
  <c r="AB45" i="8194"/>
  <c r="AB71" i="8194" s="1"/>
  <c r="AB69" i="8194"/>
  <c r="BQ69" i="8194"/>
  <c r="BQ45" i="8194"/>
  <c r="K45" i="8194"/>
  <c r="K69" i="8194"/>
  <c r="BR69" i="8194"/>
  <c r="BR45" i="8194"/>
  <c r="BM69" i="8194"/>
  <c r="BM45" i="8194"/>
  <c r="BP45" i="8194"/>
  <c r="BP71" i="8194" s="1"/>
  <c r="BP69" i="8194"/>
  <c r="M45" i="8194"/>
  <c r="M71" i="8194" s="1"/>
  <c r="M69" i="8194"/>
  <c r="AL70" i="8194"/>
  <c r="AL46" i="8194"/>
  <c r="AG46" i="8194"/>
  <c r="AG72" i="8194" s="1"/>
  <c r="AG70" i="8194"/>
  <c r="BE46" i="8194"/>
  <c r="BE72" i="8194" s="1"/>
  <c r="BE70" i="8194"/>
  <c r="B43" i="8194"/>
  <c r="E46" i="8194"/>
  <c r="E70" i="8194"/>
  <c r="BM70" i="8194"/>
  <c r="BM46" i="8194"/>
  <c r="AA70" i="8194"/>
  <c r="AA46" i="8194"/>
  <c r="AU46" i="8194"/>
  <c r="AU72" i="8194" s="1"/>
  <c r="AU70" i="8194"/>
  <c r="AV46" i="8194"/>
  <c r="AV70" i="8194"/>
  <c r="AB67" i="50872"/>
  <c r="X68" i="50872"/>
  <c r="AP69" i="4"/>
  <c r="P240" i="8194"/>
  <c r="P241" i="8194"/>
  <c r="P242" i="8194" s="1"/>
  <c r="B37" i="50873" l="1"/>
  <c r="H37" i="50873"/>
  <c r="H51" i="50872"/>
  <c r="H49" i="50872" s="1"/>
  <c r="Q32" i="50872" s="1"/>
  <c r="Q33" i="50872" s="1"/>
  <c r="W82" i="2"/>
  <c r="W81" i="2"/>
  <c r="W79" i="2"/>
  <c r="W88" i="2"/>
  <c r="W78" i="2"/>
  <c r="W92" i="2"/>
  <c r="W83" i="2"/>
  <c r="W89" i="2"/>
  <c r="W80" i="2"/>
  <c r="W90" i="2"/>
  <c r="W87" i="2"/>
  <c r="W77" i="2"/>
  <c r="W86" i="2"/>
  <c r="W91" i="2"/>
  <c r="W85" i="2"/>
  <c r="W84" i="2"/>
  <c r="E137" i="8194"/>
  <c r="E143" i="8194" s="1"/>
  <c r="B143" i="8194" s="1"/>
  <c r="K52" i="3"/>
  <c r="H43" i="50872"/>
  <c r="H41" i="50872" s="1"/>
  <c r="Q41" i="50872" s="1"/>
  <c r="Q42" i="50872" s="1"/>
  <c r="F17" i="1"/>
  <c r="F16" i="1"/>
  <c r="J14" i="2"/>
  <c r="B35" i="8194"/>
  <c r="AD59" i="4"/>
  <c r="AD76" i="4" s="1"/>
  <c r="AE35" i="4"/>
  <c r="BE155" i="8194"/>
  <c r="BE157" i="8194" s="1"/>
  <c r="AX112" i="2"/>
  <c r="AE78" i="1" s="1"/>
  <c r="BU78" i="4"/>
  <c r="AQ155" i="8194"/>
  <c r="AQ157" i="8194" s="1"/>
  <c r="BE78" i="4"/>
  <c r="AX98" i="2"/>
  <c r="AE64" i="1" s="1"/>
  <c r="AC78" i="4"/>
  <c r="O155" i="8194"/>
  <c r="O157" i="8194" s="1"/>
  <c r="AX70" i="2"/>
  <c r="AE36" i="1" s="1"/>
  <c r="AC53" i="4"/>
  <c r="X13" i="50872"/>
  <c r="X25" i="50872" s="1"/>
  <c r="X9" i="50872"/>
  <c r="X22" i="50872" s="1"/>
  <c r="AC3" i="4"/>
  <c r="AD38" i="4"/>
  <c r="AD39" i="4" s="1"/>
  <c r="J49" i="8194"/>
  <c r="V32" i="4"/>
  <c r="Z32" i="4"/>
  <c r="X32" i="4"/>
  <c r="X31" i="4" s="1"/>
  <c r="W32" i="4"/>
  <c r="W29" i="4" s="1"/>
  <c r="AA32" i="4"/>
  <c r="AA30" i="4" s="1"/>
  <c r="AU48" i="8194"/>
  <c r="Z5" i="50872"/>
  <c r="Y6" i="50872"/>
  <c r="U32" i="4"/>
  <c r="U31" i="4" s="1"/>
  <c r="X10" i="50872"/>
  <c r="X21" i="50872" s="1"/>
  <c r="X12" i="50872"/>
  <c r="X8" i="50872"/>
  <c r="X20" i="50872" s="1"/>
  <c r="X14" i="50872"/>
  <c r="X24" i="50872" s="1"/>
  <c r="AA48" i="8194"/>
  <c r="T32" i="4"/>
  <c r="AM10" i="50872"/>
  <c r="AO10" i="50872"/>
  <c r="AL10" i="50872"/>
  <c r="AK11" i="50872"/>
  <c r="AN10" i="50872"/>
  <c r="Y32" i="4"/>
  <c r="Y31" i="4" s="1"/>
  <c r="AB32" i="4"/>
  <c r="P48" i="8194"/>
  <c r="AB48" i="8194"/>
  <c r="AG78" i="8194"/>
  <c r="BG78" i="8194"/>
  <c r="BG82" i="8194" s="1"/>
  <c r="S48" i="8194"/>
  <c r="R49" i="8194"/>
  <c r="G48" i="8194"/>
  <c r="AR48" i="8194"/>
  <c r="X48" i="8194"/>
  <c r="BF48" i="8194"/>
  <c r="BO48" i="8194"/>
  <c r="AU49" i="8194"/>
  <c r="Y49" i="8194"/>
  <c r="W48" i="8194"/>
  <c r="BG49" i="8194"/>
  <c r="BA48" i="8194"/>
  <c r="AT48" i="8194"/>
  <c r="AS49" i="8194"/>
  <c r="AQ49" i="8194"/>
  <c r="U48" i="8194"/>
  <c r="BB78" i="8194"/>
  <c r="BB82" i="8194" s="1"/>
  <c r="AG49" i="8194"/>
  <c r="AD48" i="8194"/>
  <c r="V49" i="8194"/>
  <c r="M49" i="8194"/>
  <c r="BB49" i="8194"/>
  <c r="AM48" i="8194"/>
  <c r="S49" i="8194"/>
  <c r="AC49" i="8194"/>
  <c r="J48" i="8194"/>
  <c r="BN49" i="8194"/>
  <c r="P78" i="8194"/>
  <c r="P82" i="8194" s="1"/>
  <c r="AS78" i="8194"/>
  <c r="BI49" i="8194"/>
  <c r="T48" i="8194"/>
  <c r="AP78" i="8194"/>
  <c r="AP80" i="8194" s="1"/>
  <c r="BP48" i="8194"/>
  <c r="AP48" i="8194"/>
  <c r="BL49" i="8194"/>
  <c r="O49" i="8194"/>
  <c r="Y48" i="8194"/>
  <c r="BN78" i="8194"/>
  <c r="BN82" i="8194" s="1"/>
  <c r="AG48" i="8194"/>
  <c r="O48" i="8194"/>
  <c r="N49" i="8194"/>
  <c r="P49" i="8194"/>
  <c r="AP49" i="8194"/>
  <c r="AL48" i="8194"/>
  <c r="AU4" i="267"/>
  <c r="BI71" i="8194"/>
  <c r="BI77" i="8194" s="1"/>
  <c r="BI48" i="8194"/>
  <c r="M77" i="8194"/>
  <c r="L4" i="267"/>
  <c r="P4" i="267"/>
  <c r="BJ4" i="267"/>
  <c r="BQ72" i="8194"/>
  <c r="BQ78" i="8194" s="1"/>
  <c r="BQ82" i="8194" s="1"/>
  <c r="BQ49" i="8194"/>
  <c r="Y4" i="267"/>
  <c r="AK71" i="8194"/>
  <c r="AK77" i="8194" s="1"/>
  <c r="AK48" i="8194"/>
  <c r="T77" i="8194"/>
  <c r="S4" i="267"/>
  <c r="BD72" i="8194"/>
  <c r="BD78" i="8194" s="1"/>
  <c r="BD82" i="8194" s="1"/>
  <c r="BD49" i="8194"/>
  <c r="AO71" i="8194"/>
  <c r="AO77" i="8194" s="1"/>
  <c r="AO48" i="8194"/>
  <c r="P77" i="8194"/>
  <c r="O4" i="267"/>
  <c r="G77" i="8194"/>
  <c r="F4" i="267"/>
  <c r="AT72" i="8194"/>
  <c r="AT78" i="8194" s="1"/>
  <c r="AT49" i="8194"/>
  <c r="AV72" i="8194"/>
  <c r="AV78" i="8194" s="1"/>
  <c r="AV49" i="8194"/>
  <c r="B70" i="8194"/>
  <c r="BP4" i="267"/>
  <c r="H72" i="8194"/>
  <c r="H78" i="8194" s="1"/>
  <c r="H82" i="8194" s="1"/>
  <c r="H49" i="8194"/>
  <c r="L72" i="8194"/>
  <c r="L78" i="8194" s="1"/>
  <c r="L82" i="8194" s="1"/>
  <c r="L49" i="8194"/>
  <c r="B45" i="8194"/>
  <c r="B50" i="8194" s="1"/>
  <c r="E33" i="8194" s="1"/>
  <c r="E71" i="8194"/>
  <c r="E48" i="8194"/>
  <c r="BJ72" i="8194"/>
  <c r="BJ78" i="8194" s="1"/>
  <c r="BJ82" i="8194" s="1"/>
  <c r="BJ49" i="8194"/>
  <c r="H71" i="8194"/>
  <c r="H77" i="8194" s="1"/>
  <c r="H48" i="8194"/>
  <c r="AM72" i="8194"/>
  <c r="AM78" i="8194" s="1"/>
  <c r="AM49" i="8194"/>
  <c r="AX71" i="8194"/>
  <c r="AX77" i="8194" s="1"/>
  <c r="AX48" i="8194"/>
  <c r="BL71" i="8194"/>
  <c r="BL77" i="8194" s="1"/>
  <c r="BL48" i="8194"/>
  <c r="AS71" i="8194"/>
  <c r="AS77" i="8194" s="1"/>
  <c r="AS48" i="8194"/>
  <c r="AE4" i="267"/>
  <c r="AN78" i="8194"/>
  <c r="J78" i="8194"/>
  <c r="J82" i="8194" s="1"/>
  <c r="AU78" i="8194"/>
  <c r="BI78" i="8194"/>
  <c r="BI82" i="8194" s="1"/>
  <c r="V78" i="8194"/>
  <c r="AQ78" i="8194"/>
  <c r="M78" i="8194"/>
  <c r="M82" i="8194" s="1"/>
  <c r="AC78" i="8194"/>
  <c r="H4" i="267"/>
  <c r="X72" i="8194"/>
  <c r="X78" i="8194" s="1"/>
  <c r="X49" i="8194"/>
  <c r="BF72" i="8194"/>
  <c r="BF78" i="8194" s="1"/>
  <c r="BF82" i="8194" s="1"/>
  <c r="BF49" i="8194"/>
  <c r="BH72" i="8194"/>
  <c r="BH78" i="8194" s="1"/>
  <c r="BH82" i="8194" s="1"/>
  <c r="BH49" i="8194"/>
  <c r="AE71" i="8194"/>
  <c r="AE77" i="8194" s="1"/>
  <c r="AE48" i="8194"/>
  <c r="BG4" i="267"/>
  <c r="AZ72" i="8194"/>
  <c r="AZ78" i="8194" s="1"/>
  <c r="AZ82" i="8194" s="1"/>
  <c r="AZ49" i="8194"/>
  <c r="AJ4" i="267"/>
  <c r="M4" i="267"/>
  <c r="BH71" i="8194"/>
  <c r="BH77" i="8194" s="1"/>
  <c r="BH48" i="8194"/>
  <c r="BL4" i="267"/>
  <c r="AP4" i="267"/>
  <c r="AT4" i="267"/>
  <c r="AU77" i="8194"/>
  <c r="BO77" i="8194"/>
  <c r="BN4" i="267"/>
  <c r="AL72" i="8194"/>
  <c r="AL78" i="8194" s="1"/>
  <c r="AL49" i="8194"/>
  <c r="AA77" i="8194"/>
  <c r="Z4" i="267"/>
  <c r="BQ71" i="8194"/>
  <c r="BQ77" i="8194" s="1"/>
  <c r="BQ48" i="8194"/>
  <c r="BE71" i="8194"/>
  <c r="BE77" i="8194" s="1"/>
  <c r="BE48" i="8194"/>
  <c r="AF72" i="8194"/>
  <c r="AF78" i="8194" s="1"/>
  <c r="AF49" i="8194"/>
  <c r="X4" i="267"/>
  <c r="Y77" i="8194"/>
  <c r="AD77" i="8194"/>
  <c r="AC4" i="267"/>
  <c r="D4" i="267"/>
  <c r="B69" i="8194"/>
  <c r="Z72" i="8194"/>
  <c r="Z78" i="8194" s="1"/>
  <c r="Z49" i="8194"/>
  <c r="T72" i="8194"/>
  <c r="T78" i="8194" s="1"/>
  <c r="T49" i="8194"/>
  <c r="Q72" i="8194"/>
  <c r="Q78" i="8194" s="1"/>
  <c r="Q82" i="8194" s="1"/>
  <c r="Q49" i="8194"/>
  <c r="BO72" i="8194"/>
  <c r="BO78" i="8194" s="1"/>
  <c r="BO82" i="8194" s="1"/>
  <c r="BO49" i="8194"/>
  <c r="G4" i="267"/>
  <c r="AZ4" i="267"/>
  <c r="BA77" i="8194"/>
  <c r="BA72" i="8194"/>
  <c r="BA78" i="8194" s="1"/>
  <c r="BA82" i="8194" s="1"/>
  <c r="BA49" i="8194"/>
  <c r="F72" i="8194"/>
  <c r="F78" i="8194" s="1"/>
  <c r="F82" i="8194" s="1"/>
  <c r="F49" i="8194"/>
  <c r="U77" i="8194"/>
  <c r="T4" i="267"/>
  <c r="AS4" i="267"/>
  <c r="AT77" i="8194"/>
  <c r="AB72" i="8194"/>
  <c r="AB78" i="8194" s="1"/>
  <c r="AB49" i="8194"/>
  <c r="U4" i="267"/>
  <c r="AF71" i="8194"/>
  <c r="AF77" i="8194" s="1"/>
  <c r="AF48" i="8194"/>
  <c r="BE78" i="8194"/>
  <c r="BE82" i="8194" s="1"/>
  <c r="AJ78" i="8194"/>
  <c r="Y78" i="8194"/>
  <c r="N78" i="8194"/>
  <c r="N82" i="8194" s="1"/>
  <c r="BL78" i="8194"/>
  <c r="BL82" i="8194" s="1"/>
  <c r="O78" i="8194"/>
  <c r="O82" i="8194" s="1"/>
  <c r="R48" i="8194"/>
  <c r="W49" i="8194"/>
  <c r="BJ48" i="8194"/>
  <c r="AN48" i="8194"/>
  <c r="BN48" i="8194"/>
  <c r="S78" i="8194"/>
  <c r="AA72" i="8194"/>
  <c r="AA78" i="8194" s="1"/>
  <c r="AA49" i="8194"/>
  <c r="AW71" i="8194"/>
  <c r="AW77" i="8194" s="1"/>
  <c r="AW48" i="8194"/>
  <c r="W77" i="8194"/>
  <c r="V4" i="267"/>
  <c r="AZ71" i="8194"/>
  <c r="AZ77" i="8194" s="1"/>
  <c r="AZ48" i="8194"/>
  <c r="AG77" i="8194"/>
  <c r="AF4" i="267"/>
  <c r="BR71" i="8194"/>
  <c r="BR77" i="8194" s="1"/>
  <c r="BR81" i="8194" s="1"/>
  <c r="BR48" i="8194"/>
  <c r="BG77" i="8194"/>
  <c r="BF4" i="267"/>
  <c r="AV71" i="8194"/>
  <c r="AV77" i="8194" s="1"/>
  <c r="AV48" i="8194"/>
  <c r="BP72" i="8194"/>
  <c r="BP78" i="8194" s="1"/>
  <c r="BP82" i="8194" s="1"/>
  <c r="BP49" i="8194"/>
  <c r="AR77" i="8194"/>
  <c r="AQ4" i="267"/>
  <c r="Q71" i="8194"/>
  <c r="Q77" i="8194" s="1"/>
  <c r="Q48" i="8194"/>
  <c r="BB71" i="8194"/>
  <c r="BB77" i="8194" s="1"/>
  <c r="BB48" i="8194"/>
  <c r="AJ71" i="8194"/>
  <c r="AJ77" i="8194" s="1"/>
  <c r="AJ48" i="8194"/>
  <c r="N71" i="8194"/>
  <c r="N77" i="8194" s="1"/>
  <c r="N48" i="8194"/>
  <c r="Z71" i="8194"/>
  <c r="Z77" i="8194" s="1"/>
  <c r="Z48" i="8194"/>
  <c r="AL77" i="8194"/>
  <c r="AK4" i="267"/>
  <c r="E72" i="8194"/>
  <c r="B46" i="8194"/>
  <c r="B51" i="8194" s="1"/>
  <c r="E49" i="8194"/>
  <c r="AA4" i="267"/>
  <c r="AB77" i="8194"/>
  <c r="AQ71" i="8194"/>
  <c r="AQ77" i="8194" s="1"/>
  <c r="AQ48" i="8194"/>
  <c r="J77" i="8194"/>
  <c r="I4" i="267"/>
  <c r="AE72" i="8194"/>
  <c r="AE78" i="8194" s="1"/>
  <c r="AE49" i="8194"/>
  <c r="I72" i="8194"/>
  <c r="I78" i="8194" s="1"/>
  <c r="I82" i="8194" s="1"/>
  <c r="I49" i="8194"/>
  <c r="S77" i="8194"/>
  <c r="R4" i="267"/>
  <c r="AI4" i="267"/>
  <c r="AL4" i="267"/>
  <c r="AM77" i="8194"/>
  <c r="AH72" i="8194"/>
  <c r="AH78" i="8194" s="1"/>
  <c r="AH49" i="8194"/>
  <c r="AW4" i="267"/>
  <c r="BK4" i="267"/>
  <c r="BM72" i="8194"/>
  <c r="BM78" i="8194" s="1"/>
  <c r="BM82" i="8194" s="1"/>
  <c r="BM49" i="8194"/>
  <c r="AG80" i="8194"/>
  <c r="BO4" i="267"/>
  <c r="BP77" i="8194"/>
  <c r="K71" i="8194"/>
  <c r="K77" i="8194" s="1"/>
  <c r="K48" i="8194"/>
  <c r="BD4" i="267"/>
  <c r="AO4" i="267"/>
  <c r="AP77" i="8194"/>
  <c r="U72" i="8194"/>
  <c r="U78" i="8194" s="1"/>
  <c r="U49" i="8194"/>
  <c r="K4" i="267"/>
  <c r="BF77" i="8194"/>
  <c r="BE4" i="267"/>
  <c r="BR72" i="8194"/>
  <c r="BR78" i="8194" s="1"/>
  <c r="BR82" i="8194" s="1"/>
  <c r="BR49" i="8194"/>
  <c r="AG4" i="267"/>
  <c r="AD72" i="8194"/>
  <c r="AD78" i="8194" s="1"/>
  <c r="AD49" i="8194"/>
  <c r="BK72" i="8194"/>
  <c r="BK78" i="8194" s="1"/>
  <c r="BK82" i="8194" s="1"/>
  <c r="BK49" i="8194"/>
  <c r="AX72" i="8194"/>
  <c r="AX78" i="8194" s="1"/>
  <c r="AX82" i="8194" s="1"/>
  <c r="AX49" i="8194"/>
  <c r="AX4" i="267"/>
  <c r="AR72" i="8194"/>
  <c r="AR78" i="8194" s="1"/>
  <c r="AR49" i="8194"/>
  <c r="BC4" i="267"/>
  <c r="V71" i="8194"/>
  <c r="V77" i="8194" s="1"/>
  <c r="V48" i="8194"/>
  <c r="G78" i="8194"/>
  <c r="G82" i="8194" s="1"/>
  <c r="R78" i="8194"/>
  <c r="AI48" i="8194"/>
  <c r="AI72" i="8194"/>
  <c r="AI78" i="8194" s="1"/>
  <c r="AI49" i="8194"/>
  <c r="W4" i="267"/>
  <c r="X77" i="8194"/>
  <c r="BC71" i="8194"/>
  <c r="BC77" i="8194" s="1"/>
  <c r="BC48" i="8194"/>
  <c r="AK72" i="8194"/>
  <c r="AK78" i="8194" s="1"/>
  <c r="AK49" i="8194"/>
  <c r="E4" i="267"/>
  <c r="AH4" i="267"/>
  <c r="AI77" i="8194"/>
  <c r="AB4" i="267"/>
  <c r="BA4" i="267"/>
  <c r="F71" i="8194"/>
  <c r="F77" i="8194" s="1"/>
  <c r="F48" i="8194"/>
  <c r="AC71" i="8194"/>
  <c r="AC77" i="8194" s="1"/>
  <c r="AC48" i="8194"/>
  <c r="BK71" i="8194"/>
  <c r="BK77" i="8194" s="1"/>
  <c r="BK48" i="8194"/>
  <c r="AN4" i="267"/>
  <c r="O77" i="8194"/>
  <c r="N4" i="267"/>
  <c r="BM71" i="8194"/>
  <c r="BM77" i="8194" s="1"/>
  <c r="BM48" i="8194"/>
  <c r="AR4" i="267"/>
  <c r="J4" i="267"/>
  <c r="AV4" i="267"/>
  <c r="I71" i="8194"/>
  <c r="I77" i="8194" s="1"/>
  <c r="I48" i="8194"/>
  <c r="L71" i="8194"/>
  <c r="L77" i="8194" s="1"/>
  <c r="L48" i="8194"/>
  <c r="AY72" i="8194"/>
  <c r="AY78" i="8194" s="1"/>
  <c r="AY49" i="8194"/>
  <c r="BC72" i="8194"/>
  <c r="BC78" i="8194" s="1"/>
  <c r="BC82" i="8194" s="1"/>
  <c r="BC49" i="8194"/>
  <c r="R77" i="8194"/>
  <c r="Q4" i="267"/>
  <c r="AY4" i="267"/>
  <c r="BB4" i="267"/>
  <c r="AH71" i="8194"/>
  <c r="AH77" i="8194" s="1"/>
  <c r="AH48" i="8194"/>
  <c r="BJ77" i="8194"/>
  <c r="BI4" i="267"/>
  <c r="AM4" i="267"/>
  <c r="AN77" i="8194"/>
  <c r="BH4" i="267"/>
  <c r="K72" i="8194"/>
  <c r="K78" i="8194" s="1"/>
  <c r="K82" i="8194" s="1"/>
  <c r="K49" i="8194"/>
  <c r="BN77" i="8194"/>
  <c r="BM4" i="267"/>
  <c r="AY71" i="8194"/>
  <c r="AY77" i="8194" s="1"/>
  <c r="AY48" i="8194"/>
  <c r="AD4" i="267"/>
  <c r="BD71" i="8194"/>
  <c r="BD77" i="8194" s="1"/>
  <c r="BD48" i="8194"/>
  <c r="AW72" i="8194"/>
  <c r="AW78" i="8194" s="1"/>
  <c r="AW49" i="8194"/>
  <c r="AO78" i="8194"/>
  <c r="BE49" i="8194"/>
  <c r="M48" i="8194"/>
  <c r="AN49" i="8194"/>
  <c r="W78" i="8194"/>
  <c r="BG48" i="8194"/>
  <c r="AJ49" i="8194"/>
  <c r="G49" i="8194"/>
  <c r="AO49" i="8194"/>
  <c r="AB68" i="50872"/>
  <c r="AC68" i="50872" s="1"/>
  <c r="X69" i="50872"/>
  <c r="AB69" i="50872" s="1"/>
  <c r="AC69" i="50872" s="1"/>
  <c r="AQ69" i="4"/>
  <c r="AC67" i="50872"/>
  <c r="P244" i="8194"/>
  <c r="P245" i="8194" s="1"/>
  <c r="P243" i="8194"/>
  <c r="AS36" i="4" l="1"/>
  <c r="P51" i="1"/>
  <c r="Q51" i="1" s="1"/>
  <c r="P49" i="1"/>
  <c r="Q49" i="1" s="1"/>
  <c r="AQ36" i="4"/>
  <c r="P57" i="1"/>
  <c r="Q57" i="1" s="1"/>
  <c r="AY36" i="4"/>
  <c r="P58" i="1"/>
  <c r="Q58" i="1" s="1"/>
  <c r="AZ36" i="4"/>
  <c r="P52" i="1"/>
  <c r="Q52" i="1" s="1"/>
  <c r="AT36" i="4"/>
  <c r="P44" i="1"/>
  <c r="Q44" i="1" s="1"/>
  <c r="AL36" i="4"/>
  <c r="AK36" i="4"/>
  <c r="W126" i="2"/>
  <c r="P43" i="1"/>
  <c r="W127" i="2"/>
  <c r="AV36" i="4"/>
  <c r="P54" i="1"/>
  <c r="Q54" i="1" s="1"/>
  <c r="P53" i="1"/>
  <c r="Q53" i="1" s="1"/>
  <c r="AU36" i="4"/>
  <c r="AM36" i="4"/>
  <c r="P45" i="1"/>
  <c r="Q45" i="1" s="1"/>
  <c r="AX36" i="4"/>
  <c r="P56" i="1"/>
  <c r="Q56" i="1" s="1"/>
  <c r="P47" i="1"/>
  <c r="Q47" i="1" s="1"/>
  <c r="AO36" i="4"/>
  <c r="P46" i="1"/>
  <c r="Q46" i="1" s="1"/>
  <c r="AN36" i="4"/>
  <c r="P48" i="1"/>
  <c r="Q48" i="1" s="1"/>
  <c r="AP36" i="4"/>
  <c r="AR36" i="4"/>
  <c r="P50" i="1"/>
  <c r="Q50" i="1" s="1"/>
  <c r="AW36" i="4"/>
  <c r="P55" i="1"/>
  <c r="Q55" i="1" s="1"/>
  <c r="B137" i="8194"/>
  <c r="B139" i="8194" s="1"/>
  <c r="AV140" i="8194" s="1"/>
  <c r="E10" i="3"/>
  <c r="E11" i="3"/>
  <c r="B72" i="8194"/>
  <c r="B48" i="8194"/>
  <c r="B52" i="8194" s="1"/>
  <c r="AY54" i="8194" s="1"/>
  <c r="AY58" i="8194" s="1"/>
  <c r="B71" i="8194"/>
  <c r="B49" i="8194"/>
  <c r="B53" i="8194" s="1"/>
  <c r="C36" i="8194"/>
  <c r="C37" i="8194"/>
  <c r="AS80" i="8194"/>
  <c r="AF35" i="4"/>
  <c r="AE59" i="4"/>
  <c r="AE76" i="4" s="1"/>
  <c r="AP155" i="8194"/>
  <c r="AP157" i="8194" s="1"/>
  <c r="BD78" i="4"/>
  <c r="AX97" i="2"/>
  <c r="AE63" i="1" s="1"/>
  <c r="N155" i="8194"/>
  <c r="N157" i="8194" s="1"/>
  <c r="AB78" i="4"/>
  <c r="AX69" i="2"/>
  <c r="AE35" i="1" s="1"/>
  <c r="BV78" i="4"/>
  <c r="BF155" i="8194"/>
  <c r="BF157" i="8194" s="1"/>
  <c r="AX113" i="2"/>
  <c r="AE79" i="1" s="1"/>
  <c r="AD53" i="4"/>
  <c r="Y13" i="50872"/>
  <c r="Y25" i="50872" s="1"/>
  <c r="Y9" i="50872"/>
  <c r="Y22" i="50872" s="1"/>
  <c r="AD3" i="4"/>
  <c r="AE38" i="4"/>
  <c r="AE39" i="4" s="1"/>
  <c r="AC4" i="4"/>
  <c r="AC8" i="4" s="1"/>
  <c r="AC6" i="4"/>
  <c r="Z29" i="4"/>
  <c r="Z31" i="4"/>
  <c r="Z30" i="4"/>
  <c r="V30" i="4"/>
  <c r="V29" i="4"/>
  <c r="V31" i="4"/>
  <c r="X29" i="4"/>
  <c r="X30" i="4"/>
  <c r="AA31" i="4"/>
  <c r="AA29" i="4"/>
  <c r="Y29" i="4"/>
  <c r="U29" i="4"/>
  <c r="W30" i="4"/>
  <c r="W31" i="4"/>
  <c r="AB29" i="4"/>
  <c r="AB31" i="4"/>
  <c r="Y14" i="50872"/>
  <c r="Y24" i="50872" s="1"/>
  <c r="Y12" i="50872"/>
  <c r="Y10" i="50872"/>
  <c r="Y21" i="50872" s="1"/>
  <c r="Y8" i="50872"/>
  <c r="X26" i="50872"/>
  <c r="W26" i="50872" s="1"/>
  <c r="Y30" i="4"/>
  <c r="U30" i="4"/>
  <c r="T29" i="4"/>
  <c r="T31" i="4"/>
  <c r="T30" i="4"/>
  <c r="Y20" i="50872"/>
  <c r="Z20" i="50872" s="1"/>
  <c r="AA20" i="50872" s="1"/>
  <c r="AB20" i="50872" s="1"/>
  <c r="AC20" i="50872" s="1"/>
  <c r="W20" i="50872"/>
  <c r="AM11" i="50872"/>
  <c r="AL11" i="50872"/>
  <c r="AK12" i="50872"/>
  <c r="AO11" i="50872"/>
  <c r="AN11" i="50872"/>
  <c r="Z6" i="50872"/>
  <c r="AA5" i="50872"/>
  <c r="AB30" i="4"/>
  <c r="X23" i="50872"/>
  <c r="W23" i="50872" s="1"/>
  <c r="E77" i="8194"/>
  <c r="E81" i="8194" s="1"/>
  <c r="AI80" i="8194"/>
  <c r="Z79" i="8194"/>
  <c r="Z81" i="2" s="1"/>
  <c r="Y5" i="267"/>
  <c r="Y10" i="267" s="1"/>
  <c r="AF80" i="8194"/>
  <c r="BH5" i="267"/>
  <c r="BH10" i="267" s="1"/>
  <c r="BI81" i="8194"/>
  <c r="AW82" i="8194"/>
  <c r="AW80" i="8194"/>
  <c r="AF79" i="8194"/>
  <c r="Z87" i="2" s="1"/>
  <c r="AE5" i="267"/>
  <c r="AE10" i="267" s="1"/>
  <c r="Z80" i="8194"/>
  <c r="BB79" i="8194"/>
  <c r="Z109" i="2" s="1"/>
  <c r="BB81" i="8194"/>
  <c r="BA5" i="267"/>
  <c r="BA10" i="267" s="1"/>
  <c r="AV79" i="8194"/>
  <c r="Z103" i="2" s="1"/>
  <c r="AU5" i="267"/>
  <c r="AU10" i="267" s="1"/>
  <c r="AV81" i="8194"/>
  <c r="AZ79" i="8194"/>
  <c r="Z107" i="2" s="1"/>
  <c r="AZ81" i="8194"/>
  <c r="AY5" i="267"/>
  <c r="AY10" i="267" s="1"/>
  <c r="AY79" i="8194"/>
  <c r="Z106" i="2" s="1"/>
  <c r="AY81" i="8194"/>
  <c r="AX5" i="267"/>
  <c r="AX10" i="267" s="1"/>
  <c r="BC79" i="8194"/>
  <c r="Z110" i="2" s="1"/>
  <c r="BB5" i="267"/>
  <c r="BB10" i="267" s="1"/>
  <c r="BC81" i="8194"/>
  <c r="AD80" i="8194"/>
  <c r="T80" i="8194"/>
  <c r="I81" i="8194"/>
  <c r="H5" i="267"/>
  <c r="H10" i="267" s="1"/>
  <c r="F81" i="8194"/>
  <c r="E5" i="267"/>
  <c r="E10" i="267" s="1"/>
  <c r="BK5" i="267"/>
  <c r="BK10" i="267" s="1"/>
  <c r="BL81" i="8194"/>
  <c r="BD79" i="8194"/>
  <c r="Z111" i="2" s="1"/>
  <c r="BD81" i="8194"/>
  <c r="BC5" i="267"/>
  <c r="BC10" i="267" s="1"/>
  <c r="U80" i="8194"/>
  <c r="Q79" i="8194"/>
  <c r="Z72" i="2" s="1"/>
  <c r="P5" i="267"/>
  <c r="P10" i="267" s="1"/>
  <c r="AL80" i="8194"/>
  <c r="J5" i="267"/>
  <c r="J10" i="267" s="1"/>
  <c r="K81" i="8194"/>
  <c r="AH79" i="8194"/>
  <c r="Z89" i="2" s="1"/>
  <c r="AG5" i="267"/>
  <c r="AG10" i="267" s="1"/>
  <c r="AC79" i="8194"/>
  <c r="Z84" i="2" s="1"/>
  <c r="AB5" i="267"/>
  <c r="AB10" i="267" s="1"/>
  <c r="M5" i="267"/>
  <c r="M10" i="267" s="1"/>
  <c r="N81" i="8194"/>
  <c r="BG5" i="267"/>
  <c r="BG10" i="267" s="1"/>
  <c r="BH81" i="8194"/>
  <c r="AS79" i="8194"/>
  <c r="Z100" i="2" s="1"/>
  <c r="AR5" i="267"/>
  <c r="AR10" i="267" s="1"/>
  <c r="AT80" i="8194"/>
  <c r="O81" i="8194"/>
  <c r="N5" i="267"/>
  <c r="N10" i="267" s="1"/>
  <c r="AY82" i="8194"/>
  <c r="AY80" i="8194"/>
  <c r="AW5" i="267"/>
  <c r="AW10" i="267" s="1"/>
  <c r="AX79" i="8194"/>
  <c r="Z105" i="2" s="1"/>
  <c r="AX81" i="8194"/>
  <c r="S80" i="8194"/>
  <c r="V79" i="8194"/>
  <c r="Z77" i="2" s="1"/>
  <c r="U5" i="267"/>
  <c r="U10" i="267" s="1"/>
  <c r="BJ7" i="267"/>
  <c r="BJ9" i="267"/>
  <c r="AV7" i="267"/>
  <c r="AV9" i="267"/>
  <c r="BK9" i="267"/>
  <c r="BK7" i="267"/>
  <c r="AK9" i="267"/>
  <c r="AK7" i="267"/>
  <c r="AR80" i="8194"/>
  <c r="AU9" i="267"/>
  <c r="AU7" i="267"/>
  <c r="AH7" i="267"/>
  <c r="AH9" i="267"/>
  <c r="AJ79" i="8194"/>
  <c r="Z91" i="2" s="1"/>
  <c r="AI5" i="267"/>
  <c r="AI10" i="267" s="1"/>
  <c r="AJ7" i="267"/>
  <c r="AJ9" i="267"/>
  <c r="BM9" i="267"/>
  <c r="BM7" i="267"/>
  <c r="Q7" i="267"/>
  <c r="Q9" i="267"/>
  <c r="X79" i="8194"/>
  <c r="Z79" i="2" s="1"/>
  <c r="W5" i="267"/>
  <c r="W10" i="267" s="1"/>
  <c r="AX9" i="267"/>
  <c r="AX7" i="267"/>
  <c r="BE79" i="8194"/>
  <c r="Z112" i="2" s="1"/>
  <c r="BE81" i="8194"/>
  <c r="BD5" i="267"/>
  <c r="BD10" i="267" s="1"/>
  <c r="AL9" i="267"/>
  <c r="AL7" i="267"/>
  <c r="AF9" i="267"/>
  <c r="AF7" i="267"/>
  <c r="Y125" i="2"/>
  <c r="BR84" i="8194"/>
  <c r="AZ7" i="267"/>
  <c r="AZ9" i="267"/>
  <c r="Y79" i="8194"/>
  <c r="Z80" i="2" s="1"/>
  <c r="X5" i="267"/>
  <c r="X10" i="267" s="1"/>
  <c r="AQ79" i="8194"/>
  <c r="Z98" i="2" s="1"/>
  <c r="AP5" i="267"/>
  <c r="AP10" i="267" s="1"/>
  <c r="AM9" i="267"/>
  <c r="AM7" i="267"/>
  <c r="AB9" i="267"/>
  <c r="AB7" i="267"/>
  <c r="BD7" i="267"/>
  <c r="BD9" i="267"/>
  <c r="AM79" i="8194"/>
  <c r="Z94" i="2" s="1"/>
  <c r="AL5" i="267"/>
  <c r="AL10" i="267" s="1"/>
  <c r="AR79" i="8194"/>
  <c r="Z99" i="2" s="1"/>
  <c r="AQ5" i="267"/>
  <c r="AQ10" i="267" s="1"/>
  <c r="AV82" i="8194"/>
  <c r="AV80" i="8194"/>
  <c r="AT79" i="8194"/>
  <c r="Z101" i="2" s="1"/>
  <c r="AS5" i="267"/>
  <c r="AS10" i="267" s="1"/>
  <c r="BA81" i="8194"/>
  <c r="BA79" i="8194"/>
  <c r="Z108" i="2" s="1"/>
  <c r="AZ5" i="267"/>
  <c r="AZ10" i="267" s="1"/>
  <c r="AD79" i="8194"/>
  <c r="Z85" i="2" s="1"/>
  <c r="AC5" i="267"/>
  <c r="AC10" i="267" s="1"/>
  <c r="AT7" i="267"/>
  <c r="AT9" i="267"/>
  <c r="H7" i="267"/>
  <c r="H9" i="267"/>
  <c r="Y9" i="267"/>
  <c r="Y7" i="267"/>
  <c r="M81" i="8194"/>
  <c r="L5" i="267"/>
  <c r="L10" i="267" s="1"/>
  <c r="AA80" i="8194"/>
  <c r="AW79" i="8194"/>
  <c r="Z104" i="2" s="1"/>
  <c r="AW81" i="8194"/>
  <c r="AV5" i="267"/>
  <c r="AV10" i="267" s="1"/>
  <c r="E9" i="267"/>
  <c r="E7" i="267"/>
  <c r="BC9" i="267"/>
  <c r="BC7" i="267"/>
  <c r="R9" i="267"/>
  <c r="R7" i="267"/>
  <c r="AJ80" i="8194"/>
  <c r="BL9" i="267"/>
  <c r="BL7" i="267"/>
  <c r="S5" i="267"/>
  <c r="S10" i="267" s="1"/>
  <c r="T79" i="8194"/>
  <c r="Z75" i="2" s="1"/>
  <c r="L81" i="8194"/>
  <c r="K5" i="267"/>
  <c r="K10" i="267" s="1"/>
  <c r="AI7" i="267"/>
  <c r="AI9" i="267"/>
  <c r="Y80" i="8194"/>
  <c r="U79" i="8194"/>
  <c r="Z76" i="2" s="1"/>
  <c r="T5" i="267"/>
  <c r="T10" i="267" s="1"/>
  <c r="BL5" i="267"/>
  <c r="BL10" i="267" s="1"/>
  <c r="BM81" i="8194"/>
  <c r="BQ81" i="8194"/>
  <c r="BP5" i="267"/>
  <c r="BP10" i="267" s="1"/>
  <c r="BK81" i="8194"/>
  <c r="BJ5" i="267"/>
  <c r="BJ10" i="267" s="1"/>
  <c r="BN81" i="8194"/>
  <c r="BM5" i="267"/>
  <c r="BM10" i="267" s="1"/>
  <c r="W7" i="267"/>
  <c r="W9" i="267"/>
  <c r="K9" i="267"/>
  <c r="K7" i="267"/>
  <c r="T9" i="267"/>
  <c r="T7" i="267"/>
  <c r="AP7" i="267"/>
  <c r="AP9" i="267"/>
  <c r="AH5" i="267"/>
  <c r="AH10" i="267" s="1"/>
  <c r="AI79" i="8194"/>
  <c r="Z90" i="2" s="1"/>
  <c r="W80" i="8194"/>
  <c r="AO80" i="8194"/>
  <c r="AM5" i="267"/>
  <c r="AM10" i="267" s="1"/>
  <c r="AN79" i="8194"/>
  <c r="Z95" i="2" s="1"/>
  <c r="AY7" i="267"/>
  <c r="AY9" i="267"/>
  <c r="AR9" i="267"/>
  <c r="AR7" i="267"/>
  <c r="BF81" i="8194"/>
  <c r="BE5" i="267"/>
  <c r="BE10" i="267" s="1"/>
  <c r="AO7" i="267"/>
  <c r="AO9" i="267"/>
  <c r="AA9" i="267"/>
  <c r="AA7" i="267"/>
  <c r="AQ9" i="267"/>
  <c r="AQ7" i="267"/>
  <c r="AC9" i="267"/>
  <c r="AC7" i="267"/>
  <c r="AU79" i="8194"/>
  <c r="Z102" i="2" s="1"/>
  <c r="AT5" i="267"/>
  <c r="AT10" i="267" s="1"/>
  <c r="M9" i="267"/>
  <c r="M7" i="267"/>
  <c r="L7" i="267"/>
  <c r="L9" i="267"/>
  <c r="BO5" i="267"/>
  <c r="BO10" i="267" s="1"/>
  <c r="BP81" i="8194"/>
  <c r="AL79" i="8194"/>
  <c r="Z93" i="2" s="1"/>
  <c r="AK5" i="267"/>
  <c r="AK10" i="267" s="1"/>
  <c r="G81" i="8194"/>
  <c r="F5" i="267"/>
  <c r="F10" i="267" s="1"/>
  <c r="BJ81" i="8194"/>
  <c r="BI5" i="267"/>
  <c r="BI10" i="267" s="1"/>
  <c r="AG7" i="267"/>
  <c r="AG9" i="267"/>
  <c r="X9" i="267"/>
  <c r="X7" i="267"/>
  <c r="BI7" i="267"/>
  <c r="BI9" i="267"/>
  <c r="AS7" i="267"/>
  <c r="AS9" i="267"/>
  <c r="Z7" i="267"/>
  <c r="Z9" i="267"/>
  <c r="AK79" i="8194"/>
  <c r="Z92" i="2" s="1"/>
  <c r="AJ5" i="267"/>
  <c r="AJ10" i="267" s="1"/>
  <c r="AB80" i="8194"/>
  <c r="AU80" i="8194"/>
  <c r="AE79" i="8194"/>
  <c r="Z86" i="2" s="1"/>
  <c r="AD5" i="267"/>
  <c r="AD10" i="267" s="1"/>
  <c r="BH7" i="267"/>
  <c r="BH9" i="267"/>
  <c r="J7" i="267"/>
  <c r="J9" i="267"/>
  <c r="AO79" i="8194"/>
  <c r="Z96" i="2" s="1"/>
  <c r="AN5" i="267"/>
  <c r="AN10" i="267" s="1"/>
  <c r="R80" i="8194"/>
  <c r="BE9" i="267"/>
  <c r="BE7" i="267"/>
  <c r="AP79" i="8194"/>
  <c r="Z97" i="2" s="1"/>
  <c r="AO5" i="267"/>
  <c r="AO10" i="267" s="1"/>
  <c r="AB79" i="8194"/>
  <c r="Z83" i="2" s="1"/>
  <c r="AA5" i="267"/>
  <c r="AA10" i="267" s="1"/>
  <c r="BG81" i="8194"/>
  <c r="BF5" i="267"/>
  <c r="BF10" i="267" s="1"/>
  <c r="W79" i="8194"/>
  <c r="Z78" i="2" s="1"/>
  <c r="V5" i="267"/>
  <c r="V10" i="267" s="1"/>
  <c r="A4" i="267"/>
  <c r="D7" i="267"/>
  <c r="D8" i="267" s="1"/>
  <c r="D9" i="267"/>
  <c r="BN5" i="267"/>
  <c r="BN10" i="267" s="1"/>
  <c r="BO81" i="8194"/>
  <c r="BG7" i="267"/>
  <c r="BG9" i="267"/>
  <c r="AQ80" i="8194"/>
  <c r="AE9" i="267"/>
  <c r="AE7" i="267"/>
  <c r="P79" i="8194"/>
  <c r="Z71" i="2" s="1"/>
  <c r="O5" i="267"/>
  <c r="O10" i="267" s="1"/>
  <c r="P7" i="267"/>
  <c r="P9" i="267"/>
  <c r="AE80" i="8194"/>
  <c r="BP7" i="267"/>
  <c r="BP9" i="267"/>
  <c r="N7" i="267"/>
  <c r="N9" i="267"/>
  <c r="I5" i="267"/>
  <c r="I10" i="267" s="1"/>
  <c r="J81" i="8194"/>
  <c r="H81" i="8194"/>
  <c r="G5" i="267"/>
  <c r="G10" i="267" s="1"/>
  <c r="F7" i="267"/>
  <c r="F9" i="267"/>
  <c r="S7" i="267"/>
  <c r="S9" i="267"/>
  <c r="AK80" i="8194"/>
  <c r="Q5" i="267"/>
  <c r="Q10" i="267" s="1"/>
  <c r="R79" i="8194"/>
  <c r="Z73" i="2" s="1"/>
  <c r="I9" i="267"/>
  <c r="I7" i="267"/>
  <c r="AG79" i="8194"/>
  <c r="Z88" i="2" s="1"/>
  <c r="AF5" i="267"/>
  <c r="AF10" i="267" s="1"/>
  <c r="AH80" i="8194"/>
  <c r="G9" i="267"/>
  <c r="G7" i="267"/>
  <c r="AA79" i="8194"/>
  <c r="Z82" i="2" s="1"/>
  <c r="Z5" i="267"/>
  <c r="Z10" i="267" s="1"/>
  <c r="AC80" i="8194"/>
  <c r="V80" i="8194"/>
  <c r="AD9" i="267"/>
  <c r="AD7" i="267"/>
  <c r="BB9" i="267"/>
  <c r="BB7" i="267"/>
  <c r="AN9" i="267"/>
  <c r="AN7" i="267"/>
  <c r="BA9" i="267"/>
  <c r="BA7" i="267"/>
  <c r="AM80" i="8194"/>
  <c r="BO9" i="267"/>
  <c r="BO7" i="267"/>
  <c r="AW7" i="267"/>
  <c r="AW9" i="267"/>
  <c r="R5" i="267"/>
  <c r="R10" i="267" s="1"/>
  <c r="S79" i="8194"/>
  <c r="Z74" i="2" s="1"/>
  <c r="BF9" i="267"/>
  <c r="BF7" i="267"/>
  <c r="V7" i="267"/>
  <c r="V9" i="267"/>
  <c r="X80" i="8194"/>
  <c r="U7" i="267"/>
  <c r="U9" i="267"/>
  <c r="BN7" i="267"/>
  <c r="BN9" i="267"/>
  <c r="AN80" i="8194"/>
  <c r="O9" i="267"/>
  <c r="O7" i="267"/>
  <c r="E78" i="8194"/>
  <c r="E82" i="8194" s="1"/>
  <c r="AC59" i="50872"/>
  <c r="AC56" i="50872" s="1"/>
  <c r="N56" i="50872" s="1"/>
  <c r="AR69" i="4"/>
  <c r="P246" i="8194"/>
  <c r="P247" i="8194"/>
  <c r="P248" i="8194" s="1"/>
  <c r="CH36" i="4" l="1"/>
  <c r="Q43" i="1"/>
  <c r="P93" i="1"/>
  <c r="T126" i="2"/>
  <c r="V126" i="2"/>
  <c r="AJ126" i="2"/>
  <c r="AD140" i="8194"/>
  <c r="AD142" i="8194" s="1"/>
  <c r="B142" i="8194" s="1"/>
  <c r="B144" i="8194" s="1"/>
  <c r="BB140" i="8194"/>
  <c r="BB142" i="8194" s="1"/>
  <c r="BM140" i="8194"/>
  <c r="BM141" i="8194" s="1"/>
  <c r="BM147" i="8194" s="1"/>
  <c r="AN140" i="8194"/>
  <c r="AN142" i="8194" s="1"/>
  <c r="BN140" i="8194"/>
  <c r="BN141" i="8194" s="1"/>
  <c r="BN147" i="8194" s="1"/>
  <c r="AP140" i="8194"/>
  <c r="AP141" i="8194" s="1"/>
  <c r="AP147" i="8194" s="1"/>
  <c r="AM140" i="8194"/>
  <c r="AM141" i="8194" s="1"/>
  <c r="AM147" i="8194" s="1"/>
  <c r="BL140" i="8194"/>
  <c r="BL141" i="8194" s="1"/>
  <c r="BL147" i="8194" s="1"/>
  <c r="AU140" i="8194"/>
  <c r="AU142" i="8194" s="1"/>
  <c r="AE140" i="8194"/>
  <c r="AE141" i="8194" s="1"/>
  <c r="AE147" i="8194" s="1"/>
  <c r="BR140" i="8194"/>
  <c r="BR141" i="8194" s="1"/>
  <c r="BR147" i="8194" s="1"/>
  <c r="AG140" i="8194"/>
  <c r="AG141" i="8194" s="1"/>
  <c r="AG147" i="8194" s="1"/>
  <c r="AJ140" i="8194"/>
  <c r="AJ141" i="8194" s="1"/>
  <c r="AJ147" i="8194" s="1"/>
  <c r="AR140" i="8194"/>
  <c r="AR141" i="8194" s="1"/>
  <c r="AR147" i="8194" s="1"/>
  <c r="BA140" i="8194"/>
  <c r="BA141" i="8194" s="1"/>
  <c r="BA147" i="8194" s="1"/>
  <c r="AZ140" i="8194"/>
  <c r="AZ142" i="8194" s="1"/>
  <c r="AY140" i="8194"/>
  <c r="AY141" i="8194" s="1"/>
  <c r="AY147" i="8194" s="1"/>
  <c r="AQ140" i="8194"/>
  <c r="AQ142" i="8194" s="1"/>
  <c r="AO140" i="8194"/>
  <c r="AO142" i="8194" s="1"/>
  <c r="AF140" i="8194"/>
  <c r="AF142" i="8194" s="1"/>
  <c r="AK140" i="8194"/>
  <c r="AK141" i="8194" s="1"/>
  <c r="AK147" i="8194" s="1"/>
  <c r="BI140" i="8194"/>
  <c r="BI142" i="8194" s="1"/>
  <c r="BO140" i="8194"/>
  <c r="BO141" i="8194" s="1"/>
  <c r="BO147" i="8194" s="1"/>
  <c r="BH140" i="8194"/>
  <c r="BH141" i="8194" s="1"/>
  <c r="BH147" i="8194" s="1"/>
  <c r="AX140" i="8194"/>
  <c r="AX142" i="8194" s="1"/>
  <c r="BK140" i="8194"/>
  <c r="BK142" i="8194" s="1"/>
  <c r="AW140" i="8194"/>
  <c r="AW141" i="8194" s="1"/>
  <c r="AW147" i="8194" s="1"/>
  <c r="BC140" i="8194"/>
  <c r="BC142" i="8194" s="1"/>
  <c r="BJ140" i="8194"/>
  <c r="BJ142" i="8194" s="1"/>
  <c r="BF140" i="8194"/>
  <c r="BF141" i="8194" s="1"/>
  <c r="BF147" i="8194" s="1"/>
  <c r="BD140" i="8194"/>
  <c r="BD142" i="8194" s="1"/>
  <c r="AI140" i="8194"/>
  <c r="AI141" i="8194" s="1"/>
  <c r="AI147" i="8194" s="1"/>
  <c r="BG140" i="8194"/>
  <c r="BG141" i="8194" s="1"/>
  <c r="BG147" i="8194" s="1"/>
  <c r="AT140" i="8194"/>
  <c r="AT142" i="8194" s="1"/>
  <c r="BE140" i="8194"/>
  <c r="BE142" i="8194" s="1"/>
  <c r="AS140" i="8194"/>
  <c r="AS141" i="8194" s="1"/>
  <c r="AS147" i="8194" s="1"/>
  <c r="AH140" i="8194"/>
  <c r="AH142" i="8194" s="1"/>
  <c r="BP140" i="8194"/>
  <c r="BP141" i="8194" s="1"/>
  <c r="BP147" i="8194" s="1"/>
  <c r="BQ140" i="8194"/>
  <c r="BQ141" i="8194" s="1"/>
  <c r="BQ147" i="8194" s="1"/>
  <c r="AL140" i="8194"/>
  <c r="AL142" i="8194" s="1"/>
  <c r="AV142" i="8194"/>
  <c r="AV141" i="8194"/>
  <c r="AV147" i="8194" s="1"/>
  <c r="E8" i="267"/>
  <c r="F8" i="267" s="1"/>
  <c r="G8" i="267" s="1"/>
  <c r="H8" i="267" s="1"/>
  <c r="I8" i="267" s="1"/>
  <c r="J8" i="267" s="1"/>
  <c r="K8" i="267" s="1"/>
  <c r="L8" i="267" s="1"/>
  <c r="M8" i="267" s="1"/>
  <c r="N8" i="267" s="1"/>
  <c r="O8" i="267" s="1"/>
  <c r="P8" i="267" s="1"/>
  <c r="Q8" i="267" s="1"/>
  <c r="R8" i="267" s="1"/>
  <c r="S8" i="267" s="1"/>
  <c r="T8" i="267" s="1"/>
  <c r="U8" i="267" s="1"/>
  <c r="V8" i="267" s="1"/>
  <c r="W8" i="267" s="1"/>
  <c r="X8" i="267" s="1"/>
  <c r="Y8" i="267" s="1"/>
  <c r="Z8" i="267" s="1"/>
  <c r="AA8" i="267" s="1"/>
  <c r="AB8" i="267" s="1"/>
  <c r="AC8" i="267" s="1"/>
  <c r="AD8" i="267" s="1"/>
  <c r="AE8" i="267" s="1"/>
  <c r="AF8" i="267" s="1"/>
  <c r="AG8" i="267" s="1"/>
  <c r="AH8" i="267" s="1"/>
  <c r="AI8" i="267" s="1"/>
  <c r="AJ8" i="267" s="1"/>
  <c r="AK8" i="267" s="1"/>
  <c r="AL8" i="267" s="1"/>
  <c r="AM8" i="267" s="1"/>
  <c r="AN8" i="267" s="1"/>
  <c r="AO8" i="267" s="1"/>
  <c r="AP8" i="267" s="1"/>
  <c r="AQ8" i="267" s="1"/>
  <c r="AR8" i="267" s="1"/>
  <c r="AS8" i="267" s="1"/>
  <c r="AT8" i="267" s="1"/>
  <c r="AU8" i="267" s="1"/>
  <c r="AV8" i="267" s="1"/>
  <c r="AW8" i="267" s="1"/>
  <c r="AX8" i="267" s="1"/>
  <c r="AY8" i="267" s="1"/>
  <c r="AZ8" i="267" s="1"/>
  <c r="BA8" i="267" s="1"/>
  <c r="BB8" i="267" s="1"/>
  <c r="BC8" i="267" s="1"/>
  <c r="BD8" i="267" s="1"/>
  <c r="BE8" i="267" s="1"/>
  <c r="BF8" i="267" s="1"/>
  <c r="BG8" i="267" s="1"/>
  <c r="BH8" i="267" s="1"/>
  <c r="BI8" i="267" s="1"/>
  <c r="BJ8" i="267" s="1"/>
  <c r="BK8" i="267" s="1"/>
  <c r="BL8" i="267" s="1"/>
  <c r="BM8" i="267" s="1"/>
  <c r="BN8" i="267" s="1"/>
  <c r="BO8" i="267" s="1"/>
  <c r="BP8" i="267" s="1"/>
  <c r="O39" i="1"/>
  <c r="AA39" i="1" s="1"/>
  <c r="Z39" i="1"/>
  <c r="Z53" i="1"/>
  <c r="O53" i="1"/>
  <c r="AA53" i="1" s="1"/>
  <c r="Z40" i="1"/>
  <c r="O40" i="1"/>
  <c r="AA40" i="1" s="1"/>
  <c r="O60" i="1"/>
  <c r="AA60" i="1" s="1"/>
  <c r="Z60" i="1"/>
  <c r="Z78" i="1"/>
  <c r="O78" i="1"/>
  <c r="AA78" i="1" s="1"/>
  <c r="Z76" i="1"/>
  <c r="O76" i="1"/>
  <c r="AA76" i="1" s="1"/>
  <c r="O52" i="1"/>
  <c r="AA52" i="1" s="1"/>
  <c r="Z52" i="1"/>
  <c r="O56" i="1"/>
  <c r="AA56" i="1" s="1"/>
  <c r="Z56" i="1"/>
  <c r="O51" i="1"/>
  <c r="AA51" i="1" s="1"/>
  <c r="Z51" i="1"/>
  <c r="Z71" i="1"/>
  <c r="O71" i="1"/>
  <c r="AA71" i="1" s="1"/>
  <c r="O77" i="1"/>
  <c r="AA77" i="1" s="1"/>
  <c r="Z77" i="1"/>
  <c r="O72" i="1"/>
  <c r="AA72" i="1" s="1"/>
  <c r="Z72" i="1"/>
  <c r="O49" i="1"/>
  <c r="AA49" i="1" s="1"/>
  <c r="Z49" i="1"/>
  <c r="Z54" i="1"/>
  <c r="O54" i="1"/>
  <c r="AA54" i="1" s="1"/>
  <c r="O62" i="1"/>
  <c r="AA62" i="1" s="1"/>
  <c r="Z62" i="1"/>
  <c r="O68" i="1"/>
  <c r="AA68" i="1" s="1"/>
  <c r="Z68" i="1"/>
  <c r="Z61" i="1"/>
  <c r="O61" i="1"/>
  <c r="AA61" i="1" s="1"/>
  <c r="Z46" i="1"/>
  <c r="O46" i="1"/>
  <c r="AA46" i="1" s="1"/>
  <c r="Z45" i="1"/>
  <c r="O45" i="1"/>
  <c r="AA45" i="1" s="1"/>
  <c r="O50" i="1"/>
  <c r="AA50" i="1" s="1"/>
  <c r="Z50" i="1"/>
  <c r="Z75" i="1"/>
  <c r="O75" i="1"/>
  <c r="AA75" i="1" s="1"/>
  <c r="O44" i="1"/>
  <c r="AA44" i="1" s="1"/>
  <c r="Z44" i="1"/>
  <c r="Z63" i="1"/>
  <c r="O63" i="1"/>
  <c r="AA63" i="1" s="1"/>
  <c r="Z70" i="1"/>
  <c r="O70" i="1"/>
  <c r="AA70" i="1" s="1"/>
  <c r="Z74" i="1"/>
  <c r="O74" i="1"/>
  <c r="AA74" i="1" s="1"/>
  <c r="Z66" i="1"/>
  <c r="O66" i="1"/>
  <c r="AA66" i="1" s="1"/>
  <c r="Z38" i="1"/>
  <c r="O38" i="1"/>
  <c r="AA38" i="1" s="1"/>
  <c r="O67" i="1"/>
  <c r="AA67" i="1" s="1"/>
  <c r="Z67" i="1"/>
  <c r="O59" i="1"/>
  <c r="AA59" i="1" s="1"/>
  <c r="Z59" i="1"/>
  <c r="O64" i="1"/>
  <c r="AA64" i="1" s="1"/>
  <c r="Z64" i="1"/>
  <c r="O47" i="1"/>
  <c r="AA47" i="1" s="1"/>
  <c r="Z47" i="1"/>
  <c r="Z48" i="1"/>
  <c r="O48" i="1"/>
  <c r="AA48" i="1" s="1"/>
  <c r="O37" i="1"/>
  <c r="AA37" i="1" s="1"/>
  <c r="Z37" i="1"/>
  <c r="O65" i="1"/>
  <c r="AA65" i="1" s="1"/>
  <c r="Z65" i="1"/>
  <c r="Z57" i="1"/>
  <c r="O57" i="1"/>
  <c r="AA57" i="1" s="1"/>
  <c r="Z73" i="1"/>
  <c r="O73" i="1"/>
  <c r="AA73" i="1" s="1"/>
  <c r="O58" i="1"/>
  <c r="AA58" i="1" s="1"/>
  <c r="Z58" i="1"/>
  <c r="O69" i="1"/>
  <c r="AA69" i="1" s="1"/>
  <c r="Z69" i="1"/>
  <c r="Z42" i="1"/>
  <c r="O42" i="1"/>
  <c r="AA42" i="1" s="1"/>
  <c r="Z41" i="1"/>
  <c r="O41" i="1"/>
  <c r="AA41" i="1" s="1"/>
  <c r="O43" i="1"/>
  <c r="AA43" i="1" s="1"/>
  <c r="Z43" i="1"/>
  <c r="Z55" i="1"/>
  <c r="O55" i="1"/>
  <c r="AA55" i="1" s="1"/>
  <c r="AJ73" i="2"/>
  <c r="V73" i="2"/>
  <c r="T73" i="2"/>
  <c r="AJ74" i="2"/>
  <c r="V74" i="2"/>
  <c r="T74" i="2"/>
  <c r="T94" i="2"/>
  <c r="AJ94" i="2"/>
  <c r="V94" i="2"/>
  <c r="V112" i="2"/>
  <c r="AJ112" i="2"/>
  <c r="T112" i="2"/>
  <c r="T110" i="2"/>
  <c r="AJ110" i="2"/>
  <c r="V110" i="2"/>
  <c r="V101" i="2"/>
  <c r="AJ101" i="2"/>
  <c r="T101" i="2"/>
  <c r="V87" i="2"/>
  <c r="AJ87" i="2"/>
  <c r="T87" i="2"/>
  <c r="T93" i="2"/>
  <c r="AJ93" i="2"/>
  <c r="V93" i="2"/>
  <c r="V98" i="2"/>
  <c r="T98" i="2"/>
  <c r="AJ98" i="2"/>
  <c r="V81" i="2"/>
  <c r="T81" i="2"/>
  <c r="AJ81" i="2"/>
  <c r="V86" i="2"/>
  <c r="AJ86" i="2"/>
  <c r="T86" i="2"/>
  <c r="T90" i="2"/>
  <c r="AJ90" i="2"/>
  <c r="V90" i="2"/>
  <c r="AJ85" i="2"/>
  <c r="T85" i="2"/>
  <c r="V85" i="2"/>
  <c r="T105" i="2"/>
  <c r="V105" i="2"/>
  <c r="AJ105" i="2"/>
  <c r="V111" i="2"/>
  <c r="T111" i="2"/>
  <c r="AJ111" i="2"/>
  <c r="T106" i="2"/>
  <c r="AJ106" i="2"/>
  <c r="V106" i="2"/>
  <c r="V92" i="2"/>
  <c r="AJ92" i="2"/>
  <c r="T92" i="2"/>
  <c r="AJ88" i="2"/>
  <c r="T88" i="2"/>
  <c r="V88" i="2"/>
  <c r="AJ96" i="2"/>
  <c r="T96" i="2"/>
  <c r="V96" i="2"/>
  <c r="T102" i="2"/>
  <c r="AJ102" i="2"/>
  <c r="V102" i="2"/>
  <c r="T95" i="2"/>
  <c r="AJ95" i="2"/>
  <c r="V95" i="2"/>
  <c r="AJ80" i="2"/>
  <c r="T80" i="2"/>
  <c r="V80" i="2"/>
  <c r="T79" i="2"/>
  <c r="V79" i="2"/>
  <c r="AJ79" i="2"/>
  <c r="T84" i="2"/>
  <c r="AJ84" i="2"/>
  <c r="V84" i="2"/>
  <c r="AJ109" i="2"/>
  <c r="T109" i="2"/>
  <c r="V109" i="2"/>
  <c r="AJ78" i="2"/>
  <c r="T78" i="2"/>
  <c r="V78" i="2"/>
  <c r="T97" i="2"/>
  <c r="AJ97" i="2"/>
  <c r="V97" i="2"/>
  <c r="T104" i="2"/>
  <c r="V104" i="2"/>
  <c r="AJ104" i="2"/>
  <c r="V108" i="2"/>
  <c r="AJ108" i="2"/>
  <c r="T108" i="2"/>
  <c r="V100" i="2"/>
  <c r="AJ100" i="2"/>
  <c r="T100" i="2"/>
  <c r="AJ72" i="2"/>
  <c r="V72" i="2"/>
  <c r="T72" i="2"/>
  <c r="AJ103" i="2"/>
  <c r="T103" i="2"/>
  <c r="V103" i="2"/>
  <c r="V82" i="2"/>
  <c r="AJ82" i="2"/>
  <c r="T82" i="2"/>
  <c r="V71" i="2"/>
  <c r="AJ71" i="2"/>
  <c r="T71" i="2"/>
  <c r="V99" i="2"/>
  <c r="T99" i="2"/>
  <c r="AJ99" i="2"/>
  <c r="V91" i="2"/>
  <c r="AJ91" i="2"/>
  <c r="T91" i="2"/>
  <c r="V107" i="2"/>
  <c r="T107" i="2"/>
  <c r="AJ107" i="2"/>
  <c r="AJ83" i="2"/>
  <c r="T83" i="2"/>
  <c r="V83" i="2"/>
  <c r="T76" i="2"/>
  <c r="AJ76" i="2"/>
  <c r="V76" i="2"/>
  <c r="Z130" i="2"/>
  <c r="AJ75" i="2"/>
  <c r="V75" i="2"/>
  <c r="T75" i="2"/>
  <c r="V77" i="2"/>
  <c r="AJ77" i="2"/>
  <c r="T77" i="2"/>
  <c r="AJ89" i="2"/>
  <c r="V89" i="2"/>
  <c r="T89" i="2"/>
  <c r="S18" i="50873"/>
  <c r="AF59" i="4"/>
  <c r="AF76" i="4" s="1"/>
  <c r="AG35" i="4"/>
  <c r="BC78" i="4"/>
  <c r="AX96" i="2"/>
  <c r="AE62" i="1" s="1"/>
  <c r="AO155" i="8194"/>
  <c r="AO157" i="8194" s="1"/>
  <c r="M155" i="8194"/>
  <c r="M157" i="8194" s="1"/>
  <c r="AX68" i="2"/>
  <c r="AE34" i="1" s="1"/>
  <c r="AA78" i="4"/>
  <c r="AX114" i="2"/>
  <c r="AE80" i="1" s="1"/>
  <c r="BW78" i="4"/>
  <c r="BG155" i="8194"/>
  <c r="BG157" i="8194" s="1"/>
  <c r="AE53" i="4"/>
  <c r="Z13" i="50872"/>
  <c r="Z25" i="50872" s="1"/>
  <c r="Z26" i="50872" s="1"/>
  <c r="Z9" i="50872"/>
  <c r="Z22" i="50872" s="1"/>
  <c r="Z23" i="50872" s="1"/>
  <c r="AE3" i="4"/>
  <c r="AF38" i="4"/>
  <c r="AF39" i="4" s="1"/>
  <c r="AD6" i="4"/>
  <c r="AD4" i="4"/>
  <c r="AD8" i="4" s="1"/>
  <c r="AC32" i="4"/>
  <c r="AC31" i="4" s="1"/>
  <c r="AG21" i="50872"/>
  <c r="W21" i="50872" s="1"/>
  <c r="AE21" i="50872"/>
  <c r="AE24" i="50872" s="1"/>
  <c r="Y23" i="50872"/>
  <c r="W22" i="50872"/>
  <c r="W25" i="50872"/>
  <c r="AN12" i="50872"/>
  <c r="AM12" i="50872"/>
  <c r="AL12" i="50872"/>
  <c r="AK13" i="50872"/>
  <c r="AO12" i="50872"/>
  <c r="Z8" i="50872"/>
  <c r="Z12" i="50872"/>
  <c r="Z14" i="50872"/>
  <c r="Z24" i="50872" s="1"/>
  <c r="Z10" i="50872"/>
  <c r="Z21" i="50872" s="1"/>
  <c r="AG24" i="50872"/>
  <c r="W24" i="50872" s="1"/>
  <c r="AB5" i="50872"/>
  <c r="AB6" i="50872" s="1"/>
  <c r="AA6" i="50872"/>
  <c r="Y26" i="50872"/>
  <c r="AU54" i="8194"/>
  <c r="AU58" i="8194" s="1"/>
  <c r="AS54" i="8194"/>
  <c r="AS58" i="8194" s="1"/>
  <c r="AH54" i="8194"/>
  <c r="AH58" i="8194" s="1"/>
  <c r="V54" i="8194"/>
  <c r="V58" i="8194" s="1"/>
  <c r="BR54" i="8194"/>
  <c r="BR58" i="8194" s="1"/>
  <c r="BQ54" i="8194"/>
  <c r="BQ58" i="8194" s="1"/>
  <c r="BC54" i="8194"/>
  <c r="BC58" i="8194" s="1"/>
  <c r="G54" i="8194"/>
  <c r="G58" i="8194" s="1"/>
  <c r="BE54" i="8194"/>
  <c r="BE58" i="8194" s="1"/>
  <c r="AK54" i="8194"/>
  <c r="AK58" i="8194" s="1"/>
  <c r="M54" i="8194"/>
  <c r="M58" i="8194" s="1"/>
  <c r="X54" i="8194"/>
  <c r="X58" i="8194" s="1"/>
  <c r="AJ54" i="8194"/>
  <c r="AJ58" i="8194" s="1"/>
  <c r="BD54" i="8194"/>
  <c r="BD58" i="8194" s="1"/>
  <c r="AT54" i="8194"/>
  <c r="AT58" i="8194" s="1"/>
  <c r="R54" i="8194"/>
  <c r="R58" i="8194" s="1"/>
  <c r="E54" i="8194"/>
  <c r="E58" i="8194" s="1"/>
  <c r="BL54" i="8194"/>
  <c r="BL58" i="8194" s="1"/>
  <c r="AL54" i="8194"/>
  <c r="AL58" i="8194" s="1"/>
  <c r="I54" i="8194"/>
  <c r="I58" i="8194" s="1"/>
  <c r="AW54" i="8194"/>
  <c r="AW58" i="8194" s="1"/>
  <c r="AQ54" i="8194"/>
  <c r="AQ58" i="8194" s="1"/>
  <c r="O54" i="8194"/>
  <c r="O58" i="8194" s="1"/>
  <c r="AD54" i="8194"/>
  <c r="AD58" i="8194" s="1"/>
  <c r="BJ54" i="8194"/>
  <c r="BJ58" i="8194" s="1"/>
  <c r="BG54" i="8194"/>
  <c r="BG58" i="8194" s="1"/>
  <c r="AC54" i="8194"/>
  <c r="AC58" i="8194" s="1"/>
  <c r="BK54" i="8194"/>
  <c r="BK58" i="8194" s="1"/>
  <c r="W54" i="8194"/>
  <c r="W58" i="8194" s="1"/>
  <c r="BF54" i="8194"/>
  <c r="BF58" i="8194" s="1"/>
  <c r="AX54" i="8194"/>
  <c r="AX58" i="8194" s="1"/>
  <c r="BP54" i="8194"/>
  <c r="BP58" i="8194" s="1"/>
  <c r="U54" i="8194"/>
  <c r="U58" i="8194" s="1"/>
  <c r="AA54" i="8194"/>
  <c r="AA58" i="8194" s="1"/>
  <c r="N54" i="8194"/>
  <c r="N58" i="8194" s="1"/>
  <c r="BB54" i="8194"/>
  <c r="BB58" i="8194" s="1"/>
  <c r="T54" i="8194"/>
  <c r="T58" i="8194" s="1"/>
  <c r="J54" i="8194"/>
  <c r="J58" i="8194" s="1"/>
  <c r="P54" i="8194"/>
  <c r="P58" i="8194" s="1"/>
  <c r="BA54" i="8194"/>
  <c r="BA58" i="8194" s="1"/>
  <c r="AG54" i="8194"/>
  <c r="AG58" i="8194" s="1"/>
  <c r="AR54" i="8194"/>
  <c r="AR58" i="8194" s="1"/>
  <c r="D5" i="267"/>
  <c r="A5" i="267" s="1"/>
  <c r="AO54" i="8194"/>
  <c r="AO58" i="8194" s="1"/>
  <c r="L54" i="8194"/>
  <c r="L58" i="8194" s="1"/>
  <c r="BO54" i="8194"/>
  <c r="BO58" i="8194" s="1"/>
  <c r="AF54" i="8194"/>
  <c r="AF58" i="8194" s="1"/>
  <c r="AM54" i="8194"/>
  <c r="AM58" i="8194" s="1"/>
  <c r="AI54" i="8194"/>
  <c r="AI58" i="8194" s="1"/>
  <c r="AN54" i="8194"/>
  <c r="AN58" i="8194" s="1"/>
  <c r="S54" i="8194"/>
  <c r="S58" i="8194" s="1"/>
  <c r="H54" i="8194"/>
  <c r="H58" i="8194" s="1"/>
  <c r="BN54" i="8194"/>
  <c r="BN58" i="8194" s="1"/>
  <c r="Z54" i="8194"/>
  <c r="Z58" i="8194" s="1"/>
  <c r="AZ54" i="8194"/>
  <c r="AZ58" i="8194" s="1"/>
  <c r="K54" i="8194"/>
  <c r="K58" i="8194" s="1"/>
  <c r="F54" i="8194"/>
  <c r="F58" i="8194" s="1"/>
  <c r="AE54" i="8194"/>
  <c r="AE58" i="8194" s="1"/>
  <c r="BH54" i="8194"/>
  <c r="BH58" i="8194" s="1"/>
  <c r="AV54" i="8194"/>
  <c r="AV58" i="8194" s="1"/>
  <c r="BI54" i="8194"/>
  <c r="BI58" i="8194" s="1"/>
  <c r="Y54" i="8194"/>
  <c r="Y58" i="8194" s="1"/>
  <c r="AP54" i="8194"/>
  <c r="AP58" i="8194" s="1"/>
  <c r="Q54" i="8194"/>
  <c r="Q58" i="8194" s="1"/>
  <c r="BM54" i="8194"/>
  <c r="BM58" i="8194" s="1"/>
  <c r="AB54" i="8194"/>
  <c r="AB58" i="8194" s="1"/>
  <c r="AR13" i="267"/>
  <c r="AV100" i="2"/>
  <c r="Y116" i="2"/>
  <c r="BI84" i="8194"/>
  <c r="BH11" i="267"/>
  <c r="BH16" i="267" s="1"/>
  <c r="BF11" i="267"/>
  <c r="BF16" i="267" s="1"/>
  <c r="BG84" i="8194"/>
  <c r="Y114" i="2"/>
  <c r="Y109" i="2"/>
  <c r="BA11" i="267"/>
  <c r="AV13" i="267"/>
  <c r="AV104" i="2"/>
  <c r="AW84" i="8194"/>
  <c r="Y106" i="2"/>
  <c r="AX11" i="267"/>
  <c r="Y104" i="2"/>
  <c r="AV11" i="267"/>
  <c r="AV85" i="2"/>
  <c r="AC13" i="267"/>
  <c r="AV105" i="2"/>
  <c r="AW13" i="267"/>
  <c r="AX84" i="8194"/>
  <c r="Y64" i="2"/>
  <c r="I84" i="8194"/>
  <c r="H11" i="267"/>
  <c r="H16" i="267" s="1"/>
  <c r="AV103" i="2"/>
  <c r="AU13" i="267"/>
  <c r="AV84" i="8194"/>
  <c r="AE13" i="267"/>
  <c r="AV87" i="2"/>
  <c r="AV88" i="2"/>
  <c r="AF13" i="267"/>
  <c r="AN13" i="267"/>
  <c r="AV96" i="2"/>
  <c r="BP84" i="8194"/>
  <c r="BO11" i="267"/>
  <c r="BO16" i="267" s="1"/>
  <c r="Y123" i="2"/>
  <c r="BK84" i="8194"/>
  <c r="Y118" i="2"/>
  <c r="BJ11" i="267"/>
  <c r="BJ16" i="267" s="1"/>
  <c r="L11" i="267"/>
  <c r="L16" i="267" s="1"/>
  <c r="Y68" i="2"/>
  <c r="M84" i="8194"/>
  <c r="AP13" i="267"/>
  <c r="AV98" i="2"/>
  <c r="AW11" i="267"/>
  <c r="Y105" i="2"/>
  <c r="K84" i="8194"/>
  <c r="J11" i="267"/>
  <c r="J16" i="267" s="1"/>
  <c r="Y66" i="2"/>
  <c r="AV110" i="2"/>
  <c r="BB13" i="267"/>
  <c r="BC84" i="8194"/>
  <c r="R13" i="267"/>
  <c r="AV74" i="2"/>
  <c r="G84" i="8194"/>
  <c r="Y62" i="2"/>
  <c r="F11" i="267"/>
  <c r="F16" i="267" s="1"/>
  <c r="AM13" i="267"/>
  <c r="AV95" i="2"/>
  <c r="AV91" i="2"/>
  <c r="AI13" i="267"/>
  <c r="AV111" i="2"/>
  <c r="BC13" i="267"/>
  <c r="BD84" i="8194"/>
  <c r="BN11" i="267"/>
  <c r="BN16" i="267" s="1"/>
  <c r="Y122" i="2"/>
  <c r="BO84" i="8194"/>
  <c r="Y117" i="2"/>
  <c r="BI11" i="267"/>
  <c r="BI16" i="267" s="1"/>
  <c r="BJ84" i="8194"/>
  <c r="V13" i="267"/>
  <c r="AV78" i="2"/>
  <c r="Y65" i="2"/>
  <c r="I11" i="267"/>
  <c r="I16" i="267" s="1"/>
  <c r="J84" i="8194"/>
  <c r="AV86" i="2"/>
  <c r="AD13" i="267"/>
  <c r="T13" i="267"/>
  <c r="AV76" i="2"/>
  <c r="S13" i="267"/>
  <c r="AV75" i="2"/>
  <c r="AV101" i="2"/>
  <c r="AS13" i="267"/>
  <c r="S91" i="1"/>
  <c r="X91" i="1"/>
  <c r="AF125" i="2"/>
  <c r="Y69" i="2"/>
  <c r="N84" i="8194"/>
  <c r="M11" i="267"/>
  <c r="M16" i="267" s="1"/>
  <c r="Y61" i="2"/>
  <c r="E11" i="267"/>
  <c r="E16" i="267" s="1"/>
  <c r="F84" i="8194"/>
  <c r="Y103" i="2"/>
  <c r="AU11" i="267"/>
  <c r="AV102" i="2"/>
  <c r="AT13" i="267"/>
  <c r="AZ11" i="267"/>
  <c r="Y108" i="2"/>
  <c r="AV90" i="2"/>
  <c r="AH13" i="267"/>
  <c r="AV84" i="2"/>
  <c r="AB13" i="267"/>
  <c r="AV106" i="2"/>
  <c r="AX13" i="267"/>
  <c r="AY84" i="8194"/>
  <c r="AV79" i="2"/>
  <c r="W13" i="267"/>
  <c r="H84" i="8194"/>
  <c r="Y63" i="2"/>
  <c r="G11" i="267"/>
  <c r="G16" i="267" s="1"/>
  <c r="AV93" i="2"/>
  <c r="AK13" i="267"/>
  <c r="BF84" i="8194"/>
  <c r="Y113" i="2"/>
  <c r="BE11" i="267"/>
  <c r="BE16" i="267" s="1"/>
  <c r="BM11" i="267"/>
  <c r="BM16" i="267" s="1"/>
  <c r="BN84" i="8194"/>
  <c r="Y121" i="2"/>
  <c r="D11" i="267"/>
  <c r="E84" i="8194"/>
  <c r="Y60" i="2"/>
  <c r="AV94" i="2"/>
  <c r="AL13" i="267"/>
  <c r="AV112" i="2"/>
  <c r="BD13" i="267"/>
  <c r="BE84" i="8194"/>
  <c r="O84" i="8194"/>
  <c r="Y70" i="2"/>
  <c r="N11" i="267"/>
  <c r="N16" i="267" s="1"/>
  <c r="AG13" i="267"/>
  <c r="AV89" i="2"/>
  <c r="Y110" i="2"/>
  <c r="BB11" i="267"/>
  <c r="AY13" i="267"/>
  <c r="AV107" i="2"/>
  <c r="AZ84" i="8194"/>
  <c r="AV99" i="2"/>
  <c r="AQ13" i="267"/>
  <c r="BK11" i="267"/>
  <c r="BK16" i="267" s="1"/>
  <c r="BL84" i="8194"/>
  <c r="Y119" i="2"/>
  <c r="AV109" i="2"/>
  <c r="BA13" i="267"/>
  <c r="BB84" i="8194"/>
  <c r="BL11" i="267"/>
  <c r="BL16" i="267" s="1"/>
  <c r="BM84" i="8194"/>
  <c r="Y120" i="2"/>
  <c r="AV108" i="2"/>
  <c r="AZ13" i="267"/>
  <c r="BA84" i="8194"/>
  <c r="AV82" i="2"/>
  <c r="Z13" i="267"/>
  <c r="AV71" i="2"/>
  <c r="O13" i="267"/>
  <c r="BP11" i="267"/>
  <c r="BP16" i="267" s="1"/>
  <c r="Y124" i="2"/>
  <c r="BQ84" i="8194"/>
  <c r="AV80" i="2"/>
  <c r="X13" i="267"/>
  <c r="Y111" i="2"/>
  <c r="BC11" i="267"/>
  <c r="Y13" i="267"/>
  <c r="AV81" i="2"/>
  <c r="AO13" i="267"/>
  <c r="AV97" i="2"/>
  <c r="Q13" i="267"/>
  <c r="AV73" i="2"/>
  <c r="AV83" i="2"/>
  <c r="AA13" i="267"/>
  <c r="AJ13" i="267"/>
  <c r="AV92" i="2"/>
  <c r="L84" i="8194"/>
  <c r="Y67" i="2"/>
  <c r="K11" i="267"/>
  <c r="K16" i="267" s="1"/>
  <c r="AO55" i="8194"/>
  <c r="AO59" i="8194" s="1"/>
  <c r="AN55" i="8194"/>
  <c r="AN59" i="8194" s="1"/>
  <c r="AS55" i="8194"/>
  <c r="AS59" i="8194" s="1"/>
  <c r="J55" i="8194"/>
  <c r="J59" i="8194" s="1"/>
  <c r="H55" i="8194"/>
  <c r="H59" i="8194" s="1"/>
  <c r="AD55" i="8194"/>
  <c r="AD59" i="8194" s="1"/>
  <c r="U55" i="8194"/>
  <c r="U59" i="8194" s="1"/>
  <c r="L55" i="8194"/>
  <c r="L59" i="8194" s="1"/>
  <c r="AK55" i="8194"/>
  <c r="AK59" i="8194" s="1"/>
  <c r="W55" i="8194"/>
  <c r="W59" i="8194" s="1"/>
  <c r="V55" i="8194"/>
  <c r="V59" i="8194" s="1"/>
  <c r="BK55" i="8194"/>
  <c r="BK59" i="8194" s="1"/>
  <c r="BF55" i="8194"/>
  <c r="BF59" i="8194" s="1"/>
  <c r="AC55" i="8194"/>
  <c r="AC59" i="8194" s="1"/>
  <c r="G55" i="8194"/>
  <c r="G59" i="8194" s="1"/>
  <c r="I55" i="8194"/>
  <c r="I59" i="8194" s="1"/>
  <c r="AH55" i="8194"/>
  <c r="AH59" i="8194" s="1"/>
  <c r="Z55" i="8194"/>
  <c r="Z59" i="8194" s="1"/>
  <c r="BJ55" i="8194"/>
  <c r="BJ59" i="8194" s="1"/>
  <c r="AT55" i="8194"/>
  <c r="AT59" i="8194" s="1"/>
  <c r="AJ55" i="8194"/>
  <c r="AJ59" i="8194" s="1"/>
  <c r="AV55" i="8194"/>
  <c r="AV59" i="8194" s="1"/>
  <c r="BM55" i="8194"/>
  <c r="BM59" i="8194" s="1"/>
  <c r="AA55" i="8194"/>
  <c r="AA59" i="8194" s="1"/>
  <c r="BQ55" i="8194"/>
  <c r="BQ59" i="8194" s="1"/>
  <c r="K55" i="8194"/>
  <c r="K59" i="8194" s="1"/>
  <c r="BN55" i="8194"/>
  <c r="BN59" i="8194" s="1"/>
  <c r="AU55" i="8194"/>
  <c r="AU59" i="8194" s="1"/>
  <c r="AM55" i="8194"/>
  <c r="AM59" i="8194" s="1"/>
  <c r="O55" i="8194"/>
  <c r="O59" i="8194" s="1"/>
  <c r="R55" i="8194"/>
  <c r="R59" i="8194" s="1"/>
  <c r="AF55" i="8194"/>
  <c r="AF59" i="8194" s="1"/>
  <c r="BG55" i="8194"/>
  <c r="BG59" i="8194" s="1"/>
  <c r="P55" i="8194"/>
  <c r="P59" i="8194" s="1"/>
  <c r="BR55" i="8194"/>
  <c r="BR59" i="8194" s="1"/>
  <c r="AG55" i="8194"/>
  <c r="AG59" i="8194" s="1"/>
  <c r="AY55" i="8194"/>
  <c r="AY59" i="8194" s="1"/>
  <c r="BC55" i="8194"/>
  <c r="BC59" i="8194" s="1"/>
  <c r="BE55" i="8194"/>
  <c r="BE59" i="8194" s="1"/>
  <c r="N55" i="8194"/>
  <c r="N59" i="8194" s="1"/>
  <c r="S55" i="8194"/>
  <c r="S59" i="8194" s="1"/>
  <c r="X55" i="8194"/>
  <c r="X59" i="8194" s="1"/>
  <c r="AB55" i="8194"/>
  <c r="AB59" i="8194" s="1"/>
  <c r="AX55" i="8194"/>
  <c r="AX59" i="8194" s="1"/>
  <c r="AE55" i="8194"/>
  <c r="AE59" i="8194" s="1"/>
  <c r="BP55" i="8194"/>
  <c r="BP59" i="8194" s="1"/>
  <c r="BB55" i="8194"/>
  <c r="BB59" i="8194" s="1"/>
  <c r="AZ55" i="8194"/>
  <c r="AZ59" i="8194" s="1"/>
  <c r="AP55" i="8194"/>
  <c r="AP59" i="8194" s="1"/>
  <c r="AL55" i="8194"/>
  <c r="AL59" i="8194" s="1"/>
  <c r="AW55" i="8194"/>
  <c r="AW59" i="8194" s="1"/>
  <c r="BI55" i="8194"/>
  <c r="BI59" i="8194" s="1"/>
  <c r="BO55" i="8194"/>
  <c r="BO59" i="8194" s="1"/>
  <c r="BL55" i="8194"/>
  <c r="BL59" i="8194" s="1"/>
  <c r="E55" i="8194"/>
  <c r="Y55" i="8194"/>
  <c r="Y59" i="8194" s="1"/>
  <c r="F55" i="8194"/>
  <c r="F59" i="8194" s="1"/>
  <c r="Q55" i="8194"/>
  <c r="Q59" i="8194" s="1"/>
  <c r="BH55" i="8194"/>
  <c r="BH59" i="8194" s="1"/>
  <c r="AQ55" i="8194"/>
  <c r="AQ59" i="8194" s="1"/>
  <c r="AR55" i="8194"/>
  <c r="AR59" i="8194" s="1"/>
  <c r="BA55" i="8194"/>
  <c r="BA59" i="8194" s="1"/>
  <c r="T55" i="8194"/>
  <c r="T59" i="8194" s="1"/>
  <c r="M55" i="8194"/>
  <c r="M59" i="8194" s="1"/>
  <c r="AI55" i="8194"/>
  <c r="AI59" i="8194" s="1"/>
  <c r="BD55" i="8194"/>
  <c r="BD59" i="8194" s="1"/>
  <c r="Y112" i="2"/>
  <c r="BD11" i="267"/>
  <c r="U13" i="267"/>
  <c r="AV77" i="2"/>
  <c r="Y115" i="2"/>
  <c r="BG11" i="267"/>
  <c r="BG16" i="267" s="1"/>
  <c r="BH84" i="8194"/>
  <c r="AV72" i="2"/>
  <c r="P13" i="267"/>
  <c r="AY11" i="267"/>
  <c r="Y107" i="2"/>
  <c r="AS69" i="4"/>
  <c r="N64" i="50872"/>
  <c r="N76" i="50872"/>
  <c r="N65" i="50872"/>
  <c r="N67" i="50872"/>
  <c r="N69" i="50872"/>
  <c r="N80" i="50872"/>
  <c r="N75" i="50872"/>
  <c r="N81" i="50872"/>
  <c r="N73" i="50872"/>
  <c r="N59" i="50872"/>
  <c r="N79" i="50872"/>
  <c r="N74" i="50872"/>
  <c r="N83" i="50872"/>
  <c r="N68" i="50872"/>
  <c r="N82" i="50872"/>
  <c r="N66" i="50872"/>
  <c r="N60" i="50872"/>
  <c r="N72" i="50872"/>
  <c r="N84" i="50872"/>
  <c r="N70" i="50872"/>
  <c r="N61" i="50872"/>
  <c r="N85" i="50872"/>
  <c r="N71" i="50872"/>
  <c r="N86" i="50872"/>
  <c r="N62" i="50872"/>
  <c r="N87" i="50872"/>
  <c r="N78" i="50872"/>
  <c r="N88" i="50872"/>
  <c r="N63" i="50872"/>
  <c r="N89" i="50872"/>
  <c r="N77" i="50872"/>
  <c r="P249" i="8194"/>
  <c r="P250" i="8194"/>
  <c r="P251" i="8194" s="1"/>
  <c r="AI53" i="18176" l="1"/>
  <c r="AJ53" i="18176" s="1"/>
  <c r="AI55" i="18176"/>
  <c r="AJ55" i="18176" s="1"/>
  <c r="AI58" i="18176"/>
  <c r="AJ58" i="18176" s="1"/>
  <c r="AI54" i="18176"/>
  <c r="AJ54" i="18176" s="1"/>
  <c r="AI60" i="18176"/>
  <c r="AJ60" i="18176" s="1"/>
  <c r="AI57" i="18176"/>
  <c r="AJ57" i="18176" s="1"/>
  <c r="AI56" i="18176"/>
  <c r="AJ56" i="18176" s="1"/>
  <c r="AI62" i="18176"/>
  <c r="AJ62" i="18176" s="1"/>
  <c r="AI61" i="18176"/>
  <c r="AJ61" i="18176" s="1"/>
  <c r="AI59" i="18176"/>
  <c r="AJ59" i="18176" s="1"/>
  <c r="AN141" i="8194"/>
  <c r="AN147" i="8194" s="1"/>
  <c r="AY142" i="8194"/>
  <c r="AF141" i="8194"/>
  <c r="AF147" i="8194" s="1"/>
  <c r="AK142" i="8194"/>
  <c r="AS142" i="8194"/>
  <c r="AD141" i="8194"/>
  <c r="B141" i="8194" s="1"/>
  <c r="AX141" i="8194"/>
  <c r="AX147" i="8194" s="1"/>
  <c r="R43" i="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Q93" i="1"/>
  <c r="AG142" i="8194"/>
  <c r="BC141" i="8194"/>
  <c r="BC147" i="8194" s="1"/>
  <c r="AW142" i="8194"/>
  <c r="BM142" i="8194"/>
  <c r="AL141" i="8194"/>
  <c r="AL147" i="8194" s="1"/>
  <c r="AZ141" i="8194"/>
  <c r="AZ147" i="8194" s="1"/>
  <c r="BR142" i="8194"/>
  <c r="AO141" i="8194"/>
  <c r="AO147" i="8194" s="1"/>
  <c r="AP142" i="8194"/>
  <c r="BP142" i="8194"/>
  <c r="AI142" i="8194"/>
  <c r="BH142" i="8194"/>
  <c r="AH141" i="8194"/>
  <c r="AH147" i="8194" s="1"/>
  <c r="AR142" i="8194"/>
  <c r="BL142" i="8194"/>
  <c r="BE141" i="8194"/>
  <c r="BE147" i="8194" s="1"/>
  <c r="AM142" i="8194"/>
  <c r="BJ141" i="8194"/>
  <c r="BJ147" i="8194" s="1"/>
  <c r="AE142" i="8194"/>
  <c r="BB141" i="8194"/>
  <c r="BB147" i="8194" s="1"/>
  <c r="BK141" i="8194"/>
  <c r="BK147" i="8194" s="1"/>
  <c r="BF142" i="8194"/>
  <c r="AQ141" i="8194"/>
  <c r="AQ147" i="8194" s="1"/>
  <c r="BI141" i="8194"/>
  <c r="BI147" i="8194" s="1"/>
  <c r="AT141" i="8194"/>
  <c r="AT147" i="8194" s="1"/>
  <c r="AU141" i="8194"/>
  <c r="AU147" i="8194" s="1"/>
  <c r="BN142" i="8194"/>
  <c r="BD141" i="8194"/>
  <c r="BD147" i="8194" s="1"/>
  <c r="BQ142" i="8194"/>
  <c r="B140" i="8194"/>
  <c r="BG142" i="8194"/>
  <c r="AJ142" i="8194"/>
  <c r="BA142" i="8194"/>
  <c r="BO142" i="8194"/>
  <c r="E145" i="8194"/>
  <c r="V145" i="8194"/>
  <c r="V146" i="8194" s="1"/>
  <c r="V147" i="8194" s="1"/>
  <c r="W145" i="8194"/>
  <c r="W146" i="8194" s="1"/>
  <c r="W147" i="8194" s="1"/>
  <c r="X145" i="8194"/>
  <c r="X146" i="8194" s="1"/>
  <c r="X147" i="8194" s="1"/>
  <c r="S145" i="8194"/>
  <c r="S146" i="8194" s="1"/>
  <c r="S147" i="8194" s="1"/>
  <c r="H145" i="8194"/>
  <c r="H146" i="8194" s="1"/>
  <c r="H147" i="8194" s="1"/>
  <c r="I145" i="8194"/>
  <c r="I146" i="8194" s="1"/>
  <c r="I147" i="8194" s="1"/>
  <c r="M145" i="8194"/>
  <c r="M146" i="8194" s="1"/>
  <c r="M147" i="8194" s="1"/>
  <c r="P145" i="8194"/>
  <c r="P146" i="8194" s="1"/>
  <c r="P147" i="8194" s="1"/>
  <c r="R145" i="8194"/>
  <c r="R146" i="8194" s="1"/>
  <c r="R147" i="8194" s="1"/>
  <c r="K145" i="8194"/>
  <c r="K146" i="8194" s="1"/>
  <c r="K147" i="8194" s="1"/>
  <c r="AA145" i="8194"/>
  <c r="AA146" i="8194" s="1"/>
  <c r="AA147" i="8194" s="1"/>
  <c r="G145" i="8194"/>
  <c r="G146" i="8194" s="1"/>
  <c r="G147" i="8194" s="1"/>
  <c r="Z145" i="8194"/>
  <c r="Z146" i="8194" s="1"/>
  <c r="Z147" i="8194" s="1"/>
  <c r="F145" i="8194"/>
  <c r="F146" i="8194" s="1"/>
  <c r="F147" i="8194" s="1"/>
  <c r="O145" i="8194"/>
  <c r="O146" i="8194" s="1"/>
  <c r="O147" i="8194" s="1"/>
  <c r="AB145" i="8194"/>
  <c r="AB146" i="8194" s="1"/>
  <c r="AB147" i="8194" s="1"/>
  <c r="N145" i="8194"/>
  <c r="N146" i="8194" s="1"/>
  <c r="N147" i="8194" s="1"/>
  <c r="U145" i="8194"/>
  <c r="U146" i="8194" s="1"/>
  <c r="U147" i="8194" s="1"/>
  <c r="J145" i="8194"/>
  <c r="J146" i="8194" s="1"/>
  <c r="J147" i="8194" s="1"/>
  <c r="Q145" i="8194"/>
  <c r="Q146" i="8194" s="1"/>
  <c r="Q147" i="8194" s="1"/>
  <c r="AC145" i="8194"/>
  <c r="AC146" i="8194" s="1"/>
  <c r="AC147" i="8194" s="1"/>
  <c r="Y145" i="8194"/>
  <c r="Y146" i="8194" s="1"/>
  <c r="Y147" i="8194" s="1"/>
  <c r="L145" i="8194"/>
  <c r="L146" i="8194" s="1"/>
  <c r="L147" i="8194" s="1"/>
  <c r="T145" i="8194"/>
  <c r="T146" i="8194" s="1"/>
  <c r="T147" i="8194" s="1"/>
  <c r="AU16" i="267"/>
  <c r="V128" i="2"/>
  <c r="Y130" i="2" s="1"/>
  <c r="T130" i="2" s="1"/>
  <c r="B58" i="8194"/>
  <c r="AJ128" i="2"/>
  <c r="AG59" i="4"/>
  <c r="AG76" i="4" s="1"/>
  <c r="AH35" i="4"/>
  <c r="AX95" i="2"/>
  <c r="AE61" i="1" s="1"/>
  <c r="AN155" i="8194"/>
  <c r="AN157" i="8194" s="1"/>
  <c r="BB78" i="4"/>
  <c r="Z78" i="4"/>
  <c r="L155" i="8194"/>
  <c r="L157" i="8194" s="1"/>
  <c r="AX67" i="2"/>
  <c r="AE33" i="1" s="1"/>
  <c r="AX115" i="2"/>
  <c r="AE81" i="1" s="1"/>
  <c r="BX78" i="4"/>
  <c r="BH155" i="8194"/>
  <c r="BH157" i="8194" s="1"/>
  <c r="AF53" i="4"/>
  <c r="AA13" i="50872"/>
  <c r="AA25" i="50872" s="1"/>
  <c r="AA26" i="50872" s="1"/>
  <c r="AA9" i="50872"/>
  <c r="AA22" i="50872" s="1"/>
  <c r="AA23" i="50872" s="1"/>
  <c r="AB9" i="50872"/>
  <c r="AB22" i="50872" s="1"/>
  <c r="AB13" i="50872"/>
  <c r="AB25" i="50872" s="1"/>
  <c r="AC30" i="4"/>
  <c r="AF3" i="4"/>
  <c r="AG38" i="4"/>
  <c r="AG39" i="4" s="1"/>
  <c r="AE4" i="4"/>
  <c r="AE8" i="4" s="1"/>
  <c r="AE6" i="4"/>
  <c r="AD32" i="4"/>
  <c r="AD31" i="4" s="1"/>
  <c r="AC29" i="4"/>
  <c r="AB10" i="50872"/>
  <c r="AB21" i="50872" s="1"/>
  <c r="AC21" i="50872" s="1"/>
  <c r="AB8" i="50872"/>
  <c r="T10" i="50872" s="1"/>
  <c r="AB14" i="50872"/>
  <c r="AB24" i="50872" s="1"/>
  <c r="AC24" i="50872" s="1"/>
  <c r="AB12" i="50872"/>
  <c r="AN13" i="50872"/>
  <c r="AM13" i="50872"/>
  <c r="AL13" i="50872"/>
  <c r="AO13" i="50872"/>
  <c r="AK14" i="50872"/>
  <c r="AA14" i="50872"/>
  <c r="AA24" i="50872" s="1"/>
  <c r="AA8" i="50872"/>
  <c r="AA10" i="50872"/>
  <c r="AA21" i="50872" s="1"/>
  <c r="AA12" i="50872"/>
  <c r="B54" i="8194"/>
  <c r="B56" i="8194" s="1"/>
  <c r="AW16" i="267"/>
  <c r="BC16" i="267"/>
  <c r="D10" i="267"/>
  <c r="AZ16" i="267"/>
  <c r="AV16" i="267"/>
  <c r="BD16" i="267"/>
  <c r="AF118" i="2"/>
  <c r="S84" i="1"/>
  <c r="X84" i="1"/>
  <c r="AF113" i="2"/>
  <c r="X79" i="1"/>
  <c r="S79" i="1"/>
  <c r="X69" i="1"/>
  <c r="AF103" i="2"/>
  <c r="S69" i="1"/>
  <c r="AF116" i="2"/>
  <c r="S82" i="1"/>
  <c r="X82" i="1"/>
  <c r="S86" i="1"/>
  <c r="X86" i="1"/>
  <c r="AF120" i="2"/>
  <c r="X71" i="1"/>
  <c r="S71" i="1"/>
  <c r="AF105" i="2"/>
  <c r="AF60" i="2"/>
  <c r="S26" i="1"/>
  <c r="AG60" i="2"/>
  <c r="AA60" i="2" s="1"/>
  <c r="X26" i="1"/>
  <c r="X35" i="1"/>
  <c r="S35" i="1"/>
  <c r="AF69" i="2"/>
  <c r="X75" i="1"/>
  <c r="AF109" i="2"/>
  <c r="S75" i="1"/>
  <c r="X81" i="1"/>
  <c r="AF115" i="2"/>
  <c r="S81" i="1"/>
  <c r="S90" i="1"/>
  <c r="AF124" i="2"/>
  <c r="X90" i="1"/>
  <c r="X78" i="1"/>
  <c r="AF112" i="2"/>
  <c r="S78" i="1"/>
  <c r="AF63" i="2"/>
  <c r="S29" i="1"/>
  <c r="X29" i="1"/>
  <c r="S72" i="1"/>
  <c r="AF106" i="2"/>
  <c r="X72" i="1"/>
  <c r="BA16" i="267"/>
  <c r="S83" i="1"/>
  <c r="AF117" i="2"/>
  <c r="X83" i="1"/>
  <c r="D16" i="267"/>
  <c r="D12" i="267"/>
  <c r="E12" i="267" s="1"/>
  <c r="F12" i="267" s="1"/>
  <c r="G12" i="267" s="1"/>
  <c r="H12" i="267" s="1"/>
  <c r="I12" i="267" s="1"/>
  <c r="J12" i="267" s="1"/>
  <c r="K12" i="267" s="1"/>
  <c r="L12" i="267" s="1"/>
  <c r="M12" i="267" s="1"/>
  <c r="N12" i="267" s="1"/>
  <c r="AF64" i="2"/>
  <c r="S30" i="1"/>
  <c r="X30" i="1"/>
  <c r="AF68" i="2"/>
  <c r="X34" i="1"/>
  <c r="S34" i="1"/>
  <c r="X76" i="1"/>
  <c r="AF110" i="2"/>
  <c r="S76" i="1"/>
  <c r="X87" i="1"/>
  <c r="S87" i="1"/>
  <c r="AF121" i="2"/>
  <c r="S31" i="1"/>
  <c r="X31" i="1"/>
  <c r="AF65" i="2"/>
  <c r="AF122" i="2"/>
  <c r="X88" i="1"/>
  <c r="S88" i="1"/>
  <c r="S28" i="1"/>
  <c r="X28" i="1"/>
  <c r="AF62" i="2"/>
  <c r="X32" i="1"/>
  <c r="S32" i="1"/>
  <c r="AF66" i="2"/>
  <c r="AF123" i="2"/>
  <c r="S89" i="1"/>
  <c r="X89" i="1"/>
  <c r="AY16" i="267"/>
  <c r="AX16" i="267"/>
  <c r="S74" i="1"/>
  <c r="X74" i="1"/>
  <c r="AF108" i="2"/>
  <c r="AF119" i="2"/>
  <c r="X85" i="1"/>
  <c r="S85" i="1"/>
  <c r="AF107" i="2"/>
  <c r="S73" i="1"/>
  <c r="X73" i="1"/>
  <c r="B55" i="8194"/>
  <c r="B57" i="8194" s="1"/>
  <c r="E59" i="8194"/>
  <c r="AF67" i="2"/>
  <c r="S33" i="1"/>
  <c r="X33" i="1"/>
  <c r="AF111" i="2"/>
  <c r="X77" i="1"/>
  <c r="S77" i="1"/>
  <c r="AF70" i="2"/>
  <c r="S36" i="1"/>
  <c r="X36" i="1"/>
  <c r="AF61" i="2"/>
  <c r="S27" i="1"/>
  <c r="X27" i="1"/>
  <c r="S70" i="1"/>
  <c r="AF104" i="2"/>
  <c r="X70" i="1"/>
  <c r="X80" i="1"/>
  <c r="AF114" i="2"/>
  <c r="S80" i="1"/>
  <c r="BB16" i="267"/>
  <c r="AT69" i="4"/>
  <c r="P253" i="8194"/>
  <c r="P254" i="8194" s="1"/>
  <c r="P252" i="8194"/>
  <c r="AD147" i="8194" l="1"/>
  <c r="E146" i="8194"/>
  <c r="E147" i="8194" s="1"/>
  <c r="B147" i="8194" s="1"/>
  <c r="B148" i="8194" s="1"/>
  <c r="P66" i="2" s="1"/>
  <c r="B145" i="8194"/>
  <c r="B60" i="8194"/>
  <c r="U62" i="8194" s="1"/>
  <c r="U64" i="8194" s="1"/>
  <c r="Y129" i="2"/>
  <c r="M33" i="2" s="1"/>
  <c r="C10" i="1"/>
  <c r="AR117" i="2"/>
  <c r="AR81" i="2"/>
  <c r="AR72" i="2"/>
  <c r="AR116" i="2"/>
  <c r="AR64" i="2"/>
  <c r="AR113" i="2"/>
  <c r="AR106" i="2"/>
  <c r="AR62" i="2"/>
  <c r="AR96" i="2"/>
  <c r="AR126" i="2"/>
  <c r="AR78" i="2"/>
  <c r="AR61" i="2"/>
  <c r="AR119" i="2"/>
  <c r="AR121" i="2"/>
  <c r="AR65" i="2"/>
  <c r="AR122" i="2"/>
  <c r="AR100" i="2"/>
  <c r="AR68" i="2"/>
  <c r="AR109" i="2"/>
  <c r="AR105" i="2"/>
  <c r="AR70" i="2"/>
  <c r="AR115" i="2"/>
  <c r="AR114" i="2"/>
  <c r="AR101" i="2"/>
  <c r="AR71" i="2"/>
  <c r="AR118" i="2"/>
  <c r="AR63" i="2"/>
  <c r="AR75" i="2"/>
  <c r="AR74" i="2"/>
  <c r="AR112" i="2"/>
  <c r="AR98" i="2"/>
  <c r="AR103" i="2"/>
  <c r="AR67" i="2"/>
  <c r="AR102" i="2"/>
  <c r="AR95" i="2"/>
  <c r="AR88" i="2"/>
  <c r="AR77" i="2"/>
  <c r="AR91" i="2"/>
  <c r="AR79" i="2"/>
  <c r="AR120" i="2"/>
  <c r="AR94" i="2"/>
  <c r="AR66" i="2"/>
  <c r="AR69" i="2"/>
  <c r="AR111" i="2"/>
  <c r="AR83" i="2"/>
  <c r="AR80" i="2"/>
  <c r="AR87" i="2"/>
  <c r="AR92" i="2"/>
  <c r="AR86" i="2"/>
  <c r="AR84" i="2"/>
  <c r="AR97" i="2"/>
  <c r="AR73" i="2"/>
  <c r="AR123" i="2"/>
  <c r="AR99" i="2"/>
  <c r="AR104" i="2"/>
  <c r="AR89" i="2"/>
  <c r="AR124" i="2"/>
  <c r="AR76" i="2"/>
  <c r="AR125" i="2"/>
  <c r="AR110" i="2"/>
  <c r="AR108" i="2"/>
  <c r="AR85" i="2"/>
  <c r="AR82" i="2"/>
  <c r="AR90" i="2"/>
  <c r="AR93" i="2"/>
  <c r="AR60" i="2"/>
  <c r="AR107" i="2"/>
  <c r="AH59" i="4"/>
  <c r="AH76" i="4" s="1"/>
  <c r="AI35" i="4"/>
  <c r="AX94" i="2"/>
  <c r="AE60" i="1" s="1"/>
  <c r="AM155" i="8194"/>
  <c r="AM157" i="8194" s="1"/>
  <c r="BA78" i="4"/>
  <c r="Y78" i="4"/>
  <c r="AX66" i="2"/>
  <c r="AE32" i="1" s="1"/>
  <c r="K155" i="8194"/>
  <c r="K157" i="8194" s="1"/>
  <c r="BI155" i="8194"/>
  <c r="BI157" i="8194" s="1"/>
  <c r="BY78" i="4"/>
  <c r="AX116" i="2"/>
  <c r="AE82" i="1" s="1"/>
  <c r="AG53" i="4"/>
  <c r="AD30" i="4"/>
  <c r="AG3" i="4"/>
  <c r="AD29" i="4"/>
  <c r="AH38" i="4"/>
  <c r="AH39" i="4" s="1"/>
  <c r="AE32" i="4"/>
  <c r="AE31" i="4" s="1"/>
  <c r="AF6" i="4"/>
  <c r="AF4" i="4"/>
  <c r="AF8" i="4" s="1"/>
  <c r="AC25" i="50872"/>
  <c r="AC26" i="50872" s="1"/>
  <c r="AB26" i="50872"/>
  <c r="AB23" i="50872"/>
  <c r="AC22" i="50872"/>
  <c r="AC23" i="50872" s="1"/>
  <c r="AM14" i="50872"/>
  <c r="AO14" i="50872"/>
  <c r="AL14" i="50872"/>
  <c r="AN14" i="50872"/>
  <c r="AK15" i="50872"/>
  <c r="T26" i="1"/>
  <c r="B59" i="8194"/>
  <c r="B61" i="8194" s="1"/>
  <c r="E63" i="8194" s="1"/>
  <c r="AU69" i="4"/>
  <c r="P256" i="8194"/>
  <c r="P257" i="8194" s="1"/>
  <c r="P255" i="8194"/>
  <c r="AT62" i="8194" l="1"/>
  <c r="AT64" i="8194" s="1"/>
  <c r="T62" i="8194"/>
  <c r="T64" i="8194" s="1"/>
  <c r="BB62" i="8194"/>
  <c r="BB64" i="8194" s="1"/>
  <c r="AN62" i="8194"/>
  <c r="AN64" i="8194" s="1"/>
  <c r="AK62" i="8194"/>
  <c r="AK64" i="8194" s="1"/>
  <c r="AJ62" i="8194"/>
  <c r="AJ64" i="8194" s="1"/>
  <c r="AH62" i="8194"/>
  <c r="AH64" i="8194" s="1"/>
  <c r="AI62" i="8194"/>
  <c r="AI64" i="8194" s="1"/>
  <c r="O62" i="8194"/>
  <c r="O64" i="8194" s="1"/>
  <c r="AB62" i="8194"/>
  <c r="AB64" i="8194" s="1"/>
  <c r="AP62" i="8194"/>
  <c r="AP64" i="8194" s="1"/>
  <c r="BR62" i="8194"/>
  <c r="BR73" i="8194" s="1"/>
  <c r="BR75" i="8194" s="1"/>
  <c r="BR152" i="8194" s="1"/>
  <c r="BR153" i="8194" s="1"/>
  <c r="BR154" i="8194" s="1"/>
  <c r="BC62" i="8194"/>
  <c r="BC64" i="8194" s="1"/>
  <c r="AV62" i="8194"/>
  <c r="AV64" i="8194" s="1"/>
  <c r="W62" i="8194"/>
  <c r="W64" i="8194" s="1"/>
  <c r="M62" i="8194"/>
  <c r="M64" i="8194" s="1"/>
  <c r="AS62" i="8194"/>
  <c r="AS64" i="8194" s="1"/>
  <c r="BQ62" i="8194"/>
  <c r="BQ73" i="8194" s="1"/>
  <c r="BQ75" i="8194" s="1"/>
  <c r="AF62" i="8194"/>
  <c r="AF64" i="8194" s="1"/>
  <c r="BG62" i="8194"/>
  <c r="BG64" i="8194" s="1"/>
  <c r="AA62" i="8194"/>
  <c r="AA64" i="8194" s="1"/>
  <c r="AD62" i="8194"/>
  <c r="AD64" i="8194" s="1"/>
  <c r="BN62" i="8194"/>
  <c r="BN73" i="8194" s="1"/>
  <c r="BN75" i="8194" s="1"/>
  <c r="BN166" i="8194" s="1"/>
  <c r="AX62" i="8194"/>
  <c r="AX64" i="8194" s="1"/>
  <c r="K62" i="8194"/>
  <c r="K64" i="8194" s="1"/>
  <c r="BL62" i="8194"/>
  <c r="BL73" i="8194" s="1"/>
  <c r="BL75" i="8194" s="1"/>
  <c r="BL152" i="8194" s="1"/>
  <c r="AL62" i="8194"/>
  <c r="AL64" i="8194" s="1"/>
  <c r="AE62" i="8194"/>
  <c r="AE64" i="8194" s="1"/>
  <c r="L62" i="8194"/>
  <c r="L64" i="8194" s="1"/>
  <c r="BJ62" i="8194"/>
  <c r="BJ73" i="8194" s="1"/>
  <c r="BJ75" i="8194" s="1"/>
  <c r="BI6" i="267" s="1"/>
  <c r="E62" i="8194"/>
  <c r="E64" i="8194" s="1"/>
  <c r="AW62" i="8194"/>
  <c r="AW64" i="8194" s="1"/>
  <c r="AM62" i="8194"/>
  <c r="AM64" i="8194" s="1"/>
  <c r="Q62" i="8194"/>
  <c r="Q64" i="8194" s="1"/>
  <c r="AZ62" i="8194"/>
  <c r="AZ64" i="8194" s="1"/>
  <c r="BH62" i="8194"/>
  <c r="BH64" i="8194" s="1"/>
  <c r="BD62" i="8194"/>
  <c r="BD64" i="8194" s="1"/>
  <c r="BF62" i="8194"/>
  <c r="BF64" i="8194" s="1"/>
  <c r="G62" i="8194"/>
  <c r="G64" i="8194" s="1"/>
  <c r="V62" i="8194"/>
  <c r="V64" i="8194" s="1"/>
  <c r="R62" i="8194"/>
  <c r="R64" i="8194" s="1"/>
  <c r="BE62" i="8194"/>
  <c r="BE64" i="8194" s="1"/>
  <c r="P62" i="8194"/>
  <c r="P64" i="8194" s="1"/>
  <c r="AQ62" i="8194"/>
  <c r="AQ64" i="8194" s="1"/>
  <c r="BA62" i="8194"/>
  <c r="BA64" i="8194" s="1"/>
  <c r="BK62" i="8194"/>
  <c r="BK73" i="8194" s="1"/>
  <c r="BK75" i="8194" s="1"/>
  <c r="BJ6" i="267" s="1"/>
  <c r="AG62" i="8194"/>
  <c r="AG64" i="8194" s="1"/>
  <c r="I62" i="8194"/>
  <c r="I64" i="8194" s="1"/>
  <c r="BM62" i="8194"/>
  <c r="BM73" i="8194" s="1"/>
  <c r="BM75" i="8194" s="1"/>
  <c r="BL6" i="267" s="1"/>
  <c r="BI62" i="8194"/>
  <c r="BI64" i="8194" s="1"/>
  <c r="AU62" i="8194"/>
  <c r="AU64" i="8194" s="1"/>
  <c r="AR62" i="8194"/>
  <c r="AR64" i="8194" s="1"/>
  <c r="S62" i="8194"/>
  <c r="S64" i="8194" s="1"/>
  <c r="AC62" i="8194"/>
  <c r="AC64" i="8194" s="1"/>
  <c r="Z62" i="8194"/>
  <c r="Z64" i="8194" s="1"/>
  <c r="X62" i="8194"/>
  <c r="X64" i="8194" s="1"/>
  <c r="AO62" i="8194"/>
  <c r="AO64" i="8194" s="1"/>
  <c r="BP62" i="8194"/>
  <c r="BP64" i="8194" s="1"/>
  <c r="J62" i="8194"/>
  <c r="J64" i="8194" s="1"/>
  <c r="H62" i="8194"/>
  <c r="H64" i="8194" s="1"/>
  <c r="N62" i="8194"/>
  <c r="N64" i="8194" s="1"/>
  <c r="AY62" i="8194"/>
  <c r="AY64" i="8194" s="1"/>
  <c r="F62" i="8194"/>
  <c r="F64" i="8194" s="1"/>
  <c r="BO62" i="8194"/>
  <c r="BO73" i="8194" s="1"/>
  <c r="BO75" i="8194" s="1"/>
  <c r="BN6" i="267" s="1"/>
  <c r="Y62" i="8194"/>
  <c r="Y64" i="8194" s="1"/>
  <c r="AR127" i="2"/>
  <c r="AR128" i="2" s="1"/>
  <c r="X25" i="1"/>
  <c r="C9" i="1"/>
  <c r="AI59" i="4"/>
  <c r="AI76" i="4" s="1"/>
  <c r="AJ35" i="4"/>
  <c r="AX93" i="2"/>
  <c r="AE59" i="1" s="1"/>
  <c r="AZ78" i="4"/>
  <c r="AL155" i="8194"/>
  <c r="AL157" i="8194" s="1"/>
  <c r="AX65" i="2"/>
  <c r="AE31" i="1" s="1"/>
  <c r="J155" i="8194"/>
  <c r="J157" i="8194" s="1"/>
  <c r="X78" i="4"/>
  <c r="BZ78" i="4"/>
  <c r="BJ155" i="8194"/>
  <c r="BJ157" i="8194" s="1"/>
  <c r="AX117" i="2"/>
  <c r="AE83" i="1" s="1"/>
  <c r="AH53" i="4"/>
  <c r="AH3" i="4"/>
  <c r="AF32" i="4"/>
  <c r="AF31" i="4" s="1"/>
  <c r="AI38" i="4"/>
  <c r="AI39" i="4" s="1"/>
  <c r="AE29" i="4"/>
  <c r="AG4" i="4"/>
  <c r="AG8" i="4" s="1"/>
  <c r="AG6" i="4"/>
  <c r="AE30" i="4"/>
  <c r="AO15" i="50872"/>
  <c r="AM15" i="50872"/>
  <c r="AL15" i="50872"/>
  <c r="AK16" i="50872"/>
  <c r="AN15" i="50872"/>
  <c r="T27" i="1"/>
  <c r="E65" i="8194"/>
  <c r="Q63" i="8194"/>
  <c r="Q65" i="8194" s="1"/>
  <c r="AT63" i="8194"/>
  <c r="AT65" i="8194" s="1"/>
  <c r="I63" i="8194"/>
  <c r="I65" i="8194" s="1"/>
  <c r="V63" i="8194"/>
  <c r="V65" i="8194" s="1"/>
  <c r="AM63" i="8194"/>
  <c r="AM65" i="8194" s="1"/>
  <c r="P63" i="8194"/>
  <c r="P65" i="8194" s="1"/>
  <c r="AV63" i="8194"/>
  <c r="AV65" i="8194" s="1"/>
  <c r="AH63" i="8194"/>
  <c r="AH65" i="8194" s="1"/>
  <c r="G63" i="8194"/>
  <c r="G65" i="8194" s="1"/>
  <c r="Y63" i="8194"/>
  <c r="Y65" i="8194" s="1"/>
  <c r="T63" i="8194"/>
  <c r="T65" i="8194" s="1"/>
  <c r="AN63" i="8194"/>
  <c r="AN65" i="8194" s="1"/>
  <c r="J63" i="8194"/>
  <c r="J65" i="8194" s="1"/>
  <c r="AI63" i="8194"/>
  <c r="AI65" i="8194" s="1"/>
  <c r="AF63" i="8194"/>
  <c r="AF65" i="8194" s="1"/>
  <c r="AC63" i="8194"/>
  <c r="AC65" i="8194" s="1"/>
  <c r="U63" i="8194"/>
  <c r="U65" i="8194" s="1"/>
  <c r="AK63" i="8194"/>
  <c r="AK65" i="8194" s="1"/>
  <c r="AU63" i="8194"/>
  <c r="AU65" i="8194" s="1"/>
  <c r="AZ63" i="8194"/>
  <c r="AZ65" i="8194" s="1"/>
  <c r="AB63" i="8194"/>
  <c r="AB65" i="8194" s="1"/>
  <c r="AY63" i="8194"/>
  <c r="AY65" i="8194" s="1"/>
  <c r="BD63" i="8194"/>
  <c r="BD65" i="8194" s="1"/>
  <c r="O63" i="8194"/>
  <c r="O65" i="8194" s="1"/>
  <c r="AP63" i="8194"/>
  <c r="AP65" i="8194" s="1"/>
  <c r="AS63" i="8194"/>
  <c r="AS65" i="8194" s="1"/>
  <c r="BM63" i="8194"/>
  <c r="BM74" i="8194" s="1"/>
  <c r="BM76" i="8194" s="1"/>
  <c r="AA63" i="8194"/>
  <c r="AA65" i="8194" s="1"/>
  <c r="BI63" i="8194"/>
  <c r="BI65" i="8194" s="1"/>
  <c r="AR63" i="8194"/>
  <c r="AR65" i="8194" s="1"/>
  <c r="BL63" i="8194"/>
  <c r="BL74" i="8194" s="1"/>
  <c r="BL76" i="8194" s="1"/>
  <c r="AL63" i="8194"/>
  <c r="AL65" i="8194" s="1"/>
  <c r="M63" i="8194"/>
  <c r="M65" i="8194" s="1"/>
  <c r="S63" i="8194"/>
  <c r="S65" i="8194" s="1"/>
  <c r="AG63" i="8194"/>
  <c r="AG65" i="8194" s="1"/>
  <c r="X63" i="8194"/>
  <c r="X65" i="8194" s="1"/>
  <c r="AE63" i="8194"/>
  <c r="AE65" i="8194" s="1"/>
  <c r="BC63" i="8194"/>
  <c r="BC65" i="8194" s="1"/>
  <c r="BR63" i="8194"/>
  <c r="BR74" i="8194" s="1"/>
  <c r="BR76" i="8194" s="1"/>
  <c r="R63" i="8194"/>
  <c r="R65" i="8194" s="1"/>
  <c r="BH63" i="8194"/>
  <c r="BH65" i="8194" s="1"/>
  <c r="BQ63" i="8194"/>
  <c r="BQ74" i="8194" s="1"/>
  <c r="BQ76" i="8194" s="1"/>
  <c r="N63" i="8194"/>
  <c r="N65" i="8194" s="1"/>
  <c r="H63" i="8194"/>
  <c r="H65" i="8194" s="1"/>
  <c r="BA63" i="8194"/>
  <c r="BA65" i="8194" s="1"/>
  <c r="BF63" i="8194"/>
  <c r="BF65" i="8194" s="1"/>
  <c r="AJ63" i="8194"/>
  <c r="AJ65" i="8194" s="1"/>
  <c r="W63" i="8194"/>
  <c r="W65" i="8194" s="1"/>
  <c r="BN63" i="8194"/>
  <c r="BN74" i="8194" s="1"/>
  <c r="BN76" i="8194" s="1"/>
  <c r="AX63" i="8194"/>
  <c r="AX65" i="8194" s="1"/>
  <c r="BO63" i="8194"/>
  <c r="BO74" i="8194" s="1"/>
  <c r="BO76" i="8194" s="1"/>
  <c r="BJ63" i="8194"/>
  <c r="BJ74" i="8194" s="1"/>
  <c r="BJ76" i="8194" s="1"/>
  <c r="BP63" i="8194"/>
  <c r="BP74" i="8194" s="1"/>
  <c r="BP76" i="8194" s="1"/>
  <c r="L63" i="8194"/>
  <c r="L65" i="8194" s="1"/>
  <c r="BE63" i="8194"/>
  <c r="BE65" i="8194" s="1"/>
  <c r="AO63" i="8194"/>
  <c r="AO65" i="8194" s="1"/>
  <c r="AW63" i="8194"/>
  <c r="AW65" i="8194" s="1"/>
  <c r="BB63" i="8194"/>
  <c r="BB65" i="8194" s="1"/>
  <c r="AQ63" i="8194"/>
  <c r="AQ65" i="8194" s="1"/>
  <c r="BG63" i="8194"/>
  <c r="BG65" i="8194" s="1"/>
  <c r="F63" i="8194"/>
  <c r="F65" i="8194" s="1"/>
  <c r="Z63" i="8194"/>
  <c r="Z65" i="8194" s="1"/>
  <c r="AD63" i="8194"/>
  <c r="AD65" i="8194" s="1"/>
  <c r="K63" i="8194"/>
  <c r="K65" i="8194" s="1"/>
  <c r="BK63" i="8194"/>
  <c r="BK74" i="8194" s="1"/>
  <c r="BK76" i="8194" s="1"/>
  <c r="AV69" i="4"/>
  <c r="P259" i="8194"/>
  <c r="P260" i="8194" s="1"/>
  <c r="P258" i="8194"/>
  <c r="BJ152" i="8194" l="1"/>
  <c r="BJ153" i="8194" s="1"/>
  <c r="BJ154" i="8194" s="1"/>
  <c r="BR166" i="8194"/>
  <c r="BR64" i="8194"/>
  <c r="BJ64" i="8194"/>
  <c r="BK166" i="8194"/>
  <c r="BM6" i="267"/>
  <c r="BP73" i="8194"/>
  <c r="BP75" i="8194" s="1"/>
  <c r="BO6" i="267" s="1"/>
  <c r="BN64" i="8194"/>
  <c r="BK64" i="8194"/>
  <c r="AV66" i="8194"/>
  <c r="AV73" i="8194" s="1"/>
  <c r="AV75" i="8194" s="1"/>
  <c r="AV152" i="8194" s="1"/>
  <c r="AV158" i="8194" s="1"/>
  <c r="BK152" i="8194"/>
  <c r="BK153" i="8194" s="1"/>
  <c r="BK154" i="8194" s="1"/>
  <c r="BJ166" i="8194"/>
  <c r="T66" i="8194"/>
  <c r="T73" i="8194" s="1"/>
  <c r="T75" i="8194" s="1"/>
  <c r="T166" i="8194" s="1"/>
  <c r="BN152" i="8194"/>
  <c r="BN153" i="8194" s="1"/>
  <c r="BN154" i="8194" s="1"/>
  <c r="BL64" i="8194"/>
  <c r="BB66" i="8194" s="1"/>
  <c r="BB73" i="8194" s="1"/>
  <c r="BB75" i="8194" s="1"/>
  <c r="BB152" i="8194" s="1"/>
  <c r="BB153" i="8194" s="1"/>
  <c r="BB154" i="8194" s="1"/>
  <c r="AB66" i="8194"/>
  <c r="AB73" i="8194" s="1"/>
  <c r="AB75" i="8194" s="1"/>
  <c r="AA6" i="267" s="1"/>
  <c r="BL166" i="8194"/>
  <c r="BQ64" i="8194"/>
  <c r="BK6" i="267"/>
  <c r="U66" i="8194"/>
  <c r="U73" i="8194" s="1"/>
  <c r="U75" i="8194" s="1"/>
  <c r="U166" i="8194" s="1"/>
  <c r="Q66" i="8194"/>
  <c r="Q73" i="8194" s="1"/>
  <c r="Q75" i="8194" s="1"/>
  <c r="Q81" i="8194" s="1"/>
  <c r="P11" i="267" s="1"/>
  <c r="P16" i="267" s="1"/>
  <c r="AF66" i="8194"/>
  <c r="AF73" i="8194" s="1"/>
  <c r="AF75" i="8194" s="1"/>
  <c r="AF81" i="8194" s="1"/>
  <c r="Y87" i="2" s="1"/>
  <c r="I66" i="8194"/>
  <c r="I73" i="8194" s="1"/>
  <c r="I75" i="8194" s="1"/>
  <c r="I152" i="8194" s="1"/>
  <c r="I153" i="8194" s="1"/>
  <c r="I154" i="8194" s="1"/>
  <c r="AR66" i="8194"/>
  <c r="AR73" i="8194" s="1"/>
  <c r="AR75" i="8194" s="1"/>
  <c r="AR81" i="8194" s="1"/>
  <c r="AR84" i="8194" s="1"/>
  <c r="AU66" i="8194"/>
  <c r="AU73" i="8194" s="1"/>
  <c r="AU75" i="8194" s="1"/>
  <c r="AU152" i="8194" s="1"/>
  <c r="BO166" i="8194"/>
  <c r="E66" i="8194"/>
  <c r="E73" i="8194" s="1"/>
  <c r="AS66" i="8194"/>
  <c r="AS73" i="8194" s="1"/>
  <c r="AS75" i="8194" s="1"/>
  <c r="AR6" i="267" s="1"/>
  <c r="J66" i="8194"/>
  <c r="J73" i="8194" s="1"/>
  <c r="J75" i="8194" s="1"/>
  <c r="J166" i="8194" s="1"/>
  <c r="AY66" i="8194"/>
  <c r="AY73" i="8194" s="1"/>
  <c r="AY75" i="8194" s="1"/>
  <c r="AY166" i="8194" s="1"/>
  <c r="AI66" i="8194"/>
  <c r="AI73" i="8194" s="1"/>
  <c r="AI75" i="8194" s="1"/>
  <c r="AI152" i="8194" s="1"/>
  <c r="AI153" i="8194" s="1"/>
  <c r="AI154" i="8194" s="1"/>
  <c r="AD66" i="8194"/>
  <c r="AD73" i="8194" s="1"/>
  <c r="AD75" i="8194" s="1"/>
  <c r="AD166" i="8194" s="1"/>
  <c r="BM152" i="8194"/>
  <c r="BM153" i="8194" s="1"/>
  <c r="BM154" i="8194" s="1"/>
  <c r="V66" i="8194"/>
  <c r="V73" i="8194" s="1"/>
  <c r="V75" i="8194" s="1"/>
  <c r="V81" i="8194" s="1"/>
  <c r="Y77" i="2" s="1"/>
  <c r="BM166" i="8194"/>
  <c r="W66" i="8194"/>
  <c r="W73" i="8194" s="1"/>
  <c r="W75" i="8194" s="1"/>
  <c r="W166" i="8194" s="1"/>
  <c r="S66" i="8194"/>
  <c r="S73" i="8194" s="1"/>
  <c r="S75" i="8194" s="1"/>
  <c r="R6" i="267" s="1"/>
  <c r="F66" i="8194"/>
  <c r="F73" i="8194" s="1"/>
  <c r="F75" i="8194" s="1"/>
  <c r="E6" i="267" s="1"/>
  <c r="BO152" i="8194"/>
  <c r="BO153" i="8194" s="1"/>
  <c r="BO154" i="8194" s="1"/>
  <c r="BM64" i="8194"/>
  <c r="L66" i="8194"/>
  <c r="L73" i="8194" s="1"/>
  <c r="L75" i="8194" s="1"/>
  <c r="L152" i="8194" s="1"/>
  <c r="R66" i="8194"/>
  <c r="R73" i="8194" s="1"/>
  <c r="R75" i="8194" s="1"/>
  <c r="R81" i="8194" s="1"/>
  <c r="R84" i="8194" s="1"/>
  <c r="Y66" i="8194"/>
  <c r="Y73" i="8194" s="1"/>
  <c r="Y75" i="8194" s="1"/>
  <c r="Y152" i="8194" s="1"/>
  <c r="Y153" i="8194" s="1"/>
  <c r="Y154" i="8194" s="1"/>
  <c r="M66" i="8194"/>
  <c r="M73" i="8194" s="1"/>
  <c r="M75" i="8194" s="1"/>
  <c r="M152" i="8194" s="1"/>
  <c r="AE66" i="8194"/>
  <c r="AE73" i="8194" s="1"/>
  <c r="AE75" i="8194" s="1"/>
  <c r="AE81" i="8194" s="1"/>
  <c r="Y86" i="2" s="1"/>
  <c r="H66" i="8194"/>
  <c r="H73" i="8194" s="1"/>
  <c r="H75" i="8194" s="1"/>
  <c r="G6" i="267" s="1"/>
  <c r="G66" i="8194"/>
  <c r="G73" i="8194" s="1"/>
  <c r="G75" i="8194" s="1"/>
  <c r="F6" i="267" s="1"/>
  <c r="AQ66" i="8194"/>
  <c r="AQ73" i="8194" s="1"/>
  <c r="AQ75" i="8194" s="1"/>
  <c r="AQ152" i="8194" s="1"/>
  <c r="AQ158" i="8194" s="1"/>
  <c r="AL66" i="8194"/>
  <c r="AL73" i="8194" s="1"/>
  <c r="AL75" i="8194" s="1"/>
  <c r="AK6" i="267" s="1"/>
  <c r="AP66" i="8194"/>
  <c r="AP73" i="8194" s="1"/>
  <c r="AP75" i="8194" s="1"/>
  <c r="AP81" i="8194" s="1"/>
  <c r="AP84" i="8194" s="1"/>
  <c r="B62" i="8194"/>
  <c r="Z66" i="8194"/>
  <c r="Z73" i="8194" s="1"/>
  <c r="Z75" i="8194" s="1"/>
  <c r="Z81" i="8194" s="1"/>
  <c r="Z84" i="8194" s="1"/>
  <c r="AA66" i="8194"/>
  <c r="AA73" i="8194" s="1"/>
  <c r="AA75" i="8194" s="1"/>
  <c r="AA81" i="8194" s="1"/>
  <c r="Y82" i="2" s="1"/>
  <c r="AO66" i="8194"/>
  <c r="AO73" i="8194" s="1"/>
  <c r="AO75" i="8194" s="1"/>
  <c r="AO81" i="8194" s="1"/>
  <c r="AO84" i="8194" s="1"/>
  <c r="X66" i="8194"/>
  <c r="X73" i="8194" s="1"/>
  <c r="X75" i="8194" s="1"/>
  <c r="X81" i="8194" s="1"/>
  <c r="N66" i="8194"/>
  <c r="N73" i="8194" s="1"/>
  <c r="N75" i="8194" s="1"/>
  <c r="N166" i="8194" s="1"/>
  <c r="AN66" i="8194"/>
  <c r="AN73" i="8194" s="1"/>
  <c r="AN75" i="8194" s="1"/>
  <c r="AM6" i="267" s="1"/>
  <c r="AZ66" i="8194"/>
  <c r="AZ73" i="8194" s="1"/>
  <c r="AZ75" i="8194" s="1"/>
  <c r="AZ166" i="8194" s="1"/>
  <c r="K66" i="8194"/>
  <c r="K73" i="8194" s="1"/>
  <c r="K75" i="8194" s="1"/>
  <c r="K166" i="8194" s="1"/>
  <c r="AM66" i="8194"/>
  <c r="AM73" i="8194" s="1"/>
  <c r="AM75" i="8194" s="1"/>
  <c r="AM81" i="8194" s="1"/>
  <c r="AM84" i="8194" s="1"/>
  <c r="AC66" i="8194"/>
  <c r="AC73" i="8194" s="1"/>
  <c r="AC75" i="8194" s="1"/>
  <c r="AC81" i="8194" s="1"/>
  <c r="AT66" i="8194"/>
  <c r="AT73" i="8194" s="1"/>
  <c r="AT75" i="8194" s="1"/>
  <c r="AT166" i="8194" s="1"/>
  <c r="O66" i="8194"/>
  <c r="O73" i="8194" s="1"/>
  <c r="O75" i="8194" s="1"/>
  <c r="N6" i="267" s="1"/>
  <c r="AH66" i="8194"/>
  <c r="AH73" i="8194" s="1"/>
  <c r="AH75" i="8194" s="1"/>
  <c r="AH81" i="8194" s="1"/>
  <c r="AG11" i="267" s="1"/>
  <c r="AG16" i="267" s="1"/>
  <c r="AW66" i="8194"/>
  <c r="AW73" i="8194" s="1"/>
  <c r="AW75" i="8194" s="1"/>
  <c r="AV6" i="267" s="1"/>
  <c r="AG66" i="8194"/>
  <c r="AG73" i="8194" s="1"/>
  <c r="AG75" i="8194" s="1"/>
  <c r="AG152" i="8194" s="1"/>
  <c r="AG153" i="8194" s="1"/>
  <c r="AG154" i="8194" s="1"/>
  <c r="BO64" i="8194"/>
  <c r="BE66" i="8194" s="1"/>
  <c r="BE73" i="8194" s="1"/>
  <c r="BE75" i="8194" s="1"/>
  <c r="BE152" i="8194" s="1"/>
  <c r="BE158" i="8194" s="1"/>
  <c r="AX66" i="8194"/>
  <c r="AX73" i="8194" s="1"/>
  <c r="AX75" i="8194" s="1"/>
  <c r="AX152" i="8194" s="1"/>
  <c r="AJ66" i="8194"/>
  <c r="AJ73" i="8194" s="1"/>
  <c r="AJ75" i="8194" s="1"/>
  <c r="AJ81" i="8194" s="1"/>
  <c r="AI11" i="267" s="1"/>
  <c r="AI16" i="267" s="1"/>
  <c r="AK66" i="8194"/>
  <c r="AK73" i="8194" s="1"/>
  <c r="AK75" i="8194" s="1"/>
  <c r="AK152" i="8194" s="1"/>
  <c r="AK153" i="8194" s="1"/>
  <c r="AK154" i="8194" s="1"/>
  <c r="P66" i="8194"/>
  <c r="P73" i="8194" s="1"/>
  <c r="P75" i="8194" s="1"/>
  <c r="P81" i="8194" s="1"/>
  <c r="BA66" i="8194"/>
  <c r="BA73" i="8194" s="1"/>
  <c r="BA75" i="8194" s="1"/>
  <c r="BA152" i="8194" s="1"/>
  <c r="BA153" i="8194" s="1"/>
  <c r="BA154" i="8194" s="1"/>
  <c r="BD66" i="8194"/>
  <c r="BD73" i="8194" s="1"/>
  <c r="BD75" i="8194" s="1"/>
  <c r="BD152" i="8194" s="1"/>
  <c r="AQ81" i="8194"/>
  <c r="AD81" i="8194"/>
  <c r="E67" i="8194"/>
  <c r="E74" i="8194" s="1"/>
  <c r="BC66" i="8194"/>
  <c r="BC73" i="8194" s="1"/>
  <c r="BC75" i="8194" s="1"/>
  <c r="BB6" i="267" s="1"/>
  <c r="AB81" i="8194"/>
  <c r="B63" i="8194"/>
  <c r="Y26" i="1"/>
  <c r="Y27" i="1" s="1"/>
  <c r="Y28" i="1" s="1"/>
  <c r="Y29" i="1" s="1"/>
  <c r="Y30" i="1" s="1"/>
  <c r="Y31" i="1" s="1"/>
  <c r="Y32" i="1" s="1"/>
  <c r="Y33" i="1" s="1"/>
  <c r="Y34" i="1" s="1"/>
  <c r="Y35" i="1" s="1"/>
  <c r="Y36" i="1" s="1"/>
  <c r="AJ59" i="4"/>
  <c r="AJ76" i="4" s="1"/>
  <c r="AK35" i="4"/>
  <c r="AK38" i="4" s="1"/>
  <c r="AK39" i="4" s="1"/>
  <c r="AY78" i="4"/>
  <c r="AK155" i="8194"/>
  <c r="AK157" i="8194" s="1"/>
  <c r="AX92" i="2"/>
  <c r="AE58" i="1" s="1"/>
  <c r="I155" i="8194"/>
  <c r="I157" i="8194" s="1"/>
  <c r="AX64" i="2"/>
  <c r="AE30" i="1" s="1"/>
  <c r="W78" i="4"/>
  <c r="BK155" i="8194"/>
  <c r="BK157" i="8194" s="1"/>
  <c r="AX118" i="2"/>
  <c r="AE84" i="1" s="1"/>
  <c r="CA78" i="4"/>
  <c r="AI53" i="4"/>
  <c r="AF29" i="4"/>
  <c r="AF30" i="4"/>
  <c r="AG32" i="4"/>
  <c r="AI3" i="4"/>
  <c r="AJ38" i="4"/>
  <c r="AJ39" i="4" s="1"/>
  <c r="AH4" i="4"/>
  <c r="AH8" i="4" s="1"/>
  <c r="AH6" i="4"/>
  <c r="AO16" i="50872"/>
  <c r="AL16" i="50872"/>
  <c r="AM16" i="50872"/>
  <c r="AN16" i="50872"/>
  <c r="AK17" i="50872"/>
  <c r="AC67" i="8194"/>
  <c r="AC74" i="8194" s="1"/>
  <c r="AC76" i="8194" s="1"/>
  <c r="AC82" i="8194" s="1"/>
  <c r="AR67" i="8194"/>
  <c r="AR74" i="8194" s="1"/>
  <c r="AR76" i="8194" s="1"/>
  <c r="AR82" i="8194" s="1"/>
  <c r="X67" i="8194"/>
  <c r="X74" i="8194" s="1"/>
  <c r="X76" i="8194" s="1"/>
  <c r="X82" i="8194" s="1"/>
  <c r="AY67" i="8194"/>
  <c r="AY74" i="8194" s="1"/>
  <c r="AY76" i="8194" s="1"/>
  <c r="AM67" i="8194"/>
  <c r="AM74" i="8194" s="1"/>
  <c r="AM76" i="8194" s="1"/>
  <c r="AM82" i="8194" s="1"/>
  <c r="AF67" i="8194"/>
  <c r="AF74" i="8194" s="1"/>
  <c r="AF76" i="8194" s="1"/>
  <c r="AF82" i="8194" s="1"/>
  <c r="H67" i="8194"/>
  <c r="H74" i="8194" s="1"/>
  <c r="H76" i="8194" s="1"/>
  <c r="AO67" i="8194"/>
  <c r="AO74" i="8194" s="1"/>
  <c r="AO76" i="8194" s="1"/>
  <c r="AO82" i="8194" s="1"/>
  <c r="R67" i="8194"/>
  <c r="R74" i="8194" s="1"/>
  <c r="R76" i="8194" s="1"/>
  <c r="R82" i="8194" s="1"/>
  <c r="W67" i="8194"/>
  <c r="W74" i="8194" s="1"/>
  <c r="W76" i="8194" s="1"/>
  <c r="W82" i="8194" s="1"/>
  <c r="Z67" i="8194"/>
  <c r="Z74" i="8194" s="1"/>
  <c r="Z76" i="8194" s="1"/>
  <c r="Z82" i="8194" s="1"/>
  <c r="AD67" i="8194"/>
  <c r="AD74" i="8194" s="1"/>
  <c r="AD76" i="8194" s="1"/>
  <c r="AD82" i="8194" s="1"/>
  <c r="AL67" i="8194"/>
  <c r="AL74" i="8194" s="1"/>
  <c r="AL76" i="8194" s="1"/>
  <c r="AL82" i="8194" s="1"/>
  <c r="AV67" i="8194"/>
  <c r="AV74" i="8194" s="1"/>
  <c r="AV76" i="8194" s="1"/>
  <c r="AJ67" i="8194"/>
  <c r="AJ74" i="8194" s="1"/>
  <c r="AJ76" i="8194" s="1"/>
  <c r="AJ82" i="8194" s="1"/>
  <c r="K67" i="8194"/>
  <c r="K74" i="8194" s="1"/>
  <c r="K76" i="8194" s="1"/>
  <c r="AH67" i="8194"/>
  <c r="AH74" i="8194" s="1"/>
  <c r="AH76" i="8194" s="1"/>
  <c r="AH82" i="8194" s="1"/>
  <c r="AI67" i="8194"/>
  <c r="AI74" i="8194" s="1"/>
  <c r="AI76" i="8194" s="1"/>
  <c r="AI82" i="8194" s="1"/>
  <c r="BQ152" i="8194"/>
  <c r="BQ153" i="8194" s="1"/>
  <c r="BQ154" i="8194" s="1"/>
  <c r="BP6" i="267"/>
  <c r="BQ166" i="8194"/>
  <c r="BL153" i="8194"/>
  <c r="BL154" i="8194" s="1"/>
  <c r="BR65" i="8194"/>
  <c r="BO65" i="8194"/>
  <c r="L67" i="8194"/>
  <c r="L74" i="8194" s="1"/>
  <c r="L76" i="8194" s="1"/>
  <c r="T67" i="8194"/>
  <c r="T74" i="8194" s="1"/>
  <c r="T76" i="8194" s="1"/>
  <c r="T82" i="8194" s="1"/>
  <c r="F67" i="8194"/>
  <c r="F74" i="8194" s="1"/>
  <c r="F76" i="8194" s="1"/>
  <c r="P67" i="8194"/>
  <c r="P74" i="8194" s="1"/>
  <c r="P76" i="8194" s="1"/>
  <c r="T28" i="1"/>
  <c r="AW67" i="8194"/>
  <c r="AW74" i="8194" s="1"/>
  <c r="AW76" i="8194" s="1"/>
  <c r="M67" i="8194"/>
  <c r="M74" i="8194" s="1"/>
  <c r="M76" i="8194" s="1"/>
  <c r="S67" i="8194"/>
  <c r="S74" i="8194" s="1"/>
  <c r="S76" i="8194" s="1"/>
  <c r="S82" i="8194" s="1"/>
  <c r="AA67" i="8194"/>
  <c r="AA74" i="8194" s="1"/>
  <c r="AA76" i="8194" s="1"/>
  <c r="AA82" i="8194" s="1"/>
  <c r="BJ65" i="8194"/>
  <c r="AZ67" i="8194" s="1"/>
  <c r="AZ74" i="8194" s="1"/>
  <c r="AZ76" i="8194" s="1"/>
  <c r="Y67" i="8194"/>
  <c r="Y74" i="8194" s="1"/>
  <c r="Y76" i="8194" s="1"/>
  <c r="Y82" i="8194" s="1"/>
  <c r="AQ67" i="8194"/>
  <c r="AQ74" i="8194" s="1"/>
  <c r="AQ76" i="8194" s="1"/>
  <c r="AQ82" i="8194" s="1"/>
  <c r="AX67" i="8194"/>
  <c r="AX74" i="8194" s="1"/>
  <c r="AX76" i="8194" s="1"/>
  <c r="O67" i="8194"/>
  <c r="O74" i="8194" s="1"/>
  <c r="O76" i="8194" s="1"/>
  <c r="BN65" i="8194"/>
  <c r="BL65" i="8194"/>
  <c r="AS67" i="8194"/>
  <c r="AS74" i="8194" s="1"/>
  <c r="AS76" i="8194" s="1"/>
  <c r="AS82" i="8194" s="1"/>
  <c r="AP67" i="8194"/>
  <c r="AP74" i="8194" s="1"/>
  <c r="AP76" i="8194" s="1"/>
  <c r="AP82" i="8194" s="1"/>
  <c r="G67" i="8194"/>
  <c r="G74" i="8194" s="1"/>
  <c r="G76" i="8194" s="1"/>
  <c r="I67" i="8194"/>
  <c r="I74" i="8194" s="1"/>
  <c r="I76" i="8194" s="1"/>
  <c r="AE67" i="8194"/>
  <c r="AE74" i="8194" s="1"/>
  <c r="AE76" i="8194" s="1"/>
  <c r="AE82" i="8194" s="1"/>
  <c r="AU67" i="8194"/>
  <c r="AU74" i="8194" s="1"/>
  <c r="AU76" i="8194" s="1"/>
  <c r="AU82" i="8194" s="1"/>
  <c r="BK65" i="8194"/>
  <c r="AT67" i="8194"/>
  <c r="AT74" i="8194" s="1"/>
  <c r="AT76" i="8194" s="1"/>
  <c r="AT82" i="8194" s="1"/>
  <c r="U67" i="8194"/>
  <c r="U74" i="8194" s="1"/>
  <c r="U76" i="8194" s="1"/>
  <c r="U82" i="8194" s="1"/>
  <c r="BM65" i="8194"/>
  <c r="J67" i="8194"/>
  <c r="J74" i="8194" s="1"/>
  <c r="J76" i="8194" s="1"/>
  <c r="AN67" i="8194"/>
  <c r="AN74" i="8194" s="1"/>
  <c r="AN76" i="8194" s="1"/>
  <c r="AN82" i="8194" s="1"/>
  <c r="V67" i="8194"/>
  <c r="V74" i="8194" s="1"/>
  <c r="V76" i="8194" s="1"/>
  <c r="V82" i="8194" s="1"/>
  <c r="Q67" i="8194"/>
  <c r="Q74" i="8194" s="1"/>
  <c r="Q76" i="8194" s="1"/>
  <c r="AK67" i="8194"/>
  <c r="AK74" i="8194" s="1"/>
  <c r="AK76" i="8194" s="1"/>
  <c r="AK82" i="8194" s="1"/>
  <c r="N67" i="8194"/>
  <c r="N74" i="8194" s="1"/>
  <c r="N76" i="8194" s="1"/>
  <c r="AB67" i="8194"/>
  <c r="AB74" i="8194" s="1"/>
  <c r="AB76" i="8194" s="1"/>
  <c r="AB82" i="8194" s="1"/>
  <c r="AG67" i="8194"/>
  <c r="AG74" i="8194" s="1"/>
  <c r="AG76" i="8194" s="1"/>
  <c r="AG82" i="8194" s="1"/>
  <c r="BP65" i="8194"/>
  <c r="BQ65" i="8194"/>
  <c r="AW69" i="4"/>
  <c r="P261" i="8194"/>
  <c r="P262" i="8194"/>
  <c r="P263" i="8194" s="1"/>
  <c r="BJ158" i="8194" l="1"/>
  <c r="BJ159" i="8194" s="1"/>
  <c r="BJ160" i="8194" s="1"/>
  <c r="BJ161" i="8194" s="1"/>
  <c r="BJ162" i="8194" s="1"/>
  <c r="AB152" i="8194"/>
  <c r="AB153" i="8194" s="1"/>
  <c r="AB154" i="8194" s="1"/>
  <c r="BP152" i="8194"/>
  <c r="BP153" i="8194" s="1"/>
  <c r="BP154" i="8194" s="1"/>
  <c r="BP166" i="8194"/>
  <c r="I158" i="8194"/>
  <c r="I159" i="8194" s="1"/>
  <c r="I160" i="8194" s="1"/>
  <c r="I161" i="8194" s="1"/>
  <c r="I162" i="8194" s="1"/>
  <c r="H6" i="267"/>
  <c r="AT6" i="267"/>
  <c r="AB166" i="8194"/>
  <c r="AD152" i="8194"/>
  <c r="AD153" i="8194" s="1"/>
  <c r="AD154" i="8194" s="1"/>
  <c r="BA158" i="8194"/>
  <c r="BA159" i="8194" s="1"/>
  <c r="BA160" i="8194" s="1"/>
  <c r="BA161" i="8194" s="1"/>
  <c r="BA162" i="8194" s="1"/>
  <c r="Y99" i="2"/>
  <c r="S65" i="1" s="1"/>
  <c r="AR152" i="8194"/>
  <c r="AR158" i="8194" s="1"/>
  <c r="AR166" i="8194"/>
  <c r="AQ6" i="267"/>
  <c r="AG6" i="267"/>
  <c r="AH166" i="8194"/>
  <c r="AQ166" i="8194"/>
  <c r="AH152" i="8194"/>
  <c r="AH153" i="8194" s="1"/>
  <c r="AH154" i="8194" s="1"/>
  <c r="AP6" i="267"/>
  <c r="AQ11" i="267"/>
  <c r="AQ16" i="267" s="1"/>
  <c r="G152" i="8194"/>
  <c r="G153" i="8194" s="1"/>
  <c r="G154" i="8194" s="1"/>
  <c r="G166" i="8194"/>
  <c r="N152" i="8194"/>
  <c r="N153" i="8194" s="1"/>
  <c r="N154" i="8194" s="1"/>
  <c r="AV153" i="8194"/>
  <c r="AV154" i="8194" s="1"/>
  <c r="AV159" i="8194" s="1"/>
  <c r="AV160" i="8194" s="1"/>
  <c r="AV161" i="8194" s="1"/>
  <c r="AV162" i="8194" s="1"/>
  <c r="I166" i="8194"/>
  <c r="I167" i="8194" s="1"/>
  <c r="AV166" i="8194"/>
  <c r="BK158" i="8194"/>
  <c r="BK159" i="8194" s="1"/>
  <c r="BK160" i="8194" s="1"/>
  <c r="BK161" i="8194" s="1"/>
  <c r="BK162" i="8194" s="1"/>
  <c r="BK167" i="8194" s="1"/>
  <c r="BK170" i="8194" s="1"/>
  <c r="X6" i="267"/>
  <c r="AU6" i="267"/>
  <c r="BA166" i="8194"/>
  <c r="AC6" i="267"/>
  <c r="AZ6" i="267"/>
  <c r="AM152" i="8194"/>
  <c r="AM158" i="8194" s="1"/>
  <c r="W6" i="267"/>
  <c r="M6" i="267"/>
  <c r="O152" i="8194"/>
  <c r="O153" i="8194" s="1"/>
  <c r="O154" i="8194" s="1"/>
  <c r="P166" i="8194"/>
  <c r="AI166" i="8194"/>
  <c r="M166" i="8194"/>
  <c r="BJ167" i="8194"/>
  <c r="BJ170" i="8194" s="1"/>
  <c r="BJ171" i="8194" s="1"/>
  <c r="BJ172" i="8194" s="1"/>
  <c r="AS166" i="8194"/>
  <c r="O166" i="8194"/>
  <c r="AI81" i="8194"/>
  <c r="AH11" i="267" s="1"/>
  <c r="AH16" i="267" s="1"/>
  <c r="AH6" i="267"/>
  <c r="Y81" i="8194"/>
  <c r="Y80" i="2" s="1"/>
  <c r="Q166" i="8194"/>
  <c r="T152" i="8194"/>
  <c r="T158" i="8194" s="1"/>
  <c r="X152" i="8194"/>
  <c r="X153" i="8194" s="1"/>
  <c r="X154" i="8194" s="1"/>
  <c r="T81" i="8194"/>
  <c r="Y75" i="2" s="1"/>
  <c r="Y166" i="8194"/>
  <c r="S6" i="267"/>
  <c r="Q84" i="8194"/>
  <c r="L6" i="267"/>
  <c r="W152" i="8194"/>
  <c r="W153" i="8194" s="1"/>
  <c r="W154" i="8194" s="1"/>
  <c r="AM166" i="8194"/>
  <c r="AU81" i="8194"/>
  <c r="Y102" i="2" s="1"/>
  <c r="U152" i="8194"/>
  <c r="U158" i="8194" s="1"/>
  <c r="BI66" i="8194"/>
  <c r="BI73" i="8194" s="1"/>
  <c r="BI75" i="8194" s="1"/>
  <c r="BI166" i="8194" s="1"/>
  <c r="U81" i="8194"/>
  <c r="Y76" i="2" s="1"/>
  <c r="AL6" i="267"/>
  <c r="J6" i="267"/>
  <c r="W81" i="8194"/>
  <c r="V11" i="267" s="1"/>
  <c r="V16" i="267" s="1"/>
  <c r="B64" i="8194"/>
  <c r="T6" i="267"/>
  <c r="Z152" i="8194"/>
  <c r="Z153" i="8194" s="1"/>
  <c r="Z154" i="8194" s="1"/>
  <c r="K152" i="8194"/>
  <c r="K158" i="8194" s="1"/>
  <c r="AW6" i="267"/>
  <c r="AS152" i="8194"/>
  <c r="AS158" i="8194" s="1"/>
  <c r="V6" i="267"/>
  <c r="BH66" i="8194"/>
  <c r="BH73" i="8194" s="1"/>
  <c r="BH75" i="8194" s="1"/>
  <c r="BH166" i="8194" s="1"/>
  <c r="Z166" i="8194"/>
  <c r="AX166" i="8194"/>
  <c r="AS81" i="8194"/>
  <c r="AR11" i="267" s="1"/>
  <c r="AR16" i="267" s="1"/>
  <c r="Y6" i="267"/>
  <c r="Y94" i="2"/>
  <c r="AF94" i="2" s="1"/>
  <c r="H152" i="8194"/>
  <c r="H153" i="8194" s="1"/>
  <c r="H154" i="8194" s="1"/>
  <c r="AO166" i="8194"/>
  <c r="AA166" i="8194"/>
  <c r="AE152" i="8194"/>
  <c r="AE153" i="8194" s="1"/>
  <c r="AE154" i="8194" s="1"/>
  <c r="AC166" i="8194"/>
  <c r="P6" i="267"/>
  <c r="S81" i="8194"/>
  <c r="Y74" i="2" s="1"/>
  <c r="AB6" i="267"/>
  <c r="AN11" i="267"/>
  <c r="AN16" i="267" s="1"/>
  <c r="AA152" i="8194"/>
  <c r="AA153" i="8194" s="1"/>
  <c r="AA154" i="8194" s="1"/>
  <c r="AE166" i="8194"/>
  <c r="AS6" i="267"/>
  <c r="S152" i="8194"/>
  <c r="S153" i="8194" s="1"/>
  <c r="S154" i="8194" s="1"/>
  <c r="Y72" i="2"/>
  <c r="X38" i="1" s="1"/>
  <c r="Y96" i="2"/>
  <c r="S62" i="1" s="1"/>
  <c r="AX6" i="267"/>
  <c r="AK81" i="8194"/>
  <c r="AJ11" i="267" s="1"/>
  <c r="AJ16" i="267" s="1"/>
  <c r="Y91" i="2"/>
  <c r="S57" i="1" s="1"/>
  <c r="AA84" i="8194"/>
  <c r="AJ152" i="8194"/>
  <c r="AJ153" i="8194" s="1"/>
  <c r="AJ154" i="8194" s="1"/>
  <c r="AE6" i="267"/>
  <c r="J152" i="8194"/>
  <c r="J158" i="8194" s="1"/>
  <c r="AK166" i="8194"/>
  <c r="AY152" i="8194"/>
  <c r="AY158" i="8194" s="1"/>
  <c r="F152" i="8194"/>
  <c r="F153" i="8194" s="1"/>
  <c r="F154" i="8194" s="1"/>
  <c r="AJ6" i="267"/>
  <c r="AJ84" i="8194"/>
  <c r="Z11" i="267"/>
  <c r="Z16" i="267" s="1"/>
  <c r="Z6" i="267"/>
  <c r="AJ166" i="8194"/>
  <c r="AF166" i="8194"/>
  <c r="I6" i="267"/>
  <c r="AD11" i="267"/>
  <c r="AD16" i="267" s="1"/>
  <c r="AE11" i="267"/>
  <c r="AE16" i="267" s="1"/>
  <c r="AI6" i="267"/>
  <c r="AF152" i="8194"/>
  <c r="AF153" i="8194" s="1"/>
  <c r="AF154" i="8194" s="1"/>
  <c r="AD6" i="267"/>
  <c r="H166" i="8194"/>
  <c r="AN6" i="267"/>
  <c r="AC152" i="8194"/>
  <c r="AC153" i="8194" s="1"/>
  <c r="AC154" i="8194" s="1"/>
  <c r="S166" i="8194"/>
  <c r="F166" i="8194"/>
  <c r="AE84" i="8194"/>
  <c r="AF84" i="8194"/>
  <c r="BG66" i="8194"/>
  <c r="BG73" i="8194" s="1"/>
  <c r="BG75" i="8194" s="1"/>
  <c r="BF6" i="267" s="1"/>
  <c r="AT152" i="8194"/>
  <c r="AT153" i="8194" s="1"/>
  <c r="AT154" i="8194" s="1"/>
  <c r="Q152" i="8194"/>
  <c r="Q158" i="8194" s="1"/>
  <c r="AO152" i="8194"/>
  <c r="AO153" i="8194" s="1"/>
  <c r="AO154" i="8194" s="1"/>
  <c r="BF66" i="8194"/>
  <c r="BF73" i="8194" s="1"/>
  <c r="BF75" i="8194" s="1"/>
  <c r="Y89" i="2"/>
  <c r="S55" i="1" s="1"/>
  <c r="AH84" i="8194"/>
  <c r="AO6" i="267"/>
  <c r="AT81" i="8194"/>
  <c r="AS11" i="267" s="1"/>
  <c r="AS16" i="267" s="1"/>
  <c r="AU166" i="8194"/>
  <c r="AN166" i="8194"/>
  <c r="AN81" i="8194"/>
  <c r="Y95" i="2" s="1"/>
  <c r="L166" i="8194"/>
  <c r="AG166" i="8194"/>
  <c r="X166" i="8194"/>
  <c r="P152" i="8194"/>
  <c r="P158" i="8194" s="1"/>
  <c r="AW152" i="8194"/>
  <c r="AW153" i="8194" s="1"/>
  <c r="AW154" i="8194" s="1"/>
  <c r="O6" i="267"/>
  <c r="Q6" i="267"/>
  <c r="U6" i="267"/>
  <c r="AN152" i="8194"/>
  <c r="AN153" i="8194" s="1"/>
  <c r="AN154" i="8194" s="1"/>
  <c r="Y73" i="2"/>
  <c r="X39" i="1" s="1"/>
  <c r="R166" i="8194"/>
  <c r="V166" i="8194"/>
  <c r="AL81" i="8194"/>
  <c r="AK11" i="267" s="1"/>
  <c r="AK16" i="267" s="1"/>
  <c r="Q11" i="267"/>
  <c r="Q16" i="267" s="1"/>
  <c r="AW166" i="8194"/>
  <c r="R152" i="8194"/>
  <c r="R158" i="8194" s="1"/>
  <c r="V152" i="8194"/>
  <c r="V158" i="8194" s="1"/>
  <c r="K6" i="267"/>
  <c r="AL152" i="8194"/>
  <c r="AL158" i="8194" s="1"/>
  <c r="AL166" i="8194"/>
  <c r="V84" i="8194"/>
  <c r="U11" i="267"/>
  <c r="U16" i="267" s="1"/>
  <c r="Y97" i="2"/>
  <c r="AF97" i="2" s="1"/>
  <c r="AG81" i="8194"/>
  <c r="AF11" i="267" s="1"/>
  <c r="AF16" i="267" s="1"/>
  <c r="AL11" i="267"/>
  <c r="AL16" i="267" s="1"/>
  <c r="AP152" i="8194"/>
  <c r="AP158" i="8194" s="1"/>
  <c r="AF6" i="267"/>
  <c r="AO11" i="267"/>
  <c r="AO16" i="267" s="1"/>
  <c r="Y81" i="2"/>
  <c r="S47" i="1" s="1"/>
  <c r="AY6" i="267"/>
  <c r="AZ152" i="8194"/>
  <c r="AZ153" i="8194" s="1"/>
  <c r="AZ154" i="8194" s="1"/>
  <c r="Y11" i="267"/>
  <c r="Y16" i="267" s="1"/>
  <c r="AP166" i="8194"/>
  <c r="BC166" i="8194"/>
  <c r="BC152" i="8194"/>
  <c r="BC153" i="8194" s="1"/>
  <c r="BC154" i="8194" s="1"/>
  <c r="BD166" i="8194"/>
  <c r="BC6" i="267"/>
  <c r="BH67" i="8194"/>
  <c r="BH74" i="8194" s="1"/>
  <c r="BH76" i="8194" s="1"/>
  <c r="BE153" i="8194"/>
  <c r="BE154" i="8194" s="1"/>
  <c r="BE159" i="8194" s="1"/>
  <c r="BE160" i="8194" s="1"/>
  <c r="BE161" i="8194" s="1"/>
  <c r="BE162" i="8194" s="1"/>
  <c r="BD6" i="267"/>
  <c r="BB166" i="8194"/>
  <c r="BB158" i="8194"/>
  <c r="BB159" i="8194" s="1"/>
  <c r="BB160" i="8194" s="1"/>
  <c r="BB161" i="8194" s="1"/>
  <c r="BB162" i="8194" s="1"/>
  <c r="AQ153" i="8194"/>
  <c r="AQ154" i="8194" s="1"/>
  <c r="AQ159" i="8194" s="1"/>
  <c r="AQ160" i="8194" s="1"/>
  <c r="AQ161" i="8194" s="1"/>
  <c r="AQ162" i="8194" s="1"/>
  <c r="BE166" i="8194"/>
  <c r="BF67" i="8194"/>
  <c r="BF74" i="8194" s="1"/>
  <c r="BF76" i="8194" s="1"/>
  <c r="BA6" i="267"/>
  <c r="AQ84" i="8194"/>
  <c r="AP11" i="267"/>
  <c r="AP16" i="267" s="1"/>
  <c r="Y98" i="2"/>
  <c r="B65" i="8194"/>
  <c r="AF82" i="2"/>
  <c r="X48" i="1"/>
  <c r="S48" i="1"/>
  <c r="AF87" i="2"/>
  <c r="X53" i="1"/>
  <c r="S53" i="1"/>
  <c r="X84" i="8194"/>
  <c r="W11" i="267"/>
  <c r="W16" i="267" s="1"/>
  <c r="Y79" i="2"/>
  <c r="BC67" i="8194"/>
  <c r="BC74" i="8194" s="1"/>
  <c r="BC76" i="8194" s="1"/>
  <c r="BE67" i="8194"/>
  <c r="BE74" i="8194" s="1"/>
  <c r="BE76" i="8194" s="1"/>
  <c r="S43" i="1"/>
  <c r="X43" i="1"/>
  <c r="AF77" i="2"/>
  <c r="AF86" i="2"/>
  <c r="S52" i="1"/>
  <c r="X52" i="1"/>
  <c r="BG67" i="8194"/>
  <c r="BG74" i="8194" s="1"/>
  <c r="BG76" i="8194" s="1"/>
  <c r="BB67" i="8194"/>
  <c r="BB74" i="8194" s="1"/>
  <c r="BB76" i="8194" s="1"/>
  <c r="AB84" i="8194"/>
  <c r="AA11" i="267"/>
  <c r="AA16" i="267" s="1"/>
  <c r="Y83" i="2"/>
  <c r="AB11" i="267"/>
  <c r="AB16" i="267" s="1"/>
  <c r="Y84" i="2"/>
  <c r="AC84" i="8194"/>
  <c r="Y71" i="2"/>
  <c r="O11" i="267"/>
  <c r="P84" i="8194"/>
  <c r="Y85" i="2"/>
  <c r="AC11" i="267"/>
  <c r="AC16" i="267" s="1"/>
  <c r="AD84" i="8194"/>
  <c r="BI67" i="8194"/>
  <c r="BI74" i="8194" s="1"/>
  <c r="BI76" i="8194" s="1"/>
  <c r="BA67" i="8194"/>
  <c r="BA74" i="8194" s="1"/>
  <c r="BA76" i="8194" s="1"/>
  <c r="BD67" i="8194"/>
  <c r="BD74" i="8194" s="1"/>
  <c r="BD76" i="8194" s="1"/>
  <c r="AL35" i="4"/>
  <c r="AK59" i="4"/>
  <c r="AK76" i="4" s="1"/>
  <c r="AJ155" i="8194"/>
  <c r="AJ157" i="8194" s="1"/>
  <c r="AX78" i="4"/>
  <c r="AX91" i="2"/>
  <c r="AE57" i="1" s="1"/>
  <c r="V78" i="4"/>
  <c r="H155" i="8194"/>
  <c r="H157" i="8194" s="1"/>
  <c r="AX63" i="2"/>
  <c r="AE29" i="1" s="1"/>
  <c r="BL155" i="8194"/>
  <c r="BL157" i="8194" s="1"/>
  <c r="BL158" i="8194" s="1"/>
  <c r="BL159" i="8194" s="1"/>
  <c r="BL160" i="8194" s="1"/>
  <c r="BL161" i="8194" s="1"/>
  <c r="BL162" i="8194" s="1"/>
  <c r="BL167" i="8194" s="1"/>
  <c r="BL170" i="8194" s="1"/>
  <c r="AX119" i="2"/>
  <c r="AE85" i="1" s="1"/>
  <c r="CB78" i="4"/>
  <c r="AJ53" i="4"/>
  <c r="AK53" i="4"/>
  <c r="AK46" i="4"/>
  <c r="AJ3" i="4"/>
  <c r="AG29" i="4"/>
  <c r="AG31" i="4"/>
  <c r="AK3" i="4"/>
  <c r="AH32" i="4"/>
  <c r="AH31" i="4" s="1"/>
  <c r="AI4" i="4"/>
  <c r="AI8" i="4" s="1"/>
  <c r="AI6" i="4"/>
  <c r="AG30" i="4"/>
  <c r="E75" i="8194"/>
  <c r="D6" i="267" s="1"/>
  <c r="AL17" i="50872"/>
  <c r="AO17" i="50872"/>
  <c r="AK18" i="50872"/>
  <c r="AM17" i="50872"/>
  <c r="AN17" i="50872"/>
  <c r="AK158" i="8194"/>
  <c r="AK159" i="8194" s="1"/>
  <c r="AK160" i="8194" s="1"/>
  <c r="AK161" i="8194" s="1"/>
  <c r="AK162" i="8194" s="1"/>
  <c r="AU153" i="8194"/>
  <c r="AU154" i="8194" s="1"/>
  <c r="AU158" i="8194"/>
  <c r="BD153" i="8194"/>
  <c r="BD154" i="8194" s="1"/>
  <c r="BD158" i="8194"/>
  <c r="AX153" i="8194"/>
  <c r="AX154" i="8194" s="1"/>
  <c r="AX158" i="8194"/>
  <c r="M153" i="8194"/>
  <c r="M154" i="8194" s="1"/>
  <c r="M158" i="8194"/>
  <c r="L153" i="8194"/>
  <c r="L154" i="8194" s="1"/>
  <c r="L158" i="8194"/>
  <c r="E76" i="8194"/>
  <c r="T29" i="1"/>
  <c r="AX69" i="4"/>
  <c r="P264" i="8194"/>
  <c r="P265" i="8194"/>
  <c r="P266" i="8194" s="1"/>
  <c r="P153" i="8194" l="1"/>
  <c r="P154" i="8194" s="1"/>
  <c r="P159" i="8194" s="1"/>
  <c r="P160" i="8194" s="1"/>
  <c r="P161" i="8194" s="1"/>
  <c r="P162" i="8194" s="1"/>
  <c r="X65" i="1"/>
  <c r="AF99" i="2"/>
  <c r="AR153" i="8194"/>
  <c r="AR154" i="8194" s="1"/>
  <c r="AR159" i="8194" s="1"/>
  <c r="AR160" i="8194" s="1"/>
  <c r="AR161" i="8194" s="1"/>
  <c r="AR162" i="8194" s="1"/>
  <c r="AR167" i="8194" s="1"/>
  <c r="AR170" i="8194" s="1"/>
  <c r="BH6" i="267"/>
  <c r="N158" i="8194"/>
  <c r="N159" i="8194" s="1"/>
  <c r="N160" i="8194" s="1"/>
  <c r="N161" i="8194" s="1"/>
  <c r="N162" i="8194" s="1"/>
  <c r="N167" i="8194" s="1"/>
  <c r="AQ167" i="8194"/>
  <c r="AQ170" i="8194" s="1"/>
  <c r="AQ171" i="8194" s="1"/>
  <c r="AQ172" i="8194" s="1"/>
  <c r="K153" i="8194"/>
  <c r="K154" i="8194" s="1"/>
  <c r="K159" i="8194" s="1"/>
  <c r="K160" i="8194" s="1"/>
  <c r="K161" i="8194" s="1"/>
  <c r="K162" i="8194" s="1"/>
  <c r="K167" i="8194" s="1"/>
  <c r="K170" i="8194" s="1"/>
  <c r="AI84" i="8194"/>
  <c r="S84" i="8194"/>
  <c r="BI152" i="8194"/>
  <c r="BI153" i="8194" s="1"/>
  <c r="BI154" i="8194" s="1"/>
  <c r="AV167" i="8194"/>
  <c r="Y90" i="2"/>
  <c r="AF90" i="2" s="1"/>
  <c r="BA167" i="8194"/>
  <c r="T153" i="8194"/>
  <c r="T154" i="8194" s="1"/>
  <c r="T159" i="8194" s="1"/>
  <c r="T160" i="8194" s="1"/>
  <c r="T161" i="8194" s="1"/>
  <c r="T162" i="8194" s="1"/>
  <c r="T167" i="8194" s="1"/>
  <c r="BC158" i="8194"/>
  <c r="BC159" i="8194" s="1"/>
  <c r="BC160" i="8194" s="1"/>
  <c r="BC161" i="8194" s="1"/>
  <c r="BC162" i="8194" s="1"/>
  <c r="BC167" i="8194" s="1"/>
  <c r="BC170" i="8194" s="1"/>
  <c r="W84" i="8194"/>
  <c r="Y78" i="2"/>
  <c r="X44" i="1" s="1"/>
  <c r="Y100" i="2"/>
  <c r="X66" i="1" s="1"/>
  <c r="T84" i="8194"/>
  <c r="AU84" i="8194"/>
  <c r="AT158" i="8194"/>
  <c r="AT159" i="8194" s="1"/>
  <c r="AT160" i="8194" s="1"/>
  <c r="AT161" i="8194" s="1"/>
  <c r="AT162" i="8194" s="1"/>
  <c r="AT167" i="8194" s="1"/>
  <c r="AT170" i="8194" s="1"/>
  <c r="S11" i="267"/>
  <c r="S16" i="267" s="1"/>
  <c r="AM153" i="8194"/>
  <c r="AM154" i="8194" s="1"/>
  <c r="AM159" i="8194" s="1"/>
  <c r="AM160" i="8194" s="1"/>
  <c r="AM161" i="8194" s="1"/>
  <c r="AM162" i="8194" s="1"/>
  <c r="AM167" i="8194" s="1"/>
  <c r="AM170" i="8194" s="1"/>
  <c r="AW158" i="8194"/>
  <c r="AW159" i="8194" s="1"/>
  <c r="AW160" i="8194" s="1"/>
  <c r="AW161" i="8194" s="1"/>
  <c r="AW162" i="8194" s="1"/>
  <c r="AW167" i="8194" s="1"/>
  <c r="AW170" i="8194" s="1"/>
  <c r="AS84" i="8194"/>
  <c r="T11" i="267"/>
  <c r="T16" i="267" s="1"/>
  <c r="U84" i="8194"/>
  <c r="R11" i="267"/>
  <c r="R16" i="267" s="1"/>
  <c r="P167" i="8194"/>
  <c r="O158" i="8194"/>
  <c r="O159" i="8194" s="1"/>
  <c r="O160" i="8194" s="1"/>
  <c r="O161" i="8194" s="1"/>
  <c r="O162" i="8194" s="1"/>
  <c r="O167" i="8194" s="1"/>
  <c r="AF91" i="2"/>
  <c r="X57" i="1"/>
  <c r="X55" i="1"/>
  <c r="AJ158" i="8194"/>
  <c r="AJ159" i="8194" s="1"/>
  <c r="AJ160" i="8194" s="1"/>
  <c r="AJ161" i="8194" s="1"/>
  <c r="AJ162" i="8194" s="1"/>
  <c r="AJ167" i="8194" s="1"/>
  <c r="AJ170" i="8194" s="1"/>
  <c r="AF89" i="2"/>
  <c r="Y84" i="8194"/>
  <c r="AL153" i="8194"/>
  <c r="AL154" i="8194" s="1"/>
  <c r="AL159" i="8194" s="1"/>
  <c r="AL160" i="8194" s="1"/>
  <c r="AL161" i="8194" s="1"/>
  <c r="AL162" i="8194" s="1"/>
  <c r="AL167" i="8194" s="1"/>
  <c r="AL170" i="8194" s="1"/>
  <c r="X11" i="267"/>
  <c r="X16" i="267" s="1"/>
  <c r="BG166" i="8194"/>
  <c r="AT11" i="267"/>
  <c r="AT16" i="267" s="1"/>
  <c r="BG152" i="8194"/>
  <c r="BG153" i="8194" s="1"/>
  <c r="BG154" i="8194" s="1"/>
  <c r="S60" i="1"/>
  <c r="Y92" i="2"/>
  <c r="X58" i="1" s="1"/>
  <c r="V153" i="8194"/>
  <c r="V154" i="8194" s="1"/>
  <c r="V159" i="8194" s="1"/>
  <c r="X60" i="1"/>
  <c r="AF72" i="2"/>
  <c r="AS153" i="8194"/>
  <c r="AS154" i="8194" s="1"/>
  <c r="AS159" i="8194" s="1"/>
  <c r="AS160" i="8194" s="1"/>
  <c r="AS161" i="8194" s="1"/>
  <c r="AS162" i="8194" s="1"/>
  <c r="AS167" i="8194" s="1"/>
  <c r="AS170" i="8194" s="1"/>
  <c r="S38" i="1"/>
  <c r="J153" i="8194"/>
  <c r="J154" i="8194" s="1"/>
  <c r="J159" i="8194" s="1"/>
  <c r="J160" i="8194" s="1"/>
  <c r="J161" i="8194" s="1"/>
  <c r="J162" i="8194" s="1"/>
  <c r="J167" i="8194" s="1"/>
  <c r="AK84" i="8194"/>
  <c r="B73" i="8194"/>
  <c r="BG6" i="267"/>
  <c r="BH152" i="8194"/>
  <c r="U153" i="8194"/>
  <c r="U154" i="8194" s="1"/>
  <c r="U159" i="8194" s="1"/>
  <c r="U160" i="8194" s="1"/>
  <c r="U161" i="8194" s="1"/>
  <c r="U162" i="8194" s="1"/>
  <c r="U167" i="8194" s="1"/>
  <c r="U170" i="8194" s="1"/>
  <c r="U171" i="8194" s="1"/>
  <c r="U177" i="8194" s="1"/>
  <c r="H158" i="8194"/>
  <c r="H159" i="8194" s="1"/>
  <c r="H160" i="8194" s="1"/>
  <c r="H161" i="8194" s="1"/>
  <c r="H162" i="8194" s="1"/>
  <c r="H167" i="8194" s="1"/>
  <c r="H170" i="8194" s="1"/>
  <c r="AG84" i="8194"/>
  <c r="BE167" i="8194"/>
  <c r="BE170" i="8194" s="1"/>
  <c r="BE171" i="8194" s="1"/>
  <c r="BE172" i="8194" s="1"/>
  <c r="Q153" i="8194"/>
  <c r="Q154" i="8194" s="1"/>
  <c r="Q159" i="8194" s="1"/>
  <c r="Q160" i="8194" s="1"/>
  <c r="Q161" i="8194" s="1"/>
  <c r="Q162" i="8194" s="1"/>
  <c r="Q167" i="8194" s="1"/>
  <c r="Q170" i="8194" s="1"/>
  <c r="Y101" i="2"/>
  <c r="X67" i="1" s="1"/>
  <c r="X62" i="1"/>
  <c r="AF96" i="2"/>
  <c r="Y88" i="2"/>
  <c r="X54" i="1" s="1"/>
  <c r="AO158" i="8194"/>
  <c r="AO159" i="8194" s="1"/>
  <c r="AO160" i="8194" s="1"/>
  <c r="AO161" i="8194" s="1"/>
  <c r="AO162" i="8194" s="1"/>
  <c r="AO167" i="8194" s="1"/>
  <c r="AO170" i="8194" s="1"/>
  <c r="AN84" i="8194"/>
  <c r="AM11" i="267"/>
  <c r="AM16" i="267" s="1"/>
  <c r="AT84" i="8194"/>
  <c r="AY153" i="8194"/>
  <c r="AY154" i="8194" s="1"/>
  <c r="AY159" i="8194" s="1"/>
  <c r="AY160" i="8194" s="1"/>
  <c r="AY161" i="8194" s="1"/>
  <c r="AY162" i="8194" s="1"/>
  <c r="AY167" i="8194" s="1"/>
  <c r="AY170" i="8194" s="1"/>
  <c r="AY171" i="8194" s="1"/>
  <c r="AY172" i="8194" s="1"/>
  <c r="B66" i="8194"/>
  <c r="S158" i="8194"/>
  <c r="S159" i="8194" s="1"/>
  <c r="S160" i="8194" s="1"/>
  <c r="S161" i="8194" s="1"/>
  <c r="S162" i="8194" s="1"/>
  <c r="S167" i="8194" s="1"/>
  <c r="S170" i="8194" s="1"/>
  <c r="S171" i="8194" s="1"/>
  <c r="S177" i="8194" s="1"/>
  <c r="R153" i="8194"/>
  <c r="R154" i="8194" s="1"/>
  <c r="R159" i="8194" s="1"/>
  <c r="AK167" i="8194"/>
  <c r="AK170" i="8194" s="1"/>
  <c r="AK171" i="8194" s="1"/>
  <c r="AK172" i="8194" s="1"/>
  <c r="AZ158" i="8194"/>
  <c r="AZ159" i="8194" s="1"/>
  <c r="AZ160" i="8194" s="1"/>
  <c r="AZ161" i="8194" s="1"/>
  <c r="AZ162" i="8194" s="1"/>
  <c r="AZ167" i="8194" s="1"/>
  <c r="AZ170" i="8194" s="1"/>
  <c r="X63" i="1"/>
  <c r="S63" i="1"/>
  <c r="AN158" i="8194"/>
  <c r="AN159" i="8194" s="1"/>
  <c r="AN160" i="8194" s="1"/>
  <c r="AN161" i="8194" s="1"/>
  <c r="AN162" i="8194" s="1"/>
  <c r="AN167" i="8194" s="1"/>
  <c r="AN170" i="8194" s="1"/>
  <c r="BF152" i="8194"/>
  <c r="BF166" i="8194"/>
  <c r="BE6" i="267"/>
  <c r="AP153" i="8194"/>
  <c r="AP154" i="8194" s="1"/>
  <c r="AP159" i="8194" s="1"/>
  <c r="AP160" i="8194" s="1"/>
  <c r="AP161" i="8194" s="1"/>
  <c r="AP162" i="8194" s="1"/>
  <c r="AP167" i="8194" s="1"/>
  <c r="AP170" i="8194" s="1"/>
  <c r="S39" i="1"/>
  <c r="AF73" i="2"/>
  <c r="AL84" i="8194"/>
  <c r="Y93" i="2"/>
  <c r="S59" i="1" s="1"/>
  <c r="BT81" i="8194"/>
  <c r="AF81" i="2"/>
  <c r="X47" i="1"/>
  <c r="BB167" i="8194"/>
  <c r="BB170" i="8194" s="1"/>
  <c r="BB171" i="8194" s="1"/>
  <c r="BB172" i="8194" s="1"/>
  <c r="BL171" i="8194"/>
  <c r="BL172" i="8194" s="1"/>
  <c r="B76" i="8194"/>
  <c r="AF102" i="2"/>
  <c r="S68" i="1"/>
  <c r="X68" i="1"/>
  <c r="B74" i="8194"/>
  <c r="BA170" i="8194"/>
  <c r="O170" i="8194"/>
  <c r="P170" i="8194"/>
  <c r="AF95" i="2"/>
  <c r="S61" i="1"/>
  <c r="X61" i="1"/>
  <c r="S50" i="1"/>
  <c r="AF84" i="2"/>
  <c r="X50" i="1"/>
  <c r="X45" i="1"/>
  <c r="AF79" i="2"/>
  <c r="S45" i="1"/>
  <c r="AF75" i="2"/>
  <c r="X41" i="1"/>
  <c r="S41" i="1"/>
  <c r="BK171" i="8194"/>
  <c r="BK172" i="8194" s="1"/>
  <c r="AF80" i="2"/>
  <c r="S46" i="1"/>
  <c r="X46" i="1"/>
  <c r="B67" i="8194"/>
  <c r="AF76" i="2"/>
  <c r="X42" i="1"/>
  <c r="S42" i="1"/>
  <c r="I170" i="8194"/>
  <c r="I171" i="8194" s="1"/>
  <c r="I177" i="8194" s="1"/>
  <c r="X51" i="1"/>
  <c r="AF85" i="2"/>
  <c r="S51" i="1"/>
  <c r="AF83" i="2"/>
  <c r="S49" i="1"/>
  <c r="X49" i="1"/>
  <c r="AV170" i="8194"/>
  <c r="AF98" i="2"/>
  <c r="S64" i="1"/>
  <c r="X64" i="1"/>
  <c r="N170" i="8194"/>
  <c r="S40" i="1"/>
  <c r="X40" i="1"/>
  <c r="AF74" i="2"/>
  <c r="S37" i="1"/>
  <c r="X37" i="1"/>
  <c r="AF71" i="2"/>
  <c r="O16" i="267"/>
  <c r="O12" i="267"/>
  <c r="P12" i="267" s="1"/>
  <c r="Q12" i="267" s="1"/>
  <c r="AM35" i="4"/>
  <c r="AL38" i="4"/>
  <c r="AL39" i="4" s="1"/>
  <c r="AL59" i="4"/>
  <c r="AL76" i="4" s="1"/>
  <c r="U78" i="4"/>
  <c r="G155" i="8194"/>
  <c r="G157" i="8194" s="1"/>
  <c r="G158" i="8194" s="1"/>
  <c r="G159" i="8194" s="1"/>
  <c r="G160" i="8194" s="1"/>
  <c r="G161" i="8194" s="1"/>
  <c r="G162" i="8194" s="1"/>
  <c r="G167" i="8194" s="1"/>
  <c r="G170" i="8194" s="1"/>
  <c r="AX62" i="2"/>
  <c r="AE28" i="1" s="1"/>
  <c r="BM155" i="8194"/>
  <c r="BM157" i="8194" s="1"/>
  <c r="BM158" i="8194" s="1"/>
  <c r="BM159" i="8194" s="1"/>
  <c r="BM160" i="8194" s="1"/>
  <c r="BM161" i="8194" s="1"/>
  <c r="BM162" i="8194" s="1"/>
  <c r="BM167" i="8194" s="1"/>
  <c r="AX120" i="2"/>
  <c r="AE86" i="1" s="1"/>
  <c r="CC78" i="4"/>
  <c r="AX90" i="2"/>
  <c r="AE56" i="1" s="1"/>
  <c r="AW78" i="4"/>
  <c r="AI155" i="8194"/>
  <c r="AI157" i="8194" s="1"/>
  <c r="AI158" i="8194" s="1"/>
  <c r="AI159" i="8194" s="1"/>
  <c r="AI160" i="8194" s="1"/>
  <c r="AI161" i="8194" s="1"/>
  <c r="AI162" i="8194" s="1"/>
  <c r="AI167" i="8194" s="1"/>
  <c r="AH30" i="4"/>
  <c r="AI32" i="4"/>
  <c r="AI31" i="4" s="1"/>
  <c r="AK6" i="4"/>
  <c r="AK4" i="4"/>
  <c r="AK8" i="4" s="1"/>
  <c r="AH29" i="4"/>
  <c r="AJ6" i="4"/>
  <c r="AJ4" i="4"/>
  <c r="AJ8" i="4" s="1"/>
  <c r="E166" i="8194"/>
  <c r="B75" i="8194"/>
  <c r="E152" i="8194"/>
  <c r="E153" i="8194" s="1"/>
  <c r="E154" i="8194" s="1"/>
  <c r="AK19" i="50872"/>
  <c r="AL18" i="50872"/>
  <c r="AN18" i="50872"/>
  <c r="AO18" i="50872"/>
  <c r="AM18" i="50872"/>
  <c r="AU159" i="8194"/>
  <c r="AU160" i="8194" s="1"/>
  <c r="AU161" i="8194" s="1"/>
  <c r="AU162" i="8194" s="1"/>
  <c r="AU167" i="8194" s="1"/>
  <c r="AU170" i="8194" s="1"/>
  <c r="BD159" i="8194"/>
  <c r="BD160" i="8194" s="1"/>
  <c r="BD161" i="8194" s="1"/>
  <c r="BD162" i="8194" s="1"/>
  <c r="BD167" i="8194" s="1"/>
  <c r="BD170" i="8194" s="1"/>
  <c r="L159" i="8194"/>
  <c r="AX159" i="8194"/>
  <c r="AX160" i="8194" s="1"/>
  <c r="AX161" i="8194" s="1"/>
  <c r="AX162" i="8194" s="1"/>
  <c r="AX167" i="8194" s="1"/>
  <c r="AX170" i="8194" s="1"/>
  <c r="M159" i="8194"/>
  <c r="T30" i="1"/>
  <c r="AY69" i="4"/>
  <c r="P267" i="8194"/>
  <c r="P268" i="8194"/>
  <c r="P269" i="8194" s="1"/>
  <c r="N171" i="8194" l="1"/>
  <c r="N177" i="8194" s="1"/>
  <c r="S44" i="1"/>
  <c r="S56" i="1"/>
  <c r="X56" i="1"/>
  <c r="BG158" i="8194"/>
  <c r="BG159" i="8194" s="1"/>
  <c r="BG160" i="8194" s="1"/>
  <c r="BG161" i="8194" s="1"/>
  <c r="BG162" i="8194" s="1"/>
  <c r="BG167" i="8194" s="1"/>
  <c r="BG170" i="8194" s="1"/>
  <c r="BG171" i="8194" s="1"/>
  <c r="BG172" i="8194" s="1"/>
  <c r="AV171" i="8194"/>
  <c r="AV172" i="8194" s="1"/>
  <c r="BI158" i="8194"/>
  <c r="BI159" i="8194" s="1"/>
  <c r="BI160" i="8194" s="1"/>
  <c r="BI161" i="8194" s="1"/>
  <c r="BI162" i="8194" s="1"/>
  <c r="BI167" i="8194" s="1"/>
  <c r="BI170" i="8194" s="1"/>
  <c r="BI171" i="8194" s="1"/>
  <c r="BI172" i="8194" s="1"/>
  <c r="P171" i="8194"/>
  <c r="P177" i="8194" s="1"/>
  <c r="BA171" i="8194"/>
  <c r="BA172" i="8194" s="1"/>
  <c r="R12" i="267"/>
  <c r="S12" i="267" s="1"/>
  <c r="T12" i="267" s="1"/>
  <c r="U12" i="267" s="1"/>
  <c r="V12" i="267" s="1"/>
  <c r="W12" i="267" s="1"/>
  <c r="X12" i="267" s="1"/>
  <c r="Y12" i="267" s="1"/>
  <c r="Z12" i="267" s="1"/>
  <c r="AA12" i="267" s="1"/>
  <c r="AB12" i="267" s="1"/>
  <c r="AC12" i="267" s="1"/>
  <c r="AD12" i="267" s="1"/>
  <c r="AE12" i="267" s="1"/>
  <c r="AF12" i="267" s="1"/>
  <c r="AG12" i="267" s="1"/>
  <c r="AH12" i="267" s="1"/>
  <c r="AI12" i="267" s="1"/>
  <c r="AJ12" i="267" s="1"/>
  <c r="AK12" i="267" s="1"/>
  <c r="AL12" i="267" s="1"/>
  <c r="AM12" i="267" s="1"/>
  <c r="AN12" i="267" s="1"/>
  <c r="AO12" i="267" s="1"/>
  <c r="AP12" i="267" s="1"/>
  <c r="AQ12" i="267" s="1"/>
  <c r="AR12" i="267" s="1"/>
  <c r="AS12" i="267" s="1"/>
  <c r="AT12" i="267" s="1"/>
  <c r="AU12" i="267" s="1"/>
  <c r="AV12" i="267" s="1"/>
  <c r="AW12" i="267" s="1"/>
  <c r="AX12" i="267" s="1"/>
  <c r="AY12" i="267" s="1"/>
  <c r="AZ12" i="267" s="1"/>
  <c r="BA12" i="267" s="1"/>
  <c r="BB12" i="267" s="1"/>
  <c r="BC12" i="267" s="1"/>
  <c r="BD12" i="267" s="1"/>
  <c r="BE12" i="267" s="1"/>
  <c r="BF12" i="267" s="1"/>
  <c r="BG12" i="267" s="1"/>
  <c r="BH12" i="267" s="1"/>
  <c r="BI12" i="267" s="1"/>
  <c r="BJ12" i="267" s="1"/>
  <c r="BK12" i="267" s="1"/>
  <c r="BL12" i="267" s="1"/>
  <c r="BM12" i="267" s="1"/>
  <c r="BN12" i="267" s="1"/>
  <c r="BO12" i="267" s="1"/>
  <c r="BP12" i="267" s="1"/>
  <c r="AF78" i="2"/>
  <c r="S67" i="1"/>
  <c r="S66" i="1"/>
  <c r="AF100" i="2"/>
  <c r="AL171" i="8194"/>
  <c r="AL172" i="8194" s="1"/>
  <c r="O171" i="8194"/>
  <c r="O177" i="8194" s="1"/>
  <c r="AT171" i="8194"/>
  <c r="AT172" i="8194" s="1"/>
  <c r="S58" i="1"/>
  <c r="AS171" i="8194"/>
  <c r="AS172" i="8194" s="1"/>
  <c r="AF92" i="2"/>
  <c r="A16" i="267"/>
  <c r="B84" i="8194"/>
  <c r="A6" i="267"/>
  <c r="AF101" i="2"/>
  <c r="BH153" i="8194"/>
  <c r="BH154" i="8194" s="1"/>
  <c r="BH158" i="8194"/>
  <c r="AF88" i="2"/>
  <c r="Y127" i="2"/>
  <c r="AF127" i="2" s="1"/>
  <c r="S54" i="1"/>
  <c r="S93" i="1" s="1"/>
  <c r="G171" i="8194"/>
  <c r="G177" i="8194" s="1"/>
  <c r="AF93" i="2"/>
  <c r="AN171" i="8194"/>
  <c r="AN172" i="8194" s="1"/>
  <c r="BF158" i="8194"/>
  <c r="BF153" i="8194"/>
  <c r="BF154" i="8194" s="1"/>
  <c r="X59" i="1"/>
  <c r="X93" i="1" s="1"/>
  <c r="AP171" i="8194"/>
  <c r="AP172" i="8194" s="1"/>
  <c r="Q171" i="8194"/>
  <c r="Q177" i="8194" s="1"/>
  <c r="H171" i="8194"/>
  <c r="H177" i="8194" s="1"/>
  <c r="AJ171" i="8194"/>
  <c r="AJ172" i="8194" s="1"/>
  <c r="AW171" i="8194"/>
  <c r="AW172" i="8194" s="1"/>
  <c r="AX171" i="8194"/>
  <c r="AX172" i="8194" s="1"/>
  <c r="AZ171" i="8194"/>
  <c r="AZ172" i="8194" s="1"/>
  <c r="AO171" i="8194"/>
  <c r="AO172" i="8194" s="1"/>
  <c r="AM171" i="8194"/>
  <c r="AM172" i="8194" s="1"/>
  <c r="BC171" i="8194"/>
  <c r="BC172" i="8194" s="1"/>
  <c r="AR171" i="8194"/>
  <c r="AR172" i="8194" s="1"/>
  <c r="T170" i="8194"/>
  <c r="T171" i="8194" s="1"/>
  <c r="T177" i="8194" s="1"/>
  <c r="Y37" i="1"/>
  <c r="Y38" i="1" s="1"/>
  <c r="Y39" i="1" s="1"/>
  <c r="Y40" i="1" s="1"/>
  <c r="Y41" i="1" s="1"/>
  <c r="Y42" i="1" s="1"/>
  <c r="Y43" i="1" s="1"/>
  <c r="Y44" i="1" s="1"/>
  <c r="Y45" i="1" s="1"/>
  <c r="Y46" i="1" s="1"/>
  <c r="Y47" i="1" s="1"/>
  <c r="Y48" i="1" s="1"/>
  <c r="Y49" i="1" s="1"/>
  <c r="Y50" i="1" s="1"/>
  <c r="Y51" i="1" s="1"/>
  <c r="Y52" i="1" s="1"/>
  <c r="Y53" i="1" s="1"/>
  <c r="Y54" i="1" s="1"/>
  <c r="Y55" i="1" s="1"/>
  <c r="K171" i="8194"/>
  <c r="K177" i="8194" s="1"/>
  <c r="BM170" i="8194"/>
  <c r="BM171" i="8194" s="1"/>
  <c r="BM172" i="8194" s="1"/>
  <c r="AI170" i="8194"/>
  <c r="AI171" i="8194" s="1"/>
  <c r="AI172" i="8194" s="1"/>
  <c r="J170" i="8194"/>
  <c r="J171" i="8194" s="1"/>
  <c r="J177" i="8194" s="1"/>
  <c r="BD171" i="8194"/>
  <c r="BD172" i="8194" s="1"/>
  <c r="AU171" i="8194"/>
  <c r="AU172" i="8194" s="1"/>
  <c r="AL53" i="4"/>
  <c r="AL3" i="4"/>
  <c r="AM40" i="4"/>
  <c r="AM38" i="4"/>
  <c r="AM39" i="4" s="1"/>
  <c r="AM59" i="4"/>
  <c r="AM76" i="4" s="1"/>
  <c r="AN35" i="4"/>
  <c r="AX121" i="2"/>
  <c r="AE87" i="1" s="1"/>
  <c r="CD78" i="4"/>
  <c r="BN155" i="8194"/>
  <c r="BN157" i="8194" s="1"/>
  <c r="BN158" i="8194" s="1"/>
  <c r="BN159" i="8194" s="1"/>
  <c r="BN160" i="8194" s="1"/>
  <c r="BN161" i="8194" s="1"/>
  <c r="BN162" i="8194" s="1"/>
  <c r="BN167" i="8194" s="1"/>
  <c r="AX61" i="2"/>
  <c r="AE27" i="1" s="1"/>
  <c r="T78" i="4"/>
  <c r="F155" i="8194"/>
  <c r="F157" i="8194" s="1"/>
  <c r="F158" i="8194" s="1"/>
  <c r="F159" i="8194" s="1"/>
  <c r="F160" i="8194" s="1"/>
  <c r="F161" i="8194" s="1"/>
  <c r="F162" i="8194" s="1"/>
  <c r="F167" i="8194" s="1"/>
  <c r="F170" i="8194" s="1"/>
  <c r="F171" i="8194" s="1"/>
  <c r="F177" i="8194" s="1"/>
  <c r="AV78" i="4"/>
  <c r="AX89" i="2"/>
  <c r="AE55" i="1" s="1"/>
  <c r="AH155" i="8194"/>
  <c r="AH157" i="8194" s="1"/>
  <c r="AH158" i="8194" s="1"/>
  <c r="AH159" i="8194" s="1"/>
  <c r="AH160" i="8194" s="1"/>
  <c r="AH161" i="8194" s="1"/>
  <c r="AH162" i="8194" s="1"/>
  <c r="AH167" i="8194" s="1"/>
  <c r="AK27" i="4"/>
  <c r="AK26" i="4" s="1"/>
  <c r="AK32" i="4"/>
  <c r="AK29" i="4" s="1"/>
  <c r="AI30" i="4"/>
  <c r="AI29" i="4"/>
  <c r="AJ32" i="4"/>
  <c r="AJ31" i="4" s="1"/>
  <c r="B166" i="8194"/>
  <c r="AL19" i="50872"/>
  <c r="AN19" i="50872"/>
  <c r="AK20" i="50872"/>
  <c r="AO19" i="50872"/>
  <c r="AM19" i="50872"/>
  <c r="M160" i="8194"/>
  <c r="M161" i="8194" s="1"/>
  <c r="M162" i="8194" s="1"/>
  <c r="M167" i="8194" s="1"/>
  <c r="R160" i="8194"/>
  <c r="R161" i="8194" s="1"/>
  <c r="R162" i="8194" s="1"/>
  <c r="R167" i="8194" s="1"/>
  <c r="V183" i="8194"/>
  <c r="V160" i="8194"/>
  <c r="V161" i="8194" s="1"/>
  <c r="V162" i="8194" s="1"/>
  <c r="V167" i="8194" s="1"/>
  <c r="L160" i="8194"/>
  <c r="L161" i="8194" s="1"/>
  <c r="L162" i="8194" s="1"/>
  <c r="L167" i="8194" s="1"/>
  <c r="T31" i="1"/>
  <c r="AZ69" i="4"/>
  <c r="P271" i="8194"/>
  <c r="P272" i="8194" s="1"/>
  <c r="P270" i="8194"/>
  <c r="Y56" i="1" l="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AF128" i="2"/>
  <c r="BH159" i="8194"/>
  <c r="BH160" i="8194" s="1"/>
  <c r="BH161" i="8194" s="1"/>
  <c r="BH162" i="8194" s="1"/>
  <c r="BH167" i="8194" s="1"/>
  <c r="Y128" i="2"/>
  <c r="AG128" i="2" s="1"/>
  <c r="AG67" i="2" s="1"/>
  <c r="AA67" i="2" s="1"/>
  <c r="BF159" i="8194"/>
  <c r="BF160" i="8194" s="1"/>
  <c r="BF161" i="8194" s="1"/>
  <c r="BF162" i="8194" s="1"/>
  <c r="BF167" i="8194" s="1"/>
  <c r="BF170" i="8194" s="1"/>
  <c r="R170" i="8194"/>
  <c r="R171" i="8194" s="1"/>
  <c r="R177" i="8194" s="1"/>
  <c r="M170" i="8194"/>
  <c r="M171" i="8194" s="1"/>
  <c r="M177" i="8194" s="1"/>
  <c r="BN170" i="8194"/>
  <c r="BN171" i="8194" s="1"/>
  <c r="BN172" i="8194" s="1"/>
  <c r="L170" i="8194"/>
  <c r="L171" i="8194" s="1"/>
  <c r="L177" i="8194" s="1"/>
  <c r="V170" i="8194"/>
  <c r="V171" i="8194" s="1"/>
  <c r="V177" i="8194" s="1"/>
  <c r="AH170" i="8194"/>
  <c r="AH171" i="8194" s="1"/>
  <c r="AH172" i="8194" s="1"/>
  <c r="AM53" i="4"/>
  <c r="AM3" i="4"/>
  <c r="AN40" i="4"/>
  <c r="AN59" i="4"/>
  <c r="AN76" i="4" s="1"/>
  <c r="AN38" i="4"/>
  <c r="AN39" i="4" s="1"/>
  <c r="AO35" i="4"/>
  <c r="AL6" i="4"/>
  <c r="AL4" i="4"/>
  <c r="AL8" i="4" s="1"/>
  <c r="E155" i="8194"/>
  <c r="E157" i="8194" s="1"/>
  <c r="E158" i="8194" s="1"/>
  <c r="E159" i="8194" s="1"/>
  <c r="E160" i="8194" s="1"/>
  <c r="E161" i="8194" s="1"/>
  <c r="E162" i="8194" s="1"/>
  <c r="E167" i="8194" s="1"/>
  <c r="AX60" i="2"/>
  <c r="AE26" i="1" s="1"/>
  <c r="BO155" i="8194"/>
  <c r="BO157" i="8194" s="1"/>
  <c r="BO158" i="8194" s="1"/>
  <c r="BO159" i="8194" s="1"/>
  <c r="BO160" i="8194" s="1"/>
  <c r="BO161" i="8194" s="1"/>
  <c r="BO162" i="8194" s="1"/>
  <c r="BO167" i="8194" s="1"/>
  <c r="AX122" i="2"/>
  <c r="AE88" i="1" s="1"/>
  <c r="CE78" i="4"/>
  <c r="AG155" i="8194"/>
  <c r="AG157" i="8194" s="1"/>
  <c r="AG158" i="8194" s="1"/>
  <c r="AG159" i="8194" s="1"/>
  <c r="AG160" i="8194" s="1"/>
  <c r="AG161" i="8194" s="1"/>
  <c r="AG162" i="8194" s="1"/>
  <c r="AG167" i="8194" s="1"/>
  <c r="AU78" i="4"/>
  <c r="AX88" i="2"/>
  <c r="AE54" i="1" s="1"/>
  <c r="AK25" i="4"/>
  <c r="AK24" i="4"/>
  <c r="AJ29" i="4"/>
  <c r="AJ30" i="4"/>
  <c r="AK30" i="4"/>
  <c r="AK31" i="4"/>
  <c r="AO20" i="50872"/>
  <c r="AN20" i="50872"/>
  <c r="AM20" i="50872"/>
  <c r="AL20" i="50872"/>
  <c r="AK21" i="50872"/>
  <c r="T32" i="1"/>
  <c r="BA69" i="4"/>
  <c r="P274" i="8194"/>
  <c r="P275" i="8194" s="1"/>
  <c r="P273" i="8194"/>
  <c r="AI63" i="18176" l="1"/>
  <c r="AJ63" i="18176" s="1"/>
  <c r="AG119" i="2"/>
  <c r="AA119" i="2" s="1"/>
  <c r="AG125" i="2"/>
  <c r="AA125" i="2" s="1"/>
  <c r="AG106" i="2"/>
  <c r="AA106" i="2" s="1"/>
  <c r="AG90" i="2"/>
  <c r="AA90" i="2" s="1"/>
  <c r="AG111" i="2"/>
  <c r="AA111" i="2" s="1"/>
  <c r="AG99" i="2"/>
  <c r="AA99" i="2" s="1"/>
  <c r="AG123" i="2"/>
  <c r="AA123" i="2" s="1"/>
  <c r="AG113" i="2"/>
  <c r="AA113" i="2" s="1"/>
  <c r="AG96" i="2"/>
  <c r="AA96" i="2" s="1"/>
  <c r="AG112" i="2"/>
  <c r="AA112" i="2" s="1"/>
  <c r="AG91" i="2"/>
  <c r="AA91" i="2" s="1"/>
  <c r="AG70" i="2"/>
  <c r="AA70" i="2" s="1"/>
  <c r="AG73" i="2"/>
  <c r="AA73" i="2" s="1"/>
  <c r="AG88" i="2"/>
  <c r="AA88" i="2" s="1"/>
  <c r="AG118" i="2"/>
  <c r="AA118" i="2" s="1"/>
  <c r="AG103" i="2"/>
  <c r="AA103" i="2" s="1"/>
  <c r="AG104" i="2"/>
  <c r="AA104" i="2" s="1"/>
  <c r="AG61" i="2"/>
  <c r="AA61" i="2" s="1"/>
  <c r="AG89" i="2"/>
  <c r="AA89" i="2" s="1"/>
  <c r="AG83" i="2"/>
  <c r="AA83" i="2" s="1"/>
  <c r="AG115" i="2"/>
  <c r="AA115" i="2" s="1"/>
  <c r="AG94" i="2"/>
  <c r="AA94" i="2" s="1"/>
  <c r="AG101" i="2"/>
  <c r="AA101" i="2" s="1"/>
  <c r="AG100" i="2"/>
  <c r="AA100" i="2" s="1"/>
  <c r="AG102" i="2"/>
  <c r="AA102" i="2" s="1"/>
  <c r="AG87" i="2"/>
  <c r="AA87" i="2" s="1"/>
  <c r="AG72" i="2"/>
  <c r="AA72" i="2" s="1"/>
  <c r="AG79" i="2"/>
  <c r="AA79" i="2" s="1"/>
  <c r="AG117" i="2"/>
  <c r="AA117" i="2" s="1"/>
  <c r="AG69" i="2"/>
  <c r="AA69" i="2" s="1"/>
  <c r="AG107" i="2"/>
  <c r="AA107" i="2" s="1"/>
  <c r="AG108" i="2"/>
  <c r="AA108" i="2" s="1"/>
  <c r="AG66" i="2"/>
  <c r="AA66" i="2" s="1"/>
  <c r="AG110" i="2"/>
  <c r="AA110" i="2" s="1"/>
  <c r="AG97" i="2"/>
  <c r="AA97" i="2" s="1"/>
  <c r="AG85" i="2"/>
  <c r="AA85" i="2" s="1"/>
  <c r="AG84" i="2"/>
  <c r="AA84" i="2" s="1"/>
  <c r="AG129" i="2"/>
  <c r="T28" i="2" s="1"/>
  <c r="AG62" i="2"/>
  <c r="AA62" i="2" s="1"/>
  <c r="AG74" i="2"/>
  <c r="AA74" i="2" s="1"/>
  <c r="AG124" i="2"/>
  <c r="AA124" i="2" s="1"/>
  <c r="AG126" i="2"/>
  <c r="AA126" i="2" s="1"/>
  <c r="AG121" i="2"/>
  <c r="AA121" i="2" s="1"/>
  <c r="AG71" i="2"/>
  <c r="AA71" i="2" s="1"/>
  <c r="AG120" i="2"/>
  <c r="AA120" i="2" s="1"/>
  <c r="AG68" i="2"/>
  <c r="AA68" i="2" s="1"/>
  <c r="AG105" i="2"/>
  <c r="AA105" i="2" s="1"/>
  <c r="AG82" i="2"/>
  <c r="AA82" i="2" s="1"/>
  <c r="AG114" i="2"/>
  <c r="AA114" i="2" s="1"/>
  <c r="AG109" i="2"/>
  <c r="AA109" i="2" s="1"/>
  <c r="AG65" i="2"/>
  <c r="AA65" i="2" s="1"/>
  <c r="AG98" i="2"/>
  <c r="AA98" i="2" s="1"/>
  <c r="AG77" i="2"/>
  <c r="AG95" i="2"/>
  <c r="AA95" i="2" s="1"/>
  <c r="AG127" i="2"/>
  <c r="AA127" i="2" s="1"/>
  <c r="AG116" i="2"/>
  <c r="AA116" i="2" s="1"/>
  <c r="AG63" i="2"/>
  <c r="AA63" i="2" s="1"/>
  <c r="AG80" i="2"/>
  <c r="AA80" i="2" s="1"/>
  <c r="AG64" i="2"/>
  <c r="AA64" i="2" s="1"/>
  <c r="AG122" i="2"/>
  <c r="AA122" i="2" s="1"/>
  <c r="AG76" i="2"/>
  <c r="AA76" i="2" s="1"/>
  <c r="AG78" i="2"/>
  <c r="AA78" i="2" s="1"/>
  <c r="AG81" i="2"/>
  <c r="AA81" i="2" s="1"/>
  <c r="T29" i="2"/>
  <c r="AG92" i="2"/>
  <c r="AA92" i="2" s="1"/>
  <c r="AG93" i="2"/>
  <c r="AA93" i="2" s="1"/>
  <c r="AG75" i="2"/>
  <c r="AA75" i="2" s="1"/>
  <c r="AG86" i="2"/>
  <c r="AA86" i="2" s="1"/>
  <c r="BH170" i="8194"/>
  <c r="BH171" i="8194" s="1"/>
  <c r="BH172" i="8194" s="1"/>
  <c r="BF171" i="8194"/>
  <c r="BF172" i="8194" s="1"/>
  <c r="B167" i="8194"/>
  <c r="E170" i="8194"/>
  <c r="B170" i="8194" s="1"/>
  <c r="AG170" i="8194"/>
  <c r="AG171" i="8194" s="1"/>
  <c r="AG172" i="8194" s="1"/>
  <c r="BO170" i="8194"/>
  <c r="BO171" i="8194" s="1"/>
  <c r="BO172" i="8194" s="1"/>
  <c r="AL32" i="4"/>
  <c r="AL31" i="4" s="1"/>
  <c r="AO40" i="4"/>
  <c r="AO38" i="4"/>
  <c r="AO39" i="4" s="1"/>
  <c r="AP35" i="4"/>
  <c r="AO59" i="4"/>
  <c r="AO76" i="4" s="1"/>
  <c r="AM4" i="4"/>
  <c r="AM8" i="4" s="1"/>
  <c r="AM6" i="4"/>
  <c r="AN53" i="4"/>
  <c r="AN3" i="4"/>
  <c r="AX123" i="2"/>
  <c r="AE89" i="1" s="1"/>
  <c r="BP155" i="8194"/>
  <c r="BP157" i="8194" s="1"/>
  <c r="BP158" i="8194" s="1"/>
  <c r="BP159" i="8194" s="1"/>
  <c r="BP160" i="8194" s="1"/>
  <c r="BP161" i="8194" s="1"/>
  <c r="BP162" i="8194" s="1"/>
  <c r="BP167" i="8194" s="1"/>
  <c r="CF78" i="4"/>
  <c r="AF155" i="8194"/>
  <c r="AF157" i="8194" s="1"/>
  <c r="AF158" i="8194" s="1"/>
  <c r="AF159" i="8194" s="1"/>
  <c r="AF160" i="8194" s="1"/>
  <c r="AF161" i="8194" s="1"/>
  <c r="AF162" i="8194" s="1"/>
  <c r="AF167" i="8194" s="1"/>
  <c r="AT78" i="4"/>
  <c r="AX87" i="2"/>
  <c r="AE53" i="1" s="1"/>
  <c r="AO21" i="50872"/>
  <c r="AK22" i="50872"/>
  <c r="AN21" i="50872"/>
  <c r="AM21" i="50872"/>
  <c r="AL21" i="50872"/>
  <c r="T33" i="1"/>
  <c r="BB69" i="4"/>
  <c r="P276" i="8194"/>
  <c r="P277" i="8194"/>
  <c r="P278" i="8194" s="1"/>
  <c r="E171" i="8194" l="1"/>
  <c r="B171" i="8194" s="1"/>
  <c r="AF170" i="8194"/>
  <c r="AF171" i="8194" s="1"/>
  <c r="AF172" i="8194" s="1"/>
  <c r="BP170" i="8194"/>
  <c r="BP171" i="8194" s="1"/>
  <c r="BP172" i="8194" s="1"/>
  <c r="AL29" i="4"/>
  <c r="AN6" i="4"/>
  <c r="AN4" i="4"/>
  <c r="AN8" i="4" s="1"/>
  <c r="AP40" i="4"/>
  <c r="AP59" i="4"/>
  <c r="AP76" i="4" s="1"/>
  <c r="AP38" i="4"/>
  <c r="AP39" i="4" s="1"/>
  <c r="AQ35" i="4"/>
  <c r="AM32" i="4"/>
  <c r="AM31" i="4" s="1"/>
  <c r="AO53" i="4"/>
  <c r="AO3" i="4"/>
  <c r="AL30" i="4"/>
  <c r="AX124" i="2"/>
  <c r="AE90" i="1" s="1"/>
  <c r="CG78" i="4"/>
  <c r="BQ155" i="8194"/>
  <c r="BQ157" i="8194" s="1"/>
  <c r="BQ158" i="8194" s="1"/>
  <c r="BQ159" i="8194" s="1"/>
  <c r="BQ160" i="8194" s="1"/>
  <c r="BQ161" i="8194" s="1"/>
  <c r="BQ162" i="8194" s="1"/>
  <c r="BQ167" i="8194" s="1"/>
  <c r="AE155" i="8194"/>
  <c r="AE157" i="8194" s="1"/>
  <c r="AE158" i="8194" s="1"/>
  <c r="AE159" i="8194" s="1"/>
  <c r="AE160" i="8194" s="1"/>
  <c r="AE161" i="8194" s="1"/>
  <c r="AE162" i="8194" s="1"/>
  <c r="AE167" i="8194" s="1"/>
  <c r="AX86" i="2"/>
  <c r="AE52" i="1" s="1"/>
  <c r="AS78" i="4"/>
  <c r="AN22" i="50872"/>
  <c r="AM22" i="50872"/>
  <c r="AL22" i="50872"/>
  <c r="AK23" i="50872"/>
  <c r="AO22" i="50872"/>
  <c r="T34" i="1"/>
  <c r="BC69" i="4"/>
  <c r="P280" i="8194"/>
  <c r="P281" i="8194" s="1"/>
  <c r="P279" i="8194"/>
  <c r="E177" i="8194" l="1"/>
  <c r="B177" i="8194" s="1"/>
  <c r="BQ170" i="8194"/>
  <c r="BQ171" i="8194" s="1"/>
  <c r="BQ172" i="8194" s="1"/>
  <c r="AE170" i="8194"/>
  <c r="AE171" i="8194" s="1"/>
  <c r="AE172" i="8194" s="1"/>
  <c r="AM30" i="4"/>
  <c r="AO4" i="4"/>
  <c r="AO8" i="4" s="1"/>
  <c r="AO6" i="4"/>
  <c r="AP3" i="4"/>
  <c r="AP53" i="4"/>
  <c r="AN32" i="4"/>
  <c r="AQ40" i="4"/>
  <c r="AR35" i="4"/>
  <c r="AQ59" i="4"/>
  <c r="AQ76" i="4" s="1"/>
  <c r="AQ38" i="4"/>
  <c r="AQ39" i="4" s="1"/>
  <c r="AM29" i="4"/>
  <c r="AR78" i="4"/>
  <c r="AX85" i="2"/>
  <c r="AE51" i="1" s="1"/>
  <c r="AD155" i="8194"/>
  <c r="AD157" i="8194" s="1"/>
  <c r="AD158" i="8194" s="1"/>
  <c r="AD159" i="8194" s="1"/>
  <c r="AD160" i="8194" s="1"/>
  <c r="AD161" i="8194" s="1"/>
  <c r="AD162" i="8194" s="1"/>
  <c r="AD167" i="8194" s="1"/>
  <c r="AX125" i="2"/>
  <c r="AE91" i="1" s="1"/>
  <c r="BR155" i="8194"/>
  <c r="BR157" i="8194" s="1"/>
  <c r="BR158" i="8194" s="1"/>
  <c r="BR159" i="8194" s="1"/>
  <c r="BR160" i="8194" s="1"/>
  <c r="BR161" i="8194" s="1"/>
  <c r="BR162" i="8194" s="1"/>
  <c r="BR167" i="8194" s="1"/>
  <c r="AK24" i="50872"/>
  <c r="AN23" i="50872"/>
  <c r="AO23" i="50872"/>
  <c r="AL23" i="50872"/>
  <c r="AM23" i="50872"/>
  <c r="T35" i="1"/>
  <c r="BD69" i="4"/>
  <c r="P282" i="8194"/>
  <c r="P283" i="8194"/>
  <c r="P284" i="8194" s="1"/>
  <c r="AD170" i="8194" l="1"/>
  <c r="AD171" i="8194" s="1"/>
  <c r="AD172" i="8194" s="1"/>
  <c r="BR170" i="8194"/>
  <c r="BR171" i="8194" s="1"/>
  <c r="BR172" i="8194" s="1"/>
  <c r="AR40" i="4"/>
  <c r="AR38" i="4"/>
  <c r="AR39" i="4" s="1"/>
  <c r="AS35" i="4"/>
  <c r="AR59" i="4"/>
  <c r="AR76" i="4" s="1"/>
  <c r="AP6" i="4"/>
  <c r="AP4" i="4"/>
  <c r="AP8" i="4" s="1"/>
  <c r="AO32" i="4"/>
  <c r="AQ3" i="4"/>
  <c r="AQ53" i="4"/>
  <c r="AN31" i="4"/>
  <c r="AN29" i="4"/>
  <c r="AN30" i="4"/>
  <c r="AX84" i="2"/>
  <c r="AE50" i="1" s="1"/>
  <c r="AC155" i="8194"/>
  <c r="AC157" i="8194" s="1"/>
  <c r="AC158" i="8194" s="1"/>
  <c r="AC159" i="8194" s="1"/>
  <c r="AC160" i="8194" s="1"/>
  <c r="AC161" i="8194" s="1"/>
  <c r="AC162" i="8194" s="1"/>
  <c r="AC167" i="8194" s="1"/>
  <c r="AC170" i="8194" s="1"/>
  <c r="AC171" i="8194" s="1"/>
  <c r="AC177" i="8194" s="1"/>
  <c r="AQ78" i="4"/>
  <c r="AO24" i="50872"/>
  <c r="AN24" i="50872"/>
  <c r="AM24" i="50872"/>
  <c r="AL24" i="50872"/>
  <c r="AK25" i="50872"/>
  <c r="T36" i="1"/>
  <c r="BE69" i="4"/>
  <c r="P285" i="8194"/>
  <c r="P286" i="8194"/>
  <c r="P287" i="8194" s="1"/>
  <c r="B172" i="8194" l="1"/>
  <c r="B173" i="8194" s="1"/>
  <c r="BR174" i="8194" s="1"/>
  <c r="AQ4" i="4"/>
  <c r="AQ8" i="4" s="1"/>
  <c r="AQ6" i="4"/>
  <c r="AO29" i="4"/>
  <c r="AO31" i="4"/>
  <c r="AO30" i="4"/>
  <c r="AS40" i="4"/>
  <c r="AS59" i="4"/>
  <c r="AS76" i="4" s="1"/>
  <c r="AS38" i="4"/>
  <c r="AS39" i="4" s="1"/>
  <c r="AT35" i="4"/>
  <c r="AR53" i="4"/>
  <c r="AR3" i="4"/>
  <c r="AP32" i="4"/>
  <c r="AX83" i="2"/>
  <c r="AE49" i="1" s="1"/>
  <c r="AP78" i="4"/>
  <c r="AB155" i="8194"/>
  <c r="AB157" i="8194" s="1"/>
  <c r="AB158" i="8194" s="1"/>
  <c r="AB159" i="8194" s="1"/>
  <c r="AB160" i="8194" s="1"/>
  <c r="AB161" i="8194" s="1"/>
  <c r="AB162" i="8194" s="1"/>
  <c r="AB167" i="8194" s="1"/>
  <c r="AL25" i="50872"/>
  <c r="AK26" i="50872"/>
  <c r="AN25" i="50872"/>
  <c r="AM25" i="50872"/>
  <c r="AO25" i="50872"/>
  <c r="T37" i="1"/>
  <c r="BF69" i="4"/>
  <c r="P289" i="8194"/>
  <c r="P290" i="8194" s="1"/>
  <c r="P288" i="8194"/>
  <c r="AD174" i="8194" l="1"/>
  <c r="B174" i="8194" s="1"/>
  <c r="AB170" i="8194"/>
  <c r="AB171" i="8194" s="1"/>
  <c r="AB177" i="8194" s="1"/>
  <c r="BK174" i="8194"/>
  <c r="AJ174" i="8194"/>
  <c r="AR174" i="8194"/>
  <c r="BA174" i="8194"/>
  <c r="AM174" i="8194"/>
  <c r="AH174" i="8194"/>
  <c r="BL174" i="8194"/>
  <c r="AT174" i="8194"/>
  <c r="AS174" i="8194"/>
  <c r="AV174" i="8194"/>
  <c r="AZ174" i="8194"/>
  <c r="BG174" i="8194"/>
  <c r="AX174" i="8194"/>
  <c r="BM174" i="8194"/>
  <c r="AO174" i="8194"/>
  <c r="BN174" i="8194"/>
  <c r="AP174" i="8194"/>
  <c r="BH174" i="8194"/>
  <c r="AQ174" i="8194"/>
  <c r="AW174" i="8194"/>
  <c r="AL174" i="8194"/>
  <c r="AI174" i="8194"/>
  <c r="AN174" i="8194"/>
  <c r="BE174" i="8194"/>
  <c r="BB174" i="8194"/>
  <c r="AU174" i="8194"/>
  <c r="BI174" i="8194"/>
  <c r="BJ174" i="8194"/>
  <c r="BD174" i="8194"/>
  <c r="AY174" i="8194"/>
  <c r="AK174" i="8194"/>
  <c r="BF174" i="8194"/>
  <c r="BC174" i="8194"/>
  <c r="BO174" i="8194"/>
  <c r="AG174" i="8194"/>
  <c r="BP174" i="8194"/>
  <c r="AF174" i="8194"/>
  <c r="BQ174" i="8194"/>
  <c r="AE174" i="8194"/>
  <c r="BR176" i="8194"/>
  <c r="BR175" i="8194"/>
  <c r="BR181" i="8194" s="1"/>
  <c r="AQ32" i="4"/>
  <c r="AQ30" i="4" s="1"/>
  <c r="AP30" i="4"/>
  <c r="AP29" i="4"/>
  <c r="AP31" i="4"/>
  <c r="AS3" i="4"/>
  <c r="AS53" i="4"/>
  <c r="AR4" i="4"/>
  <c r="AR8" i="4" s="1"/>
  <c r="AR6" i="4"/>
  <c r="AT40" i="4"/>
  <c r="AT38" i="4"/>
  <c r="AT39" i="4" s="1"/>
  <c r="AT59" i="4"/>
  <c r="AT76" i="4" s="1"/>
  <c r="AU35" i="4"/>
  <c r="AX82" i="2"/>
  <c r="AE48" i="1" s="1"/>
  <c r="AO78" i="4"/>
  <c r="AA155" i="8194"/>
  <c r="AA157" i="8194" s="1"/>
  <c r="AA158" i="8194" s="1"/>
  <c r="AA159" i="8194" s="1"/>
  <c r="AA160" i="8194" s="1"/>
  <c r="AA161" i="8194" s="1"/>
  <c r="AA162" i="8194" s="1"/>
  <c r="AA167" i="8194" s="1"/>
  <c r="AO26" i="50872"/>
  <c r="AN26" i="50872"/>
  <c r="AL26" i="50872"/>
  <c r="AM26" i="50872"/>
  <c r="AK27" i="50872"/>
  <c r="T38" i="1"/>
  <c r="BG69" i="4"/>
  <c r="P291" i="8194"/>
  <c r="P292" i="8194"/>
  <c r="P293" i="8194" s="1"/>
  <c r="AD175" i="8194" l="1"/>
  <c r="B175" i="8194" s="1"/>
  <c r="AD176" i="8194"/>
  <c r="B176" i="8194" s="1"/>
  <c r="B178" i="8194" s="1"/>
  <c r="T179" i="8194" s="1"/>
  <c r="T180" i="8194" s="1"/>
  <c r="T181" i="8194" s="1"/>
  <c r="AG175" i="8194"/>
  <c r="AG181" i="8194" s="1"/>
  <c r="AG176" i="8194"/>
  <c r="BI176" i="8194"/>
  <c r="BI175" i="8194"/>
  <c r="BI181" i="8194" s="1"/>
  <c r="AQ176" i="8194"/>
  <c r="AQ175" i="8194"/>
  <c r="AQ181" i="8194" s="1"/>
  <c r="AZ175" i="8194"/>
  <c r="AZ181" i="8194" s="1"/>
  <c r="AZ176" i="8194"/>
  <c r="AR175" i="8194"/>
  <c r="AR181" i="8194" s="1"/>
  <c r="AR176" i="8194"/>
  <c r="BP175" i="8194"/>
  <c r="BP181" i="8194" s="1"/>
  <c r="BP176" i="8194"/>
  <c r="BG176" i="8194"/>
  <c r="BG175" i="8194"/>
  <c r="BG181" i="8194" s="1"/>
  <c r="BH175" i="8194"/>
  <c r="BH181" i="8194" s="1"/>
  <c r="BH176" i="8194"/>
  <c r="BC175" i="8194"/>
  <c r="BC181" i="8194" s="1"/>
  <c r="BC176" i="8194"/>
  <c r="BB176" i="8194"/>
  <c r="BB175" i="8194"/>
  <c r="BB181" i="8194" s="1"/>
  <c r="AP175" i="8194"/>
  <c r="AP181" i="8194" s="1"/>
  <c r="AP176" i="8194"/>
  <c r="AS176" i="8194"/>
  <c r="AS175" i="8194"/>
  <c r="AS181" i="8194" s="1"/>
  <c r="BK176" i="8194"/>
  <c r="BK175" i="8194"/>
  <c r="BK181" i="8194" s="1"/>
  <c r="AA170" i="8194"/>
  <c r="AA171" i="8194" s="1"/>
  <c r="AA177" i="8194" s="1"/>
  <c r="BO175" i="8194"/>
  <c r="BO181" i="8194" s="1"/>
  <c r="BO176" i="8194"/>
  <c r="AJ176" i="8194"/>
  <c r="AJ175" i="8194"/>
  <c r="AJ181" i="8194" s="1"/>
  <c r="BF175" i="8194"/>
  <c r="BF181" i="8194" s="1"/>
  <c r="BF176" i="8194"/>
  <c r="BN176" i="8194"/>
  <c r="BN175" i="8194"/>
  <c r="BN181" i="8194" s="1"/>
  <c r="AT175" i="8194"/>
  <c r="AT181" i="8194" s="1"/>
  <c r="AT176" i="8194"/>
  <c r="BJ176" i="8194"/>
  <c r="BJ175" i="8194"/>
  <c r="BJ181" i="8194" s="1"/>
  <c r="BA175" i="8194"/>
  <c r="BA181" i="8194" s="1"/>
  <c r="BA176" i="8194"/>
  <c r="AN176" i="8194"/>
  <c r="AN175" i="8194"/>
  <c r="AN181" i="8194" s="1"/>
  <c r="BM175" i="8194"/>
  <c r="BM181" i="8194" s="1"/>
  <c r="BM176" i="8194"/>
  <c r="AU176" i="8194"/>
  <c r="AU175" i="8194"/>
  <c r="AU181" i="8194" s="1"/>
  <c r="AV176" i="8194"/>
  <c r="AV175" i="8194"/>
  <c r="AV181" i="8194" s="1"/>
  <c r="BE175" i="8194"/>
  <c r="BE181" i="8194" s="1"/>
  <c r="BE176" i="8194"/>
  <c r="AE175" i="8194"/>
  <c r="AE181" i="8194" s="1"/>
  <c r="AE176" i="8194"/>
  <c r="AK175" i="8194"/>
  <c r="AK181" i="8194" s="1"/>
  <c r="AK176" i="8194"/>
  <c r="AO176" i="8194"/>
  <c r="AO175" i="8194"/>
  <c r="AO181" i="8194" s="1"/>
  <c r="BL175" i="8194"/>
  <c r="BL181" i="8194" s="1"/>
  <c r="BL176" i="8194"/>
  <c r="BQ176" i="8194"/>
  <c r="BQ175" i="8194"/>
  <c r="BQ181" i="8194" s="1"/>
  <c r="AY175" i="8194"/>
  <c r="AY181" i="8194" s="1"/>
  <c r="AY176" i="8194"/>
  <c r="AI176" i="8194"/>
  <c r="AI175" i="8194"/>
  <c r="AI181" i="8194" s="1"/>
  <c r="AH176" i="8194"/>
  <c r="AH175" i="8194"/>
  <c r="AH181" i="8194" s="1"/>
  <c r="AF175" i="8194"/>
  <c r="AF181" i="8194" s="1"/>
  <c r="AF176" i="8194"/>
  <c r="BD176" i="8194"/>
  <c r="BD175" i="8194"/>
  <c r="BD181" i="8194" s="1"/>
  <c r="AL175" i="8194"/>
  <c r="AL181" i="8194" s="1"/>
  <c r="AL176" i="8194"/>
  <c r="AX176" i="8194"/>
  <c r="AX175" i="8194"/>
  <c r="AX181" i="8194" s="1"/>
  <c r="AM175" i="8194"/>
  <c r="AM181" i="8194" s="1"/>
  <c r="AM176" i="8194"/>
  <c r="AW176" i="8194"/>
  <c r="AW175" i="8194"/>
  <c r="AW181" i="8194" s="1"/>
  <c r="AQ31" i="4"/>
  <c r="AQ29" i="4"/>
  <c r="AS4" i="4"/>
  <c r="AS8" i="4" s="1"/>
  <c r="AS6" i="4"/>
  <c r="AU59" i="4"/>
  <c r="AU76" i="4" s="1"/>
  <c r="AV35" i="4"/>
  <c r="AU38" i="4"/>
  <c r="AU39" i="4" s="1"/>
  <c r="AR32" i="4"/>
  <c r="AT3" i="4"/>
  <c r="AT53" i="4"/>
  <c r="Z155" i="8194"/>
  <c r="Z157" i="8194" s="1"/>
  <c r="Z158" i="8194" s="1"/>
  <c r="Z159" i="8194" s="1"/>
  <c r="Z160" i="8194" s="1"/>
  <c r="Z161" i="8194" s="1"/>
  <c r="Z162" i="8194" s="1"/>
  <c r="Z167" i="8194" s="1"/>
  <c r="AN78" i="4"/>
  <c r="AX81" i="2"/>
  <c r="AE47" i="1" s="1"/>
  <c r="AK28" i="50872"/>
  <c r="AL27" i="50872"/>
  <c r="AO27" i="50872"/>
  <c r="AM27" i="50872"/>
  <c r="AN27" i="50872"/>
  <c r="T39" i="1"/>
  <c r="BH69" i="4"/>
  <c r="P294" i="8194"/>
  <c r="P295" i="8194"/>
  <c r="P296" i="8194" s="1"/>
  <c r="AI64" i="18176" l="1"/>
  <c r="AJ64" i="18176" s="1"/>
  <c r="AI65" i="18176"/>
  <c r="AJ65" i="18176" s="1"/>
  <c r="AI67" i="18176"/>
  <c r="AJ67" i="18176" s="1"/>
  <c r="AI66" i="18176"/>
  <c r="AJ66" i="18176" s="1"/>
  <c r="AI42" i="18176"/>
  <c r="AJ42" i="18176" s="1"/>
  <c r="AI49" i="18176"/>
  <c r="AJ49" i="18176" s="1"/>
  <c r="AI43" i="18176"/>
  <c r="AJ43" i="18176" s="1"/>
  <c r="AI50" i="18176"/>
  <c r="AJ50" i="18176" s="1"/>
  <c r="AI51" i="18176"/>
  <c r="AJ51" i="18176" s="1"/>
  <c r="AI44" i="18176"/>
  <c r="AJ44" i="18176" s="1"/>
  <c r="AI47" i="18176"/>
  <c r="AJ47" i="18176" s="1"/>
  <c r="AI52" i="18176"/>
  <c r="AJ52" i="18176" s="1"/>
  <c r="AI45" i="18176"/>
  <c r="AJ45" i="18176" s="1"/>
  <c r="AI46" i="18176"/>
  <c r="AJ46" i="18176" s="1"/>
  <c r="AI48" i="18176"/>
  <c r="AJ48" i="18176" s="1"/>
  <c r="AI71" i="18176"/>
  <c r="AJ71" i="18176" s="1"/>
  <c r="AI74" i="18176"/>
  <c r="AJ74" i="18176" s="1"/>
  <c r="AI68" i="18176"/>
  <c r="AI69" i="18176"/>
  <c r="AJ69" i="18176" s="1"/>
  <c r="AI70" i="18176"/>
  <c r="AJ70" i="18176" s="1"/>
  <c r="AI72" i="18176"/>
  <c r="AJ72" i="18176" s="1"/>
  <c r="AI73" i="18176"/>
  <c r="AJ73" i="18176" s="1"/>
  <c r="R179" i="8194"/>
  <c r="R180" i="8194" s="1"/>
  <c r="R181" i="8194" s="1"/>
  <c r="H179" i="8194"/>
  <c r="H180" i="8194" s="1"/>
  <c r="H181" i="8194" s="1"/>
  <c r="AD181" i="8194"/>
  <c r="AC179" i="8194"/>
  <c r="AC180" i="8194" s="1"/>
  <c r="AC181" i="8194" s="1"/>
  <c r="AA179" i="8194"/>
  <c r="AA180" i="8194" s="1"/>
  <c r="AA181" i="8194" s="1"/>
  <c r="K179" i="8194"/>
  <c r="K180" i="8194" s="1"/>
  <c r="K181" i="8194" s="1"/>
  <c r="N179" i="8194"/>
  <c r="N180" i="8194" s="1"/>
  <c r="N181" i="8194" s="1"/>
  <c r="U179" i="8194"/>
  <c r="U180" i="8194" s="1"/>
  <c r="U181" i="8194" s="1"/>
  <c r="O179" i="8194"/>
  <c r="O180" i="8194" s="1"/>
  <c r="O181" i="8194" s="1"/>
  <c r="V179" i="8194"/>
  <c r="V180" i="8194" s="1"/>
  <c r="V181" i="8194" s="1"/>
  <c r="V184" i="8194" s="1"/>
  <c r="V185" i="8194" s="1"/>
  <c r="V186" i="8194" s="1"/>
  <c r="I179" i="8194"/>
  <c r="I180" i="8194" s="1"/>
  <c r="I181" i="8194" s="1"/>
  <c r="AB179" i="8194"/>
  <c r="AB180" i="8194" s="1"/>
  <c r="AB181" i="8194" s="1"/>
  <c r="G179" i="8194"/>
  <c r="G180" i="8194" s="1"/>
  <c r="G181" i="8194" s="1"/>
  <c r="Q179" i="8194"/>
  <c r="Q180" i="8194" s="1"/>
  <c r="Q181" i="8194" s="1"/>
  <c r="L179" i="8194"/>
  <c r="L180" i="8194" s="1"/>
  <c r="L181" i="8194" s="1"/>
  <c r="M179" i="8194"/>
  <c r="M180" i="8194" s="1"/>
  <c r="M181" i="8194" s="1"/>
  <c r="P179" i="8194"/>
  <c r="P180" i="8194" s="1"/>
  <c r="P181" i="8194" s="1"/>
  <c r="S179" i="8194"/>
  <c r="S180" i="8194" s="1"/>
  <c r="S181" i="8194" s="1"/>
  <c r="F179" i="8194"/>
  <c r="F180" i="8194" s="1"/>
  <c r="F181" i="8194" s="1"/>
  <c r="E179" i="8194"/>
  <c r="E180" i="8194" s="1"/>
  <c r="E181" i="8194" s="1"/>
  <c r="B181" i="8194" s="1"/>
  <c r="J179" i="8194"/>
  <c r="J180" i="8194" s="1"/>
  <c r="J181" i="8194" s="1"/>
  <c r="Z170" i="8194"/>
  <c r="Z171" i="8194" s="1"/>
  <c r="Z177" i="8194" s="1"/>
  <c r="Z179" i="8194" s="1"/>
  <c r="Z180" i="8194" s="1"/>
  <c r="Z181" i="8194" s="1"/>
  <c r="AS32" i="4"/>
  <c r="AS31" i="4" s="1"/>
  <c r="AV40" i="4"/>
  <c r="AW35" i="4"/>
  <c r="AV38" i="4"/>
  <c r="AV39" i="4" s="1"/>
  <c r="AV59" i="4"/>
  <c r="AV76" i="4" s="1"/>
  <c r="AT6" i="4"/>
  <c r="AT4" i="4"/>
  <c r="AT8" i="4" s="1"/>
  <c r="AR29" i="4"/>
  <c r="AR31" i="4"/>
  <c r="AR30" i="4"/>
  <c r="AU3" i="4"/>
  <c r="AU53" i="4"/>
  <c r="AX80" i="2"/>
  <c r="AE46" i="1" s="1"/>
  <c r="AM78" i="4"/>
  <c r="Y155" i="8194"/>
  <c r="Y157" i="8194" s="1"/>
  <c r="Y158" i="8194" s="1"/>
  <c r="Y159" i="8194" s="1"/>
  <c r="Y160" i="8194" s="1"/>
  <c r="Y161" i="8194" s="1"/>
  <c r="Y162" i="8194" s="1"/>
  <c r="Y167" i="8194" s="1"/>
  <c r="AM28" i="50872"/>
  <c r="AK29" i="50872"/>
  <c r="AO28" i="50872"/>
  <c r="AL28" i="50872"/>
  <c r="AN28" i="50872"/>
  <c r="T40" i="1"/>
  <c r="BI69" i="4"/>
  <c r="P297" i="8194"/>
  <c r="P298" i="8194"/>
  <c r="P299" i="8194" s="1"/>
  <c r="AJ68" i="18176" l="1"/>
  <c r="B179" i="8194"/>
  <c r="Y170" i="8194"/>
  <c r="Y171" i="8194" s="1"/>
  <c r="Y177" i="8194" s="1"/>
  <c r="Y179" i="8194" s="1"/>
  <c r="Y180" i="8194" s="1"/>
  <c r="Y181" i="8194" s="1"/>
  <c r="AS29" i="4"/>
  <c r="AS30" i="4"/>
  <c r="AV3" i="4"/>
  <c r="AV53" i="4"/>
  <c r="AU4" i="4"/>
  <c r="AU8" i="4" s="1"/>
  <c r="AU6" i="4"/>
  <c r="AW40" i="4"/>
  <c r="AW59" i="4"/>
  <c r="AW76" i="4" s="1"/>
  <c r="AW38" i="4"/>
  <c r="AW39" i="4" s="1"/>
  <c r="AX35" i="4"/>
  <c r="AT32" i="4"/>
  <c r="AL78" i="4"/>
  <c r="AX79" i="2"/>
  <c r="AE45" i="1" s="1"/>
  <c r="X155" i="8194"/>
  <c r="X157" i="8194" s="1"/>
  <c r="X158" i="8194" s="1"/>
  <c r="X159" i="8194" s="1"/>
  <c r="X160" i="8194" s="1"/>
  <c r="X161" i="8194" s="1"/>
  <c r="X162" i="8194" s="1"/>
  <c r="X167" i="8194" s="1"/>
  <c r="AO29" i="50872"/>
  <c r="AM29" i="50872"/>
  <c r="AL29" i="50872"/>
  <c r="AN29" i="50872"/>
  <c r="AK30" i="50872"/>
  <c r="T41" i="1"/>
  <c r="BJ69" i="4"/>
  <c r="P300" i="8194"/>
  <c r="P301" i="8194"/>
  <c r="P302" i="8194" s="1"/>
  <c r="X170" i="8194" l="1"/>
  <c r="X171" i="8194" s="1"/>
  <c r="X177" i="8194" s="1"/>
  <c r="X179" i="8194" s="1"/>
  <c r="X180" i="8194" s="1"/>
  <c r="X181" i="8194" s="1"/>
  <c r="AU32" i="4"/>
  <c r="AU31" i="4" s="1"/>
  <c r="AX40" i="4"/>
  <c r="AX38" i="4"/>
  <c r="AX39" i="4" s="1"/>
  <c r="AX59" i="4"/>
  <c r="AX76" i="4" s="1"/>
  <c r="AY35" i="4"/>
  <c r="AW3" i="4"/>
  <c r="AW53" i="4"/>
  <c r="AT31" i="4"/>
  <c r="AT29" i="4"/>
  <c r="AT30" i="4"/>
  <c r="AV4" i="4"/>
  <c r="AV8" i="4" s="1"/>
  <c r="AV6" i="4"/>
  <c r="AX78" i="2"/>
  <c r="AE44" i="1" s="1"/>
  <c r="W155" i="8194"/>
  <c r="W157" i="8194" s="1"/>
  <c r="W158" i="8194" s="1"/>
  <c r="W159" i="8194" s="1"/>
  <c r="W160" i="8194" s="1"/>
  <c r="W161" i="8194" s="1"/>
  <c r="W162" i="8194" s="1"/>
  <c r="W167" i="8194" s="1"/>
  <c r="W170" i="8194" s="1"/>
  <c r="W171" i="8194" s="1"/>
  <c r="W177" i="8194" s="1"/>
  <c r="W179" i="8194" s="1"/>
  <c r="W180" i="8194" s="1"/>
  <c r="W181" i="8194" s="1"/>
  <c r="AL30" i="50872"/>
  <c r="AO30" i="50872"/>
  <c r="AK31" i="50872"/>
  <c r="AN30" i="50872"/>
  <c r="AM30" i="50872"/>
  <c r="T42" i="1"/>
  <c r="BK69" i="4"/>
  <c r="P303" i="8194"/>
  <c r="P304" i="8194"/>
  <c r="P305" i="8194" s="1"/>
  <c r="AU29" i="4" l="1"/>
  <c r="AV32" i="4"/>
  <c r="AV31" i="4" s="1"/>
  <c r="AU30" i="4"/>
  <c r="AY40" i="4"/>
  <c r="AY59" i="4"/>
  <c r="AY76" i="4" s="1"/>
  <c r="AZ35" i="4"/>
  <c r="AY38" i="4"/>
  <c r="AY39" i="4" s="1"/>
  <c r="AX53" i="4"/>
  <c r="AX3" i="4"/>
  <c r="AW4" i="4"/>
  <c r="AW8" i="4" s="1"/>
  <c r="AW6" i="4"/>
  <c r="AM31" i="50872"/>
  <c r="AK32" i="50872"/>
  <c r="AN31" i="50872"/>
  <c r="AL31" i="50872"/>
  <c r="AO31" i="50872"/>
  <c r="T43" i="1"/>
  <c r="BL69" i="4"/>
  <c r="P307" i="8194"/>
  <c r="P308" i="8194" s="1"/>
  <c r="P306" i="8194"/>
  <c r="AV30" i="4" l="1"/>
  <c r="AV29" i="4"/>
  <c r="AW32" i="4"/>
  <c r="AW31" i="4" s="1"/>
  <c r="AY3" i="4"/>
  <c r="AY53" i="4"/>
  <c r="AZ59" i="4"/>
  <c r="AZ76" i="4" s="1"/>
  <c r="AZ38" i="4"/>
  <c r="AZ39" i="4" s="1"/>
  <c r="BA35" i="4"/>
  <c r="AX4" i="4"/>
  <c r="AX8" i="4" s="1"/>
  <c r="AX6" i="4"/>
  <c r="AM32" i="50872"/>
  <c r="AL32" i="50872"/>
  <c r="AO32" i="50872"/>
  <c r="AK33" i="50872"/>
  <c r="AN32" i="50872"/>
  <c r="T44" i="1"/>
  <c r="BM69" i="4"/>
  <c r="P309" i="8194"/>
  <c r="P310" i="8194"/>
  <c r="P311" i="8194" s="1"/>
  <c r="AW29" i="4" l="1"/>
  <c r="AW30" i="4"/>
  <c r="AX32" i="4"/>
  <c r="AX31" i="4" s="1"/>
  <c r="AZ53" i="4"/>
  <c r="AZ3" i="4"/>
  <c r="BB35" i="4"/>
  <c r="BA38" i="4"/>
  <c r="BA39" i="4" s="1"/>
  <c r="BA59" i="4"/>
  <c r="BA76" i="4" s="1"/>
  <c r="AY4" i="4"/>
  <c r="AY8" i="4" s="1"/>
  <c r="AY6" i="4"/>
  <c r="AO33" i="50872"/>
  <c r="AN33" i="50872"/>
  <c r="AL33" i="50872"/>
  <c r="AM33" i="50872"/>
  <c r="AK34" i="50872"/>
  <c r="T45" i="1"/>
  <c r="BN69" i="4"/>
  <c r="P312" i="8194"/>
  <c r="P313" i="8194"/>
  <c r="P314" i="8194" s="1"/>
  <c r="AX29" i="4" l="1"/>
  <c r="AX30" i="4"/>
  <c r="BA53" i="4"/>
  <c r="BA3" i="4"/>
  <c r="AZ6" i="4"/>
  <c r="AZ4" i="4"/>
  <c r="AZ8" i="4" s="1"/>
  <c r="AY32" i="4"/>
  <c r="BC35" i="4"/>
  <c r="BB38" i="4"/>
  <c r="BB39" i="4" s="1"/>
  <c r="BB59" i="4"/>
  <c r="BB76" i="4" s="1"/>
  <c r="AK35" i="50872"/>
  <c r="AN34" i="50872"/>
  <c r="AL34" i="50872"/>
  <c r="AM34" i="50872"/>
  <c r="AO34" i="50872"/>
  <c r="T46" i="1"/>
  <c r="BO69" i="4"/>
  <c r="P315" i="8194"/>
  <c r="P316" i="8194"/>
  <c r="P317" i="8194" s="1"/>
  <c r="AZ32" i="4" l="1"/>
  <c r="AZ31" i="4" s="1"/>
  <c r="BB53" i="4"/>
  <c r="BB3" i="4"/>
  <c r="BC38" i="4"/>
  <c r="BC39" i="4" s="1"/>
  <c r="BC59" i="4"/>
  <c r="BC76" i="4" s="1"/>
  <c r="BD35" i="4"/>
  <c r="BA6" i="4"/>
  <c r="BA4" i="4"/>
  <c r="BA8" i="4" s="1"/>
  <c r="AY30" i="4"/>
  <c r="AY31" i="4"/>
  <c r="AY29" i="4"/>
  <c r="AK36" i="50872"/>
  <c r="AM35" i="50872"/>
  <c r="AO35" i="50872"/>
  <c r="AN35" i="50872"/>
  <c r="AL35" i="50872"/>
  <c r="T47" i="1"/>
  <c r="BP69" i="4"/>
  <c r="P319" i="8194"/>
  <c r="P320" i="8194" s="1"/>
  <c r="P318" i="8194"/>
  <c r="AZ29" i="4" l="1"/>
  <c r="AZ30" i="4"/>
  <c r="BA32" i="4"/>
  <c r="BA31" i="4" s="1"/>
  <c r="BE35" i="4"/>
  <c r="BD38" i="4"/>
  <c r="BD39" i="4" s="1"/>
  <c r="BD59" i="4"/>
  <c r="BD76" i="4" s="1"/>
  <c r="BB6" i="4"/>
  <c r="BB4" i="4"/>
  <c r="BB8" i="4" s="1"/>
  <c r="BC3" i="4"/>
  <c r="BC53" i="4"/>
  <c r="AK37" i="50872"/>
  <c r="AN36" i="50872"/>
  <c r="AO36" i="50872"/>
  <c r="AL36" i="50872"/>
  <c r="AM36" i="50872"/>
  <c r="T48" i="1"/>
  <c r="BQ69" i="4"/>
  <c r="P321" i="8194"/>
  <c r="P322" i="8194"/>
  <c r="P323" i="8194" s="1"/>
  <c r="BA29" i="4" l="1"/>
  <c r="BA30" i="4"/>
  <c r="BE59" i="4"/>
  <c r="BE76" i="4" s="1"/>
  <c r="BE38" i="4"/>
  <c r="BE39" i="4" s="1"/>
  <c r="BF35" i="4"/>
  <c r="BD53" i="4"/>
  <c r="BD3" i="4"/>
  <c r="BB32" i="4"/>
  <c r="BC4" i="4"/>
  <c r="BC8" i="4" s="1"/>
  <c r="BC6" i="4"/>
  <c r="AK38" i="50872"/>
  <c r="AL37" i="50872"/>
  <c r="AN37" i="50872"/>
  <c r="AM37" i="50872"/>
  <c r="AO37" i="50872"/>
  <c r="T49" i="1"/>
  <c r="BR69" i="4"/>
  <c r="P324" i="8194"/>
  <c r="P325" i="8194"/>
  <c r="P326" i="8194" s="1"/>
  <c r="BG35" i="4" l="1"/>
  <c r="BF38" i="4"/>
  <c r="BF39" i="4" s="1"/>
  <c r="BF59" i="4"/>
  <c r="BF76" i="4" s="1"/>
  <c r="BB31" i="4"/>
  <c r="BB29" i="4"/>
  <c r="BE3" i="4"/>
  <c r="BE53" i="4"/>
  <c r="BD4" i="4"/>
  <c r="BD8" i="4" s="1"/>
  <c r="BD6" i="4"/>
  <c r="BC32" i="4"/>
  <c r="BC31" i="4" s="1"/>
  <c r="BB30" i="4"/>
  <c r="AK39" i="50872"/>
  <c r="AN38" i="50872"/>
  <c r="AO38" i="50872"/>
  <c r="AL38" i="50872"/>
  <c r="AM38" i="50872"/>
  <c r="T50" i="1"/>
  <c r="BS69" i="4"/>
  <c r="P327" i="8194"/>
  <c r="P328" i="8194"/>
  <c r="P329" i="8194" s="1"/>
  <c r="AI75" i="18176" l="1"/>
  <c r="AJ75" i="18176" s="1"/>
  <c r="BD32" i="4"/>
  <c r="BD31" i="4" s="1"/>
  <c r="BE4" i="4"/>
  <c r="BE8" i="4" s="1"/>
  <c r="BE6" i="4"/>
  <c r="BF53" i="4"/>
  <c r="BF3" i="4"/>
  <c r="BH35" i="4"/>
  <c r="BG38" i="4"/>
  <c r="BG39" i="4" s="1"/>
  <c r="BG59" i="4"/>
  <c r="BG76" i="4" s="1"/>
  <c r="BC29" i="4"/>
  <c r="BC30" i="4"/>
  <c r="AK40" i="50872"/>
  <c r="AM39" i="50872"/>
  <c r="AL39" i="50872"/>
  <c r="AO39" i="50872"/>
  <c r="AN39" i="50872"/>
  <c r="T51" i="1"/>
  <c r="BT69" i="4"/>
  <c r="P330" i="8194"/>
  <c r="P331" i="8194"/>
  <c r="P332" i="8194" s="1"/>
  <c r="AI79" i="18176" l="1"/>
  <c r="AJ79" i="18176" s="1"/>
  <c r="AI86" i="18176"/>
  <c r="AJ86" i="18176" s="1"/>
  <c r="AI76" i="18176"/>
  <c r="AJ76" i="18176" s="1"/>
  <c r="AI81" i="18176"/>
  <c r="AJ81" i="18176" s="1"/>
  <c r="AI85" i="18176"/>
  <c r="AJ85" i="18176" s="1"/>
  <c r="AI82" i="18176"/>
  <c r="AJ82" i="18176" s="1"/>
  <c r="AI87" i="18176"/>
  <c r="AJ87" i="18176" s="1"/>
  <c r="AI148" i="18176"/>
  <c r="AJ148" i="18176" s="1"/>
  <c r="AI181" i="18176"/>
  <c r="AJ181" i="18176" s="1"/>
  <c r="AI126" i="18176"/>
  <c r="AJ126" i="18176" s="1"/>
  <c r="AI120" i="18176"/>
  <c r="AJ120" i="18176" s="1"/>
  <c r="AI138" i="18176"/>
  <c r="AJ138" i="18176" s="1"/>
  <c r="AI98" i="18176"/>
  <c r="AJ98" i="18176" s="1"/>
  <c r="AI142" i="18176"/>
  <c r="AJ142" i="18176" s="1"/>
  <c r="AI238" i="18176"/>
  <c r="AJ238" i="18176" s="1"/>
  <c r="AI216" i="18176"/>
  <c r="AJ216" i="18176" s="1"/>
  <c r="AI175" i="18176"/>
  <c r="AJ175" i="18176" s="1"/>
  <c r="AI105" i="18176"/>
  <c r="AJ105" i="18176" s="1"/>
  <c r="AI95" i="18176"/>
  <c r="AJ95" i="18176" s="1"/>
  <c r="AI139" i="18176"/>
  <c r="AJ139" i="18176" s="1"/>
  <c r="AI200" i="18176"/>
  <c r="AJ200" i="18176" s="1"/>
  <c r="AI118" i="18176"/>
  <c r="AJ118" i="18176" s="1"/>
  <c r="AI184" i="18176"/>
  <c r="AJ184" i="18176" s="1"/>
  <c r="AI236" i="18176"/>
  <c r="AJ236" i="18176" s="1"/>
  <c r="AI210" i="18176"/>
  <c r="AJ210" i="18176" s="1"/>
  <c r="AI150" i="18176"/>
  <c r="AJ150" i="18176" s="1"/>
  <c r="AI209" i="18176"/>
  <c r="AJ209" i="18176" s="1"/>
  <c r="AI128" i="18176"/>
  <c r="AJ128" i="18176" s="1"/>
  <c r="AI157" i="18176"/>
  <c r="AJ157" i="18176" s="1"/>
  <c r="AI172" i="18176"/>
  <c r="AJ172" i="18176" s="1"/>
  <c r="AI160" i="18176"/>
  <c r="AJ160" i="18176" s="1"/>
  <c r="AI215" i="18176"/>
  <c r="AJ215" i="18176" s="1"/>
  <c r="AI124" i="18176"/>
  <c r="AJ124" i="18176" s="1"/>
  <c r="AI141" i="18176"/>
  <c r="AJ141" i="18176" s="1"/>
  <c r="AI194" i="18176"/>
  <c r="AJ194" i="18176" s="1"/>
  <c r="AI123" i="18176"/>
  <c r="AJ123" i="18176" s="1"/>
  <c r="AI83" i="18176"/>
  <c r="AJ83" i="18176" s="1"/>
  <c r="AI166" i="18176"/>
  <c r="AJ166" i="18176" s="1"/>
  <c r="AI155" i="18176"/>
  <c r="AJ155" i="18176" s="1"/>
  <c r="AI135" i="18176"/>
  <c r="AJ135" i="18176" s="1"/>
  <c r="AI191" i="18176"/>
  <c r="AJ191" i="18176" s="1"/>
  <c r="AI129" i="18176"/>
  <c r="AJ129" i="18176" s="1"/>
  <c r="AI100" i="18176"/>
  <c r="AJ100" i="18176" s="1"/>
  <c r="AI144" i="18176"/>
  <c r="AJ144" i="18176" s="1"/>
  <c r="AI80" i="18176"/>
  <c r="AJ80" i="18176" s="1"/>
  <c r="AI178" i="18176"/>
  <c r="AJ178" i="18176" s="1"/>
  <c r="AI136" i="18176"/>
  <c r="AJ136" i="18176" s="1"/>
  <c r="AI137" i="18176"/>
  <c r="AJ137" i="18176" s="1"/>
  <c r="AI170" i="18176"/>
  <c r="AJ170" i="18176" s="1"/>
  <c r="AI111" i="18176"/>
  <c r="AJ111" i="18176" s="1"/>
  <c r="AI113" i="18176"/>
  <c r="AJ113" i="18176" s="1"/>
  <c r="AI122" i="18176"/>
  <c r="AJ122" i="18176" s="1"/>
  <c r="AI177" i="18176"/>
  <c r="AJ177" i="18176" s="1"/>
  <c r="AI182" i="18176"/>
  <c r="AJ182" i="18176" s="1"/>
  <c r="AI179" i="18176"/>
  <c r="AJ179" i="18176" s="1"/>
  <c r="AI165" i="18176"/>
  <c r="AJ165" i="18176" s="1"/>
  <c r="AI159" i="18176"/>
  <c r="AJ159" i="18176" s="1"/>
  <c r="AI217" i="18176"/>
  <c r="AJ217" i="18176" s="1"/>
  <c r="AI84" i="18176"/>
  <c r="AJ84" i="18176" s="1"/>
  <c r="AI127" i="18176"/>
  <c r="AJ127" i="18176" s="1"/>
  <c r="AI146" i="18176"/>
  <c r="AJ146" i="18176" s="1"/>
  <c r="AI167" i="18176"/>
  <c r="AJ167" i="18176" s="1"/>
  <c r="AI206" i="18176"/>
  <c r="AJ206" i="18176" s="1"/>
  <c r="AI201" i="18176"/>
  <c r="AJ201" i="18176" s="1"/>
  <c r="AI208" i="18176"/>
  <c r="AJ208" i="18176" s="1"/>
  <c r="AI104" i="18176"/>
  <c r="AJ104" i="18176" s="1"/>
  <c r="AI130" i="18176"/>
  <c r="AJ130" i="18176" s="1"/>
  <c r="AI190" i="18176"/>
  <c r="AJ190" i="18176" s="1"/>
  <c r="AI110" i="18176"/>
  <c r="AJ110" i="18176" s="1"/>
  <c r="AI168" i="18176"/>
  <c r="AJ168" i="18176" s="1"/>
  <c r="AI108" i="18176"/>
  <c r="AJ108" i="18176" s="1"/>
  <c r="AI158" i="18176"/>
  <c r="AJ158" i="18176" s="1"/>
  <c r="AI115" i="18176"/>
  <c r="AJ115" i="18176" s="1"/>
  <c r="AI212" i="18176"/>
  <c r="AJ212" i="18176" s="1"/>
  <c r="AI198" i="18176"/>
  <c r="AJ198" i="18176" s="1"/>
  <c r="AI96" i="18176"/>
  <c r="AJ96" i="18176" s="1"/>
  <c r="AI114" i="18176"/>
  <c r="AJ114" i="18176" s="1"/>
  <c r="AI188" i="18176"/>
  <c r="AJ188" i="18176" s="1"/>
  <c r="AI145" i="18176"/>
  <c r="AJ145" i="18176" s="1"/>
  <c r="AI185" i="18176"/>
  <c r="AJ185" i="18176" s="1"/>
  <c r="AI229" i="18176"/>
  <c r="AJ229" i="18176" s="1"/>
  <c r="AI222" i="18176"/>
  <c r="AJ222" i="18176" s="1"/>
  <c r="AI92" i="18176"/>
  <c r="AJ92" i="18176" s="1"/>
  <c r="AI132" i="18176"/>
  <c r="AJ132" i="18176" s="1"/>
  <c r="AI224" i="18176"/>
  <c r="AJ224" i="18176" s="1"/>
  <c r="AI207" i="18176"/>
  <c r="AJ207" i="18176" s="1"/>
  <c r="AI234" i="18176"/>
  <c r="AJ234" i="18176" s="1"/>
  <c r="AI97" i="18176"/>
  <c r="AJ97" i="18176" s="1"/>
  <c r="AI121" i="18176"/>
  <c r="AJ121" i="18176" s="1"/>
  <c r="AI109" i="18176"/>
  <c r="AJ109" i="18176" s="1"/>
  <c r="AI187" i="18176"/>
  <c r="AJ187" i="18176" s="1"/>
  <c r="AI183" i="18176"/>
  <c r="AJ183" i="18176" s="1"/>
  <c r="AI125" i="18176"/>
  <c r="AJ125" i="18176" s="1"/>
  <c r="AI101" i="18176"/>
  <c r="AJ101" i="18176" s="1"/>
  <c r="AI169" i="18176"/>
  <c r="AJ169" i="18176" s="1"/>
  <c r="AI204" i="18176"/>
  <c r="AJ204" i="18176" s="1"/>
  <c r="AI223" i="18176"/>
  <c r="AJ223" i="18176" s="1"/>
  <c r="AI237" i="18176"/>
  <c r="AJ237" i="18176" s="1"/>
  <c r="AI164" i="18176"/>
  <c r="AJ164" i="18176" s="1"/>
  <c r="AI133" i="18176"/>
  <c r="AJ133" i="18176" s="1"/>
  <c r="AI211" i="18176"/>
  <c r="AJ211" i="18176" s="1"/>
  <c r="AI134" i="18176"/>
  <c r="AJ134" i="18176" s="1"/>
  <c r="AI140" i="18176"/>
  <c r="AJ140" i="18176" s="1"/>
  <c r="AI235" i="18176"/>
  <c r="AJ235" i="18176" s="1"/>
  <c r="AI153" i="18176"/>
  <c r="AJ153" i="18176" s="1"/>
  <c r="AI90" i="18176"/>
  <c r="AJ90" i="18176" s="1"/>
  <c r="AI171" i="18176"/>
  <c r="AJ171" i="18176" s="1"/>
  <c r="AI232" i="18176"/>
  <c r="AJ232" i="18176" s="1"/>
  <c r="AI162" i="18176"/>
  <c r="AJ162" i="18176" s="1"/>
  <c r="AI103" i="18176"/>
  <c r="AJ103" i="18176" s="1"/>
  <c r="AI176" i="18176"/>
  <c r="AJ176" i="18176" s="1"/>
  <c r="AI149" i="18176"/>
  <c r="AJ149" i="18176" s="1"/>
  <c r="AI233" i="18176"/>
  <c r="AJ233" i="18176" s="1"/>
  <c r="AI213" i="18176"/>
  <c r="AJ213" i="18176" s="1"/>
  <c r="AI94" i="18176"/>
  <c r="AJ94" i="18176" s="1"/>
  <c r="AI116" i="18176"/>
  <c r="AJ116" i="18176" s="1"/>
  <c r="AI151" i="18176"/>
  <c r="AJ151" i="18176" s="1"/>
  <c r="AI214" i="18176"/>
  <c r="AJ214" i="18176" s="1"/>
  <c r="AI143" i="18176"/>
  <c r="AJ143" i="18176" s="1"/>
  <c r="AI228" i="18176"/>
  <c r="AJ228" i="18176" s="1"/>
  <c r="AI197" i="18176"/>
  <c r="AJ197" i="18176" s="1"/>
  <c r="AI154" i="18176"/>
  <c r="AJ154" i="18176" s="1"/>
  <c r="AI119" i="18176"/>
  <c r="AJ119" i="18176" s="1"/>
  <c r="AI192" i="18176"/>
  <c r="AJ192" i="18176" s="1"/>
  <c r="AI93" i="18176"/>
  <c r="AJ93" i="18176" s="1"/>
  <c r="AI117" i="18176"/>
  <c r="AJ117" i="18176" s="1"/>
  <c r="AI88" i="18176"/>
  <c r="AJ88" i="18176" s="1"/>
  <c r="AI152" i="18176"/>
  <c r="AJ152" i="18176" s="1"/>
  <c r="AI227" i="18176"/>
  <c r="AJ227" i="18176" s="1"/>
  <c r="AI205" i="18176"/>
  <c r="AJ205" i="18176" s="1"/>
  <c r="AI239" i="18176"/>
  <c r="AJ239" i="18176" s="1"/>
  <c r="AI102" i="18176"/>
  <c r="AJ102" i="18176" s="1"/>
  <c r="AI107" i="18176"/>
  <c r="AJ107" i="18176" s="1"/>
  <c r="AI99" i="18176"/>
  <c r="AJ99" i="18176" s="1"/>
  <c r="AI218" i="18176"/>
  <c r="AJ218" i="18176" s="1"/>
  <c r="AI174" i="18176"/>
  <c r="AJ174" i="18176" s="1"/>
  <c r="AI219" i="18176"/>
  <c r="AJ219" i="18176" s="1"/>
  <c r="AI112" i="18176"/>
  <c r="AJ112" i="18176" s="1"/>
  <c r="AI225" i="18176"/>
  <c r="AJ225" i="18176" s="1"/>
  <c r="AI131" i="18176"/>
  <c r="AJ131" i="18176" s="1"/>
  <c r="AI163" i="18176"/>
  <c r="AJ163" i="18176" s="1"/>
  <c r="AI203" i="18176"/>
  <c r="AJ203" i="18176" s="1"/>
  <c r="AI230" i="18176"/>
  <c r="AJ230" i="18176" s="1"/>
  <c r="AI89" i="18176"/>
  <c r="AJ89" i="18176" s="1"/>
  <c r="AI220" i="18176"/>
  <c r="AJ220" i="18176" s="1"/>
  <c r="AI173" i="18176"/>
  <c r="AJ173" i="18176" s="1"/>
  <c r="AI226" i="18176"/>
  <c r="AJ226" i="18176" s="1"/>
  <c r="AI156" i="18176"/>
  <c r="AJ156" i="18176" s="1"/>
  <c r="AI147" i="18176"/>
  <c r="AJ147" i="18176" s="1"/>
  <c r="AI186" i="18176"/>
  <c r="AJ186" i="18176" s="1"/>
  <c r="AI196" i="18176"/>
  <c r="AJ196" i="18176" s="1"/>
  <c r="AI180" i="18176"/>
  <c r="AJ180" i="18176" s="1"/>
  <c r="AI202" i="18176"/>
  <c r="AJ202" i="18176" s="1"/>
  <c r="AI199" i="18176"/>
  <c r="AJ199" i="18176" s="1"/>
  <c r="AI106" i="18176"/>
  <c r="AJ106" i="18176" s="1"/>
  <c r="AI161" i="18176"/>
  <c r="AJ161" i="18176" s="1"/>
  <c r="AI189" i="18176"/>
  <c r="AJ189" i="18176" s="1"/>
  <c r="AI193" i="18176"/>
  <c r="AJ193" i="18176" s="1"/>
  <c r="AI195" i="18176"/>
  <c r="AJ195" i="18176" s="1"/>
  <c r="AI231" i="18176"/>
  <c r="AJ231" i="18176" s="1"/>
  <c r="AI221" i="18176"/>
  <c r="AJ221" i="18176" s="1"/>
  <c r="AI91" i="18176"/>
  <c r="AJ91" i="18176" s="1"/>
  <c r="AI78" i="18176"/>
  <c r="AJ78" i="18176" s="1"/>
  <c r="AI77" i="18176"/>
  <c r="BD29" i="4"/>
  <c r="BD30" i="4"/>
  <c r="BE32" i="4"/>
  <c r="BE29" i="4" s="1"/>
  <c r="BF4" i="4"/>
  <c r="BF8" i="4" s="1"/>
  <c r="BF6" i="4"/>
  <c r="BG3" i="4"/>
  <c r="BG53" i="4"/>
  <c r="BH59" i="4"/>
  <c r="BH76" i="4" s="1"/>
  <c r="BH38" i="4"/>
  <c r="BH39" i="4" s="1"/>
  <c r="BI35" i="4"/>
  <c r="AK41" i="50872"/>
  <c r="AO40" i="50872"/>
  <c r="AL40" i="50872"/>
  <c r="AM40" i="50872"/>
  <c r="AN40" i="50872"/>
  <c r="T52" i="1"/>
  <c r="BU69" i="4"/>
  <c r="P333" i="8194"/>
  <c r="P334" i="8194"/>
  <c r="P335" i="8194" s="1"/>
  <c r="AJ77" i="18176" l="1"/>
  <c r="AH7" i="18176" s="1"/>
  <c r="AJ38" i="18176"/>
  <c r="BE31" i="4"/>
  <c r="BF32" i="4"/>
  <c r="BF31" i="4" s="1"/>
  <c r="BE30" i="4"/>
  <c r="BJ35" i="4"/>
  <c r="BI59" i="4"/>
  <c r="BI76" i="4" s="1"/>
  <c r="BI38" i="4"/>
  <c r="BI39" i="4" s="1"/>
  <c r="BG4" i="4"/>
  <c r="BG8" i="4" s="1"/>
  <c r="BG6" i="4"/>
  <c r="BH3" i="4"/>
  <c r="BH53" i="4"/>
  <c r="AK42" i="50872"/>
  <c r="AM41" i="50872"/>
  <c r="AN41" i="50872"/>
  <c r="AO41" i="50872"/>
  <c r="AL41" i="50872"/>
  <c r="T53" i="1"/>
  <c r="BV69" i="4"/>
  <c r="P337" i="8194"/>
  <c r="P338" i="8194" s="1"/>
  <c r="P336" i="8194"/>
  <c r="AH10" i="18176" l="1"/>
  <c r="AM40" i="18176" s="1"/>
  <c r="AH13" i="18176"/>
  <c r="BF29" i="4"/>
  <c r="BF30" i="4"/>
  <c r="BI3" i="4"/>
  <c r="BI53" i="4"/>
  <c r="BH6" i="4"/>
  <c r="BH4" i="4"/>
  <c r="BH8" i="4" s="1"/>
  <c r="BG32" i="4"/>
  <c r="BJ59" i="4"/>
  <c r="BJ76" i="4" s="1"/>
  <c r="BK35" i="4"/>
  <c r="BJ38" i="4"/>
  <c r="BJ39" i="4" s="1"/>
  <c r="AK43" i="50872"/>
  <c r="AM42" i="50872"/>
  <c r="AN42" i="50872"/>
  <c r="AL42" i="50872"/>
  <c r="AO42" i="50872"/>
  <c r="T54" i="1"/>
  <c r="BW69" i="4"/>
  <c r="P340" i="8194"/>
  <c r="P341" i="8194" s="1"/>
  <c r="P339" i="8194"/>
  <c r="AH16" i="18176" l="1"/>
  <c r="AH19" i="18176"/>
  <c r="AL40" i="18176"/>
  <c r="AL41" i="18176" s="1"/>
  <c r="AN40" i="18176"/>
  <c r="AO40" i="18176"/>
  <c r="BH32" i="4"/>
  <c r="BH29" i="4" s="1"/>
  <c r="BJ53" i="4"/>
  <c r="BJ3" i="4"/>
  <c r="BK38" i="4"/>
  <c r="BK39" i="4" s="1"/>
  <c r="BK59" i="4"/>
  <c r="BK76" i="4" s="1"/>
  <c r="BL35" i="4"/>
  <c r="BG31" i="4"/>
  <c r="BG29" i="4"/>
  <c r="BG30" i="4"/>
  <c r="BI4" i="4"/>
  <c r="BI8" i="4" s="1"/>
  <c r="BI6" i="4"/>
  <c r="AK44" i="50872"/>
  <c r="AO43" i="50872"/>
  <c r="AM43" i="50872"/>
  <c r="AL43" i="50872"/>
  <c r="AN43" i="50872"/>
  <c r="T55" i="1"/>
  <c r="BX69" i="4"/>
  <c r="P343" i="8194"/>
  <c r="P344" i="8194" s="1"/>
  <c r="P342" i="8194"/>
  <c r="AL42" i="18176" l="1"/>
  <c r="AM41" i="18176"/>
  <c r="BH31" i="4"/>
  <c r="BH30" i="4"/>
  <c r="BI32" i="4"/>
  <c r="BI31" i="4" s="1"/>
  <c r="BK53" i="4"/>
  <c r="BK3" i="4"/>
  <c r="BJ4" i="4"/>
  <c r="BJ8" i="4" s="1"/>
  <c r="BJ6" i="4"/>
  <c r="BM35" i="4"/>
  <c r="BL38" i="4"/>
  <c r="BL39" i="4" s="1"/>
  <c r="BL59" i="4"/>
  <c r="BL76" i="4" s="1"/>
  <c r="AK45" i="50872"/>
  <c r="AN44" i="50872"/>
  <c r="AM44" i="50872"/>
  <c r="AO44" i="50872"/>
  <c r="AL44" i="50872"/>
  <c r="T56" i="1"/>
  <c r="BY69" i="4"/>
  <c r="P345" i="8194"/>
  <c r="P346" i="8194"/>
  <c r="P347" i="8194" s="1"/>
  <c r="AO41" i="18176" l="1"/>
  <c r="AN41" i="18176"/>
  <c r="AL43" i="18176"/>
  <c r="AM42" i="18176"/>
  <c r="BI29" i="4"/>
  <c r="BI30" i="4"/>
  <c r="BL3" i="4"/>
  <c r="BL53" i="4"/>
  <c r="BM38" i="4"/>
  <c r="BM39" i="4" s="1"/>
  <c r="BN35" i="4"/>
  <c r="BM59" i="4"/>
  <c r="BM76" i="4" s="1"/>
  <c r="BK6" i="4"/>
  <c r="BK4" i="4"/>
  <c r="BK8" i="4" s="1"/>
  <c r="BJ32" i="4"/>
  <c r="AK46" i="50872"/>
  <c r="AN45" i="50872"/>
  <c r="AO45" i="50872"/>
  <c r="AM45" i="50872"/>
  <c r="AL45" i="50872"/>
  <c r="T57" i="1"/>
  <c r="BZ69" i="4"/>
  <c r="P348" i="8194"/>
  <c r="P349" i="8194"/>
  <c r="P350" i="8194" s="1"/>
  <c r="AN42" i="18176" l="1"/>
  <c r="AO42" i="18176"/>
  <c r="AM43" i="18176"/>
  <c r="AL44" i="18176"/>
  <c r="BK32" i="4"/>
  <c r="BK31" i="4" s="1"/>
  <c r="BM3" i="4"/>
  <c r="BM53" i="4"/>
  <c r="BL6" i="4"/>
  <c r="BL4" i="4"/>
  <c r="BL8" i="4" s="1"/>
  <c r="BJ31" i="4"/>
  <c r="BJ30" i="4"/>
  <c r="BN59" i="4"/>
  <c r="BN76" i="4" s="1"/>
  <c r="BN38" i="4"/>
  <c r="BN39" i="4" s="1"/>
  <c r="BO35" i="4"/>
  <c r="BJ29" i="4"/>
  <c r="AK47" i="50872"/>
  <c r="AM46" i="50872"/>
  <c r="AN46" i="50872"/>
  <c r="AL46" i="50872"/>
  <c r="AO46" i="50872"/>
  <c r="T58" i="1"/>
  <c r="CA69" i="4"/>
  <c r="P352" i="8194"/>
  <c r="P353" i="8194" s="1"/>
  <c r="P351" i="8194"/>
  <c r="AM44" i="18176" l="1"/>
  <c r="AL45" i="18176"/>
  <c r="AN43" i="18176"/>
  <c r="AO43" i="18176"/>
  <c r="BK29" i="4"/>
  <c r="BK30" i="4"/>
  <c r="BL32" i="4"/>
  <c r="BL31" i="4" s="1"/>
  <c r="BO38" i="4"/>
  <c r="BO39" i="4" s="1"/>
  <c r="BO59" i="4"/>
  <c r="BO76" i="4" s="1"/>
  <c r="BP35" i="4"/>
  <c r="BN53" i="4"/>
  <c r="BN3" i="4"/>
  <c r="BM6" i="4"/>
  <c r="BM4" i="4"/>
  <c r="BM8" i="4" s="1"/>
  <c r="AK48" i="50872"/>
  <c r="AO47" i="50872"/>
  <c r="AL47" i="50872"/>
  <c r="AN47" i="50872"/>
  <c r="AM47" i="50872"/>
  <c r="T59" i="1"/>
  <c r="CB69" i="4"/>
  <c r="P355" i="8194"/>
  <c r="P356" i="8194" s="1"/>
  <c r="P354" i="8194"/>
  <c r="AN44" i="18176" l="1"/>
  <c r="AO44" i="18176"/>
  <c r="AL46" i="18176"/>
  <c r="AM45" i="18176"/>
  <c r="BL30" i="4"/>
  <c r="BL29" i="4"/>
  <c r="BM32" i="4"/>
  <c r="BM31" i="4" s="1"/>
  <c r="BN6" i="4"/>
  <c r="BN4" i="4"/>
  <c r="BN8" i="4" s="1"/>
  <c r="BP59" i="4"/>
  <c r="BP76" i="4" s="1"/>
  <c r="BQ35" i="4"/>
  <c r="BP38" i="4"/>
  <c r="BP39" i="4" s="1"/>
  <c r="BO3" i="4"/>
  <c r="BO53" i="4"/>
  <c r="AK49" i="50872"/>
  <c r="AN48" i="50872"/>
  <c r="AL48" i="50872"/>
  <c r="AM48" i="50872"/>
  <c r="AO48" i="50872"/>
  <c r="T60" i="1"/>
  <c r="CC69" i="4"/>
  <c r="P358" i="8194"/>
  <c r="P359" i="8194" s="1"/>
  <c r="P357" i="8194"/>
  <c r="AL47" i="18176" l="1"/>
  <c r="AM46" i="18176"/>
  <c r="AN45" i="18176"/>
  <c r="AO45" i="18176"/>
  <c r="BM30" i="4"/>
  <c r="BM29" i="4"/>
  <c r="BQ38" i="4"/>
  <c r="BQ39" i="4" s="1"/>
  <c r="BR35" i="4"/>
  <c r="BQ59" i="4"/>
  <c r="BQ76" i="4" s="1"/>
  <c r="BO4" i="4"/>
  <c r="BO8" i="4" s="1"/>
  <c r="BO6" i="4"/>
  <c r="BP53" i="4"/>
  <c r="BP3" i="4"/>
  <c r="BN32" i="4"/>
  <c r="AK50" i="50872"/>
  <c r="AN49" i="50872"/>
  <c r="AO49" i="50872"/>
  <c r="AL49" i="50872"/>
  <c r="AM49" i="50872"/>
  <c r="T61" i="1"/>
  <c r="CD69" i="4"/>
  <c r="P360" i="8194"/>
  <c r="P361" i="8194"/>
  <c r="P362" i="8194" s="1"/>
  <c r="AO46" i="18176" l="1"/>
  <c r="AN46" i="18176"/>
  <c r="AM47" i="18176"/>
  <c r="AL48" i="18176"/>
  <c r="BN31" i="4"/>
  <c r="BN30" i="4"/>
  <c r="BN29" i="4"/>
  <c r="BP4" i="4"/>
  <c r="BP8" i="4" s="1"/>
  <c r="BP6" i="4"/>
  <c r="BR59" i="4"/>
  <c r="BR76" i="4" s="1"/>
  <c r="BS35" i="4"/>
  <c r="BR38" i="4"/>
  <c r="BR39" i="4" s="1"/>
  <c r="BO32" i="4"/>
  <c r="BQ53" i="4"/>
  <c r="BQ3" i="4"/>
  <c r="AK51" i="50872"/>
  <c r="AL50" i="50872"/>
  <c r="AN50" i="50872"/>
  <c r="AO50" i="50872"/>
  <c r="AM50" i="50872"/>
  <c r="T62" i="1"/>
  <c r="CE69" i="4"/>
  <c r="P364" i="8194"/>
  <c r="P365" i="8194" s="1"/>
  <c r="P363" i="8194"/>
  <c r="AM48" i="18176" l="1"/>
  <c r="AL49" i="18176"/>
  <c r="AO47" i="18176"/>
  <c r="AN47" i="18176"/>
  <c r="BP32" i="4"/>
  <c r="BQ6" i="4"/>
  <c r="BQ4" i="4"/>
  <c r="BQ8" i="4" s="1"/>
  <c r="BS59" i="4"/>
  <c r="BS76" i="4" s="1"/>
  <c r="BS38" i="4"/>
  <c r="BS39" i="4" s="1"/>
  <c r="BT35" i="4"/>
  <c r="BO30" i="4"/>
  <c r="BO31" i="4"/>
  <c r="BR53" i="4"/>
  <c r="BR3" i="4"/>
  <c r="BO29" i="4"/>
  <c r="AK52" i="50872"/>
  <c r="AN51" i="50872"/>
  <c r="AL51" i="50872"/>
  <c r="AO51" i="50872"/>
  <c r="AM51" i="50872"/>
  <c r="T63" i="1"/>
  <c r="CF69" i="4"/>
  <c r="P367" i="8194"/>
  <c r="P368" i="8194" s="1"/>
  <c r="P366" i="8194"/>
  <c r="AL50" i="18176" l="1"/>
  <c r="AM49" i="18176"/>
  <c r="AN48" i="18176"/>
  <c r="AO48" i="18176"/>
  <c r="BP31" i="4"/>
  <c r="BP30" i="4"/>
  <c r="BP29" i="4"/>
  <c r="BS53" i="4"/>
  <c r="BS3" i="4"/>
  <c r="BR6" i="4"/>
  <c r="BR4" i="4"/>
  <c r="BR8" i="4" s="1"/>
  <c r="BU35" i="4"/>
  <c r="BT59" i="4"/>
  <c r="BT76" i="4" s="1"/>
  <c r="BT38" i="4"/>
  <c r="BT39" i="4" s="1"/>
  <c r="BQ32" i="4"/>
  <c r="AK53" i="50872"/>
  <c r="AL52" i="50872"/>
  <c r="AM52" i="50872"/>
  <c r="AN52" i="50872"/>
  <c r="AO52" i="50872"/>
  <c r="T64" i="1"/>
  <c r="CG69" i="4"/>
  <c r="P370" i="8194"/>
  <c r="P371" i="8194" s="1"/>
  <c r="P369" i="8194"/>
  <c r="AM50" i="18176" l="1"/>
  <c r="AL51" i="18176"/>
  <c r="AN49" i="18176"/>
  <c r="AO49" i="18176"/>
  <c r="BR32" i="4"/>
  <c r="BR31" i="4" s="1"/>
  <c r="BT53" i="4"/>
  <c r="BT3" i="4"/>
  <c r="BS6" i="4"/>
  <c r="BS4" i="4"/>
  <c r="BS8" i="4" s="1"/>
  <c r="BU59" i="4"/>
  <c r="BU76" i="4" s="1"/>
  <c r="BU38" i="4"/>
  <c r="BU39" i="4" s="1"/>
  <c r="BV35" i="4"/>
  <c r="BQ31" i="4"/>
  <c r="BQ30" i="4"/>
  <c r="BQ29" i="4"/>
  <c r="AK54" i="50872"/>
  <c r="AO53" i="50872"/>
  <c r="AM53" i="50872"/>
  <c r="AN53" i="50872"/>
  <c r="AL53" i="50872"/>
  <c r="T65" i="1"/>
  <c r="P373" i="8194"/>
  <c r="P374" i="8194" s="1"/>
  <c r="P372" i="8194"/>
  <c r="AN50" i="18176" l="1"/>
  <c r="AO50" i="18176"/>
  <c r="AL52" i="18176"/>
  <c r="AM51" i="18176"/>
  <c r="BR30" i="4"/>
  <c r="BS32" i="4"/>
  <c r="BS29" i="4" s="1"/>
  <c r="BR29" i="4"/>
  <c r="BW35" i="4"/>
  <c r="BV59" i="4"/>
  <c r="BV76" i="4" s="1"/>
  <c r="BV38" i="4"/>
  <c r="BV39" i="4" s="1"/>
  <c r="BU53" i="4"/>
  <c r="BU3" i="4"/>
  <c r="BT6" i="4"/>
  <c r="BT4" i="4"/>
  <c r="BT8" i="4" s="1"/>
  <c r="AK55" i="50872"/>
  <c r="AL54" i="50872"/>
  <c r="AO54" i="50872"/>
  <c r="AN54" i="50872"/>
  <c r="AM54" i="50872"/>
  <c r="T66" i="1"/>
  <c r="P375" i="8194"/>
  <c r="P376" i="8194"/>
  <c r="P377" i="8194" s="1"/>
  <c r="AO51" i="18176" l="1"/>
  <c r="AN51" i="18176"/>
  <c r="AM52" i="18176"/>
  <c r="AL53" i="18176"/>
  <c r="BT32" i="4"/>
  <c r="BT31" i="4" s="1"/>
  <c r="BS31" i="4"/>
  <c r="BS30" i="4"/>
  <c r="BV3" i="4"/>
  <c r="BV53" i="4"/>
  <c r="BU6" i="4"/>
  <c r="BU4" i="4"/>
  <c r="BU8" i="4" s="1"/>
  <c r="BW59" i="4"/>
  <c r="BW76" i="4" s="1"/>
  <c r="BW38" i="4"/>
  <c r="BW39" i="4" s="1"/>
  <c r="BX35" i="4"/>
  <c r="AK56" i="50872"/>
  <c r="AL55" i="50872"/>
  <c r="AO55" i="50872"/>
  <c r="AM55" i="50872"/>
  <c r="AN55" i="50872"/>
  <c r="T67" i="1"/>
  <c r="P378" i="8194"/>
  <c r="P379" i="8194"/>
  <c r="P380" i="8194" s="1"/>
  <c r="AM53" i="18176" l="1"/>
  <c r="AL54" i="18176"/>
  <c r="AO52" i="18176"/>
  <c r="AN52" i="18176"/>
  <c r="BT30" i="4"/>
  <c r="BT29" i="4"/>
  <c r="BW53" i="4"/>
  <c r="BW3" i="4"/>
  <c r="BX59" i="4"/>
  <c r="BX76" i="4" s="1"/>
  <c r="BX38" i="4"/>
  <c r="BX39" i="4" s="1"/>
  <c r="BY35" i="4"/>
  <c r="BU32" i="4"/>
  <c r="BV4" i="4"/>
  <c r="BV8" i="4" s="1"/>
  <c r="BV6" i="4"/>
  <c r="AK57" i="50872"/>
  <c r="AM56" i="50872"/>
  <c r="AN56" i="50872"/>
  <c r="AO56" i="50872"/>
  <c r="AL56" i="50872"/>
  <c r="T68" i="1"/>
  <c r="P381" i="8194"/>
  <c r="P382" i="8194"/>
  <c r="P383" i="8194" s="1"/>
  <c r="AL55" i="18176" l="1"/>
  <c r="AM54" i="18176"/>
  <c r="AO53" i="18176"/>
  <c r="AN53" i="18176"/>
  <c r="BV32" i="4"/>
  <c r="BV31" i="4" s="1"/>
  <c r="BX3" i="4"/>
  <c r="BX53" i="4"/>
  <c r="BU29" i="4"/>
  <c r="BU31" i="4"/>
  <c r="BU30" i="4"/>
  <c r="BW6" i="4"/>
  <c r="BW4" i="4"/>
  <c r="BW8" i="4" s="1"/>
  <c r="BY38" i="4"/>
  <c r="BY39" i="4" s="1"/>
  <c r="BZ35" i="4"/>
  <c r="BY59" i="4"/>
  <c r="BY76" i="4" s="1"/>
  <c r="AK58" i="50872"/>
  <c r="AL57" i="50872"/>
  <c r="AM57" i="50872"/>
  <c r="AN57" i="50872"/>
  <c r="AO57" i="50872"/>
  <c r="T69" i="1"/>
  <c r="P385" i="8194"/>
  <c r="P386" i="8194" s="1"/>
  <c r="P384" i="8194"/>
  <c r="AO54" i="18176" l="1"/>
  <c r="AN54" i="18176"/>
  <c r="AL56" i="18176"/>
  <c r="AM55" i="18176"/>
  <c r="BV29" i="4"/>
  <c r="BV30" i="4"/>
  <c r="BW32" i="4"/>
  <c r="BW29" i="4" s="1"/>
  <c r="CA35" i="4"/>
  <c r="BZ38" i="4"/>
  <c r="BZ39" i="4" s="1"/>
  <c r="BZ59" i="4"/>
  <c r="BZ76" i="4" s="1"/>
  <c r="BY53" i="4"/>
  <c r="BY3" i="4"/>
  <c r="BX6" i="4"/>
  <c r="BX4" i="4"/>
  <c r="BX8" i="4" s="1"/>
  <c r="AK59" i="50872"/>
  <c r="AO58" i="50872"/>
  <c r="AM58" i="50872"/>
  <c r="AL58" i="50872"/>
  <c r="AN58" i="50872"/>
  <c r="T70" i="1"/>
  <c r="P387" i="8194"/>
  <c r="P388" i="8194"/>
  <c r="P389" i="8194" s="1"/>
  <c r="AN55" i="18176" l="1"/>
  <c r="AO55" i="18176"/>
  <c r="AL57" i="18176"/>
  <c r="AM56" i="18176"/>
  <c r="BX32" i="4"/>
  <c r="BX29" i="4" s="1"/>
  <c r="BY4" i="4"/>
  <c r="BY8" i="4" s="1"/>
  <c r="BY6" i="4"/>
  <c r="BZ53" i="4"/>
  <c r="BZ3" i="4"/>
  <c r="CB35" i="4"/>
  <c r="CA38" i="4"/>
  <c r="CA39" i="4" s="1"/>
  <c r="CA59" i="4"/>
  <c r="CA76" i="4" s="1"/>
  <c r="BW31" i="4"/>
  <c r="BW30" i="4"/>
  <c r="AK60" i="50872"/>
  <c r="AO59" i="50872"/>
  <c r="AL59" i="50872"/>
  <c r="AM59" i="50872"/>
  <c r="AN59" i="50872"/>
  <c r="T71" i="1"/>
  <c r="P391" i="8194"/>
  <c r="P392" i="8194" s="1"/>
  <c r="P390" i="8194"/>
  <c r="AN56" i="18176" l="1"/>
  <c r="AO56" i="18176"/>
  <c r="AL58" i="18176"/>
  <c r="AM57" i="18176"/>
  <c r="BY32" i="4"/>
  <c r="BY31" i="4" s="1"/>
  <c r="BX31" i="4"/>
  <c r="BX30" i="4"/>
  <c r="BZ4" i="4"/>
  <c r="BZ8" i="4" s="1"/>
  <c r="BZ6" i="4"/>
  <c r="CA53" i="4"/>
  <c r="CA3" i="4"/>
  <c r="CC35" i="4"/>
  <c r="CB38" i="4"/>
  <c r="CB39" i="4" s="1"/>
  <c r="CB59" i="4"/>
  <c r="CB76" i="4" s="1"/>
  <c r="AK61" i="50872"/>
  <c r="AL60" i="50872"/>
  <c r="AM60" i="50872"/>
  <c r="AO60" i="50872"/>
  <c r="AN60" i="50872"/>
  <c r="P394" i="8194"/>
  <c r="P395" i="8194" s="1"/>
  <c r="P393" i="8194"/>
  <c r="AN57" i="18176" l="1"/>
  <c r="AO57" i="18176"/>
  <c r="AL59" i="18176"/>
  <c r="AM58" i="18176"/>
  <c r="BY29" i="4"/>
  <c r="BY30" i="4"/>
  <c r="BZ32" i="4"/>
  <c r="BZ30" i="4" s="1"/>
  <c r="CA6" i="4"/>
  <c r="CA4" i="4"/>
  <c r="CA8" i="4" s="1"/>
  <c r="CB53" i="4"/>
  <c r="CB3" i="4"/>
  <c r="CD35" i="4"/>
  <c r="CC38" i="4"/>
  <c r="CC39" i="4" s="1"/>
  <c r="CC59" i="4"/>
  <c r="CC76" i="4" s="1"/>
  <c r="AK62" i="50872"/>
  <c r="AM61" i="50872"/>
  <c r="AL61" i="50872"/>
  <c r="AO61" i="50872"/>
  <c r="AN61" i="50872"/>
  <c r="P396" i="8194"/>
  <c r="P397" i="8194"/>
  <c r="P398" i="8194" s="1"/>
  <c r="AN58" i="18176" l="1"/>
  <c r="AO58" i="18176"/>
  <c r="AM59" i="18176"/>
  <c r="AL60" i="18176"/>
  <c r="BZ29" i="4"/>
  <c r="BZ31" i="4"/>
  <c r="CB6" i="4"/>
  <c r="CB4" i="4"/>
  <c r="CB8" i="4" s="1"/>
  <c r="CC53" i="4"/>
  <c r="CC3" i="4"/>
  <c r="CE35" i="4"/>
  <c r="CD59" i="4"/>
  <c r="CD76" i="4" s="1"/>
  <c r="CD38" i="4"/>
  <c r="CD39" i="4" s="1"/>
  <c r="CA32" i="4"/>
  <c r="AK63" i="50872"/>
  <c r="AN62" i="50872"/>
  <c r="AL62" i="50872"/>
  <c r="AM62" i="50872"/>
  <c r="AO62" i="50872"/>
  <c r="P400" i="8194"/>
  <c r="P401" i="8194" s="1"/>
  <c r="P399" i="8194"/>
  <c r="AL61" i="18176" l="1"/>
  <c r="AM60" i="18176"/>
  <c r="AN59" i="18176"/>
  <c r="AO59" i="18176"/>
  <c r="CB32" i="4"/>
  <c r="CB30" i="4" s="1"/>
  <c r="CA31" i="4"/>
  <c r="CA30" i="4"/>
  <c r="CA29" i="4"/>
  <c r="CC6" i="4"/>
  <c r="CC4" i="4"/>
  <c r="CC8" i="4" s="1"/>
  <c r="CD53" i="4"/>
  <c r="CD3" i="4"/>
  <c r="CE59" i="4"/>
  <c r="CE76" i="4" s="1"/>
  <c r="CE38" i="4"/>
  <c r="CE39" i="4" s="1"/>
  <c r="CF35" i="4"/>
  <c r="AK64" i="50872"/>
  <c r="AN63" i="50872"/>
  <c r="AO63" i="50872"/>
  <c r="AM63" i="50872"/>
  <c r="AL63" i="50872"/>
  <c r="P402" i="8194"/>
  <c r="P403" i="8194"/>
  <c r="P404" i="8194" s="1"/>
  <c r="AN60" i="18176" l="1"/>
  <c r="AO60" i="18176"/>
  <c r="AM61" i="18176"/>
  <c r="AL62" i="18176"/>
  <c r="CB29" i="4"/>
  <c r="CB31" i="4"/>
  <c r="CC32" i="4"/>
  <c r="CC31" i="4" s="1"/>
  <c r="CG35" i="4"/>
  <c r="CF59" i="4"/>
  <c r="CF76" i="4" s="1"/>
  <c r="CF38" i="4"/>
  <c r="CF39" i="4" s="1"/>
  <c r="CD4" i="4"/>
  <c r="CD8" i="4" s="1"/>
  <c r="CD6" i="4"/>
  <c r="CE53" i="4"/>
  <c r="CE3" i="4"/>
  <c r="AK65" i="50872"/>
  <c r="AO64" i="50872"/>
  <c r="AL64" i="50872"/>
  <c r="AN64" i="50872"/>
  <c r="AM64" i="50872"/>
  <c r="P405" i="8194"/>
  <c r="P406" i="8194"/>
  <c r="P407" i="8194" s="1"/>
  <c r="AN61" i="18176" l="1"/>
  <c r="AO61" i="18176"/>
  <c r="AL63" i="18176"/>
  <c r="AM62" i="18176"/>
  <c r="CC30" i="4"/>
  <c r="CC29" i="4"/>
  <c r="CE6" i="4"/>
  <c r="CE4" i="4"/>
  <c r="CE8" i="4" s="1"/>
  <c r="CF3" i="4"/>
  <c r="CF53" i="4"/>
  <c r="CD32" i="4"/>
  <c r="CG38" i="4"/>
  <c r="CG39" i="4" s="1"/>
  <c r="CG59" i="4"/>
  <c r="CG76" i="4" s="1"/>
  <c r="AN65" i="50872"/>
  <c r="AL65" i="50872"/>
  <c r="AM65" i="50872"/>
  <c r="AO65" i="50872"/>
  <c r="P409" i="8194"/>
  <c r="P410" i="8194" s="1"/>
  <c r="P408" i="8194"/>
  <c r="AM63" i="18176" l="1"/>
  <c r="AL64" i="18176"/>
  <c r="AN62" i="18176"/>
  <c r="AO62" i="18176"/>
  <c r="CF6" i="4"/>
  <c r="CF4" i="4"/>
  <c r="CF8" i="4" s="1"/>
  <c r="CG53" i="4"/>
  <c r="CG3" i="4"/>
  <c r="CD31" i="4"/>
  <c r="CD30" i="4"/>
  <c r="CD29" i="4"/>
  <c r="CE32" i="4"/>
  <c r="P411" i="8194"/>
  <c r="P412" i="8194"/>
  <c r="P413" i="8194" s="1"/>
  <c r="AL65" i="18176" l="1"/>
  <c r="AM64" i="18176"/>
  <c r="AN63" i="18176"/>
  <c r="AO63" i="18176"/>
  <c r="CE31" i="4"/>
  <c r="CE30" i="4"/>
  <c r="CE29" i="4"/>
  <c r="CG6" i="4"/>
  <c r="CG4" i="4"/>
  <c r="CG8" i="4" s="1"/>
  <c r="CF32" i="4"/>
  <c r="CF31" i="4" s="1"/>
  <c r="P415" i="8194"/>
  <c r="P416" i="8194" s="1"/>
  <c r="P414" i="8194"/>
  <c r="AN64" i="18176" l="1"/>
  <c r="AO64" i="18176"/>
  <c r="AL66" i="18176"/>
  <c r="AM65" i="18176"/>
  <c r="CF29" i="4"/>
  <c r="CG32" i="4"/>
  <c r="CF30" i="4"/>
  <c r="AM66" i="18176" l="1"/>
  <c r="AL67" i="18176"/>
  <c r="AN65" i="18176"/>
  <c r="AO65" i="18176"/>
  <c r="CG31" i="4"/>
  <c r="CG29" i="4"/>
  <c r="CG30" i="4"/>
  <c r="AM67" i="18176" l="1"/>
  <c r="AL68" i="18176"/>
  <c r="AO66" i="18176"/>
  <c r="AN66" i="18176"/>
  <c r="AL69" i="18176" l="1"/>
  <c r="AM68" i="18176"/>
  <c r="AO67" i="18176"/>
  <c r="AN67" i="18176"/>
  <c r="AN68" i="18176" l="1"/>
  <c r="AO68" i="18176"/>
  <c r="AM69" i="18176"/>
  <c r="AL70" i="18176"/>
  <c r="AM70" i="18176" l="1"/>
  <c r="AL71" i="18176"/>
  <c r="AN69" i="18176"/>
  <c r="AO69" i="18176"/>
  <c r="AL72" i="18176" l="1"/>
  <c r="AM71" i="18176"/>
  <c r="AN70" i="18176"/>
  <c r="AO70" i="18176"/>
  <c r="AN71" i="18176" l="1"/>
  <c r="AO71" i="18176"/>
  <c r="AM72" i="18176"/>
  <c r="AL73" i="18176"/>
  <c r="AL74" i="18176" l="1"/>
  <c r="AM73" i="18176"/>
  <c r="AN72" i="18176"/>
  <c r="AO72" i="18176"/>
  <c r="AN73" i="18176" l="1"/>
  <c r="AO73" i="18176"/>
  <c r="AL75" i="18176"/>
  <c r="AM74" i="18176"/>
  <c r="AN74" i="18176" l="1"/>
  <c r="AO74" i="18176"/>
  <c r="AL76" i="18176"/>
  <c r="AM75" i="18176"/>
  <c r="AN75" i="18176" l="1"/>
  <c r="AO75" i="18176"/>
  <c r="AL77" i="18176"/>
  <c r="AM76" i="18176"/>
  <c r="AO76" i="18176" l="1"/>
  <c r="AN76" i="18176"/>
  <c r="AL78" i="18176"/>
  <c r="AM77" i="18176"/>
  <c r="AN77" i="18176" l="1"/>
  <c r="AO77" i="18176"/>
  <c r="AM78" i="18176"/>
  <c r="AL79" i="18176"/>
  <c r="AO78" i="18176" l="1"/>
  <c r="AN78" i="18176"/>
  <c r="AL80" i="18176"/>
  <c r="AM79" i="18176"/>
  <c r="AN79" i="18176" l="1"/>
  <c r="AO79" i="18176"/>
  <c r="AM80" i="18176"/>
  <c r="AL81" i="18176"/>
  <c r="AL82" i="18176" l="1"/>
  <c r="AM81" i="18176"/>
  <c r="AO80" i="18176"/>
  <c r="AN80" i="18176"/>
  <c r="AO81" i="18176" l="1"/>
  <c r="AN81" i="18176"/>
  <c r="AM82" i="18176"/>
  <c r="AL83" i="18176"/>
  <c r="AL84" i="18176" l="1"/>
  <c r="AM83" i="18176"/>
  <c r="AO82" i="18176"/>
  <c r="AN82" i="18176"/>
  <c r="AO83" i="18176" l="1"/>
  <c r="AN83" i="18176"/>
  <c r="AM84" i="18176"/>
  <c r="AL85" i="18176"/>
  <c r="AL86" i="18176" l="1"/>
  <c r="AM85" i="18176"/>
  <c r="AN84" i="18176"/>
  <c r="AO84" i="18176"/>
  <c r="AN85" i="18176" l="1"/>
  <c r="AO85" i="18176"/>
  <c r="AL87" i="18176"/>
  <c r="AM86" i="18176"/>
  <c r="AO86" i="18176" l="1"/>
  <c r="AN86" i="18176"/>
  <c r="AM87" i="18176"/>
  <c r="AL88" i="18176"/>
  <c r="AN87" i="18176" l="1"/>
  <c r="AO87" i="18176"/>
  <c r="AM88" i="18176"/>
  <c r="AL89" i="18176"/>
  <c r="AL90" i="18176" l="1"/>
  <c r="AM89" i="18176"/>
  <c r="AN88" i="18176"/>
  <c r="AO88" i="18176"/>
  <c r="AN89" i="18176" l="1"/>
  <c r="AO89" i="18176"/>
  <c r="AM90" i="18176"/>
  <c r="AL91" i="18176"/>
  <c r="AM91" i="18176" l="1"/>
  <c r="AL92" i="18176"/>
  <c r="AN90" i="18176"/>
  <c r="AO90" i="18176"/>
  <c r="AL93" i="18176" l="1"/>
  <c r="AM92" i="18176"/>
  <c r="AN91" i="18176"/>
  <c r="AO91" i="18176"/>
  <c r="AN92" i="18176" l="1"/>
  <c r="AO92" i="18176"/>
  <c r="AL94" i="18176"/>
  <c r="AM93" i="18176"/>
  <c r="AN93" i="18176" l="1"/>
  <c r="AO93" i="18176"/>
  <c r="AL95" i="18176"/>
  <c r="AM94" i="18176"/>
  <c r="AO94" i="18176" l="1"/>
  <c r="AN94" i="18176"/>
  <c r="AL96" i="18176"/>
  <c r="AM95" i="18176"/>
  <c r="AO95" i="18176" l="1"/>
  <c r="AN95" i="18176"/>
  <c r="AM96" i="18176"/>
  <c r="AL97" i="18176"/>
  <c r="AM97" i="18176" l="1"/>
  <c r="AL98" i="18176"/>
  <c r="AO96" i="18176"/>
  <c r="AN96" i="18176"/>
  <c r="AM98" i="18176" l="1"/>
  <c r="AL99" i="18176"/>
  <c r="AN97" i="18176"/>
  <c r="AO97" i="18176"/>
  <c r="AL100" i="18176" l="1"/>
  <c r="AM99" i="18176"/>
  <c r="AO98" i="18176"/>
  <c r="AN98" i="18176"/>
  <c r="AN99" i="18176" l="1"/>
  <c r="AO99" i="18176"/>
  <c r="AL101" i="18176"/>
  <c r="AM100" i="18176"/>
  <c r="AN100" i="18176" l="1"/>
  <c r="AO100" i="18176"/>
  <c r="AM101" i="18176"/>
  <c r="AL102" i="18176"/>
  <c r="AO101" i="18176" l="1"/>
  <c r="AN101" i="18176"/>
  <c r="AM102" i="18176"/>
  <c r="AL103" i="18176"/>
  <c r="AM103" i="18176" l="1"/>
  <c r="AL104" i="18176"/>
  <c r="AN102" i="18176"/>
  <c r="AO102" i="18176"/>
  <c r="AM104" i="18176" l="1"/>
  <c r="AL105" i="18176"/>
  <c r="AN103" i="18176"/>
  <c r="AO103" i="18176"/>
  <c r="AL106" i="18176" l="1"/>
  <c r="AM105" i="18176"/>
  <c r="AN104" i="18176"/>
  <c r="AO104" i="18176"/>
  <c r="AN105" i="18176" l="1"/>
  <c r="AO105" i="18176"/>
  <c r="AM106" i="18176"/>
  <c r="AL107" i="18176"/>
  <c r="AL108" i="18176" l="1"/>
  <c r="AM107" i="18176"/>
  <c r="AN106" i="18176"/>
  <c r="AO106" i="18176"/>
  <c r="AN107" i="18176" l="1"/>
  <c r="AO107" i="18176"/>
  <c r="AM108" i="18176"/>
  <c r="AL109" i="18176"/>
  <c r="AM109" i="18176" l="1"/>
  <c r="AL110" i="18176"/>
  <c r="AN108" i="18176"/>
  <c r="AO108" i="18176"/>
  <c r="AM110" i="18176" l="1"/>
  <c r="AL111" i="18176"/>
  <c r="AN109" i="18176"/>
  <c r="AO109" i="18176"/>
  <c r="AM111" i="18176" l="1"/>
  <c r="AL112" i="18176"/>
  <c r="AN110" i="18176"/>
  <c r="AO110" i="18176"/>
  <c r="AM112" i="18176" l="1"/>
  <c r="AL113" i="18176"/>
  <c r="AN111" i="18176"/>
  <c r="AO111" i="18176"/>
  <c r="AM113" i="18176" l="1"/>
  <c r="AL114" i="18176"/>
  <c r="AN112" i="18176"/>
  <c r="AO112" i="18176"/>
  <c r="AM114" i="18176" l="1"/>
  <c r="AL115" i="18176"/>
  <c r="AN113" i="18176"/>
  <c r="AO113" i="18176"/>
  <c r="AM115" i="18176" l="1"/>
  <c r="AL116" i="18176"/>
  <c r="AN114" i="18176"/>
  <c r="AO114" i="18176"/>
  <c r="AL117" i="18176" l="1"/>
  <c r="AM116" i="18176"/>
  <c r="AN115" i="18176"/>
  <c r="AO115" i="18176"/>
  <c r="AN116" i="18176" l="1"/>
  <c r="AO116" i="18176"/>
  <c r="AM117" i="18176"/>
  <c r="AL118" i="18176"/>
  <c r="AL119" i="18176" l="1"/>
  <c r="AM118" i="18176"/>
  <c r="AO117" i="18176"/>
  <c r="AN117" i="18176"/>
  <c r="AN118" i="18176" l="1"/>
  <c r="AO118" i="18176"/>
  <c r="AM119" i="18176"/>
  <c r="AL120" i="18176"/>
  <c r="AM120" i="18176" l="1"/>
  <c r="AL121" i="18176"/>
  <c r="AO119" i="18176"/>
  <c r="AN119" i="18176"/>
  <c r="AM121" i="18176" l="1"/>
  <c r="AL122" i="18176"/>
  <c r="AN120" i="18176"/>
  <c r="AO120" i="18176"/>
  <c r="AM122" i="18176" l="1"/>
  <c r="AL123" i="18176"/>
  <c r="AO121" i="18176"/>
  <c r="AN121" i="18176"/>
  <c r="AL124" i="18176" l="1"/>
  <c r="AM123" i="18176"/>
  <c r="AN122" i="18176"/>
  <c r="AO122" i="18176"/>
  <c r="AN123" i="18176" l="1"/>
  <c r="AO123" i="18176"/>
  <c r="AM124" i="18176"/>
  <c r="AL125" i="18176"/>
  <c r="AN124" i="18176" l="1"/>
  <c r="AO124" i="18176"/>
  <c r="AL126" i="18176"/>
  <c r="AM125" i="18176"/>
  <c r="AM126" i="18176" l="1"/>
  <c r="AL127" i="18176"/>
  <c r="AN125" i="18176"/>
  <c r="AO125" i="18176"/>
  <c r="AM127" i="18176" l="1"/>
  <c r="AL128" i="18176"/>
  <c r="AN126" i="18176"/>
  <c r="AO126" i="18176"/>
  <c r="AM128" i="18176" l="1"/>
  <c r="AL129" i="18176"/>
  <c r="AN127" i="18176"/>
  <c r="AO127" i="18176"/>
  <c r="AL130" i="18176" l="1"/>
  <c r="AM129" i="18176"/>
  <c r="AN128" i="18176"/>
  <c r="AO128" i="18176"/>
  <c r="AN129" i="18176" l="1"/>
  <c r="AO129" i="18176"/>
  <c r="AM130" i="18176"/>
  <c r="AL131" i="18176"/>
  <c r="AM131" i="18176" l="1"/>
  <c r="AL132" i="18176"/>
  <c r="AN130" i="18176"/>
  <c r="AO130" i="18176"/>
  <c r="AL133" i="18176" l="1"/>
  <c r="AM132" i="18176"/>
  <c r="AN131" i="18176"/>
  <c r="AO131" i="18176"/>
  <c r="AN132" i="18176" l="1"/>
  <c r="AO132" i="18176"/>
  <c r="AM133" i="18176"/>
  <c r="AL134" i="18176"/>
  <c r="AL135" i="18176" l="1"/>
  <c r="AM134" i="18176"/>
  <c r="AN133" i="18176"/>
  <c r="AO133" i="18176"/>
  <c r="AN134" i="18176" l="1"/>
  <c r="AO134" i="18176"/>
  <c r="AM135" i="18176"/>
  <c r="AL136" i="18176"/>
  <c r="AL137" i="18176" l="1"/>
  <c r="AM136" i="18176"/>
  <c r="AN135" i="18176"/>
  <c r="AO135" i="18176"/>
  <c r="AN136" i="18176" l="1"/>
  <c r="AO136" i="18176"/>
  <c r="AL138" i="18176"/>
  <c r="AM137" i="18176"/>
  <c r="AN137" i="18176" l="1"/>
  <c r="AO137" i="18176"/>
  <c r="AM138" i="18176"/>
  <c r="AL139" i="18176"/>
  <c r="AM139" i="18176" l="1"/>
  <c r="AL140" i="18176"/>
  <c r="AO138" i="18176"/>
  <c r="AN138" i="18176"/>
  <c r="AL141" i="18176" l="1"/>
  <c r="AM140" i="18176"/>
  <c r="AN139" i="18176"/>
  <c r="AO139" i="18176"/>
  <c r="AN140" i="18176" l="1"/>
  <c r="AO140" i="18176"/>
  <c r="AL142" i="18176"/>
  <c r="AM141" i="18176"/>
  <c r="AO141" i="18176" l="1"/>
  <c r="AN141" i="18176"/>
  <c r="AL143" i="18176"/>
  <c r="AM142" i="18176"/>
  <c r="AN142" i="18176" l="1"/>
  <c r="AO142" i="18176"/>
  <c r="AL144" i="18176"/>
  <c r="AM143" i="18176"/>
  <c r="AO143" i="18176" l="1"/>
  <c r="AN143" i="18176"/>
  <c r="AM144" i="18176"/>
  <c r="AL145" i="18176"/>
  <c r="AL146" i="18176" l="1"/>
  <c r="AM145" i="18176"/>
  <c r="AN144" i="18176"/>
  <c r="AO144" i="18176"/>
  <c r="AO145" i="18176" l="1"/>
  <c r="AN145" i="18176"/>
  <c r="AL147" i="18176"/>
  <c r="AM146" i="18176"/>
  <c r="AN146" i="18176" l="1"/>
  <c r="AO146" i="18176"/>
  <c r="AL148" i="18176"/>
  <c r="AM147" i="18176"/>
  <c r="AL149" i="18176" l="1"/>
  <c r="AM148" i="18176"/>
  <c r="AN147" i="18176"/>
  <c r="AO147" i="18176"/>
  <c r="AO148" i="18176" l="1"/>
  <c r="AN148" i="18176"/>
  <c r="AL150" i="18176"/>
  <c r="AM149" i="18176"/>
  <c r="AN149" i="18176" l="1"/>
  <c r="AO149" i="18176"/>
  <c r="AM150" i="18176"/>
  <c r="AL151" i="18176"/>
  <c r="AM151" i="18176" l="1"/>
  <c r="AL152" i="18176"/>
  <c r="AO150" i="18176"/>
  <c r="AN150" i="18176"/>
  <c r="AL153" i="18176" l="1"/>
  <c r="AM152" i="18176"/>
  <c r="AN151" i="18176"/>
  <c r="AO151" i="18176"/>
  <c r="AN152" i="18176" l="1"/>
  <c r="AO152" i="18176"/>
  <c r="AL154" i="18176"/>
  <c r="AM153" i="18176"/>
  <c r="AL155" i="18176" l="1"/>
  <c r="AM154" i="18176"/>
  <c r="AO153" i="18176"/>
  <c r="AN153" i="18176"/>
  <c r="AN154" i="18176" l="1"/>
  <c r="AO154" i="18176"/>
  <c r="AL156" i="18176"/>
  <c r="AM155" i="18176"/>
  <c r="AN155" i="18176" l="1"/>
  <c r="AO155" i="18176"/>
  <c r="AL157" i="18176"/>
  <c r="AM156" i="18176"/>
  <c r="AO156" i="18176" l="1"/>
  <c r="AN156" i="18176"/>
  <c r="AM157" i="18176"/>
  <c r="AL158" i="18176"/>
  <c r="AM158" i="18176" l="1"/>
  <c r="AL159" i="18176"/>
  <c r="AN157" i="18176"/>
  <c r="AO157" i="18176"/>
  <c r="AL160" i="18176" l="1"/>
  <c r="AM159" i="18176"/>
  <c r="AN158" i="18176"/>
  <c r="AO158" i="18176"/>
  <c r="AL161" i="18176" l="1"/>
  <c r="AM160" i="18176"/>
  <c r="AO159" i="18176"/>
  <c r="AN159" i="18176"/>
  <c r="AN160" i="18176" l="1"/>
  <c r="AO160" i="18176"/>
  <c r="AM161" i="18176"/>
  <c r="AL162" i="18176"/>
  <c r="AN161" i="18176" l="1"/>
  <c r="AO161" i="18176"/>
  <c r="AM162" i="18176"/>
  <c r="AL163" i="18176"/>
  <c r="AL164" i="18176" l="1"/>
  <c r="AM163" i="18176"/>
  <c r="AN162" i="18176"/>
  <c r="AO162" i="18176"/>
  <c r="AN163" i="18176" l="1"/>
  <c r="AO163" i="18176"/>
  <c r="AL165" i="18176"/>
  <c r="AM164" i="18176"/>
  <c r="AN164" i="18176" l="1"/>
  <c r="AO164" i="18176"/>
  <c r="AM165" i="18176"/>
  <c r="AL166" i="18176"/>
  <c r="AO165" i="18176" l="1"/>
  <c r="AN165" i="18176"/>
  <c r="AM166" i="18176"/>
  <c r="AL167" i="18176"/>
  <c r="AM167" i="18176" l="1"/>
  <c r="AL168" i="18176"/>
  <c r="AN166" i="18176"/>
  <c r="AO166" i="18176"/>
  <c r="AL169" i="18176" l="1"/>
  <c r="AM168" i="18176"/>
  <c r="AO167" i="18176"/>
  <c r="AN167" i="18176"/>
  <c r="AN168" i="18176" l="1"/>
  <c r="AO168" i="18176"/>
  <c r="AL170" i="18176"/>
  <c r="AM169" i="18176"/>
  <c r="AO169" i="18176" l="1"/>
  <c r="AN169" i="18176"/>
  <c r="AL171" i="18176"/>
  <c r="AM170" i="18176"/>
  <c r="AO170" i="18176" l="1"/>
  <c r="AN170" i="18176"/>
  <c r="AM171" i="18176"/>
  <c r="AL172" i="18176"/>
  <c r="AL173" i="18176" l="1"/>
  <c r="AM172" i="18176"/>
  <c r="AO171" i="18176"/>
  <c r="AN171" i="18176"/>
  <c r="AO172" i="18176" l="1"/>
  <c r="AN172" i="18176"/>
  <c r="AM173" i="18176"/>
  <c r="AL174" i="18176"/>
  <c r="AM174" i="18176" l="1"/>
  <c r="AL175" i="18176"/>
  <c r="AO173" i="18176"/>
  <c r="AN173" i="18176"/>
  <c r="AO174" i="18176" l="1"/>
  <c r="AN174" i="18176"/>
  <c r="AL176" i="18176"/>
  <c r="AM175" i="18176"/>
  <c r="AO175" i="18176" l="1"/>
  <c r="AN175" i="18176"/>
  <c r="AL177" i="18176"/>
  <c r="AM176" i="18176"/>
  <c r="AN176" i="18176" l="1"/>
  <c r="AO176" i="18176"/>
  <c r="AM177" i="18176"/>
  <c r="AL178" i="18176"/>
  <c r="AL179" i="18176" l="1"/>
  <c r="AM178" i="18176"/>
  <c r="AN177" i="18176"/>
  <c r="AO177" i="18176"/>
  <c r="AM179" i="18176" l="1"/>
  <c r="AL180" i="18176"/>
  <c r="AO178" i="18176"/>
  <c r="AN178" i="18176"/>
  <c r="AO179" i="18176" l="1"/>
  <c r="AN179" i="18176"/>
  <c r="AM180" i="18176"/>
  <c r="AL181" i="18176"/>
  <c r="AM181" i="18176" l="1"/>
  <c r="AL182" i="18176"/>
  <c r="AN180" i="18176"/>
  <c r="AO180" i="18176"/>
  <c r="AL183" i="18176" l="1"/>
  <c r="AM182" i="18176"/>
  <c r="AN181" i="18176"/>
  <c r="AO181" i="18176"/>
  <c r="AN182" i="18176" l="1"/>
  <c r="AO182" i="18176"/>
  <c r="AM183" i="18176"/>
  <c r="AL184" i="18176"/>
  <c r="AM184" i="18176" l="1"/>
  <c r="AL185" i="18176"/>
  <c r="AN183" i="18176"/>
  <c r="AO183" i="18176"/>
  <c r="AN184" i="18176" l="1"/>
  <c r="AO184" i="18176"/>
  <c r="AL186" i="18176"/>
  <c r="AM185" i="18176"/>
  <c r="AN185" i="18176" l="1"/>
  <c r="AO185" i="18176"/>
  <c r="AL187" i="18176"/>
  <c r="AM186" i="18176"/>
  <c r="AN186" i="18176" l="1"/>
  <c r="AO186" i="18176"/>
  <c r="AL188" i="18176"/>
  <c r="AM187" i="18176"/>
  <c r="AN187" i="18176" l="1"/>
  <c r="AO187" i="18176"/>
  <c r="AL189" i="18176"/>
  <c r="AM188" i="18176"/>
  <c r="AN188" i="18176" l="1"/>
  <c r="AO188" i="18176"/>
  <c r="AM189" i="18176"/>
  <c r="AL190" i="18176"/>
  <c r="AM190" i="18176" l="1"/>
  <c r="AL191" i="18176"/>
  <c r="AN189" i="18176"/>
  <c r="AO189" i="18176"/>
  <c r="AL192" i="18176" l="1"/>
  <c r="AM191" i="18176"/>
  <c r="AN190" i="18176"/>
  <c r="AO190" i="18176"/>
  <c r="AN191" i="18176" l="1"/>
  <c r="AO191" i="18176"/>
  <c r="AL193" i="18176"/>
  <c r="AM192" i="18176"/>
  <c r="AN192" i="18176" l="1"/>
  <c r="AO192" i="18176"/>
  <c r="AM193" i="18176"/>
  <c r="AL194" i="18176"/>
  <c r="AL195" i="18176" l="1"/>
  <c r="AM194" i="18176"/>
  <c r="AN193" i="18176"/>
  <c r="AO193" i="18176"/>
  <c r="AO194" i="18176" l="1"/>
  <c r="AN194" i="18176"/>
  <c r="AL196" i="18176"/>
  <c r="AM195" i="18176"/>
  <c r="AO195" i="18176" l="1"/>
  <c r="AN195" i="18176"/>
  <c r="AL197" i="18176"/>
  <c r="AM196" i="18176"/>
  <c r="AN196" i="18176" l="1"/>
  <c r="AO196" i="18176"/>
  <c r="AM197" i="18176"/>
  <c r="AL198" i="18176"/>
  <c r="AM198" i="18176" l="1"/>
  <c r="AL199" i="18176"/>
  <c r="AN197" i="18176"/>
  <c r="AO197" i="18176"/>
  <c r="AL200" i="18176" l="1"/>
  <c r="AM199" i="18176"/>
  <c r="AN198" i="18176"/>
  <c r="AO198" i="18176"/>
  <c r="AM200" i="18176" l="1"/>
  <c r="AL201" i="18176"/>
  <c r="AN199" i="18176"/>
  <c r="AO199" i="18176"/>
  <c r="AL202" i="18176" l="1"/>
  <c r="AM201" i="18176"/>
  <c r="AO200" i="18176"/>
  <c r="AN200" i="18176"/>
  <c r="AN201" i="18176" l="1"/>
  <c r="AO201" i="18176"/>
  <c r="AL203" i="18176"/>
  <c r="AM202" i="18176"/>
  <c r="AN202" i="18176" l="1"/>
  <c r="AO202" i="18176"/>
  <c r="AL204" i="18176"/>
  <c r="AM203" i="18176"/>
  <c r="AN203" i="18176" l="1"/>
  <c r="AO203" i="18176"/>
  <c r="AL205" i="18176"/>
  <c r="AM204" i="18176"/>
  <c r="AN204" i="18176" l="1"/>
  <c r="AO204" i="18176"/>
  <c r="AL206" i="18176"/>
  <c r="AM205" i="18176"/>
  <c r="AO205" i="18176" l="1"/>
  <c r="AN205" i="18176"/>
  <c r="AM206" i="18176"/>
  <c r="AL207" i="18176"/>
  <c r="AM207" i="18176" l="1"/>
  <c r="AL208" i="18176"/>
  <c r="AN206" i="18176"/>
  <c r="AO206" i="18176"/>
  <c r="AM208" i="18176" l="1"/>
  <c r="AL209" i="18176"/>
  <c r="AN207" i="18176"/>
  <c r="AO207" i="18176"/>
  <c r="AM209" i="18176" l="1"/>
  <c r="AL210" i="18176"/>
  <c r="AO208" i="18176"/>
  <c r="AN208" i="18176"/>
  <c r="AL211" i="18176" l="1"/>
  <c r="AM210" i="18176"/>
  <c r="AN209" i="18176"/>
  <c r="AO209" i="18176"/>
  <c r="AN210" i="18176" l="1"/>
  <c r="AO210" i="18176"/>
  <c r="AL212" i="18176"/>
  <c r="AM211" i="18176"/>
  <c r="AN211" i="18176" l="1"/>
  <c r="AO211" i="18176"/>
  <c r="AM212" i="18176"/>
  <c r="AL213" i="18176"/>
  <c r="AM213" i="18176" l="1"/>
  <c r="AL214" i="18176"/>
  <c r="AN212" i="18176"/>
  <c r="AO212" i="18176"/>
  <c r="AN213" i="18176" l="1"/>
  <c r="AO213" i="18176"/>
  <c r="AL215" i="18176"/>
  <c r="AM214" i="18176"/>
  <c r="AN214" i="18176" l="1"/>
  <c r="AO214" i="18176"/>
  <c r="AM215" i="18176"/>
  <c r="AL216" i="18176"/>
  <c r="AL217" i="18176" l="1"/>
  <c r="AM216" i="18176"/>
  <c r="AN215" i="18176"/>
  <c r="AO215" i="18176"/>
  <c r="AN216" i="18176" l="1"/>
  <c r="AO216" i="18176"/>
  <c r="AL218" i="18176"/>
  <c r="AM217" i="18176"/>
  <c r="AL219" i="18176" l="1"/>
  <c r="AM218" i="18176"/>
  <c r="AN217" i="18176"/>
  <c r="AO217" i="18176"/>
  <c r="AN218" i="18176" l="1"/>
  <c r="AO218" i="18176"/>
  <c r="AM219" i="18176"/>
  <c r="AL220" i="18176"/>
  <c r="F33" i="3"/>
  <c r="F33" i="2"/>
  <c r="E68" i="4" s="1"/>
  <c r="AM220" i="18176" l="1"/>
  <c r="AL221" i="18176"/>
  <c r="AO219" i="18176"/>
  <c r="AN219" i="18176"/>
  <c r="G68" i="4"/>
  <c r="E72" i="4"/>
  <c r="AM221" i="18176" l="1"/>
  <c r="AL222" i="18176"/>
  <c r="AN220" i="18176"/>
  <c r="AO220" i="18176"/>
  <c r="G72" i="4"/>
  <c r="T60" i="4"/>
  <c r="O68" i="4"/>
  <c r="O72" i="4" s="1"/>
  <c r="AL223" i="18176" l="1"/>
  <c r="AM222" i="18176"/>
  <c r="AO221" i="18176"/>
  <c r="AN221" i="18176"/>
  <c r="T72" i="4"/>
  <c r="U60" i="4"/>
  <c r="AN222" i="18176" l="1"/>
  <c r="AO222" i="18176"/>
  <c r="AL224" i="18176"/>
  <c r="AM223" i="18176"/>
  <c r="V60" i="4"/>
  <c r="U72" i="4"/>
  <c r="AN223" i="18176" l="1"/>
  <c r="AO223" i="18176"/>
  <c r="AL225" i="18176"/>
  <c r="AM224" i="18176"/>
  <c r="V72" i="4"/>
  <c r="W60" i="4"/>
  <c r="AN224" i="18176" l="1"/>
  <c r="AO224" i="18176"/>
  <c r="AM225" i="18176"/>
  <c r="AL226" i="18176"/>
  <c r="X60" i="4"/>
  <c r="W72" i="4"/>
  <c r="AM226" i="18176" l="1"/>
  <c r="AL227" i="18176"/>
  <c r="AO225" i="18176"/>
  <c r="AN225" i="18176"/>
  <c r="X72" i="4"/>
  <c r="Y60" i="4"/>
  <c r="AL228" i="18176" l="1"/>
  <c r="AM227" i="18176"/>
  <c r="AO226" i="18176"/>
  <c r="AN226" i="18176"/>
  <c r="Y72" i="4"/>
  <c r="Z60" i="4"/>
  <c r="AO227" i="18176" l="1"/>
  <c r="AN227" i="18176"/>
  <c r="AL229" i="18176"/>
  <c r="AM228" i="18176"/>
  <c r="D26" i="2"/>
  <c r="D26" i="3" s="1"/>
  <c r="E29" i="50873"/>
  <c r="G29" i="50873"/>
  <c r="F26" i="2"/>
  <c r="F26" i="3" s="1"/>
  <c r="G26" i="2"/>
  <c r="G26" i="3" s="1"/>
  <c r="H29" i="50873"/>
  <c r="F29" i="50873"/>
  <c r="E26" i="2"/>
  <c r="E26" i="3" s="1"/>
  <c r="Z72" i="4"/>
  <c r="AA60" i="4"/>
  <c r="AN228" i="18176" l="1"/>
  <c r="AO228" i="18176"/>
  <c r="AL230" i="18176"/>
  <c r="AM229" i="18176"/>
  <c r="AA72" i="4"/>
  <c r="AB60" i="4"/>
  <c r="AN229" i="18176" l="1"/>
  <c r="AO229" i="18176"/>
  <c r="AM230" i="18176"/>
  <c r="AL231" i="18176"/>
  <c r="AB72" i="4"/>
  <c r="AC60" i="4"/>
  <c r="AL232" i="18176" l="1"/>
  <c r="AM231" i="18176"/>
  <c r="AN230" i="18176"/>
  <c r="AO230" i="18176"/>
  <c r="AD60" i="4"/>
  <c r="AC72" i="4"/>
  <c r="AN231" i="18176" l="1"/>
  <c r="AO231" i="18176"/>
  <c r="AL233" i="18176"/>
  <c r="AM232" i="18176"/>
  <c r="AD72" i="4"/>
  <c r="AE60" i="4"/>
  <c r="AN232" i="18176" l="1"/>
  <c r="AO232" i="18176"/>
  <c r="AL234" i="18176"/>
  <c r="AM233" i="18176"/>
  <c r="AF60" i="4"/>
  <c r="AE72" i="4"/>
  <c r="AN233" i="18176" l="1"/>
  <c r="AO233" i="18176"/>
  <c r="AM234" i="18176"/>
  <c r="AL235" i="18176"/>
  <c r="AG60" i="4"/>
  <c r="AF72" i="4"/>
  <c r="AM235" i="18176" l="1"/>
  <c r="AL236" i="18176"/>
  <c r="AN234" i="18176"/>
  <c r="AO234" i="18176"/>
  <c r="AG72" i="4"/>
  <c r="AH60" i="4"/>
  <c r="AM236" i="18176" l="1"/>
  <c r="AL237" i="18176"/>
  <c r="AN235" i="18176"/>
  <c r="AO235" i="18176"/>
  <c r="AH72" i="4"/>
  <c r="AI60" i="4"/>
  <c r="AL238" i="18176" l="1"/>
  <c r="AM237" i="18176"/>
  <c r="AN236" i="18176"/>
  <c r="AO236" i="18176"/>
  <c r="AJ60" i="4"/>
  <c r="AI72" i="4"/>
  <c r="AN237" i="18176" l="1"/>
  <c r="AO237" i="18176"/>
  <c r="AM238" i="18176"/>
  <c r="AL239" i="18176"/>
  <c r="AM239" i="18176" s="1"/>
  <c r="AJ72" i="4"/>
  <c r="AK60" i="4"/>
  <c r="AN239" i="18176" l="1"/>
  <c r="AO239" i="18176"/>
  <c r="AN238" i="18176"/>
  <c r="AO238" i="18176"/>
  <c r="AK72" i="4"/>
  <c r="AL60" i="4"/>
  <c r="AK66" i="4"/>
  <c r="AH25" i="18176" l="1"/>
  <c r="AH28" i="18176" s="1"/>
  <c r="B5" i="18176" s="1"/>
  <c r="AM60" i="4"/>
  <c r="AL72" i="4"/>
  <c r="F5" i="18176" l="1"/>
  <c r="L5" i="18176"/>
  <c r="F12" i="4" s="1"/>
  <c r="G20" i="4" s="1"/>
  <c r="R5" i="18176"/>
  <c r="E14" i="4" s="1"/>
  <c r="F23" i="4" s="1"/>
  <c r="J5" i="18176"/>
  <c r="E12" i="4" s="1"/>
  <c r="F20" i="4" s="1"/>
  <c r="G5" i="18176"/>
  <c r="D11" i="4" s="1"/>
  <c r="E19" i="4" s="1"/>
  <c r="T5" i="18176"/>
  <c r="G14" i="4" s="1"/>
  <c r="H23" i="4" s="1"/>
  <c r="E5" i="18176"/>
  <c r="C5" i="18176"/>
  <c r="N5" i="18176"/>
  <c r="G12" i="4" s="1"/>
  <c r="H20" i="4" s="1"/>
  <c r="I5" i="18176"/>
  <c r="E11" i="4" s="1"/>
  <c r="F19" i="4" s="1"/>
  <c r="H5" i="18176"/>
  <c r="D12" i="4" s="1"/>
  <c r="E20" i="4" s="1"/>
  <c r="Q5" i="18176"/>
  <c r="E13" i="4" s="1"/>
  <c r="F22" i="4" s="1"/>
  <c r="F34" i="4" s="1"/>
  <c r="M5" i="18176"/>
  <c r="G11" i="4" s="1"/>
  <c r="H19" i="4" s="1"/>
  <c r="H31" i="4" s="1"/>
  <c r="K5" i="18176"/>
  <c r="D5" i="18176"/>
  <c r="S5" i="18176"/>
  <c r="G13" i="4" s="1"/>
  <c r="H22" i="4" s="1"/>
  <c r="AJ28" i="18176"/>
  <c r="H17" i="2" s="1"/>
  <c r="I20" i="50873" s="1"/>
  <c r="AM72" i="4"/>
  <c r="AN60" i="4"/>
  <c r="E31" i="4" l="1"/>
  <c r="Q23" i="4"/>
  <c r="G22" i="4" s="1"/>
  <c r="G34" i="4" s="1"/>
  <c r="H34" i="4"/>
  <c r="F11" i="4"/>
  <c r="G19" i="4" s="1"/>
  <c r="G31" i="4" s="1"/>
  <c r="L29" i="50873"/>
  <c r="J27" i="2"/>
  <c r="K26" i="3"/>
  <c r="F32" i="4"/>
  <c r="N20" i="4"/>
  <c r="E23" i="4" s="1"/>
  <c r="F21" i="4"/>
  <c r="F33" i="4" s="1"/>
  <c r="V31" i="2"/>
  <c r="Q24" i="4"/>
  <c r="G23" i="4" s="1"/>
  <c r="H24" i="4"/>
  <c r="H36" i="4" s="1"/>
  <c r="H35" i="4"/>
  <c r="F24" i="4"/>
  <c r="F36" i="4" s="1"/>
  <c r="F35" i="4"/>
  <c r="AZ9" i="4"/>
  <c r="BG9" i="4"/>
  <c r="AU10" i="4"/>
  <c r="AY10" i="4"/>
  <c r="BJ9" i="4"/>
  <c r="AV10" i="4"/>
  <c r="BC9" i="4"/>
  <c r="AX10" i="4"/>
  <c r="BE9" i="4"/>
  <c r="AW10" i="4"/>
  <c r="BK9" i="4"/>
  <c r="BD9" i="4"/>
  <c r="BA9" i="4"/>
  <c r="BB9" i="4"/>
  <c r="BI9" i="4"/>
  <c r="BH9" i="4"/>
  <c r="BF9" i="4"/>
  <c r="BL9" i="4"/>
  <c r="E21" i="4"/>
  <c r="E32" i="4"/>
  <c r="N19" i="4"/>
  <c r="E22" i="4" s="1"/>
  <c r="F31" i="4"/>
  <c r="G21" i="4"/>
  <c r="G33" i="4" s="1"/>
  <c r="G32" i="4"/>
  <c r="AS11" i="4"/>
  <c r="AI12" i="4"/>
  <c r="AH12" i="4"/>
  <c r="AT11" i="4"/>
  <c r="AO11" i="4"/>
  <c r="AF12" i="4"/>
  <c r="AE12" i="4"/>
  <c r="AR11" i="4"/>
  <c r="AQ11" i="4"/>
  <c r="AK12" i="4"/>
  <c r="AG12" i="4"/>
  <c r="AN11" i="4"/>
  <c r="AL11" i="4"/>
  <c r="AD12" i="4"/>
  <c r="AJ12" i="4"/>
  <c r="AP11" i="4"/>
  <c r="AM11" i="4"/>
  <c r="H21" i="4"/>
  <c r="H33" i="4" s="1"/>
  <c r="H32" i="4"/>
  <c r="AO60" i="4"/>
  <c r="AN72" i="4"/>
  <c r="BK15" i="4" l="1"/>
  <c r="BE15" i="4"/>
  <c r="AZ15" i="4"/>
  <c r="BB15" i="4"/>
  <c r="BC15" i="4"/>
  <c r="BJ15" i="4"/>
  <c r="BF15" i="4"/>
  <c r="BL15" i="4"/>
  <c r="BD15" i="4"/>
  <c r="BH15" i="4"/>
  <c r="AU16" i="4"/>
  <c r="AW16" i="4"/>
  <c r="BA15" i="4"/>
  <c r="Q35" i="4"/>
  <c r="AV16" i="4"/>
  <c r="BG15" i="4"/>
  <c r="BI15" i="4"/>
  <c r="AY16" i="4"/>
  <c r="AX16" i="4"/>
  <c r="AD13" i="4"/>
  <c r="AF82" i="4"/>
  <c r="AF83" i="4" s="1"/>
  <c r="AG13" i="4"/>
  <c r="AJ13" i="4"/>
  <c r="AI13" i="4"/>
  <c r="AC14" i="4"/>
  <c r="X14" i="4"/>
  <c r="AL82" i="4"/>
  <c r="AL83" i="4" s="1"/>
  <c r="AB14" i="4"/>
  <c r="AE82" i="4"/>
  <c r="AE83" i="4" s="1"/>
  <c r="AK82" i="4"/>
  <c r="AK83" i="4" s="1"/>
  <c r="AJ82" i="4"/>
  <c r="AJ83" i="4" s="1"/>
  <c r="AE13" i="4"/>
  <c r="AK13" i="4"/>
  <c r="AH13" i="4"/>
  <c r="AG82" i="4"/>
  <c r="AG83" i="4" s="1"/>
  <c r="U14" i="4"/>
  <c r="AA14" i="4"/>
  <c r="V14" i="4"/>
  <c r="AI82" i="4"/>
  <c r="AI83" i="4" s="1"/>
  <c r="Z14" i="4"/>
  <c r="W14" i="4"/>
  <c r="Y14" i="4"/>
  <c r="T14" i="4"/>
  <c r="AF13" i="4"/>
  <c r="AH82" i="4"/>
  <c r="AH83" i="4" s="1"/>
  <c r="G35" i="4"/>
  <c r="AT84" i="4" s="1"/>
  <c r="AT85" i="4" s="1"/>
  <c r="G24" i="4"/>
  <c r="G36" i="4" s="1"/>
  <c r="AY9" i="4"/>
  <c r="AS10" i="4"/>
  <c r="AT10" i="4"/>
  <c r="AL10" i="4"/>
  <c r="AN10" i="4"/>
  <c r="AM10" i="4"/>
  <c r="AW9" i="4"/>
  <c r="AX9" i="4"/>
  <c r="AO10" i="4"/>
  <c r="AP10" i="4"/>
  <c r="AQ10" i="4"/>
  <c r="AV9" i="4"/>
  <c r="AR10" i="4"/>
  <c r="AU9" i="4"/>
  <c r="D22" i="4"/>
  <c r="D34" i="4" s="1"/>
  <c r="E34" i="4"/>
  <c r="BH13" i="4"/>
  <c r="BA13" i="4"/>
  <c r="BB13" i="4"/>
  <c r="AZ13" i="4"/>
  <c r="BL13" i="4"/>
  <c r="BD13" i="4"/>
  <c r="AV14" i="4"/>
  <c r="BJ13" i="4"/>
  <c r="BF13" i="4"/>
  <c r="BK13" i="4"/>
  <c r="AY14" i="4"/>
  <c r="BG13" i="4"/>
  <c r="BC13" i="4"/>
  <c r="BE13" i="4"/>
  <c r="AU14" i="4"/>
  <c r="BI13" i="4"/>
  <c r="AX14" i="4"/>
  <c r="AW14" i="4"/>
  <c r="D21" i="4"/>
  <c r="E33" i="4"/>
  <c r="V37" i="2"/>
  <c r="V32" i="2"/>
  <c r="BJ11" i="4"/>
  <c r="BC11" i="4"/>
  <c r="AV12" i="4"/>
  <c r="BK11" i="4"/>
  <c r="AU12" i="4"/>
  <c r="BL11" i="4"/>
  <c r="BG11" i="4"/>
  <c r="AY12" i="4"/>
  <c r="AW12" i="4"/>
  <c r="Q34" i="4"/>
  <c r="BI11" i="4"/>
  <c r="BB11" i="4"/>
  <c r="BA11" i="4"/>
  <c r="BD11" i="4"/>
  <c r="BF11" i="4"/>
  <c r="AX12" i="4"/>
  <c r="AZ11" i="4"/>
  <c r="BH11" i="4"/>
  <c r="BE11" i="4"/>
  <c r="AX11" i="4"/>
  <c r="AM12" i="4"/>
  <c r="AR12" i="4"/>
  <c r="AL12" i="4"/>
  <c r="AU11" i="4"/>
  <c r="AN12" i="4"/>
  <c r="AO12" i="4"/>
  <c r="AY11" i="4"/>
  <c r="AS12" i="4"/>
  <c r="AT12" i="4"/>
  <c r="AP12" i="4"/>
  <c r="AQ12" i="4"/>
  <c r="AV11" i="4"/>
  <c r="AW11" i="4"/>
  <c r="AE10" i="4"/>
  <c r="AJ10" i="4"/>
  <c r="AM9" i="4"/>
  <c r="AK10" i="4"/>
  <c r="AH10" i="4"/>
  <c r="N31" i="4"/>
  <c r="AF10" i="4"/>
  <c r="AG10" i="4"/>
  <c r="AN9" i="4"/>
  <c r="AR9" i="4"/>
  <c r="AO9" i="4"/>
  <c r="AI10" i="4"/>
  <c r="AL9" i="4"/>
  <c r="AQ9" i="4"/>
  <c r="AS9" i="4"/>
  <c r="AT9" i="4"/>
  <c r="AD10" i="4"/>
  <c r="AP9" i="4"/>
  <c r="E24" i="4"/>
  <c r="E35" i="4"/>
  <c r="D19" i="4"/>
  <c r="D31" i="4" s="1"/>
  <c r="AQ82" i="4"/>
  <c r="AQ83" i="4" s="1"/>
  <c r="AY82" i="4"/>
  <c r="AY83" i="4" s="1"/>
  <c r="AS14" i="4"/>
  <c r="AN14" i="4"/>
  <c r="AX13" i="4"/>
  <c r="AV82" i="4"/>
  <c r="AV83" i="4" s="1"/>
  <c r="AW13" i="4"/>
  <c r="AY13" i="4"/>
  <c r="AR14" i="4"/>
  <c r="AL14" i="4"/>
  <c r="AV13" i="4"/>
  <c r="AO14" i="4"/>
  <c r="AX82" i="4"/>
  <c r="AX83" i="4" s="1"/>
  <c r="AT14" i="4"/>
  <c r="AQ14" i="4"/>
  <c r="AP14" i="4"/>
  <c r="AU13" i="4"/>
  <c r="AW82" i="4"/>
  <c r="AW83" i="4" s="1"/>
  <c r="AZ82" i="4"/>
  <c r="AZ83" i="4" s="1"/>
  <c r="AM14" i="4"/>
  <c r="AK16" i="4"/>
  <c r="AN15" i="4"/>
  <c r="AR15" i="4"/>
  <c r="AQ15" i="4"/>
  <c r="AG16" i="4"/>
  <c r="AO15" i="4"/>
  <c r="AD16" i="4"/>
  <c r="AS15" i="4"/>
  <c r="AI16" i="4"/>
  <c r="AH16" i="4"/>
  <c r="AF16" i="4"/>
  <c r="AP15" i="4"/>
  <c r="AL15" i="4"/>
  <c r="AJ16" i="4"/>
  <c r="AM15" i="4"/>
  <c r="AT15" i="4"/>
  <c r="AE16" i="4"/>
  <c r="AR13" i="4"/>
  <c r="AI14" i="4"/>
  <c r="AF14" i="4"/>
  <c r="AE14" i="4"/>
  <c r="AH14" i="4"/>
  <c r="AM13" i="4"/>
  <c r="AT13" i="4"/>
  <c r="AG14" i="4"/>
  <c r="AQ13" i="4"/>
  <c r="AO13" i="4"/>
  <c r="AJ14" i="4"/>
  <c r="AS13" i="4"/>
  <c r="AP13" i="4"/>
  <c r="AN13" i="4"/>
  <c r="AD14" i="4"/>
  <c r="AL13" i="4"/>
  <c r="AK14" i="4"/>
  <c r="AP82" i="4"/>
  <c r="AP83" i="4" s="1"/>
  <c r="AS82" i="4"/>
  <c r="AS83" i="4" s="1"/>
  <c r="N32" i="4"/>
  <c r="AR82" i="4"/>
  <c r="AR83" i="4" s="1"/>
  <c r="AM82" i="4"/>
  <c r="AM83" i="4" s="1"/>
  <c r="AO82" i="4"/>
  <c r="AO83" i="4" s="1"/>
  <c r="AU82" i="4"/>
  <c r="AU83" i="4" s="1"/>
  <c r="AT82" i="4"/>
  <c r="AT83" i="4" s="1"/>
  <c r="AN82" i="4"/>
  <c r="AN83" i="4" s="1"/>
  <c r="X10" i="4"/>
  <c r="AE9" i="4"/>
  <c r="AD9" i="4"/>
  <c r="AK9" i="4"/>
  <c r="AI9" i="4"/>
  <c r="AA10" i="4"/>
  <c r="U10" i="4"/>
  <c r="AF9" i="4"/>
  <c r="AJ9" i="4"/>
  <c r="W10" i="4"/>
  <c r="V10" i="4"/>
  <c r="Z10" i="4"/>
  <c r="AH9" i="4"/>
  <c r="Y10" i="4"/>
  <c r="T10" i="4"/>
  <c r="AC10" i="4"/>
  <c r="AG9" i="4"/>
  <c r="AB10" i="4"/>
  <c r="AO72" i="4"/>
  <c r="AP60" i="4"/>
  <c r="AX17" i="4" l="1"/>
  <c r="AX19" i="4" s="1"/>
  <c r="AV17" i="4"/>
  <c r="AV19" i="4" s="1"/>
  <c r="AT51" i="4"/>
  <c r="AY17" i="4"/>
  <c r="AY19" i="4" s="1"/>
  <c r="AS51" i="4"/>
  <c r="AR84" i="4"/>
  <c r="AR85" i="4" s="1"/>
  <c r="AW17" i="4"/>
  <c r="AW19" i="4" s="1"/>
  <c r="AP51" i="4"/>
  <c r="AR51" i="4"/>
  <c r="AO17" i="4"/>
  <c r="AO19" i="4" s="1"/>
  <c r="AS17" i="4"/>
  <c r="AS19" i="4" s="1"/>
  <c r="AL17" i="4"/>
  <c r="AL19" i="4" s="1"/>
  <c r="AR17" i="4"/>
  <c r="AR19" i="4" s="1"/>
  <c r="AQ51" i="4"/>
  <c r="AG17" i="4"/>
  <c r="AG19" i="4" s="1"/>
  <c r="AX51" i="4"/>
  <c r="Y11" i="4"/>
  <c r="Z11" i="4"/>
  <c r="X11" i="4"/>
  <c r="AA11" i="4"/>
  <c r="T11" i="4"/>
  <c r="AB11" i="4"/>
  <c r="U11" i="4"/>
  <c r="AC11" i="4"/>
  <c r="W11" i="4"/>
  <c r="V11" i="4"/>
  <c r="AM84" i="4"/>
  <c r="AM85" i="4" s="1"/>
  <c r="AU84" i="4"/>
  <c r="AU85" i="4" s="1"/>
  <c r="AY51" i="4"/>
  <c r="AE17" i="4"/>
  <c r="AE19" i="4" s="1"/>
  <c r="AI17" i="4"/>
  <c r="AI19" i="4" s="1"/>
  <c r="AO84" i="4"/>
  <c r="AO85" i="4" s="1"/>
  <c r="AM17" i="4"/>
  <c r="AM19" i="4" s="1"/>
  <c r="AN17" i="4"/>
  <c r="AN19" i="4" s="1"/>
  <c r="AN51" i="4"/>
  <c r="V12" i="4"/>
  <c r="T12" i="4"/>
  <c r="AG11" i="4"/>
  <c r="AG51" i="4" s="1"/>
  <c r="AJ11" i="4"/>
  <c r="AJ51" i="4" s="1"/>
  <c r="AI11" i="4"/>
  <c r="AI51" i="4" s="1"/>
  <c r="AC12" i="4"/>
  <c r="AA12" i="4"/>
  <c r="U12" i="4"/>
  <c r="Z12" i="4"/>
  <c r="AB12" i="4"/>
  <c r="AH11" i="4"/>
  <c r="AH51" i="4" s="1"/>
  <c r="W12" i="4"/>
  <c r="AK11" i="4"/>
  <c r="AK51" i="4" s="1"/>
  <c r="AE11" i="4"/>
  <c r="AE51" i="4" s="1"/>
  <c r="AF11" i="4"/>
  <c r="AF51" i="4" s="1"/>
  <c r="Y12" i="4"/>
  <c r="X12" i="4"/>
  <c r="AD11" i="4"/>
  <c r="AD51" i="4" s="1"/>
  <c r="AJ17" i="4"/>
  <c r="AJ19" i="4" s="1"/>
  <c r="AU51" i="4"/>
  <c r="AF17" i="4"/>
  <c r="AF19" i="4" s="1"/>
  <c r="AD17" i="4"/>
  <c r="AD19" i="4" s="1"/>
  <c r="AP16" i="4"/>
  <c r="AP18" i="4" s="1"/>
  <c r="AP20" i="4" s="1"/>
  <c r="AY15" i="4"/>
  <c r="AY18" i="4" s="1"/>
  <c r="AY20" i="4" s="1"/>
  <c r="AW15" i="4"/>
  <c r="AW18" i="4" s="1"/>
  <c r="AW20" i="4" s="1"/>
  <c r="AL16" i="4"/>
  <c r="AL18" i="4" s="1"/>
  <c r="AL20" i="4" s="1"/>
  <c r="AR16" i="4"/>
  <c r="AR18" i="4" s="1"/>
  <c r="AR20" i="4" s="1"/>
  <c r="AS16" i="4"/>
  <c r="AS18" i="4" s="1"/>
  <c r="AS20" i="4" s="1"/>
  <c r="AU15" i="4"/>
  <c r="AU18" i="4" s="1"/>
  <c r="AU20" i="4" s="1"/>
  <c r="AM16" i="4"/>
  <c r="AM18" i="4" s="1"/>
  <c r="AM20" i="4" s="1"/>
  <c r="AM52" i="4" s="1"/>
  <c r="AM54" i="4" s="1"/>
  <c r="BC79" i="2" s="1"/>
  <c r="AO16" i="4"/>
  <c r="AO18" i="4" s="1"/>
  <c r="AO20" i="4" s="1"/>
  <c r="AY84" i="4"/>
  <c r="AY85" i="4" s="1"/>
  <c r="AX15" i="4"/>
  <c r="AX18" i="4" s="1"/>
  <c r="AX20" i="4" s="1"/>
  <c r="AV84" i="4"/>
  <c r="AV85" i="4" s="1"/>
  <c r="AQ16" i="4"/>
  <c r="AQ18" i="4" s="1"/>
  <c r="AQ20" i="4" s="1"/>
  <c r="AX84" i="4"/>
  <c r="AX85" i="4" s="1"/>
  <c r="AN16" i="4"/>
  <c r="AN18" i="4" s="1"/>
  <c r="AN20" i="4" s="1"/>
  <c r="AT16" i="4"/>
  <c r="AT18" i="4" s="1"/>
  <c r="AT20" i="4" s="1"/>
  <c r="AV15" i="4"/>
  <c r="AV18" i="4" s="1"/>
  <c r="AV20" i="4" s="1"/>
  <c r="AV52" i="4" s="1"/>
  <c r="AV54" i="4" s="1"/>
  <c r="BC88" i="2" s="1"/>
  <c r="AW84" i="4"/>
  <c r="AW85" i="4" s="1"/>
  <c r="AZ84" i="4"/>
  <c r="AZ85" i="4" s="1"/>
  <c r="AU17" i="4"/>
  <c r="AU19" i="4" s="1"/>
  <c r="AP17" i="4"/>
  <c r="AP19" i="4" s="1"/>
  <c r="X9" i="4"/>
  <c r="T9" i="4"/>
  <c r="W9" i="4"/>
  <c r="AC9" i="4"/>
  <c r="Y9" i="4"/>
  <c r="V9" i="4"/>
  <c r="AA9" i="4"/>
  <c r="AB9" i="4"/>
  <c r="Z9" i="4"/>
  <c r="U9" i="4"/>
  <c r="AL51" i="4"/>
  <c r="AV51" i="4"/>
  <c r="AW51" i="4"/>
  <c r="AN84" i="4"/>
  <c r="AN85" i="4" s="1"/>
  <c r="AQ17" i="4"/>
  <c r="AQ19" i="4" s="1"/>
  <c r="AA16" i="4"/>
  <c r="AJ84" i="4"/>
  <c r="AJ85" i="4" s="1"/>
  <c r="X16" i="4"/>
  <c r="AE15" i="4"/>
  <c r="AE18" i="4" s="1"/>
  <c r="AE20" i="4" s="1"/>
  <c r="AF84" i="4"/>
  <c r="AF85" i="4" s="1"/>
  <c r="W16" i="4"/>
  <c r="Z16" i="4"/>
  <c r="AF15" i="4"/>
  <c r="AF18" i="4" s="1"/>
  <c r="AF20" i="4" s="1"/>
  <c r="AL84" i="4"/>
  <c r="AL85" i="4" s="1"/>
  <c r="AC16" i="4"/>
  <c r="AH84" i="4"/>
  <c r="AH85" i="4" s="1"/>
  <c r="V16" i="4"/>
  <c r="AI15" i="4"/>
  <c r="AI18" i="4" s="1"/>
  <c r="AI20" i="4" s="1"/>
  <c r="AG15" i="4"/>
  <c r="AG18" i="4" s="1"/>
  <c r="AG20" i="4" s="1"/>
  <c r="T16" i="4"/>
  <c r="AI84" i="4"/>
  <c r="AI85" i="4" s="1"/>
  <c r="AD15" i="4"/>
  <c r="AD18" i="4" s="1"/>
  <c r="AD20" i="4" s="1"/>
  <c r="AB16" i="4"/>
  <c r="AE84" i="4"/>
  <c r="AE85" i="4" s="1"/>
  <c r="AH15" i="4"/>
  <c r="AH18" i="4" s="1"/>
  <c r="AH20" i="4" s="1"/>
  <c r="U16" i="4"/>
  <c r="AJ15" i="4"/>
  <c r="AJ18" i="4" s="1"/>
  <c r="AJ20" i="4" s="1"/>
  <c r="Y16" i="4"/>
  <c r="AG84" i="4"/>
  <c r="AG85" i="4" s="1"/>
  <c r="AK84" i="4"/>
  <c r="AK85" i="4" s="1"/>
  <c r="AK15" i="4"/>
  <c r="AK18" i="4" s="1"/>
  <c r="AK20" i="4" s="1"/>
  <c r="D33" i="4"/>
  <c r="D20" i="4"/>
  <c r="D32" i="4" s="1"/>
  <c r="AH17" i="4"/>
  <c r="AH19" i="4" s="1"/>
  <c r="AP84" i="4"/>
  <c r="AP85" i="4" s="1"/>
  <c r="AQ84" i="4"/>
  <c r="AQ85" i="4" s="1"/>
  <c r="AS84" i="4"/>
  <c r="AS85" i="4" s="1"/>
  <c r="AT17" i="4"/>
  <c r="AT19" i="4" s="1"/>
  <c r="E36" i="4"/>
  <c r="D24" i="4"/>
  <c r="AO51" i="4"/>
  <c r="AM51" i="4"/>
  <c r="AK17" i="4"/>
  <c r="AK19" i="4" s="1"/>
  <c r="AP72" i="4"/>
  <c r="AQ60" i="4"/>
  <c r="AX52" i="4" l="1"/>
  <c r="AX54" i="4" s="1"/>
  <c r="BC90" i="2" s="1"/>
  <c r="AO52" i="4"/>
  <c r="AO54" i="4" s="1"/>
  <c r="BC81" i="2" s="1"/>
  <c r="AY52" i="4"/>
  <c r="AY54" i="4" s="1"/>
  <c r="BC91" i="2" s="1"/>
  <c r="AD52" i="4"/>
  <c r="AD54" i="4" s="1"/>
  <c r="BC70" i="2" s="1"/>
  <c r="AN52" i="4"/>
  <c r="AN54" i="4" s="1"/>
  <c r="BC80" i="2" s="1"/>
  <c r="AA51" i="4"/>
  <c r="AR52" i="4"/>
  <c r="AR54" i="4" s="1"/>
  <c r="BC84" i="2" s="1"/>
  <c r="AS52" i="4"/>
  <c r="AS54" i="4" s="1"/>
  <c r="BC85" i="2" s="1"/>
  <c r="V51" i="4"/>
  <c r="AL52" i="4"/>
  <c r="AL54" i="4" s="1"/>
  <c r="BC78" i="2" s="1"/>
  <c r="AF52" i="4"/>
  <c r="AF54" i="4" s="1"/>
  <c r="BC72" i="2" s="1"/>
  <c r="AJ52" i="4"/>
  <c r="AJ54" i="4" s="1"/>
  <c r="BC76" i="2" s="1"/>
  <c r="Z51" i="4"/>
  <c r="AW52" i="4"/>
  <c r="AW54" i="4" s="1"/>
  <c r="BC89" i="2" s="1"/>
  <c r="AG52" i="4"/>
  <c r="AG54" i="4" s="1"/>
  <c r="BC73" i="2" s="1"/>
  <c r="AI52" i="4"/>
  <c r="AI54" i="4" s="1"/>
  <c r="BC75" i="2" s="1"/>
  <c r="W51" i="4"/>
  <c r="U51" i="4"/>
  <c r="AB51" i="4"/>
  <c r="AK52" i="4"/>
  <c r="AK54" i="4" s="1"/>
  <c r="BC77" i="2" s="1"/>
  <c r="AT52" i="4"/>
  <c r="AT54" i="4" s="1"/>
  <c r="BC86" i="2" s="1"/>
  <c r="Y51" i="4"/>
  <c r="AQ52" i="4"/>
  <c r="AQ54" i="4" s="1"/>
  <c r="BC83" i="2" s="1"/>
  <c r="D23" i="4"/>
  <c r="D35" i="4" s="1"/>
  <c r="D36" i="4"/>
  <c r="AE52" i="4"/>
  <c r="AE54" i="4" s="1"/>
  <c r="BC71" i="2" s="1"/>
  <c r="AH52" i="4"/>
  <c r="AH54" i="4" s="1"/>
  <c r="BC74" i="2" s="1"/>
  <c r="AC51" i="4"/>
  <c r="AP52" i="4"/>
  <c r="AP54" i="4" s="1"/>
  <c r="BC82" i="2" s="1"/>
  <c r="V13" i="4"/>
  <c r="V17" i="4" s="1"/>
  <c r="V19" i="4" s="1"/>
  <c r="T13" i="4"/>
  <c r="T17" i="4" s="1"/>
  <c r="T19" i="4" s="1"/>
  <c r="X13" i="4"/>
  <c r="X17" i="4" s="1"/>
  <c r="X19" i="4" s="1"/>
  <c r="AC13" i="4"/>
  <c r="AC17" i="4" s="1"/>
  <c r="AC19" i="4" s="1"/>
  <c r="T82" i="4"/>
  <c r="T83" i="4" s="1"/>
  <c r="Z13" i="4"/>
  <c r="Z17" i="4" s="1"/>
  <c r="Z19" i="4" s="1"/>
  <c r="AD82" i="4"/>
  <c r="AD83" i="4" s="1"/>
  <c r="U82" i="4"/>
  <c r="U83" i="4" s="1"/>
  <c r="AC82" i="4"/>
  <c r="AC83" i="4" s="1"/>
  <c r="Z82" i="4"/>
  <c r="Z83" i="4" s="1"/>
  <c r="AA13" i="4"/>
  <c r="AA17" i="4" s="1"/>
  <c r="AA19" i="4" s="1"/>
  <c r="Y13" i="4"/>
  <c r="Y17" i="4" s="1"/>
  <c r="Y19" i="4" s="1"/>
  <c r="V82" i="4"/>
  <c r="V83" i="4" s="1"/>
  <c r="AB13" i="4"/>
  <c r="AB17" i="4" s="1"/>
  <c r="AB19" i="4" s="1"/>
  <c r="Y82" i="4"/>
  <c r="Y83" i="4" s="1"/>
  <c r="W13" i="4"/>
  <c r="W17" i="4" s="1"/>
  <c r="W19" i="4" s="1"/>
  <c r="W82" i="4"/>
  <c r="W83" i="4" s="1"/>
  <c r="AB82" i="4"/>
  <c r="AB83" i="4" s="1"/>
  <c r="X82" i="4"/>
  <c r="X83" i="4" s="1"/>
  <c r="U13" i="4"/>
  <c r="U17" i="4" s="1"/>
  <c r="U19" i="4" s="1"/>
  <c r="AA82" i="4"/>
  <c r="AA83" i="4" s="1"/>
  <c r="AK45" i="4"/>
  <c r="AK47" i="4" s="1"/>
  <c r="BB77" i="2" s="1"/>
  <c r="AU52" i="4"/>
  <c r="AU54" i="4" s="1"/>
  <c r="BC87" i="2" s="1"/>
  <c r="T51" i="4"/>
  <c r="AK44" i="4"/>
  <c r="X51" i="4"/>
  <c r="AR60" i="4"/>
  <c r="AQ72" i="4"/>
  <c r="W15" i="4" l="1"/>
  <c r="W18" i="4" s="1"/>
  <c r="W20" i="4" s="1"/>
  <c r="W52" i="4" s="1"/>
  <c r="W54" i="4" s="1"/>
  <c r="BC63" i="2" s="1"/>
  <c r="X15" i="4"/>
  <c r="X18" i="4" s="1"/>
  <c r="X20" i="4" s="1"/>
  <c r="X52" i="4" s="1"/>
  <c r="X54" i="4" s="1"/>
  <c r="BC64" i="2" s="1"/>
  <c r="V15" i="4"/>
  <c r="V18" i="4" s="1"/>
  <c r="V20" i="4" s="1"/>
  <c r="V52" i="4" s="1"/>
  <c r="V54" i="4" s="1"/>
  <c r="BC62" i="2" s="1"/>
  <c r="U84" i="4"/>
  <c r="U85" i="4" s="1"/>
  <c r="W84" i="4"/>
  <c r="W85" i="4" s="1"/>
  <c r="T84" i="4"/>
  <c r="T85" i="4" s="1"/>
  <c r="Z15" i="4"/>
  <c r="Z18" i="4" s="1"/>
  <c r="Z20" i="4" s="1"/>
  <c r="Z52" i="4" s="1"/>
  <c r="Z54" i="4" s="1"/>
  <c r="BC66" i="2" s="1"/>
  <c r="AB15" i="4"/>
  <c r="AB18" i="4" s="1"/>
  <c r="AB20" i="4" s="1"/>
  <c r="AB52" i="4" s="1"/>
  <c r="AB54" i="4" s="1"/>
  <c r="BC68" i="2" s="1"/>
  <c r="X84" i="4"/>
  <c r="X85" i="4" s="1"/>
  <c r="V84" i="4"/>
  <c r="V85" i="4" s="1"/>
  <c r="Y15" i="4"/>
  <c r="Y18" i="4" s="1"/>
  <c r="Y20" i="4" s="1"/>
  <c r="Y52" i="4" s="1"/>
  <c r="Y54" i="4" s="1"/>
  <c r="BC65" i="2" s="1"/>
  <c r="U15" i="4"/>
  <c r="U18" i="4" s="1"/>
  <c r="U20" i="4" s="1"/>
  <c r="U52" i="4" s="1"/>
  <c r="U54" i="4" s="1"/>
  <c r="BC61" i="2" s="1"/>
  <c r="AD84" i="4"/>
  <c r="AD85" i="4" s="1"/>
  <c r="AB84" i="4"/>
  <c r="AB85" i="4" s="1"/>
  <c r="AC84" i="4"/>
  <c r="AC85" i="4" s="1"/>
  <c r="Y84" i="4"/>
  <c r="Y85" i="4" s="1"/>
  <c r="Z84" i="4"/>
  <c r="Z85" i="4" s="1"/>
  <c r="AC15" i="4"/>
  <c r="AC18" i="4" s="1"/>
  <c r="AC20" i="4" s="1"/>
  <c r="AC52" i="4" s="1"/>
  <c r="AC54" i="4" s="1"/>
  <c r="BC69" i="2" s="1"/>
  <c r="T15" i="4"/>
  <c r="T18" i="4" s="1"/>
  <c r="T20" i="4" s="1"/>
  <c r="T52" i="4" s="1"/>
  <c r="T54" i="4" s="1"/>
  <c r="BC60" i="2" s="1"/>
  <c r="AA84" i="4"/>
  <c r="AA85" i="4" s="1"/>
  <c r="AA15" i="4"/>
  <c r="AA18" i="4" s="1"/>
  <c r="AA20" i="4" s="1"/>
  <c r="AA52" i="4" s="1"/>
  <c r="AA54" i="4" s="1"/>
  <c r="BC67" i="2" s="1"/>
  <c r="AR72" i="4"/>
  <c r="AS60" i="4"/>
  <c r="AT60" i="4" l="1"/>
  <c r="AS72" i="4"/>
  <c r="AT72" i="4" l="1"/>
  <c r="AU60" i="4"/>
  <c r="AU72" i="4" l="1"/>
  <c r="AV60" i="4"/>
  <c r="AW60" i="4" l="1"/>
  <c r="AV72" i="4"/>
  <c r="AW72" i="4" l="1"/>
  <c r="AX60" i="4"/>
  <c r="AY60" i="4" l="1"/>
  <c r="AX72" i="4"/>
  <c r="AY72" i="4" l="1"/>
  <c r="AZ60" i="4"/>
  <c r="AZ72" i="4" l="1"/>
  <c r="BA60" i="4"/>
  <c r="BB60" i="4" l="1"/>
  <c r="BA72" i="4"/>
  <c r="BC60" i="4" l="1"/>
  <c r="BB72" i="4"/>
  <c r="BD60" i="4" l="1"/>
  <c r="BC72" i="4"/>
  <c r="BE60" i="4" l="1"/>
  <c r="BD72" i="4"/>
  <c r="BF60" i="4" l="1"/>
  <c r="BE72" i="4"/>
  <c r="BG60" i="4" l="1"/>
  <c r="BF72" i="4"/>
  <c r="BH60" i="4" l="1"/>
  <c r="BG72" i="4"/>
  <c r="BI60" i="4" l="1"/>
  <c r="BH72" i="4"/>
  <c r="BJ60" i="4" l="1"/>
  <c r="BI72" i="4"/>
  <c r="BJ72" i="4" l="1"/>
  <c r="BK60" i="4"/>
  <c r="BL60" i="4" l="1"/>
  <c r="BK72" i="4"/>
  <c r="BM60" i="4" l="1"/>
  <c r="BL72" i="4"/>
  <c r="BM72" i="4" l="1"/>
  <c r="BN60" i="4"/>
  <c r="BN72" i="4" l="1"/>
  <c r="BO60" i="4"/>
  <c r="BP60" i="4" l="1"/>
  <c r="BO72" i="4"/>
  <c r="BQ60" i="4" l="1"/>
  <c r="BP72" i="4"/>
  <c r="BQ72" i="4" l="1"/>
  <c r="BR60" i="4"/>
  <c r="BR72" i="4" l="1"/>
  <c r="BS60" i="4"/>
  <c r="BS72" i="4" l="1"/>
  <c r="BT60" i="4"/>
  <c r="BT72" i="4" l="1"/>
  <c r="BU60" i="4"/>
  <c r="BU72" i="4" l="1"/>
  <c r="BV60" i="4"/>
  <c r="BV72" i="4" l="1"/>
  <c r="BW60" i="4"/>
  <c r="BW72" i="4" l="1"/>
  <c r="BX60" i="4"/>
  <c r="BX72" i="4" l="1"/>
  <c r="BY60" i="4"/>
  <c r="BY72" i="4" l="1"/>
  <c r="BZ60" i="4"/>
  <c r="BZ72" i="4" l="1"/>
  <c r="CA60" i="4"/>
  <c r="CB60" i="4" l="1"/>
  <c r="CA72" i="4"/>
  <c r="CC60" i="4" l="1"/>
  <c r="CB72" i="4"/>
  <c r="CD60" i="4" l="1"/>
  <c r="CC72" i="4"/>
  <c r="CD72" i="4" l="1"/>
  <c r="CE60" i="4"/>
  <c r="CE72" i="4" l="1"/>
  <c r="CF60" i="4"/>
  <c r="CF72" i="4" l="1"/>
  <c r="CG60" i="4"/>
  <c r="Z36" i="2" l="1"/>
  <c r="V36" i="2"/>
  <c r="X36" i="2"/>
  <c r="AB36" i="2"/>
  <c r="CG72" i="4"/>
  <c r="Z28" i="2" l="1"/>
  <c r="V28" i="2"/>
  <c r="V27" i="2" s="1"/>
  <c r="K17" i="1"/>
  <c r="X27" i="2"/>
  <c r="AB27" i="2"/>
  <c r="X28" i="2"/>
  <c r="AB28" i="2"/>
  <c r="Z27" i="2"/>
  <c r="AD36" i="2"/>
  <c r="AD28" i="2" l="1"/>
  <c r="AD27" i="2"/>
  <c r="F58" i="3"/>
  <c r="F53" i="3"/>
  <c r="B17" i="3" s="1"/>
  <c r="B17" i="2"/>
  <c r="H58" i="3" l="1"/>
  <c r="T12" i="50873" l="1"/>
  <c r="T14" i="50873"/>
  <c r="C13" i="1" l="1"/>
  <c r="E53" i="3"/>
  <c r="H57" i="3"/>
  <c r="X17" i="2" l="1"/>
  <c r="AB17" i="2"/>
  <c r="T86" i="4" l="1"/>
  <c r="BA60" i="2" s="1"/>
  <c r="AD17" i="2"/>
  <c r="X21" i="2"/>
  <c r="AB25" i="2" l="1"/>
  <c r="AA24" i="2" s="1"/>
  <c r="AB32" i="2"/>
  <c r="AA33" i="2" s="1"/>
  <c r="U86" i="4"/>
  <c r="BA61" i="2" s="1"/>
  <c r="AD21" i="2"/>
  <c r="AB21" i="2"/>
  <c r="V86" i="4" l="1"/>
  <c r="BA62" i="2" s="1"/>
  <c r="W86" i="4" l="1"/>
  <c r="BA63" i="2" s="1"/>
  <c r="X86" i="4" l="1"/>
  <c r="BA64" i="2" s="1"/>
  <c r="Y86" i="4" l="1"/>
  <c r="BA65" i="2" s="1"/>
  <c r="Z86" i="4" l="1"/>
  <c r="BA66" i="2" s="1"/>
  <c r="AA86" i="4" l="1"/>
  <c r="BA67" i="2" s="1"/>
  <c r="AB86" i="4" l="1"/>
  <c r="BA68" i="2" s="1"/>
  <c r="AC86" i="4" l="1"/>
  <c r="BA69" i="2" s="1"/>
  <c r="AD86" i="4" l="1"/>
  <c r="BA70" i="2" s="1"/>
  <c r="K14" i="1"/>
  <c r="K19" i="1" s="1"/>
  <c r="AE86" i="4" l="1"/>
  <c r="BA71" i="2" s="1"/>
  <c r="AF86" i="4" l="1"/>
  <c r="BA72" i="2" s="1"/>
  <c r="AG86" i="4" l="1"/>
  <c r="BA73" i="2" s="1"/>
  <c r="AH86" i="4" l="1"/>
  <c r="BA74" i="2" s="1"/>
  <c r="AI86" i="4" l="1"/>
  <c r="BA75" i="2" s="1"/>
  <c r="AJ86" i="4" l="1"/>
  <c r="BA76" i="2" s="1"/>
  <c r="AK86" i="4" l="1"/>
  <c r="BA77" i="2" s="1"/>
  <c r="AL86" i="4" l="1"/>
  <c r="BA78" i="2" s="1"/>
  <c r="AM86" i="4" l="1"/>
  <c r="BA79" i="2" s="1"/>
  <c r="AN86" i="4" l="1"/>
  <c r="BA80" i="2" s="1"/>
  <c r="AO86" i="4" l="1"/>
  <c r="BA81" i="2" s="1"/>
  <c r="AP86" i="4" l="1"/>
  <c r="BA82" i="2" s="1"/>
  <c r="K51" i="3"/>
  <c r="K53" i="3" s="1"/>
  <c r="AK79" i="4"/>
  <c r="AQ86" i="4" l="1"/>
  <c r="BA83" i="2" s="1"/>
  <c r="AK80" i="4"/>
  <c r="AN77" i="2" s="1"/>
  <c r="AB77" i="2" s="1"/>
  <c r="AZ77" i="2"/>
  <c r="AC77" i="2" l="1"/>
  <c r="AE77" i="2"/>
  <c r="AD77" i="2" s="1"/>
  <c r="U43" i="1"/>
  <c r="V43" i="1" s="1"/>
  <c r="W43" i="1" s="1"/>
  <c r="AR86" i="4"/>
  <c r="BA84" i="2" s="1"/>
  <c r="AL77" i="2" l="1"/>
  <c r="AK77" i="2"/>
  <c r="AS77" i="2" s="1"/>
  <c r="AH77" i="2"/>
  <c r="AI77" i="2" s="1"/>
  <c r="AS86" i="4"/>
  <c r="BA85" i="2" s="1"/>
  <c r="AT86" i="4" l="1"/>
  <c r="BA86" i="2" s="1"/>
  <c r="AM77" i="2"/>
  <c r="AO77" i="2" s="1"/>
  <c r="AP77" i="2" l="1"/>
  <c r="AM78" i="2"/>
  <c r="AU86" i="4"/>
  <c r="BA87" i="2" s="1"/>
  <c r="AM79" i="2" l="1"/>
  <c r="AV86" i="4"/>
  <c r="BA88" i="2" s="1"/>
  <c r="AW86" i="4" l="1"/>
  <c r="BA89" i="2" s="1"/>
  <c r="AX86" i="4" l="1"/>
  <c r="BA90" i="2" s="1"/>
  <c r="AM81" i="2"/>
  <c r="AY86" i="4" l="1"/>
  <c r="BA91" i="2" s="1"/>
  <c r="AM82" i="2"/>
  <c r="AM83" i="2" l="1"/>
  <c r="AM84" i="2" l="1"/>
  <c r="AM86" i="2" l="1"/>
  <c r="AM87" i="2" l="1"/>
  <c r="AM89" i="2" l="1"/>
  <c r="AM90" i="2" l="1"/>
  <c r="AM91" i="2" l="1"/>
  <c r="AA4" i="2" l="1"/>
  <c r="CH85" i="4" l="1"/>
  <c r="K9" i="1"/>
  <c r="T11" i="50873" l="1"/>
  <c r="T13" i="50873" s="1"/>
  <c r="U2" i="50873" s="1"/>
  <c r="W91" i="1"/>
  <c r="W90" i="1"/>
  <c r="W89" i="1"/>
  <c r="W88" i="1"/>
  <c r="W87" i="1"/>
  <c r="W86" i="1"/>
  <c r="W85" i="1"/>
  <c r="W84" i="1"/>
  <c r="W83" i="1"/>
  <c r="W82" i="1"/>
  <c r="W81" i="1"/>
  <c r="W80" i="1"/>
  <c r="W79" i="1"/>
  <c r="W78" i="1"/>
  <c r="W77" i="1"/>
  <c r="W76" i="1"/>
  <c r="W75" i="1"/>
  <c r="W73" i="1"/>
  <c r="W74" i="1"/>
  <c r="W72" i="1"/>
  <c r="V71" i="1"/>
  <c r="W71" i="1"/>
  <c r="V70" i="1"/>
  <c r="W70" i="1"/>
  <c r="V69" i="1"/>
  <c r="W69" i="1"/>
  <c r="V68" i="1"/>
  <c r="W68" i="1"/>
  <c r="V67" i="1"/>
  <c r="W67" i="1"/>
  <c r="V66" i="1"/>
  <c r="W66" i="1"/>
  <c r="V65" i="1"/>
  <c r="W65" i="1"/>
  <c r="V63" i="1"/>
  <c r="W63" i="1"/>
  <c r="V64" i="1"/>
  <c r="W64" i="1"/>
  <c r="V62" i="1"/>
  <c r="W62" i="1"/>
  <c r="AM92" i="2"/>
  <c r="V61" i="1"/>
  <c r="W61" i="1"/>
  <c r="V60" i="1"/>
  <c r="W60" i="1"/>
  <c r="V59" i="1"/>
  <c r="W59" i="1"/>
  <c r="V58" i="1"/>
  <c r="W58" i="1"/>
  <c r="V33" i="2"/>
  <c r="T10" i="50873" l="1"/>
  <c r="BR79" i="4"/>
  <c r="AZ110" i="2" s="1"/>
  <c r="CG79" i="4"/>
  <c r="CG80" i="4" s="1"/>
  <c r="AN125" i="2" s="1"/>
  <c r="CF79" i="4"/>
  <c r="CF80" i="4" s="1"/>
  <c r="AN124" i="2" s="1"/>
  <c r="CE79" i="4"/>
  <c r="AZ123" i="2" s="1"/>
  <c r="CD79" i="4"/>
  <c r="AZ122" i="2" s="1"/>
  <c r="AD91" i="1"/>
  <c r="CC79" i="4"/>
  <c r="CC80" i="4" s="1"/>
  <c r="AN121" i="2" s="1"/>
  <c r="AD90" i="1"/>
  <c r="CB79" i="4"/>
  <c r="CB80" i="4" s="1"/>
  <c r="AN120" i="2" s="1"/>
  <c r="AD89" i="1"/>
  <c r="CA79" i="4"/>
  <c r="CA80" i="4" s="1"/>
  <c r="AN119" i="2" s="1"/>
  <c r="AD88" i="1"/>
  <c r="BZ79" i="4"/>
  <c r="AZ118" i="2" s="1"/>
  <c r="AD87" i="1"/>
  <c r="AD86" i="1"/>
  <c r="BY79" i="4"/>
  <c r="AZ117" i="2" s="1"/>
  <c r="AD85" i="1"/>
  <c r="BX79" i="4"/>
  <c r="BX80" i="4" s="1"/>
  <c r="AN116" i="2" s="1"/>
  <c r="AD84" i="1"/>
  <c r="BW79" i="4"/>
  <c r="AZ115" i="2" s="1"/>
  <c r="BV79" i="4"/>
  <c r="BV80" i="4" s="1"/>
  <c r="AN114" i="2" s="1"/>
  <c r="AD83" i="1"/>
  <c r="BU79" i="4"/>
  <c r="BU80" i="4" s="1"/>
  <c r="AN113" i="2" s="1"/>
  <c r="AD82" i="1"/>
  <c r="BT79" i="4"/>
  <c r="BT80" i="4" s="1"/>
  <c r="AN112" i="2" s="1"/>
  <c r="BQ79" i="4"/>
  <c r="BQ80" i="4" s="1"/>
  <c r="AN109" i="2" s="1"/>
  <c r="AB109" i="2" s="1"/>
  <c r="AD81" i="1"/>
  <c r="BP79" i="4"/>
  <c r="BP80" i="4" s="1"/>
  <c r="AN108" i="2" s="1"/>
  <c r="AB108" i="2" s="1"/>
  <c r="BS79" i="4"/>
  <c r="BS80" i="4" s="1"/>
  <c r="AN111" i="2" s="1"/>
  <c r="AD80" i="1"/>
  <c r="AD79" i="1"/>
  <c r="BO79" i="4"/>
  <c r="BO80" i="4" s="1"/>
  <c r="AN107" i="2" s="1"/>
  <c r="AB107" i="2" s="1"/>
  <c r="AD78" i="1"/>
  <c r="AD77" i="1"/>
  <c r="BN79" i="4"/>
  <c r="AZ106" i="2" s="1"/>
  <c r="BM79" i="4"/>
  <c r="BM80" i="4" s="1"/>
  <c r="AN105" i="2" s="1"/>
  <c r="AB105" i="2" s="1"/>
  <c r="BL79" i="4"/>
  <c r="AZ104" i="2" s="1"/>
  <c r="AD76" i="1"/>
  <c r="BJ79" i="4"/>
  <c r="AZ102" i="2" s="1"/>
  <c r="AD75" i="1"/>
  <c r="BK79" i="4"/>
  <c r="AZ103" i="2" s="1"/>
  <c r="AD74" i="1"/>
  <c r="BI79" i="4"/>
  <c r="AZ101" i="2" s="1"/>
  <c r="AD73" i="1"/>
  <c r="BH79" i="4"/>
  <c r="AZ100" i="2" s="1"/>
  <c r="AD72" i="1"/>
  <c r="AD71" i="1"/>
  <c r="AD70" i="1"/>
  <c r="BG79" i="4"/>
  <c r="AZ99" i="2" s="1"/>
  <c r="BF79" i="4"/>
  <c r="BF80" i="4" s="1"/>
  <c r="AN98" i="2" s="1"/>
  <c r="AB98" i="2" s="1"/>
  <c r="BE79" i="4"/>
  <c r="BE80" i="4" s="1"/>
  <c r="AN97" i="2" s="1"/>
  <c r="AB97" i="2" s="1"/>
  <c r="AD69" i="1"/>
  <c r="AD68" i="1"/>
  <c r="BD79" i="4"/>
  <c r="BD80" i="4" s="1"/>
  <c r="AN96" i="2" s="1"/>
  <c r="AB96" i="2" s="1"/>
  <c r="T79" i="4"/>
  <c r="T80" i="4" s="1"/>
  <c r="AN60" i="2" s="1"/>
  <c r="AB60" i="2" s="1"/>
  <c r="AD67" i="1"/>
  <c r="U79" i="4"/>
  <c r="U80" i="4" s="1"/>
  <c r="AN61" i="2" s="1"/>
  <c r="AB61" i="2" s="1"/>
  <c r="V79" i="4"/>
  <c r="AZ62" i="2" s="1"/>
  <c r="W79" i="4"/>
  <c r="W80" i="4" s="1"/>
  <c r="AN63" i="2" s="1"/>
  <c r="AB63" i="2" s="1"/>
  <c r="X79" i="4"/>
  <c r="X80" i="4" s="1"/>
  <c r="AN64" i="2" s="1"/>
  <c r="AB64" i="2" s="1"/>
  <c r="Y79" i="4"/>
  <c r="AZ65" i="2" s="1"/>
  <c r="Z79" i="4"/>
  <c r="Z80" i="4" s="1"/>
  <c r="AN66" i="2" s="1"/>
  <c r="AB66" i="2" s="1"/>
  <c r="AA79" i="4"/>
  <c r="AA80" i="4" s="1"/>
  <c r="AN67" i="2" s="1"/>
  <c r="AB67" i="2" s="1"/>
  <c r="AB79" i="4"/>
  <c r="AB80" i="4" s="1"/>
  <c r="AN68" i="2" s="1"/>
  <c r="AB68" i="2" s="1"/>
  <c r="AC79" i="4"/>
  <c r="AC80" i="4" s="1"/>
  <c r="AN69" i="2" s="1"/>
  <c r="AB69" i="2" s="1"/>
  <c r="AD79" i="4"/>
  <c r="AD80" i="4" s="1"/>
  <c r="AN70" i="2" s="1"/>
  <c r="AB70" i="2" s="1"/>
  <c r="AE79" i="4"/>
  <c r="AE80" i="4" s="1"/>
  <c r="AN71" i="2" s="1"/>
  <c r="AB71" i="2" s="1"/>
  <c r="AF79" i="4"/>
  <c r="AF80" i="4" s="1"/>
  <c r="AN72" i="2" s="1"/>
  <c r="AB72" i="2" s="1"/>
  <c r="AG79" i="4"/>
  <c r="AZ73" i="2" s="1"/>
  <c r="AH79" i="4"/>
  <c r="AH80" i="4" s="1"/>
  <c r="AN74" i="2" s="1"/>
  <c r="AB74" i="2" s="1"/>
  <c r="AI79" i="4"/>
  <c r="AI80" i="4" s="1"/>
  <c r="AN75" i="2" s="1"/>
  <c r="AB75" i="2" s="1"/>
  <c r="AJ79" i="4"/>
  <c r="AZ76" i="2" s="1"/>
  <c r="Y4" i="2"/>
  <c r="BC79" i="4"/>
  <c r="BC80" i="4" s="1"/>
  <c r="AN95" i="2" s="1"/>
  <c r="AB95" i="2" s="1"/>
  <c r="BB79" i="4"/>
  <c r="BB80" i="4" s="1"/>
  <c r="AN94" i="2" s="1"/>
  <c r="AB94" i="2" s="1"/>
  <c r="K61" i="3"/>
  <c r="BA79" i="4"/>
  <c r="AZ93" i="2" s="1"/>
  <c r="AD66" i="1"/>
  <c r="AZ79" i="4"/>
  <c r="AZ92" i="2" s="1"/>
  <c r="AU79" i="4"/>
  <c r="AU80" i="4" s="1"/>
  <c r="AN87" i="2" s="1"/>
  <c r="AB87" i="2" s="1"/>
  <c r="AD65" i="1"/>
  <c r="C12" i="1"/>
  <c r="V26" i="1"/>
  <c r="W26" i="1"/>
  <c r="AD64" i="1"/>
  <c r="AD63" i="1"/>
  <c r="AY79" i="4"/>
  <c r="AY80" i="4" s="1"/>
  <c r="AN91" i="2" s="1"/>
  <c r="AB91" i="2" s="1"/>
  <c r="AD62" i="1"/>
  <c r="V28" i="1"/>
  <c r="W28" i="1"/>
  <c r="V27" i="1"/>
  <c r="W27" i="1"/>
  <c r="AD61" i="1"/>
  <c r="AX79" i="4"/>
  <c r="AX80" i="4" s="1"/>
  <c r="AN90" i="2" s="1"/>
  <c r="AB90" i="2" s="1"/>
  <c r="AW79" i="4"/>
  <c r="AW80" i="4" s="1"/>
  <c r="AN89" i="2" s="1"/>
  <c r="AB89" i="2" s="1"/>
  <c r="AD26" i="1"/>
  <c r="AD60" i="1"/>
  <c r="V29" i="1"/>
  <c r="W29" i="1"/>
  <c r="AV79" i="4"/>
  <c r="AV80" i="4" s="1"/>
  <c r="AN88" i="2" s="1"/>
  <c r="AB88" i="2" s="1"/>
  <c r="AM88" i="2"/>
  <c r="V57" i="1"/>
  <c r="W57" i="1"/>
  <c r="V30" i="1"/>
  <c r="W30" i="1"/>
  <c r="V56" i="1"/>
  <c r="W56" i="1"/>
  <c r="AD27" i="1"/>
  <c r="AD59" i="1"/>
  <c r="AD58" i="1"/>
  <c r="V55" i="1"/>
  <c r="W55" i="1"/>
  <c r="V54" i="1"/>
  <c r="W54" i="1"/>
  <c r="V31" i="1"/>
  <c r="W31" i="1"/>
  <c r="AD28" i="1"/>
  <c r="AT79" i="4"/>
  <c r="AZ86" i="2" s="1"/>
  <c r="V32" i="1"/>
  <c r="W32" i="1"/>
  <c r="V53" i="1"/>
  <c r="W53" i="1"/>
  <c r="AD29" i="1"/>
  <c r="V33" i="1"/>
  <c r="W33" i="1"/>
  <c r="AS79" i="4"/>
  <c r="AS80" i="4" s="1"/>
  <c r="AN85" i="2" s="1"/>
  <c r="AB85" i="2" s="1"/>
  <c r="AM85" i="2"/>
  <c r="AD57" i="1"/>
  <c r="V52" i="1"/>
  <c r="W52" i="1"/>
  <c r="AD56" i="1"/>
  <c r="AD30" i="1"/>
  <c r="V34" i="1"/>
  <c r="W34" i="1"/>
  <c r="V35" i="1"/>
  <c r="W35" i="1"/>
  <c r="AQ79" i="4"/>
  <c r="AZ83" i="2" s="1"/>
  <c r="AR79" i="4"/>
  <c r="AZ84" i="2" s="1"/>
  <c r="AD31" i="1"/>
  <c r="AD55" i="1"/>
  <c r="V51" i="1"/>
  <c r="W51" i="1"/>
  <c r="AD54" i="1"/>
  <c r="V36" i="1"/>
  <c r="W36" i="1"/>
  <c r="AD32" i="1"/>
  <c r="AD53" i="1"/>
  <c r="V37" i="1"/>
  <c r="W37" i="1"/>
  <c r="AO79" i="4"/>
  <c r="AO80" i="4" s="1"/>
  <c r="AN81" i="2" s="1"/>
  <c r="AB81" i="2" s="1"/>
  <c r="V50" i="1"/>
  <c r="W50" i="1"/>
  <c r="V49" i="1"/>
  <c r="W49" i="1"/>
  <c r="AD33" i="1"/>
  <c r="AP79" i="4"/>
  <c r="AZ82" i="2" s="1"/>
  <c r="AD52" i="1"/>
  <c r="V38" i="1"/>
  <c r="W38" i="1"/>
  <c r="AD34" i="1"/>
  <c r="V47" i="1"/>
  <c r="W47" i="1"/>
  <c r="V48" i="1"/>
  <c r="W48" i="1"/>
  <c r="AN79" i="4"/>
  <c r="AZ80" i="2" s="1"/>
  <c r="AM80" i="2"/>
  <c r="AD51" i="1"/>
  <c r="AD35" i="1"/>
  <c r="AM79" i="4"/>
  <c r="AM80" i="4" s="1"/>
  <c r="AN79" i="2" s="1"/>
  <c r="AB79" i="2" s="1"/>
  <c r="V39" i="1"/>
  <c r="W39" i="1"/>
  <c r="AD36" i="1"/>
  <c r="AD50" i="1"/>
  <c r="V40" i="1"/>
  <c r="W40" i="1"/>
  <c r="AL79" i="4"/>
  <c r="AZ78" i="2" s="1"/>
  <c r="AD49" i="1"/>
  <c r="AD37" i="1"/>
  <c r="V46" i="1"/>
  <c r="W46" i="1"/>
  <c r="V41" i="1"/>
  <c r="W41" i="1"/>
  <c r="AD38" i="1"/>
  <c r="AD48" i="1"/>
  <c r="V44" i="1"/>
  <c r="W44" i="1"/>
  <c r="V45" i="1"/>
  <c r="W45" i="1"/>
  <c r="AD47" i="1"/>
  <c r="AD39" i="1"/>
  <c r="V42" i="1"/>
  <c r="W42" i="1"/>
  <c r="AD40" i="1"/>
  <c r="AD46" i="1"/>
  <c r="AD41" i="1"/>
  <c r="AD45" i="1"/>
  <c r="AD42" i="1"/>
  <c r="AD44" i="1"/>
  <c r="BV86" i="4"/>
  <c r="BA114" i="2" s="1"/>
  <c r="CA86" i="4"/>
  <c r="BA119" i="2" s="1"/>
  <c r="BU86" i="4"/>
  <c r="BA113" i="2" s="1"/>
  <c r="CC86" i="4"/>
  <c r="BA121" i="2" s="1"/>
  <c r="CE86" i="4"/>
  <c r="BA123" i="2" s="1"/>
  <c r="BM86" i="4"/>
  <c r="BA105" i="2" s="1"/>
  <c r="BS86" i="4"/>
  <c r="BA111" i="2" s="1"/>
  <c r="BW86" i="4"/>
  <c r="BA115" i="2" s="1"/>
  <c r="BO86" i="4"/>
  <c r="BA107" i="2" s="1"/>
  <c r="BR86" i="4"/>
  <c r="BA110" i="2" s="1"/>
  <c r="CD86" i="4"/>
  <c r="BA122" i="2" s="1"/>
  <c r="CG86" i="4"/>
  <c r="BA125" i="2" s="1"/>
  <c r="CF86" i="4"/>
  <c r="BA124" i="2" s="1"/>
  <c r="BX86" i="4"/>
  <c r="BA116" i="2" s="1"/>
  <c r="BN86" i="4"/>
  <c r="BA106" i="2" s="1"/>
  <c r="BZ86" i="4"/>
  <c r="BA118" i="2" s="1"/>
  <c r="BT86" i="4"/>
  <c r="BA112" i="2" s="1"/>
  <c r="BQ86" i="4"/>
  <c r="BA109" i="2" s="1"/>
  <c r="CB86" i="4"/>
  <c r="BA120" i="2" s="1"/>
  <c r="BP86" i="4"/>
  <c r="BA108" i="2" s="1"/>
  <c r="BY86" i="4"/>
  <c r="BA117" i="2" s="1"/>
  <c r="AZ86" i="4"/>
  <c r="BA92" i="2" s="1"/>
  <c r="I64" i="50873"/>
  <c r="BA86" i="4"/>
  <c r="BA93" i="2" s="1"/>
  <c r="BG86" i="4"/>
  <c r="BA99" i="2" s="1"/>
  <c r="BF86" i="4"/>
  <c r="BA98" i="2" s="1"/>
  <c r="BI86" i="4"/>
  <c r="BA101" i="2" s="1"/>
  <c r="BB86" i="4"/>
  <c r="BA94" i="2" s="1"/>
  <c r="BL86" i="4"/>
  <c r="BA104" i="2" s="1"/>
  <c r="BJ86" i="4"/>
  <c r="BA102" i="2" s="1"/>
  <c r="BE86" i="4"/>
  <c r="BA97" i="2" s="1"/>
  <c r="BK86" i="4"/>
  <c r="BA103" i="2" s="1"/>
  <c r="BC86" i="4"/>
  <c r="BA95" i="2" s="1"/>
  <c r="BH86" i="4"/>
  <c r="BA100" i="2" s="1"/>
  <c r="BD86" i="4"/>
  <c r="BA96" i="2" s="1"/>
  <c r="AZ74" i="2" l="1"/>
  <c r="AZ64" i="2"/>
  <c r="AZ63" i="2"/>
  <c r="AZ72" i="2"/>
  <c r="AZ81" i="2"/>
  <c r="AZ88" i="2"/>
  <c r="AZ61" i="2"/>
  <c r="AZ90" i="2"/>
  <c r="AZ89" i="2"/>
  <c r="AZ107" i="2"/>
  <c r="AZ94" i="2"/>
  <c r="AZ96" i="2"/>
  <c r="AZ60" i="2"/>
  <c r="BY80" i="4"/>
  <c r="AN117" i="2" s="1"/>
  <c r="AZ87" i="2"/>
  <c r="AZ68" i="2"/>
  <c r="AZ97" i="2"/>
  <c r="AJ80" i="4"/>
  <c r="AN76" i="2" s="1"/>
  <c r="AB76" i="2" s="1"/>
  <c r="AS76" i="2" s="1"/>
  <c r="AP80" i="4"/>
  <c r="AN82" i="2" s="1"/>
  <c r="AB82" i="2" s="1"/>
  <c r="AI82" i="2" s="1"/>
  <c r="AZ69" i="2"/>
  <c r="AZ79" i="2"/>
  <c r="AL80" i="4"/>
  <c r="AN78" i="2" s="1"/>
  <c r="AB78" i="2" s="1"/>
  <c r="AE78" i="2" s="1"/>
  <c r="AD78" i="2" s="1"/>
  <c r="AH78" i="2" s="1"/>
  <c r="AZ71" i="2"/>
  <c r="AZ85" i="2"/>
  <c r="AT80" i="4"/>
  <c r="AN86" i="2" s="1"/>
  <c r="AB86" i="2" s="1"/>
  <c r="U52" i="1" s="1"/>
  <c r="AZ114" i="2"/>
  <c r="AZ66" i="2"/>
  <c r="AZ98" i="2"/>
  <c r="AZ109" i="2"/>
  <c r="AZ95" i="2"/>
  <c r="AZ108" i="2"/>
  <c r="AZ119" i="2"/>
  <c r="CD80" i="4"/>
  <c r="AN122" i="2" s="1"/>
  <c r="AZ67" i="2"/>
  <c r="AI69" i="2"/>
  <c r="AC69" i="2"/>
  <c r="AS69" i="2"/>
  <c r="AE69" i="2"/>
  <c r="AD69" i="2" s="1"/>
  <c r="AK69" i="2" s="1"/>
  <c r="U35" i="1"/>
  <c r="AS64" i="2"/>
  <c r="AE64" i="2"/>
  <c r="AD64" i="2" s="1"/>
  <c r="AH64" i="2" s="1"/>
  <c r="U30" i="1"/>
  <c r="AC64" i="2"/>
  <c r="AI64" i="2"/>
  <c r="AC96" i="2"/>
  <c r="U62" i="1"/>
  <c r="AE96" i="2"/>
  <c r="AD96" i="2" s="1"/>
  <c r="AL96" i="2" s="1"/>
  <c r="AS96" i="2"/>
  <c r="AI96" i="2"/>
  <c r="AI81" i="2"/>
  <c r="AE81" i="2"/>
  <c r="AC81" i="2"/>
  <c r="AS81" i="2"/>
  <c r="U47" i="1"/>
  <c r="AS72" i="2"/>
  <c r="AC72" i="2"/>
  <c r="AE72" i="2"/>
  <c r="AD72" i="2" s="1"/>
  <c r="U38" i="1"/>
  <c r="AI72" i="2"/>
  <c r="AI60" i="2"/>
  <c r="AE60" i="2"/>
  <c r="AD60" i="2" s="1"/>
  <c r="AD128" i="2" s="1"/>
  <c r="AC60" i="2"/>
  <c r="U26" i="1"/>
  <c r="AS60" i="2"/>
  <c r="AE108" i="2"/>
  <c r="AD108" i="2" s="1"/>
  <c r="AI108" i="2"/>
  <c r="AS108" i="2"/>
  <c r="U74" i="1"/>
  <c r="V74" i="1" s="1"/>
  <c r="AC108" i="2"/>
  <c r="AE88" i="2"/>
  <c r="AO88" i="2" s="1"/>
  <c r="U54" i="1"/>
  <c r="AI88" i="2"/>
  <c r="AC88" i="2"/>
  <c r="AS88" i="2"/>
  <c r="AE94" i="2"/>
  <c r="AD94" i="2" s="1"/>
  <c r="U60" i="1"/>
  <c r="AI94" i="2"/>
  <c r="AC94" i="2"/>
  <c r="AS94" i="2"/>
  <c r="U32" i="1"/>
  <c r="AS66" i="2"/>
  <c r="AI66" i="2"/>
  <c r="AE66" i="2"/>
  <c r="AD66" i="2" s="1"/>
  <c r="AL66" i="2" s="1"/>
  <c r="AC66" i="2"/>
  <c r="AS63" i="2"/>
  <c r="AI63" i="2"/>
  <c r="AE63" i="2"/>
  <c r="AD63" i="2" s="1"/>
  <c r="AK63" i="2" s="1"/>
  <c r="U29" i="1"/>
  <c r="AC63" i="2"/>
  <c r="AC79" i="2"/>
  <c r="AE79" i="2"/>
  <c r="AD79" i="2" s="1"/>
  <c r="AH79" i="2" s="1"/>
  <c r="AI79" i="2"/>
  <c r="U45" i="1"/>
  <c r="AS79" i="2"/>
  <c r="AE85" i="2"/>
  <c r="AO85" i="2" s="1"/>
  <c r="AS85" i="2"/>
  <c r="AI85" i="2"/>
  <c r="U51" i="1"/>
  <c r="AC85" i="2"/>
  <c r="U33" i="1"/>
  <c r="AS67" i="2"/>
  <c r="AE67" i="2"/>
  <c r="AD67" i="2" s="1"/>
  <c r="AH67" i="2" s="1"/>
  <c r="AC67" i="2"/>
  <c r="AI67" i="2"/>
  <c r="U64" i="1"/>
  <c r="AE98" i="2"/>
  <c r="AD98" i="2" s="1"/>
  <c r="AK98" i="2" s="1"/>
  <c r="AC98" i="2"/>
  <c r="AI98" i="2"/>
  <c r="AS98" i="2"/>
  <c r="U71" i="1"/>
  <c r="AC105" i="2"/>
  <c r="AE105" i="2"/>
  <c r="AD105" i="2" s="1"/>
  <c r="AH105" i="2" s="1"/>
  <c r="AI105" i="2"/>
  <c r="AS105" i="2"/>
  <c r="U73" i="1"/>
  <c r="V73" i="1" s="1"/>
  <c r="AI107" i="2"/>
  <c r="AC107" i="2"/>
  <c r="AS107" i="2"/>
  <c r="AE107" i="2"/>
  <c r="AD107" i="2" s="1"/>
  <c r="AH107" i="2" s="1"/>
  <c r="U36" i="1"/>
  <c r="AC70" i="2"/>
  <c r="AE70" i="2"/>
  <c r="AD70" i="2" s="1"/>
  <c r="AK70" i="2" s="1"/>
  <c r="AS70" i="2"/>
  <c r="AI70" i="2"/>
  <c r="AE71" i="2"/>
  <c r="AD71" i="2" s="1"/>
  <c r="AK71" i="2" s="1"/>
  <c r="AS71" i="2"/>
  <c r="AI71" i="2"/>
  <c r="U37" i="1"/>
  <c r="AC71" i="2"/>
  <c r="AI95" i="2"/>
  <c r="U61" i="1"/>
  <c r="AS95" i="2"/>
  <c r="AE95" i="2"/>
  <c r="AD95" i="2" s="1"/>
  <c r="AH95" i="2" s="1"/>
  <c r="AC95" i="2"/>
  <c r="U56" i="1"/>
  <c r="AS90" i="2"/>
  <c r="AI90" i="2"/>
  <c r="AC90" i="2"/>
  <c r="AE90" i="2"/>
  <c r="AD90" i="2" s="1"/>
  <c r="AH90" i="2" s="1"/>
  <c r="AI91" i="2"/>
  <c r="AC91" i="2"/>
  <c r="AE91" i="2"/>
  <c r="AD91" i="2" s="1"/>
  <c r="AL91" i="2" s="1"/>
  <c r="U57" i="1"/>
  <c r="AS91" i="2"/>
  <c r="AE74" i="2"/>
  <c r="AD74" i="2" s="1"/>
  <c r="AH74" i="2" s="1"/>
  <c r="AI74" i="2"/>
  <c r="U40" i="1"/>
  <c r="AS74" i="2"/>
  <c r="AC74" i="2"/>
  <c r="AI61" i="2"/>
  <c r="U27" i="1"/>
  <c r="AS61" i="2"/>
  <c r="AC61" i="2"/>
  <c r="AE61" i="2"/>
  <c r="AD61" i="2" s="1"/>
  <c r="AL61" i="2" s="1"/>
  <c r="AE97" i="2"/>
  <c r="AD97" i="2" s="1"/>
  <c r="AI97" i="2"/>
  <c r="AC97" i="2"/>
  <c r="AS97" i="2"/>
  <c r="U63" i="1"/>
  <c r="U75" i="1"/>
  <c r="V75" i="1" s="1"/>
  <c r="AS109" i="2"/>
  <c r="AC109" i="2"/>
  <c r="AI109" i="2"/>
  <c r="AE109" i="2"/>
  <c r="AD109" i="2" s="1"/>
  <c r="AE87" i="2"/>
  <c r="AO87" i="2" s="1"/>
  <c r="U53" i="1"/>
  <c r="AI87" i="2"/>
  <c r="AC87" i="2"/>
  <c r="AS87" i="2"/>
  <c r="AC89" i="2"/>
  <c r="AI89" i="2"/>
  <c r="AS89" i="2"/>
  <c r="U55" i="1"/>
  <c r="AE89" i="2"/>
  <c r="AD89" i="2" s="1"/>
  <c r="AK89" i="2" s="1"/>
  <c r="AS75" i="2"/>
  <c r="U41" i="1"/>
  <c r="AI75" i="2"/>
  <c r="AC75" i="2"/>
  <c r="AE75" i="2"/>
  <c r="AD75" i="2" s="1"/>
  <c r="AK75" i="2" s="1"/>
  <c r="U34" i="1"/>
  <c r="AI68" i="2"/>
  <c r="AC68" i="2"/>
  <c r="AS68" i="2"/>
  <c r="AE68" i="2"/>
  <c r="AD68" i="2" s="1"/>
  <c r="AH68" i="2" s="1"/>
  <c r="AQ80" i="4"/>
  <c r="AN83" i="2" s="1"/>
  <c r="AB83" i="2" s="1"/>
  <c r="AG80" i="4"/>
  <c r="AN73" i="2" s="1"/>
  <c r="AB73" i="2" s="1"/>
  <c r="Y80" i="4"/>
  <c r="AN65" i="2" s="1"/>
  <c r="AB65" i="2" s="1"/>
  <c r="BG80" i="4"/>
  <c r="AN99" i="2" s="1"/>
  <c r="AB99" i="2" s="1"/>
  <c r="BJ80" i="4"/>
  <c r="AN102" i="2" s="1"/>
  <c r="AB102" i="2" s="1"/>
  <c r="AZ111" i="2"/>
  <c r="AZ80" i="4"/>
  <c r="AN92" i="2" s="1"/>
  <c r="BH80" i="4"/>
  <c r="AN100" i="2" s="1"/>
  <c r="AB100" i="2" s="1"/>
  <c r="BL80" i="4"/>
  <c r="AN104" i="2" s="1"/>
  <c r="AB104" i="2" s="1"/>
  <c r="AZ75" i="2"/>
  <c r="AZ70" i="2"/>
  <c r="AZ91" i="2"/>
  <c r="BA80" i="4"/>
  <c r="AN93" i="2" s="1"/>
  <c r="AB93" i="2" s="1"/>
  <c r="BW80" i="4"/>
  <c r="AN115" i="2" s="1"/>
  <c r="BZ80" i="4"/>
  <c r="AN118" i="2" s="1"/>
  <c r="AZ124" i="2"/>
  <c r="AN80" i="4"/>
  <c r="AN80" i="2" s="1"/>
  <c r="AB80" i="2" s="1"/>
  <c r="BK80" i="4"/>
  <c r="AN103" i="2" s="1"/>
  <c r="AB103" i="2" s="1"/>
  <c r="AZ116" i="2"/>
  <c r="BR80" i="4"/>
  <c r="AN110" i="2" s="1"/>
  <c r="AB110" i="2" s="1"/>
  <c r="BI80" i="4"/>
  <c r="AN101" i="2" s="1"/>
  <c r="AB101" i="2" s="1"/>
  <c r="AZ112" i="2"/>
  <c r="AZ113" i="2"/>
  <c r="AZ120" i="2"/>
  <c r="AZ121" i="2"/>
  <c r="CE80" i="4"/>
  <c r="AN123" i="2" s="1"/>
  <c r="V80" i="4"/>
  <c r="AN62" i="2" s="1"/>
  <c r="AB62" i="2" s="1"/>
  <c r="BN80" i="4"/>
  <c r="AN106" i="2" s="1"/>
  <c r="AB106" i="2" s="1"/>
  <c r="AZ125" i="2"/>
  <c r="AR80" i="4"/>
  <c r="AN84" i="2" s="1"/>
  <c r="AB84" i="2" s="1"/>
  <c r="AZ105" i="2"/>
  <c r="AI78" i="2" l="1"/>
  <c r="U44" i="1"/>
  <c r="AC86" i="2"/>
  <c r="AS86" i="2"/>
  <c r="AE86" i="2"/>
  <c r="AD86" i="2" s="1"/>
  <c r="AH86" i="2" s="1"/>
  <c r="AI86" i="2"/>
  <c r="U42" i="1"/>
  <c r="AS78" i="2"/>
  <c r="AH71" i="2"/>
  <c r="AH69" i="2"/>
  <c r="AC78" i="2"/>
  <c r="AL63" i="2"/>
  <c r="AM63" i="2" s="1"/>
  <c r="AO63" i="2" s="1"/>
  <c r="AL64" i="2"/>
  <c r="AM64" i="2" s="1"/>
  <c r="AO64" i="2" s="1"/>
  <c r="AL108" i="2"/>
  <c r="AM108" i="2" s="1"/>
  <c r="AO108" i="2" s="1"/>
  <c r="AP108" i="2" s="1"/>
  <c r="AK79" i="2"/>
  <c r="AK64" i="2"/>
  <c r="AK67" i="2"/>
  <c r="AD87" i="2"/>
  <c r="AL87" i="2" s="1"/>
  <c r="AP87" i="2" s="1"/>
  <c r="AK74" i="2"/>
  <c r="AL69" i="2"/>
  <c r="AM69" i="2" s="1"/>
  <c r="AO69" i="2" s="1"/>
  <c r="AH75" i="2"/>
  <c r="AH70" i="2"/>
  <c r="AD88" i="2"/>
  <c r="AL88" i="2" s="1"/>
  <c r="AP88" i="2" s="1"/>
  <c r="AL60" i="2"/>
  <c r="AL128" i="2" s="1"/>
  <c r="AL70" i="2"/>
  <c r="AM70" i="2" s="1"/>
  <c r="AO70" i="2" s="1"/>
  <c r="AH98" i="2"/>
  <c r="AH60" i="2"/>
  <c r="AH128" i="2" s="1"/>
  <c r="AK107" i="2"/>
  <c r="AH63" i="2"/>
  <c r="AK78" i="2"/>
  <c r="AL98" i="2"/>
  <c r="AM98" i="2" s="1"/>
  <c r="AO98" i="2" s="1"/>
  <c r="AP98" i="2" s="1"/>
  <c r="AL78" i="2"/>
  <c r="AD85" i="2"/>
  <c r="AK85" i="2" s="1"/>
  <c r="AO78" i="2"/>
  <c r="AL107" i="2"/>
  <c r="AM107" i="2" s="1"/>
  <c r="AO107" i="2" s="1"/>
  <c r="AK105" i="2"/>
  <c r="AK60" i="2"/>
  <c r="AK128" i="2" s="1"/>
  <c r="V25" i="2" s="1"/>
  <c r="AO89" i="2"/>
  <c r="AK90" i="2"/>
  <c r="AC82" i="2"/>
  <c r="AH89" i="2"/>
  <c r="AE82" i="2"/>
  <c r="AO82" i="2" s="1"/>
  <c r="AL94" i="2"/>
  <c r="AM94" i="2" s="1"/>
  <c r="AO94" i="2" s="1"/>
  <c r="AL75" i="2"/>
  <c r="AM75" i="2" s="1"/>
  <c r="AO75" i="2" s="1"/>
  <c r="AO90" i="2"/>
  <c r="U48" i="1"/>
  <c r="AC76" i="2"/>
  <c r="AL90" i="2"/>
  <c r="AS82" i="2"/>
  <c r="AI76" i="2"/>
  <c r="AL89" i="2"/>
  <c r="AE76" i="2"/>
  <c r="AD76" i="2" s="1"/>
  <c r="AL76" i="2" s="1"/>
  <c r="AM76" i="2" s="1"/>
  <c r="AO76" i="2" s="1"/>
  <c r="AE128" i="2"/>
  <c r="AE129" i="2" s="1"/>
  <c r="AL105" i="2"/>
  <c r="AM105" i="2" s="1"/>
  <c r="AO105" i="2" s="1"/>
  <c r="AL74" i="2"/>
  <c r="AM74" i="2" s="1"/>
  <c r="AO74" i="2" s="1"/>
  <c r="AC80" i="2"/>
  <c r="AI80" i="2"/>
  <c r="AS80" i="2"/>
  <c r="AE80" i="2"/>
  <c r="U46" i="1"/>
  <c r="U69" i="1"/>
  <c r="AE103" i="2"/>
  <c r="AD103" i="2" s="1"/>
  <c r="AL103" i="2" s="1"/>
  <c r="AM103" i="2" s="1"/>
  <c r="AO103" i="2" s="1"/>
  <c r="AI103" i="2"/>
  <c r="AS103" i="2"/>
  <c r="AC103" i="2"/>
  <c r="AE73" i="2"/>
  <c r="U39" i="1"/>
  <c r="AS73" i="2"/>
  <c r="AI73" i="2"/>
  <c r="AC73" i="2"/>
  <c r="AK95" i="2"/>
  <c r="AL67" i="2"/>
  <c r="AM67" i="2" s="1"/>
  <c r="AO67" i="2" s="1"/>
  <c r="AD81" i="2"/>
  <c r="AL81" i="2" s="1"/>
  <c r="AO81" i="2"/>
  <c r="AE62" i="2"/>
  <c r="AD62" i="2" s="1"/>
  <c r="AL62" i="2" s="1"/>
  <c r="AM62" i="2" s="1"/>
  <c r="AO62" i="2" s="1"/>
  <c r="AC62" i="2"/>
  <c r="AS62" i="2"/>
  <c r="U28" i="1"/>
  <c r="AI62" i="2"/>
  <c r="AC65" i="2"/>
  <c r="AE65" i="2"/>
  <c r="AD65" i="2" s="1"/>
  <c r="AL65" i="2" s="1"/>
  <c r="AM65" i="2" s="1"/>
  <c r="AO65" i="2" s="1"/>
  <c r="AS65" i="2"/>
  <c r="AI65" i="2"/>
  <c r="U31" i="1"/>
  <c r="AS83" i="2"/>
  <c r="U49" i="1"/>
  <c r="AI83" i="2"/>
  <c r="AE83" i="2"/>
  <c r="AC83" i="2"/>
  <c r="AC106" i="2"/>
  <c r="AI106" i="2"/>
  <c r="AE106" i="2"/>
  <c r="AD106" i="2" s="1"/>
  <c r="AK106" i="2" s="1"/>
  <c r="U72" i="1"/>
  <c r="V72" i="1" s="1"/>
  <c r="AS106" i="2"/>
  <c r="AC110" i="2"/>
  <c r="AB111" i="2"/>
  <c r="AE110" i="2"/>
  <c r="U76" i="1"/>
  <c r="V76" i="1" s="1"/>
  <c r="AI110" i="2"/>
  <c r="AS110" i="2"/>
  <c r="U65" i="1"/>
  <c r="AC99" i="2"/>
  <c r="AE99" i="2"/>
  <c r="AS99" i="2"/>
  <c r="AI99" i="2"/>
  <c r="AL95" i="2"/>
  <c r="AM95" i="2" s="1"/>
  <c r="AO95" i="2" s="1"/>
  <c r="AK68" i="2"/>
  <c r="AC100" i="2"/>
  <c r="AE100" i="2"/>
  <c r="AD100" i="2" s="1"/>
  <c r="AL100" i="2" s="1"/>
  <c r="AM100" i="2" s="1"/>
  <c r="AO100" i="2" s="1"/>
  <c r="AP100" i="2" s="1"/>
  <c r="AS100" i="2"/>
  <c r="AI100" i="2"/>
  <c r="U66" i="1"/>
  <c r="AE101" i="2"/>
  <c r="AD101" i="2" s="1"/>
  <c r="AL101" i="2" s="1"/>
  <c r="AM101" i="2" s="1"/>
  <c r="AO101" i="2" s="1"/>
  <c r="AI101" i="2"/>
  <c r="AS101" i="2"/>
  <c r="U67" i="1"/>
  <c r="AC101" i="2"/>
  <c r="AE93" i="2"/>
  <c r="AD93" i="2" s="1"/>
  <c r="AK93" i="2" s="1"/>
  <c r="AC93" i="2"/>
  <c r="AS93" i="2"/>
  <c r="U59" i="1"/>
  <c r="AI93" i="2"/>
  <c r="AC102" i="2"/>
  <c r="AE102" i="2"/>
  <c r="AD102" i="2" s="1"/>
  <c r="AH102" i="2" s="1"/>
  <c r="AI102" i="2"/>
  <c r="U68" i="1"/>
  <c r="AS102" i="2"/>
  <c r="AH108" i="2"/>
  <c r="AK108" i="2"/>
  <c r="AL71" i="2"/>
  <c r="AM71" i="2" s="1"/>
  <c r="AO71" i="2" s="1"/>
  <c r="AL68" i="2"/>
  <c r="AM68" i="2" s="1"/>
  <c r="AO68" i="2" s="1"/>
  <c r="AO91" i="2"/>
  <c r="AP91" i="2" s="1"/>
  <c r="AO79" i="2"/>
  <c r="AN126" i="2"/>
  <c r="AB92" i="2"/>
  <c r="AS104" i="2"/>
  <c r="AI104" i="2"/>
  <c r="AE104" i="2"/>
  <c r="AD104" i="2" s="1"/>
  <c r="AK104" i="2" s="1"/>
  <c r="AC104" i="2"/>
  <c r="U70" i="1"/>
  <c r="AS84" i="2"/>
  <c r="AI84" i="2"/>
  <c r="U50" i="1"/>
  <c r="AE84" i="2"/>
  <c r="AC84" i="2"/>
  <c r="AL79" i="2"/>
  <c r="AM66" i="2"/>
  <c r="AO66" i="2" s="1"/>
  <c r="AK97" i="2"/>
  <c r="AH97" i="2"/>
  <c r="AK61" i="2"/>
  <c r="AH61" i="2"/>
  <c r="AK94" i="2"/>
  <c r="AH94" i="2"/>
  <c r="AK109" i="2"/>
  <c r="AH109" i="2"/>
  <c r="AM96" i="2"/>
  <c r="AO96" i="2" s="1"/>
  <c r="AK96" i="2"/>
  <c r="AH96" i="2"/>
  <c r="AL109" i="2"/>
  <c r="AK91" i="2"/>
  <c r="AH91" i="2"/>
  <c r="AM61" i="2"/>
  <c r="AO61" i="2" s="1"/>
  <c r="AK66" i="2"/>
  <c r="AH66" i="2"/>
  <c r="AK72" i="2"/>
  <c r="AH72" i="2"/>
  <c r="AL72" i="2"/>
  <c r="AL97" i="2"/>
  <c r="AO86" i="2" l="1"/>
  <c r="AL86" i="2"/>
  <c r="AK86" i="2"/>
  <c r="AP64" i="2"/>
  <c r="AH85" i="2"/>
  <c r="AH87" i="2"/>
  <c r="AL85" i="2"/>
  <c r="AP85" i="2" s="1"/>
  <c r="AK87" i="2"/>
  <c r="AK101" i="2"/>
  <c r="AP78" i="2"/>
  <c r="AH101" i="2"/>
  <c r="AK65" i="2"/>
  <c r="AM60" i="2"/>
  <c r="AO60" i="2" s="1"/>
  <c r="AL102" i="2"/>
  <c r="AM102" i="2" s="1"/>
  <c r="AK88" i="2"/>
  <c r="AL106" i="2"/>
  <c r="AM106" i="2" s="1"/>
  <c r="AO106" i="2" s="1"/>
  <c r="AH88" i="2"/>
  <c r="AP68" i="2"/>
  <c r="AK102" i="2"/>
  <c r="AP79" i="2"/>
  <c r="AP89" i="2"/>
  <c r="AP81" i="2"/>
  <c r="AK76" i="2"/>
  <c r="AH62" i="2"/>
  <c r="V23" i="2"/>
  <c r="AH104" i="2"/>
  <c r="AH106" i="2"/>
  <c r="AP90" i="2"/>
  <c r="AH76" i="2"/>
  <c r="AH100" i="2"/>
  <c r="AL104" i="2"/>
  <c r="AM104" i="2" s="1"/>
  <c r="AO104" i="2" s="1"/>
  <c r="AK103" i="2"/>
  <c r="AP66" i="2"/>
  <c r="AS128" i="2"/>
  <c r="AH103" i="2"/>
  <c r="AL93" i="2"/>
  <c r="AM93" i="2" s="1"/>
  <c r="AO93" i="2" s="1"/>
  <c r="AI128" i="2"/>
  <c r="AP74" i="2"/>
  <c r="AK62" i="2"/>
  <c r="AD82" i="2"/>
  <c r="AO83" i="2"/>
  <c r="AD83" i="2"/>
  <c r="AS92" i="2"/>
  <c r="AE92" i="2"/>
  <c r="AI92" i="2"/>
  <c r="U58" i="1"/>
  <c r="AC92" i="2"/>
  <c r="AD110" i="2"/>
  <c r="AL110" i="2" s="1"/>
  <c r="AM110" i="2" s="1"/>
  <c r="AO110" i="2" s="1"/>
  <c r="AO80" i="2"/>
  <c r="AD80" i="2"/>
  <c r="AL80" i="2" s="1"/>
  <c r="AP65" i="2"/>
  <c r="AK81" i="2"/>
  <c r="AH81" i="2"/>
  <c r="AN127" i="2"/>
  <c r="AB127" i="2" s="1"/>
  <c r="AB126" i="2"/>
  <c r="AO84" i="2"/>
  <c r="AD84" i="2"/>
  <c r="AD99" i="2"/>
  <c r="AB112" i="2"/>
  <c r="U77" i="1"/>
  <c r="V77" i="1" s="1"/>
  <c r="AC111" i="2"/>
  <c r="AI111" i="2"/>
  <c r="AS111" i="2"/>
  <c r="AE111" i="2"/>
  <c r="AH93" i="2"/>
  <c r="AD73" i="2"/>
  <c r="AL73" i="2" s="1"/>
  <c r="AH65" i="2"/>
  <c r="AK100" i="2"/>
  <c r="AP94" i="2"/>
  <c r="AP75" i="2"/>
  <c r="AP105" i="2"/>
  <c r="AP95" i="2"/>
  <c r="AP76" i="2"/>
  <c r="AP101" i="2"/>
  <c r="AL129" i="2"/>
  <c r="T27" i="2"/>
  <c r="AM97" i="2"/>
  <c r="AO97" i="2" s="1"/>
  <c r="AM109" i="2"/>
  <c r="AO109" i="2" s="1"/>
  <c r="AP70" i="2"/>
  <c r="AP67" i="2"/>
  <c r="AP62" i="2"/>
  <c r="AP71" i="2"/>
  <c r="AP103" i="2"/>
  <c r="AP61" i="2"/>
  <c r="AM72" i="2"/>
  <c r="AO72" i="2" s="1"/>
  <c r="AP63" i="2"/>
  <c r="AP107" i="2"/>
  <c r="AP96" i="2"/>
  <c r="AP69" i="2"/>
  <c r="AP86" i="2" l="1"/>
  <c r="AM128" i="2"/>
  <c r="T26" i="2" s="1"/>
  <c r="AO102" i="2"/>
  <c r="AP102" i="2" s="1"/>
  <c r="AM73" i="2"/>
  <c r="AO73" i="2" s="1"/>
  <c r="AH82" i="2"/>
  <c r="AK82" i="2"/>
  <c r="AL82" i="2"/>
  <c r="AP82" i="2" s="1"/>
  <c r="AP80" i="2"/>
  <c r="AP72" i="2"/>
  <c r="AC126" i="2"/>
  <c r="AI126" i="2"/>
  <c r="AE126" i="2"/>
  <c r="AS126" i="2"/>
  <c r="AH83" i="2"/>
  <c r="AK83" i="2"/>
  <c r="AD111" i="2"/>
  <c r="AL84" i="2"/>
  <c r="AP84" i="2" s="1"/>
  <c r="AK84" i="2"/>
  <c r="AH84" i="2"/>
  <c r="AK99" i="2"/>
  <c r="AH99" i="2"/>
  <c r="AD92" i="2"/>
  <c r="AL92" i="2" s="1"/>
  <c r="AO92" i="2"/>
  <c r="AL83" i="2"/>
  <c r="AP83" i="2" s="1"/>
  <c r="AL99" i="2"/>
  <c r="AK80" i="2"/>
  <c r="AH80" i="2"/>
  <c r="AH73" i="2"/>
  <c r="AK73" i="2"/>
  <c r="AB113" i="2"/>
  <c r="AC112" i="2"/>
  <c r="AS112" i="2"/>
  <c r="U78" i="1"/>
  <c r="V78" i="1" s="1"/>
  <c r="AE112" i="2"/>
  <c r="AD112" i="2" s="1"/>
  <c r="AI112" i="2"/>
  <c r="AC127" i="2"/>
  <c r="AE127" i="2"/>
  <c r="AS127" i="2"/>
  <c r="AK110" i="2"/>
  <c r="AH110" i="2"/>
  <c r="AP110" i="2"/>
  <c r="AP109" i="2"/>
  <c r="AP106" i="2"/>
  <c r="AP104" i="2"/>
  <c r="AP97" i="2"/>
  <c r="AO128" i="2"/>
  <c r="AP60" i="2"/>
  <c r="AP128" i="2" s="1"/>
  <c r="AP93" i="2"/>
  <c r="AP92" i="2" l="1"/>
  <c r="AP73" i="2"/>
  <c r="AL112" i="2"/>
  <c r="AH112" i="2"/>
  <c r="AK112" i="2"/>
  <c r="AD126" i="2"/>
  <c r="AO126" i="2"/>
  <c r="AO127" i="2"/>
  <c r="AD127" i="2"/>
  <c r="AL127" i="2" s="1"/>
  <c r="AK92" i="2"/>
  <c r="AH92" i="2"/>
  <c r="AM99" i="2"/>
  <c r="AO99" i="2" s="1"/>
  <c r="AI113" i="2"/>
  <c r="AB114" i="2"/>
  <c r="AC113" i="2"/>
  <c r="AE113" i="2"/>
  <c r="AD113" i="2" s="1"/>
  <c r="AS113" i="2"/>
  <c r="U79" i="1"/>
  <c r="V79" i="1" s="1"/>
  <c r="AK111" i="2"/>
  <c r="AH111" i="2"/>
  <c r="AL111" i="2"/>
  <c r="AM111" i="2" s="1"/>
  <c r="AO111" i="2" s="1"/>
  <c r="AP111" i="2" s="1"/>
  <c r="AP127" i="2" l="1"/>
  <c r="AM112" i="2"/>
  <c r="AO112" i="2" s="1"/>
  <c r="AH126" i="2"/>
  <c r="AK126" i="2"/>
  <c r="AP99" i="2"/>
  <c r="AL126" i="2"/>
  <c r="AP126" i="2" s="1"/>
  <c r="AL113" i="2"/>
  <c r="AH113" i="2"/>
  <c r="AK113" i="2"/>
  <c r="AC114" i="2"/>
  <c r="AB115" i="2"/>
  <c r="AS114" i="2"/>
  <c r="AE114" i="2"/>
  <c r="AD114" i="2" s="1"/>
  <c r="U80" i="1"/>
  <c r="V80" i="1" s="1"/>
  <c r="AI114" i="2"/>
  <c r="AH127" i="2"/>
  <c r="AK127" i="2"/>
  <c r="AI115" i="2" l="1"/>
  <c r="AC115" i="2"/>
  <c r="AS115" i="2"/>
  <c r="U81" i="1"/>
  <c r="V81" i="1" s="1"/>
  <c r="AE115" i="2"/>
  <c r="AB116" i="2"/>
  <c r="AP112" i="2"/>
  <c r="AL114" i="2"/>
  <c r="AK114" i="2"/>
  <c r="AH114" i="2"/>
  <c r="AM113" i="2"/>
  <c r="AO113" i="2" s="1"/>
  <c r="AP113" i="2" l="1"/>
  <c r="AD115" i="2"/>
  <c r="AI116" i="2"/>
  <c r="AS116" i="2"/>
  <c r="U82" i="1"/>
  <c r="V82" i="1" s="1"/>
  <c r="AC116" i="2"/>
  <c r="AB117" i="2"/>
  <c r="AE116" i="2"/>
  <c r="AM114" i="2"/>
  <c r="AO114" i="2" s="1"/>
  <c r="AP114" i="2" l="1"/>
  <c r="AD116" i="2"/>
  <c r="AH115" i="2"/>
  <c r="AK115" i="2"/>
  <c r="AS117" i="2"/>
  <c r="AI117" i="2"/>
  <c r="U83" i="1"/>
  <c r="V83" i="1" s="1"/>
  <c r="AB118" i="2"/>
  <c r="AC117" i="2"/>
  <c r="AE117" i="2"/>
  <c r="AL115" i="2"/>
  <c r="AM115" i="2" l="1"/>
  <c r="AO115" i="2" s="1"/>
  <c r="AI118" i="2"/>
  <c r="AC118" i="2"/>
  <c r="AE118" i="2"/>
  <c r="U84" i="1"/>
  <c r="V84" i="1" s="1"/>
  <c r="AB119" i="2"/>
  <c r="AS118" i="2"/>
  <c r="AH116" i="2"/>
  <c r="AK116" i="2"/>
  <c r="AD117" i="2"/>
  <c r="AL116" i="2"/>
  <c r="AD118" i="2" l="1"/>
  <c r="AL118" i="2" s="1"/>
  <c r="AP115" i="2"/>
  <c r="AK117" i="2"/>
  <c r="AH117" i="2"/>
  <c r="AL117" i="2"/>
  <c r="AB120" i="2"/>
  <c r="AE119" i="2"/>
  <c r="AD119" i="2" s="1"/>
  <c r="U85" i="1"/>
  <c r="V85" i="1" s="1"/>
  <c r="AC119" i="2"/>
  <c r="AI119" i="2"/>
  <c r="AS119" i="2"/>
  <c r="AM116" i="2"/>
  <c r="AO116" i="2" s="1"/>
  <c r="AM118" i="2" l="1"/>
  <c r="AO118" i="2" s="1"/>
  <c r="AP116" i="2"/>
  <c r="AK118" i="2"/>
  <c r="AH118" i="2"/>
  <c r="AM117" i="2"/>
  <c r="AO117" i="2" s="1"/>
  <c r="AB121" i="2"/>
  <c r="AS120" i="2"/>
  <c r="AE120" i="2"/>
  <c r="AD120" i="2" s="1"/>
  <c r="U86" i="1"/>
  <c r="V86" i="1" s="1"/>
  <c r="AI120" i="2"/>
  <c r="AC120" i="2"/>
  <c r="AL119" i="2"/>
  <c r="AK119" i="2"/>
  <c r="AH119" i="2"/>
  <c r="AP118" i="2" l="1"/>
  <c r="AL120" i="2"/>
  <c r="AM120" i="2" s="1"/>
  <c r="AO120" i="2" s="1"/>
  <c r="AP120" i="2" s="1"/>
  <c r="AK120" i="2"/>
  <c r="AH120" i="2"/>
  <c r="AM119" i="2"/>
  <c r="AO119" i="2" s="1"/>
  <c r="AE121" i="2"/>
  <c r="U87" i="1"/>
  <c r="V87" i="1" s="1"/>
  <c r="AB122" i="2"/>
  <c r="AS121" i="2"/>
  <c r="AI121" i="2"/>
  <c r="AC121" i="2"/>
  <c r="AP117" i="2"/>
  <c r="AD121" i="2" l="1"/>
  <c r="AP119" i="2"/>
  <c r="AI122" i="2"/>
  <c r="AS122" i="2"/>
  <c r="AC122" i="2"/>
  <c r="AE122" i="2"/>
  <c r="U88" i="1"/>
  <c r="V88" i="1" s="1"/>
  <c r="AB123" i="2"/>
  <c r="AS123" i="2" l="1"/>
  <c r="AE123" i="2"/>
  <c r="AI123" i="2"/>
  <c r="AB124" i="2"/>
  <c r="AC123" i="2"/>
  <c r="U89" i="1"/>
  <c r="V89" i="1" s="1"/>
  <c r="AH121" i="2"/>
  <c r="AK121" i="2"/>
  <c r="AD122" i="2"/>
  <c r="AL121" i="2"/>
  <c r="AM121" i="2" l="1"/>
  <c r="AO121" i="2" s="1"/>
  <c r="AH122" i="2"/>
  <c r="AK122" i="2"/>
  <c r="AS124" i="2"/>
  <c r="AC124" i="2"/>
  <c r="U90" i="1"/>
  <c r="V90" i="1" s="1"/>
  <c r="AE124" i="2"/>
  <c r="AI124" i="2"/>
  <c r="AB125" i="2"/>
  <c r="AL122" i="2"/>
  <c r="AD123" i="2"/>
  <c r="AL123" i="2" s="1"/>
  <c r="AM123" i="2" l="1"/>
  <c r="AO123" i="2" s="1"/>
  <c r="U91" i="1"/>
  <c r="V91" i="1" s="1"/>
  <c r="AE125" i="2"/>
  <c r="AI125" i="2"/>
  <c r="AS125" i="2"/>
  <c r="AC125" i="2"/>
  <c r="AM122" i="2"/>
  <c r="AO122" i="2" s="1"/>
  <c r="AH123" i="2"/>
  <c r="AK123" i="2"/>
  <c r="AD124" i="2"/>
  <c r="AP121" i="2"/>
  <c r="AP122" i="2" l="1"/>
  <c r="AK124" i="2"/>
  <c r="AH124" i="2"/>
  <c r="AL124" i="2"/>
  <c r="AD125" i="2"/>
  <c r="AP123" i="2"/>
  <c r="AM124" i="2" l="1"/>
  <c r="AO124" i="2" s="1"/>
  <c r="AH125" i="2"/>
  <c r="AK125" i="2"/>
  <c r="AL125" i="2"/>
  <c r="AM125" i="2" l="1"/>
  <c r="AO125" i="2" s="1"/>
  <c r="AP124" i="2"/>
  <c r="AP125" i="2" l="1"/>
  <c r="N40" i="3" l="1"/>
  <c r="N42" i="3"/>
  <c r="N41" i="3"/>
  <c r="W53" i="2"/>
  <c r="AC10" i="18176" s="1"/>
  <c r="AC5" i="18176" s="1"/>
  <c r="M70" i="4" l="1"/>
  <c r="O70" i="4" s="1"/>
  <c r="T70" i="4" s="1"/>
  <c r="U70" i="4" s="1"/>
  <c r="V70" i="4" s="1"/>
  <c r="W70" i="4" s="1"/>
  <c r="X70" i="4" s="1"/>
  <c r="Y70" i="4" s="1"/>
  <c r="Z70" i="4" s="1"/>
  <c r="AA70" i="4" s="1"/>
  <c r="AB70" i="4" s="1"/>
  <c r="AC70" i="4" s="1"/>
  <c r="AD70" i="4" s="1"/>
  <c r="AE70" i="4" s="1"/>
  <c r="AF70" i="4" s="1"/>
  <c r="AG70" i="4" s="1"/>
  <c r="AH70" i="4" s="1"/>
  <c r="AI70" i="4" s="1"/>
  <c r="AJ70" i="4" s="1"/>
  <c r="AK70" i="4" s="1"/>
  <c r="AL70" i="4" s="1"/>
  <c r="AM70" i="4" s="1"/>
  <c r="AN70" i="4" s="1"/>
  <c r="AO70" i="4" s="1"/>
  <c r="AP70" i="4" s="1"/>
  <c r="AQ70" i="4" s="1"/>
  <c r="AR70" i="4" s="1"/>
  <c r="AS70" i="4" s="1"/>
  <c r="AT70" i="4" s="1"/>
  <c r="AU70" i="4" s="1"/>
  <c r="AV70" i="4" s="1"/>
  <c r="AW70" i="4" s="1"/>
  <c r="AX70" i="4" s="1"/>
  <c r="AY70" i="4" s="1"/>
  <c r="AZ70" i="4" s="1"/>
  <c r="BA70" i="4" s="1"/>
  <c r="BB70" i="4" s="1"/>
  <c r="BC70" i="4" s="1"/>
  <c r="BD70" i="4" s="1"/>
  <c r="BE70" i="4" s="1"/>
  <c r="BF70" i="4" s="1"/>
  <c r="BG70" i="4" s="1"/>
  <c r="BH70" i="4" s="1"/>
  <c r="BI70" i="4" s="1"/>
  <c r="BJ70" i="4" s="1"/>
  <c r="BK70" i="4" s="1"/>
  <c r="BL70" i="4" s="1"/>
  <c r="BM70" i="4" s="1"/>
  <c r="BN70" i="4" s="1"/>
  <c r="BO70" i="4" s="1"/>
  <c r="BP70" i="4" s="1"/>
  <c r="BQ70" i="4" s="1"/>
  <c r="BR70" i="4" s="1"/>
  <c r="BS70" i="4" s="1"/>
  <c r="BT70" i="4" s="1"/>
  <c r="BU70" i="4" s="1"/>
  <c r="BV70" i="4" s="1"/>
  <c r="BW70" i="4" s="1"/>
  <c r="BX70" i="4" s="1"/>
  <c r="BY70" i="4" s="1"/>
  <c r="BZ70" i="4" s="1"/>
  <c r="CA70" i="4" s="1"/>
  <c r="CB70" i="4" s="1"/>
  <c r="CC70" i="4" s="1"/>
  <c r="CD70" i="4" s="1"/>
  <c r="CE70" i="4" s="1"/>
  <c r="CF70" i="4" s="1"/>
  <c r="CG70" i="4" s="1"/>
  <c r="Y10" i="18176"/>
  <c r="Y5" i="18176" s="1"/>
  <c r="N43" i="3" s="1"/>
  <c r="U10" i="18176"/>
  <c r="U5" i="18176" s="1"/>
  <c r="H13" i="4" s="1"/>
  <c r="I22" i="4" s="1"/>
  <c r="J22" i="4" l="1"/>
  <c r="J34" i="4" s="1"/>
  <c r="N22" i="4"/>
  <c r="I34" i="4"/>
  <c r="BW11" i="4" l="1"/>
  <c r="BT11" i="4"/>
  <c r="BS11" i="4"/>
  <c r="CB11" i="4"/>
  <c r="CG11" i="4"/>
  <c r="BV11" i="4"/>
  <c r="BL12" i="4"/>
  <c r="BZ11" i="4"/>
  <c r="BM11" i="4"/>
  <c r="CC11" i="4"/>
  <c r="CD11" i="4"/>
  <c r="BJ12" i="4"/>
  <c r="BD12" i="4"/>
  <c r="BU11" i="4"/>
  <c r="BY11" i="4"/>
  <c r="CA11" i="4"/>
  <c r="BR11" i="4"/>
  <c r="BI12" i="4"/>
  <c r="BE12" i="4"/>
  <c r="BB12" i="4"/>
  <c r="N34" i="4"/>
  <c r="BC12" i="4"/>
  <c r="BP11" i="4"/>
  <c r="BG12" i="4"/>
  <c r="BO11" i="4"/>
  <c r="CE11" i="4"/>
  <c r="BN11" i="4"/>
  <c r="BF12" i="4"/>
  <c r="BA12" i="4"/>
  <c r="BQ11" i="4"/>
  <c r="BK12" i="4"/>
  <c r="BH12" i="4"/>
  <c r="AZ12" i="4"/>
  <c r="BX11" i="4"/>
  <c r="CF11" i="4"/>
  <c r="BQ12" i="4"/>
  <c r="BS12" i="4"/>
  <c r="BU12" i="4"/>
  <c r="BP12" i="4"/>
  <c r="CE12" i="4"/>
  <c r="BN12" i="4"/>
  <c r="CA12" i="4"/>
  <c r="BW12" i="4"/>
  <c r="CC12" i="4"/>
  <c r="BV12" i="4"/>
  <c r="BO12" i="4"/>
  <c r="BZ12" i="4"/>
  <c r="BX12" i="4"/>
  <c r="CG12" i="4"/>
  <c r="BR12" i="4"/>
  <c r="BY12" i="4"/>
  <c r="CF12" i="4"/>
  <c r="BT12" i="4"/>
  <c r="CB12" i="4"/>
  <c r="CD12" i="4"/>
  <c r="BM12" i="4"/>
  <c r="W52" i="2"/>
  <c r="E70" i="4" s="1"/>
  <c r="G70" i="4" s="1"/>
  <c r="W50" i="2"/>
  <c r="E71" i="4" s="1"/>
  <c r="E73" i="4" s="1"/>
  <c r="G73" i="4" s="1"/>
  <c r="W51" i="2"/>
  <c r="V10" i="18176" s="1"/>
  <c r="V5" i="18176" s="1"/>
  <c r="H14" i="4" s="1"/>
  <c r="I23" i="4" s="1"/>
  <c r="I24" i="4" s="1"/>
  <c r="I36" i="4" s="1"/>
  <c r="Z18" i="2"/>
  <c r="AA10" i="18176"/>
  <c r="AA5" i="18176" s="1"/>
  <c r="AB10" i="18176"/>
  <c r="AB5" i="18176" s="1"/>
  <c r="W10" i="18176"/>
  <c r="W5" i="18176" s="1"/>
  <c r="Z31" i="2" l="1"/>
  <c r="AB18" i="2"/>
  <c r="AB19" i="2" s="1"/>
  <c r="AB20" i="2" s="1"/>
  <c r="X18" i="2"/>
  <c r="X19" i="2" s="1"/>
  <c r="M42" i="2" s="1"/>
  <c r="M71" i="4"/>
  <c r="M73" i="4" s="1"/>
  <c r="O73" i="4" s="1"/>
  <c r="T71" i="4" s="1"/>
  <c r="U71" i="4" s="1"/>
  <c r="O10" i="18176"/>
  <c r="O5" i="18176" s="1"/>
  <c r="H11" i="4" s="1"/>
  <c r="I19" i="4" s="1"/>
  <c r="I31" i="4" s="1"/>
  <c r="X24" i="2"/>
  <c r="X26" i="2" s="1"/>
  <c r="AD26" i="2" s="1"/>
  <c r="X31" i="2"/>
  <c r="AD31" i="2" s="1"/>
  <c r="Z10" i="18176"/>
  <c r="Z5" i="18176" s="1"/>
  <c r="AD10" i="18176"/>
  <c r="AD5" i="18176" s="1"/>
  <c r="M41" i="2"/>
  <c r="X10" i="18176"/>
  <c r="X5" i="18176" s="1"/>
  <c r="O71" i="4"/>
  <c r="T65" i="4"/>
  <c r="U65" i="4" s="1"/>
  <c r="V65" i="4" s="1"/>
  <c r="W65" i="4" s="1"/>
  <c r="X65" i="4" s="1"/>
  <c r="Y65" i="4" s="1"/>
  <c r="Z65" i="4" s="1"/>
  <c r="AA65" i="4" s="1"/>
  <c r="G71" i="4"/>
  <c r="T73" i="4"/>
  <c r="AB31" i="2"/>
  <c r="P10" i="18176"/>
  <c r="P5" i="18176" s="1"/>
  <c r="H12" i="4" s="1"/>
  <c r="AD18" i="2"/>
  <c r="AD19" i="2" s="1"/>
  <c r="AD24" i="2" s="1"/>
  <c r="AD29" i="2" s="1"/>
  <c r="BD81" i="4"/>
  <c r="CG81" i="4"/>
  <c r="AA81" i="4"/>
  <c r="X81" i="4"/>
  <c r="W81" i="4"/>
  <c r="CF81" i="4"/>
  <c r="BH81" i="4"/>
  <c r="Z81" i="4"/>
  <c r="BP81" i="4"/>
  <c r="BT81" i="4"/>
  <c r="BL81" i="4"/>
  <c r="Y81" i="4"/>
  <c r="AZ81" i="4"/>
  <c r="AN81" i="4"/>
  <c r="AB81" i="4"/>
  <c r="AR81" i="4"/>
  <c r="BX81" i="4"/>
  <c r="AD81" i="4"/>
  <c r="V81" i="4"/>
  <c r="AV81" i="4"/>
  <c r="CB81" i="4"/>
  <c r="AC81" i="4"/>
  <c r="U81" i="4"/>
  <c r="T81" i="4"/>
  <c r="V71" i="4"/>
  <c r="U73" i="4"/>
  <c r="X20" i="2"/>
  <c r="Z19" i="2"/>
  <c r="Z20" i="2" s="1"/>
  <c r="Z24" i="2"/>
  <c r="X25" i="2"/>
  <c r="AO81" i="4"/>
  <c r="AS81" i="4"/>
  <c r="AW81" i="4"/>
  <c r="BA81" i="4"/>
  <c r="BE81" i="4"/>
  <c r="BI81" i="4"/>
  <c r="BM81" i="4"/>
  <c r="BQ81" i="4"/>
  <c r="BU81" i="4"/>
  <c r="BY81" i="4"/>
  <c r="CC81" i="4"/>
  <c r="AK81" i="4"/>
  <c r="AI81" i="4"/>
  <c r="AE81" i="4"/>
  <c r="AL81" i="4"/>
  <c r="AP81" i="4"/>
  <c r="AT81" i="4"/>
  <c r="AX81" i="4"/>
  <c r="BB81" i="4"/>
  <c r="BF81" i="4"/>
  <c r="BJ81" i="4"/>
  <c r="BN81" i="4"/>
  <c r="BR81" i="4"/>
  <c r="BV81" i="4"/>
  <c r="BZ81" i="4"/>
  <c r="CD81" i="4"/>
  <c r="T63" i="4"/>
  <c r="AH81" i="4"/>
  <c r="AM81" i="4"/>
  <c r="AQ81" i="4"/>
  <c r="AU81" i="4"/>
  <c r="AY81" i="4"/>
  <c r="BC81" i="4"/>
  <c r="BG81" i="4"/>
  <c r="BK81" i="4"/>
  <c r="BO81" i="4"/>
  <c r="BS81" i="4"/>
  <c r="BW81" i="4"/>
  <c r="CA81" i="4"/>
  <c r="CE81" i="4"/>
  <c r="AG81" i="4"/>
  <c r="AJ81" i="4"/>
  <c r="AF81" i="4"/>
  <c r="H26" i="2"/>
  <c r="H26" i="3" s="1"/>
  <c r="J26" i="2"/>
  <c r="J23" i="4"/>
  <c r="V39" i="2"/>
  <c r="N23" i="4"/>
  <c r="I35" i="4"/>
  <c r="X39" i="2" l="1"/>
  <c r="X40" i="2" s="1"/>
  <c r="X29" i="2"/>
  <c r="X32" i="2"/>
  <c r="W33" i="2" s="1"/>
  <c r="J19" i="4"/>
  <c r="J31" i="4" s="1"/>
  <c r="BX10" i="4" s="1"/>
  <c r="AD33" i="2"/>
  <c r="AD37" i="2" s="1"/>
  <c r="I20" i="4"/>
  <c r="J20" i="4" s="1"/>
  <c r="AB39" i="2"/>
  <c r="AB33" i="2"/>
  <c r="J28" i="2"/>
  <c r="J29" i="2" s="1"/>
  <c r="L30" i="50873"/>
  <c r="L31" i="50873" s="1"/>
  <c r="K27" i="3"/>
  <c r="K28" i="3" s="1"/>
  <c r="AB65" i="4"/>
  <c r="AL77" i="4"/>
  <c r="AJ77" i="4"/>
  <c r="X33" i="2"/>
  <c r="W71" i="4"/>
  <c r="V73" i="4"/>
  <c r="U63" i="4"/>
  <c r="K42" i="2"/>
  <c r="W24" i="2"/>
  <c r="K41" i="2"/>
  <c r="AB24" i="2"/>
  <c r="Z39" i="2"/>
  <c r="Z29" i="2"/>
  <c r="Z26" i="2"/>
  <c r="Z33" i="2"/>
  <c r="I29" i="50873"/>
  <c r="J35" i="4"/>
  <c r="BS84" i="4" s="1"/>
  <c r="BS85" i="4" s="1"/>
  <c r="J24" i="4"/>
  <c r="J36" i="4" s="1"/>
  <c r="BJ10" i="4"/>
  <c r="BK10" i="4"/>
  <c r="BI10" i="4"/>
  <c r="CD9" i="4"/>
  <c r="BF10" i="4"/>
  <c r="BG10" i="4"/>
  <c r="BH10" i="4"/>
  <c r="BE10" i="4"/>
  <c r="BD10" i="4"/>
  <c r="BB10" i="4"/>
  <c r="BB51" i="4" s="1"/>
  <c r="BW9" i="4"/>
  <c r="BL10" i="4"/>
  <c r="BC10" i="4"/>
  <c r="BR9" i="4"/>
  <c r="CF9" i="4"/>
  <c r="BX9" i="4"/>
  <c r="CE9" i="4"/>
  <c r="BN9" i="4"/>
  <c r="BY9" i="4"/>
  <c r="BM9" i="4"/>
  <c r="BO9" i="4"/>
  <c r="CC9" i="4"/>
  <c r="AZ10" i="4"/>
  <c r="BU9" i="4"/>
  <c r="BZ9" i="4"/>
  <c r="BS9" i="4"/>
  <c r="BQ9" i="4"/>
  <c r="BT9" i="4"/>
  <c r="CA9" i="4"/>
  <c r="BV9" i="4"/>
  <c r="CB9" i="4"/>
  <c r="BA10" i="4"/>
  <c r="BP9" i="4"/>
  <c r="CG9" i="4"/>
  <c r="CG15" i="4"/>
  <c r="CA15" i="4"/>
  <c r="BS15" i="4"/>
  <c r="BV15" i="4"/>
  <c r="BQ15" i="4"/>
  <c r="BO15" i="4"/>
  <c r="BE16" i="4"/>
  <c r="BE18" i="4" s="1"/>
  <c r="BE20" i="4" s="1"/>
  <c r="BT15" i="4"/>
  <c r="BJ16" i="4"/>
  <c r="BJ18" i="4" s="1"/>
  <c r="BJ20" i="4" s="1"/>
  <c r="BI16" i="4"/>
  <c r="BI18" i="4" s="1"/>
  <c r="BI20" i="4" s="1"/>
  <c r="BH16" i="4"/>
  <c r="BH18" i="4" s="1"/>
  <c r="BH20" i="4" s="1"/>
  <c r="BF16" i="4"/>
  <c r="BF18" i="4" s="1"/>
  <c r="BF20" i="4" s="1"/>
  <c r="CE15" i="4"/>
  <c r="BR15" i="4"/>
  <c r="BP15" i="4"/>
  <c r="BK16" i="4"/>
  <c r="BK18" i="4" s="1"/>
  <c r="BK20" i="4" s="1"/>
  <c r="BG16" i="4"/>
  <c r="BG18" i="4" s="1"/>
  <c r="BG20" i="4" s="1"/>
  <c r="BB16" i="4"/>
  <c r="BB18" i="4" s="1"/>
  <c r="BB20" i="4" s="1"/>
  <c r="BZ15" i="4"/>
  <c r="BX15" i="4"/>
  <c r="BN15" i="4"/>
  <c r="BC16" i="4"/>
  <c r="BC18" i="4" s="1"/>
  <c r="BC20" i="4" s="1"/>
  <c r="BY15" i="4"/>
  <c r="BD16" i="4"/>
  <c r="BD18" i="4" s="1"/>
  <c r="BD20" i="4" s="1"/>
  <c r="CD15" i="4"/>
  <c r="CB15" i="4"/>
  <c r="BM15" i="4"/>
  <c r="BL16" i="4"/>
  <c r="BL18" i="4" s="1"/>
  <c r="BL20" i="4" s="1"/>
  <c r="CF15" i="4"/>
  <c r="CC15" i="4"/>
  <c r="BW15" i="4"/>
  <c r="BU15" i="4"/>
  <c r="BK84" i="4"/>
  <c r="BK85" i="4" s="1"/>
  <c r="BA16" i="4"/>
  <c r="BA18" i="4" s="1"/>
  <c r="BA20" i="4" s="1"/>
  <c r="BD84" i="4"/>
  <c r="BD85" i="4" s="1"/>
  <c r="BH84" i="4"/>
  <c r="BH85" i="4" s="1"/>
  <c r="N35" i="4"/>
  <c r="BF84" i="4"/>
  <c r="BF85" i="4" s="1"/>
  <c r="AZ16" i="4"/>
  <c r="AZ18" i="4" s="1"/>
  <c r="AZ20" i="4" s="1"/>
  <c r="BL84" i="4"/>
  <c r="BL85" i="4" s="1"/>
  <c r="BA84" i="4"/>
  <c r="BA85" i="4" s="1"/>
  <c r="BC84" i="4"/>
  <c r="BC85" i="4" s="1"/>
  <c r="BJ84" i="4"/>
  <c r="BJ85" i="4" s="1"/>
  <c r="BB84" i="4"/>
  <c r="BB85" i="4" s="1"/>
  <c r="BI84" i="4"/>
  <c r="BI85" i="4" s="1"/>
  <c r="BM84" i="4"/>
  <c r="BM85" i="4" s="1"/>
  <c r="BG84" i="4"/>
  <c r="BG85" i="4" s="1"/>
  <c r="BE84" i="4"/>
  <c r="BE85" i="4" s="1"/>
  <c r="BT10" i="4" l="1"/>
  <c r="BT51" i="4" s="1"/>
  <c r="BS10" i="4"/>
  <c r="BS51" i="4" s="1"/>
  <c r="CE10" i="4"/>
  <c r="CE51" i="4" s="1"/>
  <c r="CB10" i="4"/>
  <c r="CB51" i="4" s="1"/>
  <c r="CC10" i="4"/>
  <c r="CC51" i="4" s="1"/>
  <c r="BR10" i="4"/>
  <c r="BU10" i="4"/>
  <c r="BU51" i="4" s="1"/>
  <c r="BV10" i="4"/>
  <c r="BV51" i="4" s="1"/>
  <c r="BO10" i="4"/>
  <c r="BO51" i="4" s="1"/>
  <c r="CG10" i="4"/>
  <c r="CG51" i="4" s="1"/>
  <c r="BP10" i="4"/>
  <c r="BP51" i="4" s="1"/>
  <c r="CF10" i="4"/>
  <c r="CF51" i="4" s="1"/>
  <c r="CA10" i="4"/>
  <c r="CA51" i="4" s="1"/>
  <c r="BM10" i="4"/>
  <c r="BM51" i="4" s="1"/>
  <c r="BW10" i="4"/>
  <c r="BW51" i="4" s="1"/>
  <c r="BY10" i="4"/>
  <c r="BY51" i="4" s="1"/>
  <c r="CD10" i="4"/>
  <c r="CD51" i="4" s="1"/>
  <c r="BQ10" i="4"/>
  <c r="BQ51" i="4" s="1"/>
  <c r="BN10" i="4"/>
  <c r="BN51" i="4" s="1"/>
  <c r="BZ10" i="4"/>
  <c r="BZ51" i="4" s="1"/>
  <c r="I32" i="4"/>
  <c r="CG13" i="4" s="1"/>
  <c r="Z40" i="2"/>
  <c r="I21" i="4"/>
  <c r="I33" i="4" s="1"/>
  <c r="AB37" i="2"/>
  <c r="AB34" i="2"/>
  <c r="AB29" i="2"/>
  <c r="AB26" i="2"/>
  <c r="AB40" i="2" s="1"/>
  <c r="X37" i="2"/>
  <c r="X34" i="2"/>
  <c r="AM77" i="4"/>
  <c r="AL62" i="4"/>
  <c r="AL66" i="4" s="1"/>
  <c r="W156" i="8194"/>
  <c r="W183" i="8194" s="1"/>
  <c r="W184" i="8194" s="1"/>
  <c r="W185" i="8194" s="1"/>
  <c r="W186" i="8194" s="1"/>
  <c r="AL43" i="4"/>
  <c r="AJ62" i="4"/>
  <c r="AJ66" i="4" s="1"/>
  <c r="AI77" i="4"/>
  <c r="AJ43" i="4"/>
  <c r="U156" i="8194"/>
  <c r="U183" i="8194" s="1"/>
  <c r="U184" i="8194" s="1"/>
  <c r="U185" i="8194" s="1"/>
  <c r="U186" i="8194" s="1"/>
  <c r="Z37" i="2"/>
  <c r="Z34" i="2"/>
  <c r="AC65" i="4"/>
  <c r="V63" i="4"/>
  <c r="I59" i="50873"/>
  <c r="B56" i="50873"/>
  <c r="I61" i="50873"/>
  <c r="C55" i="50873"/>
  <c r="G61" i="50873"/>
  <c r="L59" i="50873" s="1"/>
  <c r="F56" i="50873"/>
  <c r="I58" i="50873"/>
  <c r="B64" i="50873"/>
  <c r="G56" i="50873"/>
  <c r="X71" i="4"/>
  <c r="W73" i="4"/>
  <c r="H62" i="2"/>
  <c r="H61" i="2"/>
  <c r="F62" i="2"/>
  <c r="F57" i="2"/>
  <c r="J57" i="2" s="1"/>
  <c r="E57" i="2"/>
  <c r="B57" i="2"/>
  <c r="B53" i="3" s="1"/>
  <c r="BO84" i="4"/>
  <c r="BO85" i="4" s="1"/>
  <c r="CC84" i="4"/>
  <c r="CC85" i="4" s="1"/>
  <c r="BZ84" i="4"/>
  <c r="BZ85" i="4" s="1"/>
  <c r="BN84" i="4"/>
  <c r="BN85" i="4" s="1"/>
  <c r="BW84" i="4"/>
  <c r="BW85" i="4" s="1"/>
  <c r="BR84" i="4"/>
  <c r="BR85" i="4" s="1"/>
  <c r="CG84" i="4"/>
  <c r="CG85" i="4" s="1"/>
  <c r="BV84" i="4"/>
  <c r="BV85" i="4" s="1"/>
  <c r="CA84" i="4"/>
  <c r="CA85" i="4" s="1"/>
  <c r="BX84" i="4"/>
  <c r="BX85" i="4" s="1"/>
  <c r="CB84" i="4"/>
  <c r="CB85" i="4" s="1"/>
  <c r="BU84" i="4"/>
  <c r="BU85" i="4" s="1"/>
  <c r="BQ84" i="4"/>
  <c r="BQ85" i="4" s="1"/>
  <c r="CE84" i="4"/>
  <c r="CE85" i="4" s="1"/>
  <c r="BY84" i="4"/>
  <c r="BY85" i="4" s="1"/>
  <c r="CF84" i="4"/>
  <c r="CF85" i="4" s="1"/>
  <c r="BT84" i="4"/>
  <c r="BT85" i="4" s="1"/>
  <c r="CD84" i="4"/>
  <c r="CD85" i="4" s="1"/>
  <c r="BP84" i="4"/>
  <c r="BP85" i="4" s="1"/>
  <c r="BR51" i="4"/>
  <c r="BG51" i="4"/>
  <c r="BC51" i="4"/>
  <c r="BF51" i="4"/>
  <c r="CF16" i="4"/>
  <c r="CF18" i="4" s="1"/>
  <c r="CF20" i="4" s="1"/>
  <c r="CC16" i="4"/>
  <c r="CC18" i="4" s="1"/>
  <c r="CC20" i="4" s="1"/>
  <c r="BW16" i="4"/>
  <c r="BW18" i="4" s="1"/>
  <c r="BW20" i="4" s="1"/>
  <c r="BU16" i="4"/>
  <c r="BU18" i="4" s="1"/>
  <c r="BU20" i="4" s="1"/>
  <c r="CA16" i="4"/>
  <c r="CA18" i="4" s="1"/>
  <c r="CA20" i="4" s="1"/>
  <c r="BS16" i="4"/>
  <c r="BS18" i="4" s="1"/>
  <c r="BS20" i="4" s="1"/>
  <c r="BV16" i="4"/>
  <c r="BV18" i="4" s="1"/>
  <c r="BV20" i="4" s="1"/>
  <c r="BQ16" i="4"/>
  <c r="BQ18" i="4" s="1"/>
  <c r="BQ20" i="4" s="1"/>
  <c r="BO16" i="4"/>
  <c r="BO18" i="4" s="1"/>
  <c r="BO20" i="4" s="1"/>
  <c r="CG16" i="4"/>
  <c r="CG18" i="4" s="1"/>
  <c r="CG20" i="4" s="1"/>
  <c r="BT16" i="4"/>
  <c r="BT18" i="4" s="1"/>
  <c r="BT20" i="4" s="1"/>
  <c r="CE16" i="4"/>
  <c r="CE18" i="4" s="1"/>
  <c r="CE20" i="4" s="1"/>
  <c r="BR16" i="4"/>
  <c r="BR18" i="4" s="1"/>
  <c r="BR20" i="4" s="1"/>
  <c r="BP16" i="4"/>
  <c r="BP18" i="4" s="1"/>
  <c r="BP20" i="4" s="1"/>
  <c r="BZ16" i="4"/>
  <c r="BZ18" i="4" s="1"/>
  <c r="BZ20" i="4" s="1"/>
  <c r="BX16" i="4"/>
  <c r="BX18" i="4" s="1"/>
  <c r="BX20" i="4" s="1"/>
  <c r="BN16" i="4"/>
  <c r="BN18" i="4" s="1"/>
  <c r="BN20" i="4" s="1"/>
  <c r="BY16" i="4"/>
  <c r="BY18" i="4" s="1"/>
  <c r="BY20" i="4" s="1"/>
  <c r="CD16" i="4"/>
  <c r="CD18" i="4" s="1"/>
  <c r="CD20" i="4" s="1"/>
  <c r="CB16" i="4"/>
  <c r="CB18" i="4" s="1"/>
  <c r="CB20" i="4" s="1"/>
  <c r="BM16" i="4"/>
  <c r="BM18" i="4" s="1"/>
  <c r="BM20" i="4" s="1"/>
  <c r="BL51" i="4"/>
  <c r="BI51" i="4"/>
  <c r="BK51" i="4"/>
  <c r="BD51" i="4"/>
  <c r="BJ51" i="4"/>
  <c r="BA51" i="4"/>
  <c r="BX51" i="4"/>
  <c r="BE51" i="4"/>
  <c r="J32" i="4"/>
  <c r="J21" i="4"/>
  <c r="J33" i="4" s="1"/>
  <c r="AZ51" i="4"/>
  <c r="BH51" i="4"/>
  <c r="BD14" i="4" l="1"/>
  <c r="BD17" i="4" s="1"/>
  <c r="BD19" i="4" s="1"/>
  <c r="BH82" i="4"/>
  <c r="BH83" i="4" s="1"/>
  <c r="BJ82" i="4"/>
  <c r="BJ83" i="4" s="1"/>
  <c r="BZ13" i="4"/>
  <c r="BI82" i="4"/>
  <c r="BI83" i="4" s="1"/>
  <c r="BM82" i="4"/>
  <c r="BM83" i="4" s="1"/>
  <c r="BK82" i="4"/>
  <c r="BK83" i="4" s="1"/>
  <c r="BG82" i="4"/>
  <c r="BG83" i="4" s="1"/>
  <c r="AZ14" i="4"/>
  <c r="AZ17" i="4" s="1"/>
  <c r="AZ19" i="4" s="1"/>
  <c r="AZ52" i="4" s="1"/>
  <c r="AZ54" i="4" s="1"/>
  <c r="BC92" i="2" s="1"/>
  <c r="BL82" i="4"/>
  <c r="BL83" i="4" s="1"/>
  <c r="BV13" i="4"/>
  <c r="BS13" i="4"/>
  <c r="BL14" i="4"/>
  <c r="BL17" i="4" s="1"/>
  <c r="BL19" i="4" s="1"/>
  <c r="BL52" i="4" s="1"/>
  <c r="BL54" i="4" s="1"/>
  <c r="BC104" i="2" s="1"/>
  <c r="CF13" i="4"/>
  <c r="BI14" i="4"/>
  <c r="BI17" i="4" s="1"/>
  <c r="BI19" i="4" s="1"/>
  <c r="BI52" i="4" s="1"/>
  <c r="BI54" i="4" s="1"/>
  <c r="BC101" i="2" s="1"/>
  <c r="CD13" i="4"/>
  <c r="BJ14" i="4"/>
  <c r="BJ17" i="4" s="1"/>
  <c r="BJ19" i="4" s="1"/>
  <c r="BJ52" i="4" s="1"/>
  <c r="BJ54" i="4" s="1"/>
  <c r="BC102" i="2" s="1"/>
  <c r="BG14" i="4"/>
  <c r="BG17" i="4" s="1"/>
  <c r="BG19" i="4" s="1"/>
  <c r="BG52" i="4" s="1"/>
  <c r="BG54" i="4" s="1"/>
  <c r="BC99" i="2" s="1"/>
  <c r="CE13" i="4"/>
  <c r="BK14" i="4"/>
  <c r="BK17" i="4" s="1"/>
  <c r="BK19" i="4" s="1"/>
  <c r="BK52" i="4" s="1"/>
  <c r="BK54" i="4" s="1"/>
  <c r="BC103" i="2" s="1"/>
  <c r="BE14" i="4"/>
  <c r="BE17" i="4" s="1"/>
  <c r="BE19" i="4" s="1"/>
  <c r="BE52" i="4" s="1"/>
  <c r="BE54" i="4" s="1"/>
  <c r="BC97" i="2" s="1"/>
  <c r="BA82" i="4"/>
  <c r="BA83" i="4" s="1"/>
  <c r="BP13" i="4"/>
  <c r="CA13" i="4"/>
  <c r="BM13" i="4"/>
  <c r="BN13" i="4"/>
  <c r="BY82" i="4"/>
  <c r="BY83" i="4" s="1"/>
  <c r="BE82" i="4"/>
  <c r="BE83" i="4" s="1"/>
  <c r="BR13" i="4"/>
  <c r="BA14" i="4"/>
  <c r="BA17" i="4" s="1"/>
  <c r="BA19" i="4" s="1"/>
  <c r="BA52" i="4" s="1"/>
  <c r="BA54" i="4" s="1"/>
  <c r="BC93" i="2" s="1"/>
  <c r="CB13" i="4"/>
  <c r="BX13" i="4"/>
  <c r="BC82" i="4"/>
  <c r="BC83" i="4" s="1"/>
  <c r="BB14" i="4"/>
  <c r="BB17" i="4" s="1"/>
  <c r="BB19" i="4" s="1"/>
  <c r="BB52" i="4" s="1"/>
  <c r="BB54" i="4" s="1"/>
  <c r="BC94" i="2" s="1"/>
  <c r="BT13" i="4"/>
  <c r="BU13" i="4"/>
  <c r="BC14" i="4"/>
  <c r="BC17" i="4" s="1"/>
  <c r="BC19" i="4" s="1"/>
  <c r="BC52" i="4" s="1"/>
  <c r="BC54" i="4" s="1"/>
  <c r="BC95" i="2" s="1"/>
  <c r="BB82" i="4"/>
  <c r="BB83" i="4" s="1"/>
  <c r="BD82" i="4"/>
  <c r="BD83" i="4" s="1"/>
  <c r="BF14" i="4"/>
  <c r="BF17" i="4" s="1"/>
  <c r="BF19" i="4" s="1"/>
  <c r="BF52" i="4" s="1"/>
  <c r="BF54" i="4" s="1"/>
  <c r="BC98" i="2" s="1"/>
  <c r="BO13" i="4"/>
  <c r="BW13" i="4"/>
  <c r="BY13" i="4"/>
  <c r="BF82" i="4"/>
  <c r="BF83" i="4" s="1"/>
  <c r="BH14" i="4"/>
  <c r="BH17" i="4" s="1"/>
  <c r="BH19" i="4" s="1"/>
  <c r="BH52" i="4" s="1"/>
  <c r="BH54" i="4" s="1"/>
  <c r="BC100" i="2" s="1"/>
  <c r="BQ13" i="4"/>
  <c r="CC13" i="4"/>
  <c r="AD65" i="4"/>
  <c r="AN77" i="4"/>
  <c r="AM62" i="4"/>
  <c r="AM66" i="4" s="1"/>
  <c r="AM43" i="4"/>
  <c r="X156" i="8194"/>
  <c r="X183" i="8194" s="1"/>
  <c r="X184" i="8194" s="1"/>
  <c r="X185" i="8194" s="1"/>
  <c r="X186" i="8194" s="1"/>
  <c r="K11" i="1"/>
  <c r="K58" i="3"/>
  <c r="Y71" i="4"/>
  <c r="X73" i="4"/>
  <c r="AJ27" i="4"/>
  <c r="AJ26" i="4" s="1"/>
  <c r="AY76" i="2"/>
  <c r="AJ46" i="4"/>
  <c r="AJ45" i="4"/>
  <c r="AI62" i="4"/>
  <c r="AI66" i="4" s="1"/>
  <c r="T156" i="8194"/>
  <c r="T183" i="8194" s="1"/>
  <c r="T184" i="8194" s="1"/>
  <c r="T185" i="8194" s="1"/>
  <c r="T186" i="8194" s="1"/>
  <c r="AH77" i="4"/>
  <c r="AI43" i="4"/>
  <c r="B58" i="50873"/>
  <c r="H58" i="50873"/>
  <c r="W63" i="4"/>
  <c r="AL27" i="4"/>
  <c r="AL25" i="4" s="1"/>
  <c r="AL45" i="4"/>
  <c r="AY78" i="2"/>
  <c r="AL46" i="4"/>
  <c r="BU82" i="4"/>
  <c r="BU83" i="4" s="1"/>
  <c r="BT82" i="4"/>
  <c r="BT83" i="4" s="1"/>
  <c r="BN82" i="4"/>
  <c r="BN83" i="4" s="1"/>
  <c r="BW82" i="4"/>
  <c r="BW83" i="4" s="1"/>
  <c r="BR82" i="4"/>
  <c r="BR83" i="4" s="1"/>
  <c r="BV82" i="4"/>
  <c r="BV83" i="4" s="1"/>
  <c r="BX82" i="4"/>
  <c r="BX83" i="4" s="1"/>
  <c r="CG82" i="4"/>
  <c r="CG83" i="4" s="1"/>
  <c r="BP82" i="4"/>
  <c r="BP83" i="4" s="1"/>
  <c r="BS82" i="4"/>
  <c r="BS83" i="4" s="1"/>
  <c r="BZ82" i="4"/>
  <c r="BZ83" i="4" s="1"/>
  <c r="CC82" i="4"/>
  <c r="CC83" i="4" s="1"/>
  <c r="BQ82" i="4"/>
  <c r="BQ83" i="4" s="1"/>
  <c r="CB82" i="4"/>
  <c r="CB83" i="4" s="1"/>
  <c r="CD82" i="4"/>
  <c r="CD83" i="4" s="1"/>
  <c r="BO82" i="4"/>
  <c r="BO83" i="4" s="1"/>
  <c r="CF82" i="4"/>
  <c r="CF83" i="4" s="1"/>
  <c r="CE14" i="4"/>
  <c r="BR14" i="4"/>
  <c r="BP14" i="4"/>
  <c r="BZ14" i="4"/>
  <c r="BZ17" i="4" s="1"/>
  <c r="BZ19" i="4" s="1"/>
  <c r="BX14" i="4"/>
  <c r="BN14" i="4"/>
  <c r="BY14" i="4"/>
  <c r="CD14" i="4"/>
  <c r="CB14" i="4"/>
  <c r="BM14" i="4"/>
  <c r="CG14" i="4"/>
  <c r="CG17" i="4" s="1"/>
  <c r="CG19" i="4" s="1"/>
  <c r="CF14" i="4"/>
  <c r="CC14" i="4"/>
  <c r="BW14" i="4"/>
  <c r="BU14" i="4"/>
  <c r="CA14" i="4"/>
  <c r="BS14" i="4"/>
  <c r="BV14" i="4"/>
  <c r="BQ14" i="4"/>
  <c r="BO14" i="4"/>
  <c r="BT14" i="4"/>
  <c r="BD52" i="4"/>
  <c r="BD54" i="4" s="1"/>
  <c r="BC96" i="2" s="1"/>
  <c r="CA82" i="4"/>
  <c r="CA83" i="4" s="1"/>
  <c r="CE82" i="4"/>
  <c r="CE83" i="4" s="1"/>
  <c r="BW17" i="4" l="1"/>
  <c r="BW19" i="4" s="1"/>
  <c r="BW52" i="4" s="1"/>
  <c r="BW54" i="4" s="1"/>
  <c r="BC115" i="2" s="1"/>
  <c r="BV17" i="4"/>
  <c r="BV19" i="4" s="1"/>
  <c r="BS17" i="4"/>
  <c r="BS19" i="4" s="1"/>
  <c r="BR17" i="4"/>
  <c r="BR19" i="4" s="1"/>
  <c r="BR52" i="4" s="1"/>
  <c r="BR54" i="4" s="1"/>
  <c r="BC110" i="2" s="1"/>
  <c r="BX17" i="4"/>
  <c r="BX19" i="4" s="1"/>
  <c r="BX52" i="4" s="1"/>
  <c r="BX54" i="4" s="1"/>
  <c r="BC116" i="2" s="1"/>
  <c r="BQ17" i="4"/>
  <c r="BQ19" i="4" s="1"/>
  <c r="CD17" i="4"/>
  <c r="CD19" i="4" s="1"/>
  <c r="CD52" i="4" s="1"/>
  <c r="CD54" i="4" s="1"/>
  <c r="BC122" i="2" s="1"/>
  <c r="CA17" i="4"/>
  <c r="CA19" i="4" s="1"/>
  <c r="CA52" i="4" s="1"/>
  <c r="CA54" i="4" s="1"/>
  <c r="BC119" i="2" s="1"/>
  <c r="BN17" i="4"/>
  <c r="BN19" i="4" s="1"/>
  <c r="BN52" i="4" s="1"/>
  <c r="BN54" i="4" s="1"/>
  <c r="BC106" i="2" s="1"/>
  <c r="BU17" i="4"/>
  <c r="BU19" i="4" s="1"/>
  <c r="BU52" i="4" s="1"/>
  <c r="BU54" i="4" s="1"/>
  <c r="BC113" i="2" s="1"/>
  <c r="BO17" i="4"/>
  <c r="BO19" i="4" s="1"/>
  <c r="BO52" i="4" s="1"/>
  <c r="BO54" i="4" s="1"/>
  <c r="BC107" i="2" s="1"/>
  <c r="CB17" i="4"/>
  <c r="CB19" i="4" s="1"/>
  <c r="CB52" i="4" s="1"/>
  <c r="CB54" i="4" s="1"/>
  <c r="BC120" i="2" s="1"/>
  <c r="BP17" i="4"/>
  <c r="BP19" i="4" s="1"/>
  <c r="BP52" i="4" s="1"/>
  <c r="BP54" i="4" s="1"/>
  <c r="BC108" i="2" s="1"/>
  <c r="CC17" i="4"/>
  <c r="CC19" i="4" s="1"/>
  <c r="CC52" i="4" s="1"/>
  <c r="CC54" i="4" s="1"/>
  <c r="BC121" i="2" s="1"/>
  <c r="CF17" i="4"/>
  <c r="CF19" i="4" s="1"/>
  <c r="CF52" i="4" s="1"/>
  <c r="CF54" i="4" s="1"/>
  <c r="BC124" i="2" s="1"/>
  <c r="CE17" i="4"/>
  <c r="CE19" i="4" s="1"/>
  <c r="CE52" i="4" s="1"/>
  <c r="CE54" i="4" s="1"/>
  <c r="BC123" i="2" s="1"/>
  <c r="BM17" i="4"/>
  <c r="BM19" i="4" s="1"/>
  <c r="BM52" i="4" s="1"/>
  <c r="BM54" i="4" s="1"/>
  <c r="BC105" i="2" s="1"/>
  <c r="BY17" i="4"/>
  <c r="BY19" i="4" s="1"/>
  <c r="BY52" i="4" s="1"/>
  <c r="BY54" i="4" s="1"/>
  <c r="BC117" i="2" s="1"/>
  <c r="BT17" i="4"/>
  <c r="BT19" i="4" s="1"/>
  <c r="BT52" i="4" s="1"/>
  <c r="BT54" i="4" s="1"/>
  <c r="BC112" i="2" s="1"/>
  <c r="AJ47" i="4"/>
  <c r="BB76" i="2" s="1"/>
  <c r="X63" i="4"/>
  <c r="AL24" i="4"/>
  <c r="AM46" i="4"/>
  <c r="AM45" i="4"/>
  <c r="AM27" i="4"/>
  <c r="AM26" i="4" s="1"/>
  <c r="AY79" i="2"/>
  <c r="AL26" i="4"/>
  <c r="AI46" i="4"/>
  <c r="AI45" i="4"/>
  <c r="AI27" i="4"/>
  <c r="AI26" i="4" s="1"/>
  <c r="AY75" i="2"/>
  <c r="AJ24" i="4"/>
  <c r="AJ25" i="4"/>
  <c r="AO77" i="4"/>
  <c r="Y156" i="8194"/>
  <c r="Y183" i="8194" s="1"/>
  <c r="Y184" i="8194" s="1"/>
  <c r="Y185" i="8194" s="1"/>
  <c r="Y186" i="8194" s="1"/>
  <c r="AN62" i="4"/>
  <c r="AN66" i="4" s="1"/>
  <c r="AN43" i="4"/>
  <c r="AH62" i="4"/>
  <c r="AH66" i="4" s="1"/>
  <c r="S156" i="8194"/>
  <c r="S183" i="8194" s="1"/>
  <c r="S184" i="8194" s="1"/>
  <c r="S185" i="8194" s="1"/>
  <c r="S186" i="8194" s="1"/>
  <c r="AG77" i="4"/>
  <c r="AH43" i="4"/>
  <c r="AL47" i="4"/>
  <c r="BB78" i="2" s="1"/>
  <c r="Z71" i="4"/>
  <c r="Y73" i="4"/>
  <c r="AE65" i="4"/>
  <c r="BQ52" i="4"/>
  <c r="BQ54" i="4" s="1"/>
  <c r="BC109" i="2" s="1"/>
  <c r="CG52" i="4"/>
  <c r="CG54" i="4" s="1"/>
  <c r="BC125" i="2" s="1"/>
  <c r="BV52" i="4"/>
  <c r="BV54" i="4" s="1"/>
  <c r="BC114" i="2" s="1"/>
  <c r="BS52" i="4"/>
  <c r="BS54" i="4" s="1"/>
  <c r="BC111" i="2" s="1"/>
  <c r="BZ52" i="4"/>
  <c r="BZ54" i="4" s="1"/>
  <c r="BC118" i="2" s="1"/>
  <c r="AI47" i="4" l="1"/>
  <c r="BB75" i="2" s="1"/>
  <c r="AM47" i="4"/>
  <c r="BB79" i="2" s="1"/>
  <c r="AJ44" i="4"/>
  <c r="AL44" i="4"/>
  <c r="AY74" i="2"/>
  <c r="AH46" i="4"/>
  <c r="AH27" i="4"/>
  <c r="AH25" i="4" s="1"/>
  <c r="AH45" i="4"/>
  <c r="AM24" i="4"/>
  <c r="AM25" i="4"/>
  <c r="AF65" i="4"/>
  <c r="AN46" i="4"/>
  <c r="AN45" i="4"/>
  <c r="AY80" i="2"/>
  <c r="AN27" i="4"/>
  <c r="AN24" i="4" s="1"/>
  <c r="AI24" i="4"/>
  <c r="AI25" i="4"/>
  <c r="AG62" i="4"/>
  <c r="AG66" i="4" s="1"/>
  <c r="AG43" i="4"/>
  <c r="AF77" i="4"/>
  <c r="R156" i="8194"/>
  <c r="R183" i="8194" s="1"/>
  <c r="R184" i="8194" s="1"/>
  <c r="R185" i="8194" s="1"/>
  <c r="R186" i="8194" s="1"/>
  <c r="AA71" i="4"/>
  <c r="Z73" i="4"/>
  <c r="AP77" i="4"/>
  <c r="AO62" i="4"/>
  <c r="AO66" i="4" s="1"/>
  <c r="Z156" i="8194"/>
  <c r="Z183" i="8194" s="1"/>
  <c r="Z184" i="8194" s="1"/>
  <c r="Z185" i="8194" s="1"/>
  <c r="Z186" i="8194" s="1"/>
  <c r="AO43" i="4"/>
  <c r="Y63" i="4"/>
  <c r="BC130" i="2" a="1"/>
  <c r="BC130" i="2" s="1"/>
  <c r="BC129" i="2" a="1"/>
  <c r="BC129" i="2" s="1"/>
  <c r="AN47" i="4" l="1"/>
  <c r="BB80" i="2" s="1"/>
  <c r="AH47" i="4"/>
  <c r="BB74" i="2" s="1"/>
  <c r="AH24" i="4"/>
  <c r="AH26" i="4"/>
  <c r="AM44" i="4"/>
  <c r="AB71" i="4"/>
  <c r="AA73" i="4"/>
  <c r="AN26" i="4"/>
  <c r="AN25" i="4"/>
  <c r="Z63" i="4"/>
  <c r="Q156" i="8194"/>
  <c r="Q183" i="8194" s="1"/>
  <c r="Q184" i="8194" s="1"/>
  <c r="Q185" i="8194" s="1"/>
  <c r="Q186" i="8194" s="1"/>
  <c r="AF62" i="4"/>
  <c r="AF66" i="4" s="1"/>
  <c r="AF43" i="4"/>
  <c r="AE77" i="4"/>
  <c r="AY81" i="2"/>
  <c r="AO46" i="4"/>
  <c r="AO45" i="4"/>
  <c r="AO27" i="4"/>
  <c r="AG46" i="4"/>
  <c r="AG27" i="4"/>
  <c r="AG26" i="4" s="1"/>
  <c r="AG45" i="4"/>
  <c r="AY73" i="2"/>
  <c r="AG65" i="4"/>
  <c r="AF67" i="4"/>
  <c r="AQ77" i="4"/>
  <c r="AA156" i="8194"/>
  <c r="AA183" i="8194" s="1"/>
  <c r="AA184" i="8194" s="1"/>
  <c r="AA185" i="8194" s="1"/>
  <c r="AA186" i="8194" s="1"/>
  <c r="AP62" i="4"/>
  <c r="AP66" i="4" s="1"/>
  <c r="AP43" i="4"/>
  <c r="AI44" i="4"/>
  <c r="AH44" i="4" l="1"/>
  <c r="AO47" i="4"/>
  <c r="BB81" i="2" s="1"/>
  <c r="AN44" i="4"/>
  <c r="AG47" i="4"/>
  <c r="BB73" i="2" s="1"/>
  <c r="AA63" i="4"/>
  <c r="AO24" i="4"/>
  <c r="AO25" i="4"/>
  <c r="AG67" i="4"/>
  <c r="AH65" i="4"/>
  <c r="AP46" i="4"/>
  <c r="AP45" i="4"/>
  <c r="AY82" i="2"/>
  <c r="AP27" i="4"/>
  <c r="AP25" i="4" s="1"/>
  <c r="AG24" i="4"/>
  <c r="AG25" i="4"/>
  <c r="AF27" i="4"/>
  <c r="AY72" i="2"/>
  <c r="AF45" i="4"/>
  <c r="AF46" i="4"/>
  <c r="AD77" i="4"/>
  <c r="P156" i="8194"/>
  <c r="P183" i="8194" s="1"/>
  <c r="P184" i="8194" s="1"/>
  <c r="P185" i="8194" s="1"/>
  <c r="P186" i="8194" s="1"/>
  <c r="AE62" i="4"/>
  <c r="AE66" i="4" s="1"/>
  <c r="AE67" i="4" s="1"/>
  <c r="AE43" i="4"/>
  <c r="AC71" i="4"/>
  <c r="AB73" i="4"/>
  <c r="AR77" i="4"/>
  <c r="AQ62" i="4"/>
  <c r="AQ66" i="4" s="1"/>
  <c r="AQ43" i="4"/>
  <c r="AB156" i="8194"/>
  <c r="AB183" i="8194" s="1"/>
  <c r="AB184" i="8194" s="1"/>
  <c r="AB185" i="8194" s="1"/>
  <c r="AB186" i="8194" s="1"/>
  <c r="AO26" i="4"/>
  <c r="AP24" i="4" l="1"/>
  <c r="AP26" i="4"/>
  <c r="AP47" i="4"/>
  <c r="BB82" i="2" s="1"/>
  <c r="AI65" i="4"/>
  <c r="AH67" i="4"/>
  <c r="AD71" i="4"/>
  <c r="AC73" i="4"/>
  <c r="AF24" i="4"/>
  <c r="AF25" i="4"/>
  <c r="AG44" i="4"/>
  <c r="AY71" i="2"/>
  <c r="AE46" i="4"/>
  <c r="AE27" i="4"/>
  <c r="AE26" i="4" s="1"/>
  <c r="AE45" i="4"/>
  <c r="AE47" i="4" s="1"/>
  <c r="BB71" i="2" s="1"/>
  <c r="AO44" i="4"/>
  <c r="AQ27" i="4"/>
  <c r="AQ25" i="4" s="1"/>
  <c r="AQ46" i="4"/>
  <c r="AQ45" i="4"/>
  <c r="AY83" i="2"/>
  <c r="AD43" i="4"/>
  <c r="AC77" i="4"/>
  <c r="AD62" i="4"/>
  <c r="AD66" i="4" s="1"/>
  <c r="AD67" i="4" s="1"/>
  <c r="O156" i="8194"/>
  <c r="O183" i="8194" s="1"/>
  <c r="O184" i="8194" s="1"/>
  <c r="O185" i="8194" s="1"/>
  <c r="O186" i="8194" s="1"/>
  <c r="AF26" i="4"/>
  <c r="AS77" i="4"/>
  <c r="AR62" i="4"/>
  <c r="AR66" i="4" s="1"/>
  <c r="AC156" i="8194"/>
  <c r="AC183" i="8194" s="1"/>
  <c r="AC184" i="8194" s="1"/>
  <c r="AC185" i="8194" s="1"/>
  <c r="AC186" i="8194" s="1"/>
  <c r="AR43" i="4"/>
  <c r="AF47" i="4"/>
  <c r="BB72" i="2" s="1"/>
  <c r="AB63" i="4"/>
  <c r="AP44" i="4" l="1"/>
  <c r="AF44" i="4"/>
  <c r="AY84" i="2"/>
  <c r="AR27" i="4"/>
  <c r="AR24" i="4" s="1"/>
  <c r="AR46" i="4"/>
  <c r="AR45" i="4"/>
  <c r="AR47" i="4" s="1"/>
  <c r="BB84" i="2" s="1"/>
  <c r="AD46" i="4"/>
  <c r="AD45" i="4"/>
  <c r="AD27" i="4"/>
  <c r="AD26" i="4" s="1"/>
  <c r="AY70" i="2"/>
  <c r="AC63" i="4"/>
  <c r="AE71" i="4"/>
  <c r="AD73" i="4"/>
  <c r="AQ24" i="4"/>
  <c r="AE24" i="4"/>
  <c r="AE25" i="4"/>
  <c r="AQ26" i="4"/>
  <c r="AT77" i="4"/>
  <c r="AD156" i="8194"/>
  <c r="AD183" i="8194" s="1"/>
  <c r="AD184" i="8194" s="1"/>
  <c r="AD185" i="8194" s="1"/>
  <c r="AD186" i="8194" s="1"/>
  <c r="AS62" i="4"/>
  <c r="AS66" i="4" s="1"/>
  <c r="AS43" i="4"/>
  <c r="AJ65" i="4"/>
  <c r="AI67" i="4"/>
  <c r="AC62" i="4"/>
  <c r="AC66" i="4" s="1"/>
  <c r="AC67" i="4" s="1"/>
  <c r="N156" i="8194"/>
  <c r="N183" i="8194" s="1"/>
  <c r="N184" i="8194" s="1"/>
  <c r="N185" i="8194" s="1"/>
  <c r="N186" i="8194" s="1"/>
  <c r="AB77" i="4"/>
  <c r="AC43" i="4"/>
  <c r="AQ47" i="4"/>
  <c r="BB83" i="2" s="1"/>
  <c r="AD47" i="4" l="1"/>
  <c r="BB70" i="2" s="1"/>
  <c r="AQ44" i="4"/>
  <c r="AE44" i="4"/>
  <c r="AF71" i="4"/>
  <c r="AE73" i="4"/>
  <c r="M156" i="8194"/>
  <c r="M183" i="8194" s="1"/>
  <c r="M184" i="8194" s="1"/>
  <c r="M185" i="8194" s="1"/>
  <c r="M186" i="8194" s="1"/>
  <c r="AB43" i="4"/>
  <c r="AB62" i="4"/>
  <c r="AB66" i="4" s="1"/>
  <c r="AB67" i="4" s="1"/>
  <c r="AB64" i="4" s="1"/>
  <c r="AA77" i="4"/>
  <c r="AU77" i="4"/>
  <c r="AT43" i="4"/>
  <c r="AT62" i="4"/>
  <c r="AT66" i="4" s="1"/>
  <c r="AE156" i="8194"/>
  <c r="AE183" i="8194" s="1"/>
  <c r="AE184" i="8194" s="1"/>
  <c r="AE185" i="8194" s="1"/>
  <c r="AE186" i="8194" s="1"/>
  <c r="AD63" i="4"/>
  <c r="AC64" i="4"/>
  <c r="AK65" i="4"/>
  <c r="AJ67" i="4"/>
  <c r="AS46" i="4"/>
  <c r="AS45" i="4"/>
  <c r="AY85" i="2"/>
  <c r="AS27" i="4"/>
  <c r="AS26" i="4" s="1"/>
  <c r="AR26" i="4"/>
  <c r="AR25" i="4"/>
  <c r="AC27" i="4"/>
  <c r="AY69" i="2"/>
  <c r="AC46" i="4"/>
  <c r="AC45" i="4"/>
  <c r="AD24" i="4"/>
  <c r="AD25" i="4"/>
  <c r="AR44" i="4" l="1"/>
  <c r="AC47" i="4"/>
  <c r="BB69" i="2" s="1"/>
  <c r="AV77" i="4"/>
  <c r="AU62" i="4"/>
  <c r="AU66" i="4" s="1"/>
  <c r="AU43" i="4"/>
  <c r="AF156" i="8194"/>
  <c r="AF183" i="8194" s="1"/>
  <c r="AF184" i="8194" s="1"/>
  <c r="AF185" i="8194" s="1"/>
  <c r="AF186" i="8194" s="1"/>
  <c r="Z77" i="4"/>
  <c r="L156" i="8194"/>
  <c r="L183" i="8194" s="1"/>
  <c r="L184" i="8194" s="1"/>
  <c r="L185" i="8194" s="1"/>
  <c r="L186" i="8194" s="1"/>
  <c r="AA62" i="4"/>
  <c r="AA66" i="4" s="1"/>
  <c r="AA67" i="4" s="1"/>
  <c r="AA64" i="4" s="1"/>
  <c r="AA43" i="4"/>
  <c r="AD44" i="4"/>
  <c r="AC26" i="4"/>
  <c r="AC25" i="4"/>
  <c r="AL65" i="4"/>
  <c r="AK67" i="4"/>
  <c r="AY68" i="2"/>
  <c r="AB27" i="4"/>
  <c r="AB25" i="4" s="1"/>
  <c r="AB46" i="4"/>
  <c r="AB45" i="4"/>
  <c r="AC24" i="4"/>
  <c r="AS24" i="4"/>
  <c r="AS25" i="4"/>
  <c r="AG71" i="4"/>
  <c r="AF73" i="4"/>
  <c r="AE63" i="4"/>
  <c r="AD64" i="4"/>
  <c r="AS47" i="4"/>
  <c r="BB85" i="2" s="1"/>
  <c r="AT46" i="4"/>
  <c r="AY86" i="2"/>
  <c r="AT45" i="4"/>
  <c r="AT27" i="4"/>
  <c r="AT26" i="4" s="1"/>
  <c r="AT47" i="4" l="1"/>
  <c r="BB86" i="2" s="1"/>
  <c r="AC44" i="4"/>
  <c r="AT24" i="4"/>
  <c r="AT25" i="4"/>
  <c r="AH71" i="4"/>
  <c r="AG73" i="4"/>
  <c r="AB26" i="4"/>
  <c r="AU45" i="4"/>
  <c r="AU27" i="4"/>
  <c r="AU25" i="4" s="1"/>
  <c r="AY87" i="2"/>
  <c r="AU46" i="4"/>
  <c r="AS44" i="4"/>
  <c r="Z62" i="4"/>
  <c r="Z66" i="4" s="1"/>
  <c r="Z67" i="4" s="1"/>
  <c r="Z64" i="4" s="1"/>
  <c r="Y77" i="4"/>
  <c r="Z43" i="4"/>
  <c r="K156" i="8194"/>
  <c r="K183" i="8194" s="1"/>
  <c r="K184" i="8194" s="1"/>
  <c r="K185" i="8194" s="1"/>
  <c r="K186" i="8194" s="1"/>
  <c r="AB24" i="4"/>
  <c r="AA46" i="4"/>
  <c r="AA45" i="4"/>
  <c r="AA27" i="4"/>
  <c r="AA25" i="4" s="1"/>
  <c r="AY67" i="2"/>
  <c r="AM65" i="4"/>
  <c r="AL67" i="4"/>
  <c r="AF63" i="4"/>
  <c r="AE64" i="4"/>
  <c r="AB47" i="4"/>
  <c r="BB68" i="2" s="1"/>
  <c r="AW77" i="4"/>
  <c r="AV62" i="4"/>
  <c r="AV66" i="4" s="1"/>
  <c r="AV43" i="4"/>
  <c r="AG156" i="8194"/>
  <c r="AG183" i="8194" s="1"/>
  <c r="AG184" i="8194" s="1"/>
  <c r="AG185" i="8194" s="1"/>
  <c r="AG186" i="8194" s="1"/>
  <c r="AA24" i="4" l="1"/>
  <c r="AA26" i="4"/>
  <c r="AA47" i="4"/>
  <c r="BB67" i="2" s="1"/>
  <c r="AU47" i="4"/>
  <c r="BB87" i="2" s="1"/>
  <c r="AN65" i="4"/>
  <c r="AM67" i="4"/>
  <c r="Z45" i="4"/>
  <c r="Z27" i="4"/>
  <c r="Z25" i="4" s="1"/>
  <c r="AY66" i="2"/>
  <c r="Z46" i="4"/>
  <c r="AX77" i="4"/>
  <c r="AW62" i="4"/>
  <c r="AW66" i="4" s="1"/>
  <c r="AH156" i="8194"/>
  <c r="AH183" i="8194" s="1"/>
  <c r="AH184" i="8194" s="1"/>
  <c r="AH185" i="8194" s="1"/>
  <c r="AH186" i="8194" s="1"/>
  <c r="AW43" i="4"/>
  <c r="AU26" i="4"/>
  <c r="AI71" i="4"/>
  <c r="AH73" i="4"/>
  <c r="AY88" i="2"/>
  <c r="AV46" i="4"/>
  <c r="AV45" i="4"/>
  <c r="AV27" i="4"/>
  <c r="AV25" i="4" s="1"/>
  <c r="AG63" i="4"/>
  <c r="AF64" i="4"/>
  <c r="AU24" i="4"/>
  <c r="X77" i="4"/>
  <c r="J156" i="8194"/>
  <c r="J183" i="8194" s="1"/>
  <c r="J184" i="8194" s="1"/>
  <c r="J185" i="8194" s="1"/>
  <c r="J186" i="8194" s="1"/>
  <c r="Y43" i="4"/>
  <c r="Y62" i="4"/>
  <c r="Y66" i="4" s="1"/>
  <c r="Y67" i="4" s="1"/>
  <c r="Y64" i="4" s="1"/>
  <c r="AB44" i="4"/>
  <c r="AT44" i="4"/>
  <c r="AA44" i="4" l="1"/>
  <c r="Z26" i="4"/>
  <c r="AV26" i="4"/>
  <c r="AU44" i="4"/>
  <c r="AV47" i="4"/>
  <c r="BB88" i="2" s="1"/>
  <c r="Z24" i="4"/>
  <c r="Z44" i="4" s="1"/>
  <c r="AJ71" i="4"/>
  <c r="AI73" i="4"/>
  <c r="AV24" i="4"/>
  <c r="AW46" i="4"/>
  <c r="AY89" i="2"/>
  <c r="AW45" i="4"/>
  <c r="AW47" i="4" s="1"/>
  <c r="BB89" i="2" s="1"/>
  <c r="AW27" i="4"/>
  <c r="AW25" i="4" s="1"/>
  <c r="Z47" i="4"/>
  <c r="BB66" i="2" s="1"/>
  <c r="AH63" i="4"/>
  <c r="AG64" i="4"/>
  <c r="Y27" i="4"/>
  <c r="AY65" i="2"/>
  <c r="Y46" i="4"/>
  <c r="Y45" i="4"/>
  <c r="I156" i="8194"/>
  <c r="I183" i="8194" s="1"/>
  <c r="I184" i="8194" s="1"/>
  <c r="I185" i="8194" s="1"/>
  <c r="I186" i="8194" s="1"/>
  <c r="W77" i="4"/>
  <c r="X43" i="4"/>
  <c r="X62" i="4"/>
  <c r="X66" i="4" s="1"/>
  <c r="X67" i="4" s="1"/>
  <c r="X64" i="4" s="1"/>
  <c r="AX62" i="4"/>
  <c r="AX66" i="4" s="1"/>
  <c r="AY77" i="4"/>
  <c r="AI156" i="8194"/>
  <c r="AI183" i="8194" s="1"/>
  <c r="AI184" i="8194" s="1"/>
  <c r="AI185" i="8194" s="1"/>
  <c r="AI186" i="8194" s="1"/>
  <c r="AX43" i="4"/>
  <c r="AO65" i="4"/>
  <c r="AN67" i="4"/>
  <c r="AV44" i="4" l="1"/>
  <c r="Y47" i="4"/>
  <c r="BB65" i="2" s="1"/>
  <c r="AW24" i="4"/>
  <c r="X27" i="4"/>
  <c r="X24" i="4" s="1"/>
  <c r="X46" i="4"/>
  <c r="X45" i="4"/>
  <c r="AY64" i="2"/>
  <c r="Y24" i="4"/>
  <c r="Y25" i="4"/>
  <c r="W43" i="4"/>
  <c r="V77" i="4"/>
  <c r="W62" i="4"/>
  <c r="W66" i="4" s="1"/>
  <c r="W67" i="4" s="1"/>
  <c r="W64" i="4" s="1"/>
  <c r="H156" i="8194"/>
  <c r="H183" i="8194" s="1"/>
  <c r="H184" i="8194" s="1"/>
  <c r="H185" i="8194" s="1"/>
  <c r="H186" i="8194" s="1"/>
  <c r="AI63" i="4"/>
  <c r="AH64" i="4"/>
  <c r="AO67" i="4"/>
  <c r="AP65" i="4"/>
  <c r="AY62" i="4"/>
  <c r="AY66" i="4" s="1"/>
  <c r="AZ77" i="4"/>
  <c r="AJ156" i="8194"/>
  <c r="AJ183" i="8194" s="1"/>
  <c r="AJ184" i="8194" s="1"/>
  <c r="AJ185" i="8194" s="1"/>
  <c r="AJ186" i="8194" s="1"/>
  <c r="AY43" i="4"/>
  <c r="AX27" i="4"/>
  <c r="AX45" i="4"/>
  <c r="AX46" i="4"/>
  <c r="AY90" i="2"/>
  <c r="Y26" i="4"/>
  <c r="AW26" i="4"/>
  <c r="AJ73" i="4"/>
  <c r="AK71" i="4"/>
  <c r="X47" i="4" l="1"/>
  <c r="BB64" i="2" s="1"/>
  <c r="AW44" i="4"/>
  <c r="AQ65" i="4"/>
  <c r="AP67" i="4"/>
  <c r="AX47" i="4"/>
  <c r="BB90" i="2" s="1"/>
  <c r="AL71" i="4"/>
  <c r="AK73" i="4"/>
  <c r="AJ63" i="4"/>
  <c r="AI64" i="4"/>
  <c r="Y44" i="4"/>
  <c r="AX24" i="4"/>
  <c r="AX25" i="4"/>
  <c r="AY27" i="4"/>
  <c r="AY24" i="4" s="1"/>
  <c r="AY46" i="4"/>
  <c r="AY45" i="4"/>
  <c r="AY91" i="2"/>
  <c r="V62" i="4"/>
  <c r="V66" i="4" s="1"/>
  <c r="V67" i="4" s="1"/>
  <c r="V64" i="4" s="1"/>
  <c r="U77" i="4"/>
  <c r="V43" i="4"/>
  <c r="G156" i="8194"/>
  <c r="G183" i="8194" s="1"/>
  <c r="G184" i="8194" s="1"/>
  <c r="G185" i="8194" s="1"/>
  <c r="G186" i="8194" s="1"/>
  <c r="X26" i="4"/>
  <c r="X25" i="4"/>
  <c r="BA77" i="4"/>
  <c r="AZ62" i="4"/>
  <c r="AZ66" i="4" s="1"/>
  <c r="AZ43" i="4"/>
  <c r="AK156" i="8194"/>
  <c r="AK183" i="8194" s="1"/>
  <c r="AK184" i="8194" s="1"/>
  <c r="AK185" i="8194" s="1"/>
  <c r="AK186" i="8194" s="1"/>
  <c r="AX26" i="4"/>
  <c r="W27" i="4"/>
  <c r="W24" i="4" s="1"/>
  <c r="W46" i="4"/>
  <c r="W45" i="4"/>
  <c r="AY63" i="2"/>
  <c r="W47" i="4" l="1"/>
  <c r="BB63" i="2" s="1"/>
  <c r="X44" i="4"/>
  <c r="AY47" i="4"/>
  <c r="BB91" i="2" s="1"/>
  <c r="BB77" i="4"/>
  <c r="BA62" i="4"/>
  <c r="BA66" i="4" s="1"/>
  <c r="BA43" i="4"/>
  <c r="AL156" i="8194"/>
  <c r="AL183" i="8194" s="1"/>
  <c r="AL184" i="8194" s="1"/>
  <c r="AL185" i="8194" s="1"/>
  <c r="AL186" i="8194" s="1"/>
  <c r="AM71" i="4"/>
  <c r="AL73" i="4"/>
  <c r="AY26" i="4"/>
  <c r="AY25" i="4"/>
  <c r="AX44" i="4"/>
  <c r="AK63" i="4"/>
  <c r="AJ64" i="4"/>
  <c r="W26" i="4"/>
  <c r="W25" i="4"/>
  <c r="V46" i="4"/>
  <c r="V45" i="4"/>
  <c r="V27" i="4"/>
  <c r="V25" i="4" s="1"/>
  <c r="AY62" i="2"/>
  <c r="F156" i="8194"/>
  <c r="F183" i="8194" s="1"/>
  <c r="F184" i="8194" s="1"/>
  <c r="F185" i="8194" s="1"/>
  <c r="F186" i="8194" s="1"/>
  <c r="U62" i="4"/>
  <c r="U66" i="4" s="1"/>
  <c r="U67" i="4" s="1"/>
  <c r="U64" i="4" s="1"/>
  <c r="T77" i="4"/>
  <c r="U43" i="4"/>
  <c r="AY92" i="2"/>
  <c r="AZ46" i="4"/>
  <c r="AZ27" i="4"/>
  <c r="AZ26" i="4" s="1"/>
  <c r="AZ45" i="4"/>
  <c r="AR65" i="4"/>
  <c r="AQ67" i="4"/>
  <c r="V47" i="4" l="1"/>
  <c r="BB62" i="2" s="1"/>
  <c r="AZ47" i="4"/>
  <c r="BB92" i="2" s="1"/>
  <c r="AY44" i="4"/>
  <c r="W44" i="4"/>
  <c r="V24" i="4"/>
  <c r="V26" i="4"/>
  <c r="AS65" i="4"/>
  <c r="AR67" i="4"/>
  <c r="AN71" i="4"/>
  <c r="AM73" i="4"/>
  <c r="AL63" i="4"/>
  <c r="AK64" i="4"/>
  <c r="BA27" i="4"/>
  <c r="BA26" i="4" s="1"/>
  <c r="AY93" i="2"/>
  <c r="BA46" i="4"/>
  <c r="BA45" i="4"/>
  <c r="AZ24" i="4"/>
  <c r="AZ25" i="4"/>
  <c r="U27" i="4"/>
  <c r="U46" i="4"/>
  <c r="U45" i="4"/>
  <c r="AY61" i="2"/>
  <c r="T43" i="4"/>
  <c r="E156" i="8194"/>
  <c r="E183" i="8194" s="1"/>
  <c r="E184" i="8194" s="1"/>
  <c r="E185" i="8194" s="1"/>
  <c r="T62" i="4"/>
  <c r="T66" i="4" s="1"/>
  <c r="T67" i="4" s="1"/>
  <c r="T64" i="4" s="1"/>
  <c r="BB62" i="4"/>
  <c r="BB66" i="4" s="1"/>
  <c r="BC77" i="4"/>
  <c r="AM156" i="8194"/>
  <c r="AM183" i="8194" s="1"/>
  <c r="AM184" i="8194" s="1"/>
  <c r="AM185" i="8194" s="1"/>
  <c r="AM186" i="8194" s="1"/>
  <c r="BB43" i="4"/>
  <c r="BA47" i="4" l="1"/>
  <c r="BB93" i="2" s="1"/>
  <c r="U47" i="4"/>
  <c r="BB61" i="2" s="1"/>
  <c r="V44" i="4"/>
  <c r="B185" i="8194"/>
  <c r="E186" i="8194"/>
  <c r="B186" i="8194" s="1"/>
  <c r="B190" i="8194" s="1"/>
  <c r="Q66" i="2" s="1"/>
  <c r="AO71" i="4"/>
  <c r="AN73" i="4"/>
  <c r="BC62" i="4"/>
  <c r="BC66" i="4" s="1"/>
  <c r="BD77" i="4"/>
  <c r="BC43" i="4"/>
  <c r="AN156" i="8194"/>
  <c r="AN183" i="8194" s="1"/>
  <c r="AN184" i="8194" s="1"/>
  <c r="AN185" i="8194" s="1"/>
  <c r="AN186" i="8194" s="1"/>
  <c r="BA24" i="4"/>
  <c r="BA25" i="4"/>
  <c r="U24" i="4"/>
  <c r="U25" i="4"/>
  <c r="AM63" i="4"/>
  <c r="AL64" i="4"/>
  <c r="AZ44" i="4"/>
  <c r="T45" i="4"/>
  <c r="T27" i="4"/>
  <c r="T26" i="4" s="1"/>
  <c r="AY60" i="2"/>
  <c r="T46" i="4"/>
  <c r="U26" i="4"/>
  <c r="BB27" i="4"/>
  <c r="BB25" i="4" s="1"/>
  <c r="AY94" i="2"/>
  <c r="BB46" i="4"/>
  <c r="BB45" i="4"/>
  <c r="AT65" i="4"/>
  <c r="AS67" i="4"/>
  <c r="T47" i="4" l="1"/>
  <c r="BB60" i="2" s="1"/>
  <c r="BB128" i="2" s="1" a="1"/>
  <c r="BB128" i="2" s="1"/>
  <c r="BE77" i="4"/>
  <c r="BD43" i="4"/>
  <c r="BD62" i="4"/>
  <c r="BD66" i="4" s="1"/>
  <c r="AO156" i="8194"/>
  <c r="AO183" i="8194" s="1"/>
  <c r="AO184" i="8194" s="1"/>
  <c r="AO185" i="8194" s="1"/>
  <c r="AO186" i="8194" s="1"/>
  <c r="AY95" i="2"/>
  <c r="BC27" i="4"/>
  <c r="BC26" i="4" s="1"/>
  <c r="BC46" i="4"/>
  <c r="BC45" i="4"/>
  <c r="BB47" i="4"/>
  <c r="BB94" i="2" s="1"/>
  <c r="U44" i="4"/>
  <c r="AP71" i="4"/>
  <c r="AO73" i="4"/>
  <c r="BB24" i="4"/>
  <c r="AN63" i="4"/>
  <c r="AM64" i="4"/>
  <c r="AU65" i="4"/>
  <c r="AT67" i="4"/>
  <c r="BB26" i="4"/>
  <c r="T24" i="4"/>
  <c r="T25" i="4"/>
  <c r="BA44" i="4"/>
  <c r="B187" i="8194"/>
  <c r="B191" i="8194"/>
  <c r="Q67" i="2" s="1"/>
  <c r="BB127" i="2" l="1" a="1"/>
  <c r="BB127" i="2" s="1"/>
  <c r="BB44" i="4"/>
  <c r="AQ71" i="4"/>
  <c r="AP73" i="4"/>
  <c r="BC24" i="4"/>
  <c r="BC25" i="4"/>
  <c r="AY96" i="2"/>
  <c r="BD27" i="4"/>
  <c r="BD46" i="4"/>
  <c r="BD45" i="4"/>
  <c r="AO63" i="4"/>
  <c r="AN64" i="4"/>
  <c r="T44" i="4"/>
  <c r="AU67" i="4"/>
  <c r="AV65" i="4"/>
  <c r="BC47" i="4"/>
  <c r="BB95" i="2" s="1"/>
  <c r="BE62" i="4"/>
  <c r="BE66" i="4" s="1"/>
  <c r="BF77" i="4"/>
  <c r="BE43" i="4"/>
  <c r="AP156" i="8194"/>
  <c r="AP183" i="8194" s="1"/>
  <c r="AP184" i="8194" s="1"/>
  <c r="AP185" i="8194" s="1"/>
  <c r="AP186" i="8194" s="1"/>
  <c r="V26" i="2"/>
  <c r="V24" i="2"/>
  <c r="BD24" i="4" l="1"/>
  <c r="BD25" i="4"/>
  <c r="AW65" i="4"/>
  <c r="AV67" i="4"/>
  <c r="V40" i="2"/>
  <c r="V29" i="2"/>
  <c r="BC44" i="4"/>
  <c r="BD26" i="4"/>
  <c r="BE46" i="4"/>
  <c r="AY97" i="2"/>
  <c r="BE27" i="4"/>
  <c r="BE26" i="4" s="1"/>
  <c r="BE45" i="4"/>
  <c r="AP63" i="4"/>
  <c r="AO64" i="4"/>
  <c r="BF62" i="4"/>
  <c r="BF66" i="4" s="1"/>
  <c r="BG77" i="4"/>
  <c r="AQ156" i="8194"/>
  <c r="AQ183" i="8194" s="1"/>
  <c r="AQ184" i="8194" s="1"/>
  <c r="AQ185" i="8194" s="1"/>
  <c r="AQ186" i="8194" s="1"/>
  <c r="BF43" i="4"/>
  <c r="BD47" i="4"/>
  <c r="BB96" i="2" s="1"/>
  <c r="AR71" i="4"/>
  <c r="AQ73" i="4"/>
  <c r="BE47" i="4" l="1"/>
  <c r="BB97" i="2" s="1"/>
  <c r="AR73" i="4"/>
  <c r="AS71" i="4"/>
  <c r="BF27" i="4"/>
  <c r="BF25" i="4" s="1"/>
  <c r="AY98" i="2"/>
  <c r="BF46" i="4"/>
  <c r="BF45" i="4"/>
  <c r="BE24" i="4"/>
  <c r="BE25" i="4"/>
  <c r="AW67" i="4"/>
  <c r="AX65" i="4"/>
  <c r="AQ63" i="4"/>
  <c r="AP64" i="4"/>
  <c r="BG62" i="4"/>
  <c r="BG66" i="4" s="1"/>
  <c r="BH77" i="4"/>
  <c r="AR156" i="8194"/>
  <c r="AR183" i="8194" s="1"/>
  <c r="AR184" i="8194" s="1"/>
  <c r="AR185" i="8194" s="1"/>
  <c r="AR186" i="8194" s="1"/>
  <c r="BG43" i="4"/>
  <c r="BD44" i="4"/>
  <c r="BF47" i="4" l="1"/>
  <c r="BB98" i="2" s="1"/>
  <c r="BF24" i="4"/>
  <c r="BF26" i="4"/>
  <c r="AR63" i="4"/>
  <c r="AQ64" i="4"/>
  <c r="BG46" i="4"/>
  <c r="BG27" i="4"/>
  <c r="BG26" i="4" s="1"/>
  <c r="AY99" i="2"/>
  <c r="BG45" i="4"/>
  <c r="AT71" i="4"/>
  <c r="AS73" i="4"/>
  <c r="BI77" i="4"/>
  <c r="BH62" i="4"/>
  <c r="BH66" i="4" s="1"/>
  <c r="BH43" i="4"/>
  <c r="AS156" i="8194"/>
  <c r="AS183" i="8194" s="1"/>
  <c r="AS184" i="8194" s="1"/>
  <c r="AS185" i="8194" s="1"/>
  <c r="AS186" i="8194" s="1"/>
  <c r="AY65" i="4"/>
  <c r="AX67" i="4"/>
  <c r="BE44" i="4"/>
  <c r="BG47" i="4" l="1"/>
  <c r="BB99" i="2" s="1"/>
  <c r="BF44" i="4"/>
  <c r="AU71" i="4"/>
  <c r="AT73" i="4"/>
  <c r="BH46" i="4"/>
  <c r="AY100" i="2"/>
  <c r="BH27" i="4"/>
  <c r="BH26" i="4" s="1"/>
  <c r="BH45" i="4"/>
  <c r="BH47" i="4" s="1"/>
  <c r="BB100" i="2" s="1"/>
  <c r="AZ65" i="4"/>
  <c r="AY67" i="4"/>
  <c r="BG24" i="4"/>
  <c r="BG25" i="4"/>
  <c r="BJ77" i="4"/>
  <c r="BI43" i="4"/>
  <c r="AT156" i="8194"/>
  <c r="AT183" i="8194" s="1"/>
  <c r="AT184" i="8194" s="1"/>
  <c r="AT185" i="8194" s="1"/>
  <c r="AT186" i="8194" s="1"/>
  <c r="BI62" i="4"/>
  <c r="BI66" i="4" s="1"/>
  <c r="AS63" i="4"/>
  <c r="AR64" i="4"/>
  <c r="BA65" i="4" l="1"/>
  <c r="AZ67" i="4"/>
  <c r="AS64" i="4"/>
  <c r="AT63" i="4"/>
  <c r="BH24" i="4"/>
  <c r="BH25" i="4"/>
  <c r="AY101" i="2"/>
  <c r="BI27" i="4"/>
  <c r="BI46" i="4"/>
  <c r="BI45" i="4"/>
  <c r="BG44" i="4"/>
  <c r="BJ62" i="4"/>
  <c r="BJ66" i="4" s="1"/>
  <c r="BJ43" i="4"/>
  <c r="AU156" i="8194"/>
  <c r="AU183" i="8194" s="1"/>
  <c r="AU184" i="8194" s="1"/>
  <c r="AU185" i="8194" s="1"/>
  <c r="AU186" i="8194" s="1"/>
  <c r="BK77" i="4"/>
  <c r="AV71" i="4"/>
  <c r="AU73" i="4"/>
  <c r="BI47" i="4" l="1"/>
  <c r="BB101" i="2" s="1"/>
  <c r="BK62" i="4"/>
  <c r="BK66" i="4" s="1"/>
  <c r="BK43" i="4"/>
  <c r="AV156" i="8194"/>
  <c r="AV183" i="8194" s="1"/>
  <c r="AV184" i="8194" s="1"/>
  <c r="AV185" i="8194" s="1"/>
  <c r="AV186" i="8194" s="1"/>
  <c r="BL77" i="4"/>
  <c r="BH44" i="4"/>
  <c r="AT64" i="4"/>
  <c r="AU63" i="4"/>
  <c r="BI24" i="4"/>
  <c r="BI25" i="4"/>
  <c r="BJ46" i="4"/>
  <c r="BJ27" i="4"/>
  <c r="BJ25" i="4" s="1"/>
  <c r="AY102" i="2"/>
  <c r="BJ45" i="4"/>
  <c r="BJ47" i="4" s="1"/>
  <c r="BB102" i="2" s="1"/>
  <c r="BI26" i="4"/>
  <c r="AW71" i="4"/>
  <c r="AV73" i="4"/>
  <c r="BA67" i="4"/>
  <c r="BB65" i="4"/>
  <c r="BJ24" i="4" l="1"/>
  <c r="BJ26" i="4"/>
  <c r="BI44" i="4"/>
  <c r="BC65" i="4"/>
  <c r="BB67" i="4"/>
  <c r="BM77" i="4"/>
  <c r="BL62" i="4"/>
  <c r="BL66" i="4" s="1"/>
  <c r="BL43" i="4"/>
  <c r="AW156" i="8194"/>
  <c r="AW183" i="8194" s="1"/>
  <c r="AW184" i="8194" s="1"/>
  <c r="AW185" i="8194" s="1"/>
  <c r="AW186" i="8194" s="1"/>
  <c r="BK27" i="4"/>
  <c r="BK46" i="4"/>
  <c r="AY103" i="2"/>
  <c r="BK45" i="4"/>
  <c r="AU64" i="4"/>
  <c r="AV63" i="4"/>
  <c r="AX71" i="4"/>
  <c r="AW73" i="4"/>
  <c r="BJ44" i="4" l="1"/>
  <c r="BK24" i="4"/>
  <c r="BK25" i="4"/>
  <c r="AW63" i="4"/>
  <c r="AV64" i="4"/>
  <c r="BK47" i="4"/>
  <c r="BB103" i="2" s="1"/>
  <c r="BK26" i="4"/>
  <c r="AY71" i="4"/>
  <c r="AX73" i="4"/>
  <c r="AY104" i="2"/>
  <c r="BL27" i="4"/>
  <c r="BL26" i="4" s="1"/>
  <c r="BL46" i="4"/>
  <c r="BL45" i="4"/>
  <c r="AX156" i="8194"/>
  <c r="AX183" i="8194" s="1"/>
  <c r="AX184" i="8194" s="1"/>
  <c r="AX185" i="8194" s="1"/>
  <c r="AX186" i="8194" s="1"/>
  <c r="BN77" i="4"/>
  <c r="BM62" i="4"/>
  <c r="BM66" i="4" s="1"/>
  <c r="BM43" i="4"/>
  <c r="BD65" i="4"/>
  <c r="BC67" i="4"/>
  <c r="BL47" i="4" l="1"/>
  <c r="BB104" i="2" s="1"/>
  <c r="AZ71" i="4"/>
  <c r="AY73" i="4"/>
  <c r="BO77" i="4"/>
  <c r="AY156" i="8194"/>
  <c r="AY183" i="8194" s="1"/>
  <c r="AY184" i="8194" s="1"/>
  <c r="AY185" i="8194" s="1"/>
  <c r="AY186" i="8194" s="1"/>
  <c r="BN62" i="4"/>
  <c r="BN66" i="4" s="1"/>
  <c r="BN43" i="4"/>
  <c r="AX63" i="4"/>
  <c r="AW64" i="4"/>
  <c r="BD67" i="4"/>
  <c r="BE65" i="4"/>
  <c r="BL24" i="4"/>
  <c r="BL25" i="4"/>
  <c r="BM27" i="4"/>
  <c r="BM26" i="4" s="1"/>
  <c r="BM46" i="4"/>
  <c r="AY105" i="2"/>
  <c r="BM45" i="4"/>
  <c r="BK44" i="4"/>
  <c r="BM24" i="4" l="1"/>
  <c r="BM25" i="4"/>
  <c r="BO43" i="4"/>
  <c r="AZ156" i="8194"/>
  <c r="AZ183" i="8194" s="1"/>
  <c r="AZ184" i="8194" s="1"/>
  <c r="AZ185" i="8194" s="1"/>
  <c r="AZ186" i="8194" s="1"/>
  <c r="BO62" i="4"/>
  <c r="BO66" i="4" s="1"/>
  <c r="BP77" i="4"/>
  <c r="BL44" i="4"/>
  <c r="AY63" i="4"/>
  <c r="AX64" i="4"/>
  <c r="BN27" i="4"/>
  <c r="BN24" i="4" s="1"/>
  <c r="AY106" i="2"/>
  <c r="BN46" i="4"/>
  <c r="BN45" i="4"/>
  <c r="BE67" i="4"/>
  <c r="BF65" i="4"/>
  <c r="BM47" i="4"/>
  <c r="BB105" i="2" s="1"/>
  <c r="BA71" i="4"/>
  <c r="AZ73" i="4"/>
  <c r="BN47" i="4" l="1"/>
  <c r="BB106" i="2" s="1"/>
  <c r="BF67" i="4"/>
  <c r="BG65" i="4"/>
  <c r="AZ63" i="4"/>
  <c r="AY64" i="4"/>
  <c r="BQ77" i="4"/>
  <c r="BP43" i="4"/>
  <c r="BP62" i="4"/>
  <c r="BP66" i="4" s="1"/>
  <c r="BA156" i="8194"/>
  <c r="BA183" i="8194" s="1"/>
  <c r="BA184" i="8194" s="1"/>
  <c r="BA185" i="8194" s="1"/>
  <c r="BA186" i="8194" s="1"/>
  <c r="BO27" i="4"/>
  <c r="BO26" i="4" s="1"/>
  <c r="BO46" i="4"/>
  <c r="AY107" i="2"/>
  <c r="BO45" i="4"/>
  <c r="BB71" i="4"/>
  <c r="BA73" i="4"/>
  <c r="BN26" i="4"/>
  <c r="BN25" i="4"/>
  <c r="BM44" i="4"/>
  <c r="BO47" i="4" l="1"/>
  <c r="BB107" i="2" s="1"/>
  <c r="BN44" i="4"/>
  <c r="BC71" i="4"/>
  <c r="BB73" i="4"/>
  <c r="AY108" i="2"/>
  <c r="BP46" i="4"/>
  <c r="BP27" i="4"/>
  <c r="BP24" i="4" s="1"/>
  <c r="BP45" i="4"/>
  <c r="BP47" i="4" s="1"/>
  <c r="BB108" i="2" s="1"/>
  <c r="BR77" i="4"/>
  <c r="BB156" i="8194"/>
  <c r="BB183" i="8194" s="1"/>
  <c r="BB184" i="8194" s="1"/>
  <c r="BB185" i="8194" s="1"/>
  <c r="BB186" i="8194" s="1"/>
  <c r="BQ62" i="4"/>
  <c r="BQ66" i="4" s="1"/>
  <c r="BQ43" i="4"/>
  <c r="BH65" i="4"/>
  <c r="BG67" i="4"/>
  <c r="BA63" i="4"/>
  <c r="AZ64" i="4"/>
  <c r="BO24" i="4"/>
  <c r="BO25" i="4"/>
  <c r="BO44" i="4" l="1"/>
  <c r="BR62" i="4"/>
  <c r="BR66" i="4" s="1"/>
  <c r="BC156" i="8194"/>
  <c r="BC183" i="8194" s="1"/>
  <c r="BC184" i="8194" s="1"/>
  <c r="BC185" i="8194" s="1"/>
  <c r="BC186" i="8194" s="1"/>
  <c r="BR43" i="4"/>
  <c r="BS77" i="4"/>
  <c r="BA64" i="4"/>
  <c r="BB63" i="4"/>
  <c r="BP26" i="4"/>
  <c r="BP25" i="4"/>
  <c r="BI65" i="4"/>
  <c r="BH67" i="4"/>
  <c r="BQ46" i="4"/>
  <c r="BQ27" i="4"/>
  <c r="BQ25" i="4" s="1"/>
  <c r="AY109" i="2"/>
  <c r="BQ45" i="4"/>
  <c r="BQ47" i="4" s="1"/>
  <c r="BB109" i="2" s="1"/>
  <c r="BD71" i="4"/>
  <c r="BC73" i="4"/>
  <c r="BQ24" i="4" l="1"/>
  <c r="BP44" i="4"/>
  <c r="BQ26" i="4"/>
  <c r="BB64" i="4"/>
  <c r="BC63" i="4"/>
  <c r="AY110" i="2"/>
  <c r="BR46" i="4"/>
  <c r="BR27" i="4"/>
  <c r="BR24" i="4" s="1"/>
  <c r="BR45" i="4"/>
  <c r="BS43" i="4"/>
  <c r="BS62" i="4"/>
  <c r="BS66" i="4" s="1"/>
  <c r="BD156" i="8194"/>
  <c r="BD183" i="8194" s="1"/>
  <c r="BD184" i="8194" s="1"/>
  <c r="BD185" i="8194" s="1"/>
  <c r="BD186" i="8194" s="1"/>
  <c r="BT77" i="4"/>
  <c r="BE71" i="4"/>
  <c r="BD73" i="4"/>
  <c r="BI67" i="4"/>
  <c r="BJ65" i="4"/>
  <c r="BQ44" i="4" l="1"/>
  <c r="BR47" i="4"/>
  <c r="BB110" i="2" s="1"/>
  <c r="BF71" i="4"/>
  <c r="BE73" i="4"/>
  <c r="AY111" i="2"/>
  <c r="BS46" i="4"/>
  <c r="BS27" i="4"/>
  <c r="BS24" i="4" s="1"/>
  <c r="BS45" i="4"/>
  <c r="BS47" i="4" s="1"/>
  <c r="BB111" i="2" s="1"/>
  <c r="BR26" i="4"/>
  <c r="BR25" i="4"/>
  <c r="BT62" i="4"/>
  <c r="BT66" i="4" s="1"/>
  <c r="BT43" i="4"/>
  <c r="BU77" i="4"/>
  <c r="BE156" i="8194"/>
  <c r="BE183" i="8194" s="1"/>
  <c r="BE184" i="8194" s="1"/>
  <c r="BE185" i="8194" s="1"/>
  <c r="BE186" i="8194" s="1"/>
  <c r="BK65" i="4"/>
  <c r="BJ67" i="4"/>
  <c r="BD63" i="4"/>
  <c r="BC64" i="4"/>
  <c r="BR44" i="4" l="1"/>
  <c r="BV77" i="4"/>
  <c r="BU43" i="4"/>
  <c r="BU62" i="4"/>
  <c r="BU66" i="4" s="1"/>
  <c r="BF156" i="8194"/>
  <c r="BF183" i="8194" s="1"/>
  <c r="BF184" i="8194" s="1"/>
  <c r="BF185" i="8194" s="1"/>
  <c r="BF186" i="8194" s="1"/>
  <c r="BK67" i="4"/>
  <c r="BL65" i="4"/>
  <c r="BS26" i="4"/>
  <c r="BS25" i="4"/>
  <c r="BT46" i="4"/>
  <c r="BT27" i="4"/>
  <c r="BT24" i="4" s="1"/>
  <c r="AY112" i="2"/>
  <c r="BT45" i="4"/>
  <c r="BT47" i="4" s="1"/>
  <c r="BB112" i="2" s="1"/>
  <c r="BG71" i="4"/>
  <c r="BF73" i="4"/>
  <c r="BE63" i="4"/>
  <c r="BD64" i="4"/>
  <c r="BS44" i="4" l="1"/>
  <c r="BL67" i="4"/>
  <c r="BM65" i="4"/>
  <c r="BH71" i="4"/>
  <c r="BG73" i="4"/>
  <c r="BT26" i="4"/>
  <c r="BT25" i="4"/>
  <c r="BU46" i="4"/>
  <c r="AY113" i="2"/>
  <c r="BU27" i="4"/>
  <c r="BU25" i="4" s="1"/>
  <c r="BU45" i="4"/>
  <c r="BF63" i="4"/>
  <c r="BE64" i="4"/>
  <c r="BV62" i="4"/>
  <c r="BV66" i="4" s="1"/>
  <c r="BW77" i="4"/>
  <c r="BV43" i="4"/>
  <c r="BG156" i="8194"/>
  <c r="BG183" i="8194" s="1"/>
  <c r="BG184" i="8194" s="1"/>
  <c r="BG185" i="8194" s="1"/>
  <c r="BG186" i="8194" s="1"/>
  <c r="BT44" i="4" l="1"/>
  <c r="BU24" i="4"/>
  <c r="BU26" i="4"/>
  <c r="BH73" i="4"/>
  <c r="BI71" i="4"/>
  <c r="BG63" i="4"/>
  <c r="BF64" i="4"/>
  <c r="BM67" i="4"/>
  <c r="BN65" i="4"/>
  <c r="BU47" i="4"/>
  <c r="BB113" i="2" s="1"/>
  <c r="BV46" i="4"/>
  <c r="AY114" i="2"/>
  <c r="BV27" i="4"/>
  <c r="BV45" i="4"/>
  <c r="BV47" i="4" s="1"/>
  <c r="BB114" i="2" s="1"/>
  <c r="BH156" i="8194"/>
  <c r="BH183" i="8194" s="1"/>
  <c r="BH184" i="8194" s="1"/>
  <c r="BH185" i="8194" s="1"/>
  <c r="BH186" i="8194" s="1"/>
  <c r="BW62" i="4"/>
  <c r="BW66" i="4" s="1"/>
  <c r="BX77" i="4"/>
  <c r="BW43" i="4"/>
  <c r="BU44" i="4" l="1"/>
  <c r="BN67" i="4"/>
  <c r="BO65" i="4"/>
  <c r="BH63" i="4"/>
  <c r="BG64" i="4"/>
  <c r="BJ71" i="4"/>
  <c r="BI73" i="4"/>
  <c r="BV24" i="4"/>
  <c r="BV25" i="4"/>
  <c r="BV26" i="4"/>
  <c r="BW27" i="4"/>
  <c r="BW24" i="4" s="1"/>
  <c r="AY115" i="2"/>
  <c r="BW46" i="4"/>
  <c r="BW45" i="4"/>
  <c r="BX62" i="4"/>
  <c r="BX66" i="4" s="1"/>
  <c r="BY77" i="4"/>
  <c r="BX43" i="4"/>
  <c r="BI156" i="8194"/>
  <c r="BI183" i="8194" s="1"/>
  <c r="BI184" i="8194" s="1"/>
  <c r="BI185" i="8194" s="1"/>
  <c r="BI186" i="8194" s="1"/>
  <c r="BW47" i="4" l="1"/>
  <c r="BB115" i="2" s="1"/>
  <c r="BV44" i="4"/>
  <c r="BJ156" i="8194"/>
  <c r="BJ183" i="8194" s="1"/>
  <c r="BJ184" i="8194" s="1"/>
  <c r="BJ185" i="8194" s="1"/>
  <c r="BJ186" i="8194" s="1"/>
  <c r="BZ77" i="4"/>
  <c r="BY62" i="4"/>
  <c r="BY66" i="4" s="1"/>
  <c r="BY43" i="4"/>
  <c r="BK71" i="4"/>
  <c r="BJ73" i="4"/>
  <c r="BP65" i="4"/>
  <c r="BO67" i="4"/>
  <c r="BI63" i="4"/>
  <c r="BH64" i="4"/>
  <c r="BW26" i="4"/>
  <c r="BW25" i="4"/>
  <c r="BX46" i="4"/>
  <c r="BX27" i="4"/>
  <c r="AY116" i="2"/>
  <c r="BX45" i="4"/>
  <c r="BW44" i="4" l="1"/>
  <c r="BQ65" i="4"/>
  <c r="BP67" i="4"/>
  <c r="BY27" i="4"/>
  <c r="BY24" i="4" s="1"/>
  <c r="AY117" i="2"/>
  <c r="BY46" i="4"/>
  <c r="BY45" i="4"/>
  <c r="BX24" i="4"/>
  <c r="BX25" i="4"/>
  <c r="BX47" i="4"/>
  <c r="BB116" i="2" s="1"/>
  <c r="BI64" i="4"/>
  <c r="BJ63" i="4"/>
  <c r="BZ62" i="4"/>
  <c r="BZ66" i="4" s="1"/>
  <c r="BZ43" i="4"/>
  <c r="BK156" i="8194"/>
  <c r="BK183" i="8194" s="1"/>
  <c r="BK184" i="8194" s="1"/>
  <c r="BK185" i="8194" s="1"/>
  <c r="BK186" i="8194" s="1"/>
  <c r="CA77" i="4"/>
  <c r="BL71" i="4"/>
  <c r="BK73" i="4"/>
  <c r="BX26" i="4"/>
  <c r="BY47" i="4" l="1"/>
  <c r="BB117" i="2" s="1"/>
  <c r="BX44" i="4"/>
  <c r="BL156" i="8194"/>
  <c r="BL183" i="8194" s="1"/>
  <c r="BL184" i="8194" s="1"/>
  <c r="BL185" i="8194" s="1"/>
  <c r="BL186" i="8194" s="1"/>
  <c r="CA62" i="4"/>
  <c r="CA66" i="4" s="1"/>
  <c r="CB77" i="4"/>
  <c r="CA43" i="4"/>
  <c r="BZ27" i="4"/>
  <c r="BZ24" i="4" s="1"/>
  <c r="BZ46" i="4"/>
  <c r="AY118" i="2"/>
  <c r="BZ45" i="4"/>
  <c r="BY26" i="4"/>
  <c r="BY25" i="4"/>
  <c r="BJ64" i="4"/>
  <c r="BK63" i="4"/>
  <c r="BM71" i="4"/>
  <c r="BL73" i="4"/>
  <c r="BQ67" i="4"/>
  <c r="BR65" i="4"/>
  <c r="BY44" i="4" l="1"/>
  <c r="CA46" i="4"/>
  <c r="CA27" i="4"/>
  <c r="CA26" i="4" s="1"/>
  <c r="AY119" i="2"/>
  <c r="CA45" i="4"/>
  <c r="CA47" i="4" s="1"/>
  <c r="BB119" i="2" s="1"/>
  <c r="CB62" i="4"/>
  <c r="CB66" i="4" s="1"/>
  <c r="CC77" i="4"/>
  <c r="CB43" i="4"/>
  <c r="BM156" i="8194"/>
  <c r="BM183" i="8194" s="1"/>
  <c r="BM184" i="8194" s="1"/>
  <c r="BM185" i="8194" s="1"/>
  <c r="BM186" i="8194" s="1"/>
  <c r="BK64" i="4"/>
  <c r="BL63" i="4"/>
  <c r="BN71" i="4"/>
  <c r="BM73" i="4"/>
  <c r="BZ26" i="4"/>
  <c r="BZ25" i="4"/>
  <c r="BR67" i="4"/>
  <c r="BS65" i="4"/>
  <c r="BZ47" i="4"/>
  <c r="BB118" i="2" s="1"/>
  <c r="BZ44" i="4" l="1"/>
  <c r="BO71" i="4"/>
  <c r="BN73" i="4"/>
  <c r="CD77" i="4"/>
  <c r="CC43" i="4"/>
  <c r="CC62" i="4"/>
  <c r="CC66" i="4" s="1"/>
  <c r="BN156" i="8194"/>
  <c r="BN183" i="8194" s="1"/>
  <c r="BN184" i="8194" s="1"/>
  <c r="BN185" i="8194" s="1"/>
  <c r="BN186" i="8194" s="1"/>
  <c r="BM63" i="4"/>
  <c r="BL64" i="4"/>
  <c r="CA24" i="4"/>
  <c r="CA25" i="4"/>
  <c r="BT65" i="4"/>
  <c r="BS67" i="4"/>
  <c r="CB46" i="4"/>
  <c r="CB27" i="4"/>
  <c r="CB25" i="4" s="1"/>
  <c r="AY120" i="2"/>
  <c r="CB45" i="4"/>
  <c r="CD62" i="4" l="1"/>
  <c r="CD66" i="4" s="1"/>
  <c r="BO156" i="8194"/>
  <c r="BO183" i="8194" s="1"/>
  <c r="BO184" i="8194" s="1"/>
  <c r="BO185" i="8194" s="1"/>
  <c r="BO186" i="8194" s="1"/>
  <c r="CE77" i="4"/>
  <c r="CD43" i="4"/>
  <c r="CB26" i="4"/>
  <c r="BM64" i="4"/>
  <c r="BN63" i="4"/>
  <c r="CC27" i="4"/>
  <c r="CC24" i="4" s="1"/>
  <c r="CC46" i="4"/>
  <c r="AY121" i="2"/>
  <c r="CC45" i="4"/>
  <c r="BT67" i="4"/>
  <c r="BU65" i="4"/>
  <c r="CB47" i="4"/>
  <c r="BB120" i="2" s="1"/>
  <c r="CB24" i="4"/>
  <c r="CA44" i="4"/>
  <c r="BO73" i="4"/>
  <c r="BP71" i="4"/>
  <c r="CC47" i="4" l="1"/>
  <c r="BB121" i="2" s="1"/>
  <c r="CB44" i="4"/>
  <c r="BV65" i="4"/>
  <c r="BU67" i="4"/>
  <c r="BO63" i="4"/>
  <c r="BN64" i="4"/>
  <c r="AY122" i="2"/>
  <c r="CD27" i="4"/>
  <c r="CD46" i="4"/>
  <c r="CD45" i="4"/>
  <c r="BP73" i="4"/>
  <c r="BQ71" i="4"/>
  <c r="CE43" i="4"/>
  <c r="CE62" i="4"/>
  <c r="CE66" i="4" s="1"/>
  <c r="BP156" i="8194"/>
  <c r="BP183" i="8194" s="1"/>
  <c r="BP184" i="8194" s="1"/>
  <c r="BP185" i="8194" s="1"/>
  <c r="BP186" i="8194" s="1"/>
  <c r="CF77" i="4"/>
  <c r="CC26" i="4"/>
  <c r="CC25" i="4"/>
  <c r="CC44" i="4" l="1"/>
  <c r="BR71" i="4"/>
  <c r="BQ73" i="4"/>
  <c r="BO64" i="4"/>
  <c r="BP63" i="4"/>
  <c r="CF62" i="4"/>
  <c r="CF66" i="4" s="1"/>
  <c r="BQ156" i="8194"/>
  <c r="BQ183" i="8194" s="1"/>
  <c r="BQ184" i="8194" s="1"/>
  <c r="BQ185" i="8194" s="1"/>
  <c r="BQ186" i="8194" s="1"/>
  <c r="CF43" i="4"/>
  <c r="CG77" i="4"/>
  <c r="CD47" i="4"/>
  <c r="BB122" i="2" s="1"/>
  <c r="BV67" i="4"/>
  <c r="BW65" i="4"/>
  <c r="CD24" i="4"/>
  <c r="CD25" i="4"/>
  <c r="CE27" i="4"/>
  <c r="CE46" i="4"/>
  <c r="AY123" i="2"/>
  <c r="CE45" i="4"/>
  <c r="CD26" i="4"/>
  <c r="CG62" i="4" l="1"/>
  <c r="CG66" i="4" s="1"/>
  <c r="CG43" i="4"/>
  <c r="BR156" i="8194"/>
  <c r="BR183" i="8194" s="1"/>
  <c r="BR184" i="8194" s="1"/>
  <c r="BR185" i="8194" s="1"/>
  <c r="BR186" i="8194" s="1"/>
  <c r="CF27" i="4"/>
  <c r="CF24" i="4" s="1"/>
  <c r="AY124" i="2"/>
  <c r="CF46" i="4"/>
  <c r="CF45" i="4"/>
  <c r="CD44" i="4"/>
  <c r="BQ63" i="4"/>
  <c r="BP64" i="4"/>
  <c r="BX65" i="4"/>
  <c r="BW67" i="4"/>
  <c r="CE47" i="4"/>
  <c r="BB123" i="2" s="1"/>
  <c r="CE26" i="4"/>
  <c r="CE25" i="4"/>
  <c r="CE24" i="4"/>
  <c r="BS71" i="4"/>
  <c r="BR73" i="4"/>
  <c r="CF47" i="4" l="1"/>
  <c r="BB124" i="2" s="1"/>
  <c r="CF26" i="4"/>
  <c r="CF25" i="4"/>
  <c r="BT71" i="4"/>
  <c r="BS73" i="4"/>
  <c r="BQ64" i="4"/>
  <c r="BR63" i="4"/>
  <c r="CG46" i="4"/>
  <c r="CG27" i="4"/>
  <c r="CG24" i="4" s="1"/>
  <c r="AY125" i="2"/>
  <c r="CG45" i="4"/>
  <c r="BY65" i="4"/>
  <c r="BX67" i="4"/>
  <c r="CE44" i="4"/>
  <c r="CF44" i="4" l="1"/>
  <c r="BZ65" i="4"/>
  <c r="BY67" i="4"/>
  <c r="CG47" i="4"/>
  <c r="BB125" i="2" s="1"/>
  <c r="BU71" i="4"/>
  <c r="BT73" i="4"/>
  <c r="BR64" i="4"/>
  <c r="BS63" i="4"/>
  <c r="CG26" i="4"/>
  <c r="CG25" i="4"/>
  <c r="CG44" i="4" l="1"/>
  <c r="BT63" i="4"/>
  <c r="BS64" i="4"/>
  <c r="BV71" i="4"/>
  <c r="BU73" i="4"/>
  <c r="BZ67" i="4"/>
  <c r="CA65" i="4"/>
  <c r="CB65" i="4" l="1"/>
  <c r="CA67" i="4"/>
  <c r="BW71" i="4"/>
  <c r="BV73" i="4"/>
  <c r="BU63" i="4"/>
  <c r="BT64" i="4"/>
  <c r="BV63" i="4" l="1"/>
  <c r="BU64" i="4"/>
  <c r="BW73" i="4"/>
  <c r="BX71" i="4"/>
  <c r="CB67" i="4"/>
  <c r="CC65" i="4"/>
  <c r="CC67" i="4" l="1"/>
  <c r="CD65" i="4"/>
  <c r="BX73" i="4"/>
  <c r="BY71" i="4"/>
  <c r="BW63" i="4"/>
  <c r="BV64" i="4"/>
  <c r="BX63" i="4" l="1"/>
  <c r="BW64" i="4"/>
  <c r="BY73" i="4"/>
  <c r="BZ71" i="4"/>
  <c r="CD67" i="4"/>
  <c r="CE65" i="4"/>
  <c r="CF65" i="4" l="1"/>
  <c r="CE67" i="4"/>
  <c r="CA71" i="4"/>
  <c r="BZ73" i="4"/>
  <c r="BX64" i="4"/>
  <c r="BY63" i="4"/>
  <c r="BZ63" i="4" l="1"/>
  <c r="BY64" i="4"/>
  <c r="CB71" i="4"/>
  <c r="CA73" i="4"/>
  <c r="CF67" i="4"/>
  <c r="CG65" i="4"/>
  <c r="CG67" i="4" s="1"/>
  <c r="CC71" i="4" l="1"/>
  <c r="CB73" i="4"/>
  <c r="BZ64" i="4"/>
  <c r="CA63" i="4"/>
  <c r="CB63" i="4" l="1"/>
  <c r="CA64" i="4"/>
  <c r="CD71" i="4"/>
  <c r="CC73" i="4"/>
  <c r="CE71" i="4" l="1"/>
  <c r="CD73" i="4"/>
  <c r="CC63" i="4"/>
  <c r="CB64" i="4"/>
  <c r="CD63" i="4" l="1"/>
  <c r="CC64" i="4"/>
  <c r="CE73" i="4"/>
  <c r="CF71" i="4"/>
  <c r="CF73" i="4" l="1"/>
  <c r="CG71" i="4"/>
  <c r="CG73" i="4" s="1"/>
  <c r="CE63" i="4"/>
  <c r="CD64" i="4"/>
  <c r="CF63" i="4" l="1"/>
  <c r="CE64" i="4"/>
  <c r="CF64" i="4" l="1"/>
  <c r="CG63" i="4"/>
  <c r="CG6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0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0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0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0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0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0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B14" authorId="2" shapeId="0" xr:uid="{00000000-0006-0000-0000-000007000000}">
      <text>
        <r>
          <rPr>
            <b/>
            <sz val="8"/>
            <color indexed="81"/>
            <rFont val="Tahoma"/>
            <family val="2"/>
          </rPr>
          <t xml:space="preserve">Heizleistungsbedarf:
</t>
        </r>
        <r>
          <rPr>
            <sz val="8"/>
            <color indexed="81"/>
            <rFont val="Tahoma"/>
            <family val="2"/>
          </rPr>
          <t>Beim Heizleistungsbedarf darf die im Auslegungsfall sicher aufretende, freie Wärme berücksichtigt werden (max. 10%, bzw. 1 kW). Diese ist separat auszuweisen.</t>
        </r>
      </text>
    </comment>
    <comment ref="E14" authorId="1" shapeId="0" xr:uid="{00000000-0006-0000-0000-000008000000}">
      <text>
        <r>
          <rPr>
            <b/>
            <sz val="8"/>
            <color indexed="81"/>
            <rFont val="Arial"/>
            <family val="2"/>
          </rPr>
          <t xml:space="preserve">Heizleistungsbedarf:
</t>
        </r>
        <r>
          <rPr>
            <b/>
            <i/>
            <sz val="8"/>
            <color indexed="81"/>
            <rFont val="Arial"/>
            <family val="2"/>
          </rPr>
          <t xml:space="preserve">Minimalwert: </t>
        </r>
        <r>
          <rPr>
            <sz val="8"/>
            <color indexed="81"/>
            <rFont val="Arial"/>
            <family val="2"/>
          </rPr>
          <t xml:space="preserve">Falls Eingabe kleiner als Minimalwert, so wird mit dem Minimalwert gerechnet. Der Minimalwert wird berechnet mit 0.9*Vorschlagswert [kW].
</t>
        </r>
      </text>
    </comment>
    <comment ref="E16" authorId="1" shapeId="0" xr:uid="{00000000-0006-0000-00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Der Strombedarf von Warmhaltebändern ist separat zu berechnen.</t>
        </r>
      </text>
    </comment>
    <comment ref="B23" authorId="1" shapeId="0" xr:uid="{00000000-0006-0000-00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0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8" authorId="1" shapeId="0" xr:uid="{00000000-0006-0000-0000-00000C000000}">
      <text>
        <r>
          <rPr>
            <sz val="8"/>
            <color indexed="81"/>
            <rFont val="Arial"/>
            <family val="2"/>
          </rPr>
          <t>Gibt an, um wie viel
°C der Speicher höher
geladen wird als die 
Vorlauftemperatur</t>
        </r>
      </text>
    </comment>
    <comment ref="B39" authorId="1" shapeId="0" xr:uid="{00000000-0006-0000-0000-00000D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H39" authorId="2" shapeId="0" xr:uid="{00000000-0006-0000-0000-00000E000000}">
      <text>
        <r>
          <rPr>
            <b/>
            <sz val="8"/>
            <color indexed="81"/>
            <rFont val="Tahoma"/>
            <family val="2"/>
          </rPr>
          <t xml:space="preserve">Bivalenzpunkt:
</t>
        </r>
        <r>
          <rPr>
            <sz val="8"/>
            <color indexed="81"/>
            <rFont val="Tahoma"/>
            <family val="2"/>
          </rPr>
          <t xml:space="preserve">Eingabe von 0 nicht möglich. Bei Bivalenzpunkt 0 °C bitte 0.01 °C eingeben.
</t>
        </r>
      </text>
    </comment>
    <comment ref="B40" authorId="1" shapeId="0" xr:uid="{00000000-0006-0000-00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000-000010000000}">
      <text>
        <r>
          <rPr>
            <sz val="8"/>
            <color indexed="81"/>
            <rFont val="Arial"/>
            <family val="2"/>
          </rPr>
          <t>Warmwasser-Temperatur, die alleine mit der Wärmepumpe erzeugt werden kann.</t>
        </r>
      </text>
    </comment>
    <comment ref="B48" authorId="2" shapeId="0" xr:uid="{00000000-0006-0000-00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50" authorId="2" shapeId="0" xr:uid="{00000000-0006-0000-00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50" authorId="2" shapeId="0" xr:uid="{00000000-0006-0000-0000-000013000000}">
      <text>
        <r>
          <rPr>
            <b/>
            <sz val="8"/>
            <color indexed="81"/>
            <rFont val="Arial"/>
            <family val="2"/>
          </rPr>
          <t>Neigung:</t>
        </r>
        <r>
          <rPr>
            <sz val="8"/>
            <color indexed="81"/>
            <rFont val="Arial"/>
            <family val="2"/>
          </rPr>
          <t xml:space="preserve">
Aufstellwinkel der Kollektoren.
0 = horizontal, 
90 = vertikal.
Eingabe ohne [°].</t>
        </r>
      </text>
    </comment>
    <comment ref="C52" authorId="2" shapeId="0" xr:uid="{00000000-0006-0000-0000-000014000000}">
      <text>
        <r>
          <rPr>
            <b/>
            <sz val="8"/>
            <color indexed="81"/>
            <rFont val="Arial"/>
            <family val="2"/>
          </rPr>
          <t xml:space="preserve">Bei Berechnung nach SIA 384/3:
</t>
        </r>
        <r>
          <rPr>
            <sz val="8"/>
            <color indexed="81"/>
            <rFont val="Arial"/>
            <family val="2"/>
          </rPr>
          <t>Konversionsfaktor des Sonnenkollektors</t>
        </r>
      </text>
    </comment>
    <comment ref="E52" authorId="2" shapeId="0" xr:uid="{00000000-0006-0000-0000-000015000000}">
      <text>
        <r>
          <rPr>
            <b/>
            <sz val="8"/>
            <color indexed="81"/>
            <rFont val="Arial"/>
            <family val="2"/>
          </rPr>
          <t>Bei Berechnung nach SIA 384/3:</t>
        </r>
        <r>
          <rPr>
            <sz val="8"/>
            <color indexed="81"/>
            <rFont val="Arial"/>
            <family val="2"/>
          </rPr>
          <t xml:space="preserve">
Linearer Verlustkoeffizient des Sonnenkollektors.</t>
        </r>
      </text>
    </comment>
    <comment ref="G52" authorId="2" shapeId="0" xr:uid="{00000000-0006-0000-0000-000016000000}">
      <text>
        <r>
          <rPr>
            <b/>
            <sz val="8"/>
            <color indexed="81"/>
            <rFont val="Arial"/>
            <family val="2"/>
          </rPr>
          <t>Bei Berechnung nach SIA 384/3:</t>
        </r>
        <r>
          <rPr>
            <sz val="8"/>
            <color indexed="81"/>
            <rFont val="Arial"/>
            <family val="2"/>
          </rPr>
          <t xml:space="preserve">
Quadratischer Verlustkoeffizient des Sonnenkollektors.</t>
        </r>
      </text>
    </comment>
    <comment ref="F57" authorId="1" shapeId="0" xr:uid="{00000000-0006-0000-0000-000017000000}">
      <text>
        <r>
          <rPr>
            <b/>
            <sz val="8"/>
            <color indexed="81"/>
            <rFont val="Tahoma"/>
            <family val="2"/>
          </rPr>
          <t xml:space="preserve">Deckungsgrad Zusatzheizung für die Heizung:
</t>
        </r>
        <r>
          <rPr>
            <sz val="8"/>
            <color indexed="81"/>
            <rFont val="Tahoma"/>
            <family val="2"/>
          </rPr>
          <t>In den MINERGIE-Nachweis übertragen</t>
        </r>
      </text>
    </comment>
    <comment ref="F58" authorId="1" shapeId="0" xr:uid="{00000000-0006-0000-00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62" authorId="1" shapeId="0" xr:uid="{00000000-0006-0000-0000-000019000000}">
      <text>
        <r>
          <rPr>
            <b/>
            <sz val="8"/>
            <color indexed="81"/>
            <rFont val="Tahoma"/>
            <family val="2"/>
          </rPr>
          <t xml:space="preserve">Deckungsgrad  der Wärmepumpe für die Heizung:
</t>
        </r>
        <r>
          <rPr>
            <sz val="8"/>
            <color indexed="81"/>
            <rFont val="Tahoma"/>
            <family val="2"/>
          </rPr>
          <t>In den MINERGIE-Nachweis übertragen</t>
        </r>
      </text>
    </comment>
    <comment ref="H62" authorId="1" shapeId="0" xr:uid="{00000000-0006-0000-00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63" authorId="1" shapeId="0" xr:uid="{00000000-0006-0000-00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63" authorId="1" shapeId="0" xr:uid="{00000000-0006-0000-0000-00001C000000}">
      <text>
        <r>
          <rPr>
            <b/>
            <sz val="8"/>
            <color indexed="81"/>
            <rFont val="Tahoma"/>
            <family val="2"/>
          </rPr>
          <t xml:space="preserve">Jahresarbeitszahl (JAZ) der Wärmepumpe für Warmwasser, 
</t>
        </r>
        <r>
          <rPr>
            <sz val="8"/>
            <color indexed="81"/>
            <rFont val="Tahoma"/>
            <family val="2"/>
          </rPr>
          <t>ohne Berücksichtigung des  Elektro-Direktheizungsanteils.
In den MINERGIE-Nachweis übertragen.</t>
        </r>
      </text>
    </comment>
    <comment ref="B66" authorId="1" shapeId="0" xr:uid="{00000000-0006-0000-0000-00001D000000}">
      <text>
        <r>
          <rPr>
            <b/>
            <sz val="8"/>
            <color indexed="81"/>
            <rFont val="Tahoma"/>
            <family val="2"/>
          </rPr>
          <t>Arbeitszahl</t>
        </r>
        <r>
          <rPr>
            <sz val="8"/>
            <color indexed="81"/>
            <rFont val="Tahoma"/>
            <family val="2"/>
          </rPr>
          <t xml:space="preserve"> 
ohne Berücksichtigung der Elektro - 
Zusatzheizung / ohne WRG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2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2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2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2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2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2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C14" authorId="2" shapeId="0" xr:uid="{00000000-0006-0000-0200-000007000000}">
      <text>
        <r>
          <rPr>
            <b/>
            <sz val="8"/>
            <color indexed="81"/>
            <rFont val="Tahoma"/>
            <family val="2"/>
          </rPr>
          <t>Heizleistungsbedarf:</t>
        </r>
        <r>
          <rPr>
            <sz val="8"/>
            <color indexed="81"/>
            <rFont val="Tahoma"/>
            <family val="2"/>
          </rPr>
          <t xml:space="preserve">
Heizleistungsbedarf für Heizung inkl. Verteilverluste, aber ohne Warmwasser und ohne Sperrzeiten.
Nur informative Eingabe, ohne Einfluss auf Resultat.</t>
        </r>
      </text>
    </comment>
    <comment ref="E14" authorId="2" shapeId="0" xr:uid="{00000000-0006-0000-0200-000008000000}">
      <text>
        <r>
          <rPr>
            <sz val="8"/>
            <color indexed="81"/>
            <rFont val="Tahoma"/>
            <family val="2"/>
          </rPr>
          <t>Vorschlagswert entspricht Heizleistungsbedarf nach SIA 384/3 und wird für die Berechnung verwendet.
Wert gilt nur bei 20°C Raumtemperatur.</t>
        </r>
      </text>
    </comment>
    <comment ref="E16" authorId="1" shapeId="0" xr:uid="{00000000-0006-0000-02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3" authorId="1" shapeId="0" xr:uid="{00000000-0006-0000-02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2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B36" authorId="2" shapeId="0" xr:uid="{00000000-0006-0000-0200-00000C000000}">
      <text>
        <r>
          <rPr>
            <sz val="8"/>
            <color indexed="81"/>
            <rFont val="Tahoma"/>
            <family val="2"/>
          </rPr>
          <t xml:space="preserve">Einstellwert auf Wärmepumpe.
</t>
        </r>
        <r>
          <rPr>
            <b/>
            <sz val="8"/>
            <color indexed="81"/>
            <rFont val="Tahoma"/>
            <family val="2"/>
          </rPr>
          <t>Achtung:</t>
        </r>
        <r>
          <rPr>
            <sz val="8"/>
            <color indexed="81"/>
            <rFont val="Tahoma"/>
            <family val="2"/>
          </rPr>
          <t xml:space="preserve"> -8°C ist nicht Auslegungstemperatur, sondern Einstellwert auf Regler!</t>
        </r>
      </text>
    </comment>
    <comment ref="F38" authorId="1" shapeId="0" xr:uid="{00000000-0006-0000-0200-00000D000000}">
      <text>
        <r>
          <rPr>
            <sz val="8"/>
            <color indexed="81"/>
            <rFont val="Arial"/>
            <family val="2"/>
          </rPr>
          <t>Gibt an, um wie viel
°C der Speicher höher
geladen wird als die 
Vorlauftemperatur</t>
        </r>
      </text>
    </comment>
    <comment ref="B39" authorId="1" shapeId="0" xr:uid="{00000000-0006-0000-0200-00000E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0" authorId="1" shapeId="0" xr:uid="{00000000-0006-0000-02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200-000010000000}">
      <text>
        <r>
          <rPr>
            <sz val="8"/>
            <color indexed="81"/>
            <rFont val="Arial"/>
            <family val="2"/>
          </rPr>
          <t>Warmwasser-Temperatur, die alleine mit der Wärmepumpe erzeugt werden kann.</t>
        </r>
      </text>
    </comment>
    <comment ref="B44" authorId="2" shapeId="0" xr:uid="{00000000-0006-0000-02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46" authorId="2" shapeId="0" xr:uid="{00000000-0006-0000-02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46" authorId="2" shapeId="0" xr:uid="{00000000-0006-0000-0200-000013000000}">
      <text>
        <r>
          <rPr>
            <b/>
            <sz val="8"/>
            <color indexed="81"/>
            <rFont val="Arial"/>
            <family val="2"/>
          </rPr>
          <t>Neigung:</t>
        </r>
        <r>
          <rPr>
            <sz val="8"/>
            <color indexed="81"/>
            <rFont val="Arial"/>
            <family val="2"/>
          </rPr>
          <t xml:space="preserve">
Aufstellwinkel der Kollektoren.
0 = horizontal, 
90 = vertikal.
Eingabe ohne [°].</t>
        </r>
      </text>
    </comment>
    <comment ref="C48" authorId="2" shapeId="0" xr:uid="{00000000-0006-0000-0200-000014000000}">
      <text>
        <r>
          <rPr>
            <b/>
            <sz val="8"/>
            <color indexed="81"/>
            <rFont val="Arial"/>
            <family val="2"/>
          </rPr>
          <t xml:space="preserve">Bei Berechnung nach SIA 384/3:
</t>
        </r>
        <r>
          <rPr>
            <sz val="8"/>
            <color indexed="81"/>
            <rFont val="Arial"/>
            <family val="2"/>
          </rPr>
          <t>Konversionsfaktor des Sonnenkollektors</t>
        </r>
      </text>
    </comment>
    <comment ref="E48" authorId="2" shapeId="0" xr:uid="{00000000-0006-0000-0200-000015000000}">
      <text>
        <r>
          <rPr>
            <b/>
            <sz val="8"/>
            <color indexed="81"/>
            <rFont val="Arial"/>
            <family val="2"/>
          </rPr>
          <t>Bei Berechnung nach SIA 384/3:</t>
        </r>
        <r>
          <rPr>
            <sz val="8"/>
            <color indexed="81"/>
            <rFont val="Arial"/>
            <family val="2"/>
          </rPr>
          <t xml:space="preserve">
Linearer Verlustkoeffizient des Sonnenkollektors.</t>
        </r>
      </text>
    </comment>
    <comment ref="G48" authorId="2" shapeId="0" xr:uid="{00000000-0006-0000-0200-000016000000}">
      <text>
        <r>
          <rPr>
            <b/>
            <sz val="8"/>
            <color indexed="81"/>
            <rFont val="Arial"/>
            <family val="2"/>
          </rPr>
          <t>Bei Berechnung nach SIA 384/3:</t>
        </r>
        <r>
          <rPr>
            <sz val="8"/>
            <color indexed="81"/>
            <rFont val="Arial"/>
            <family val="2"/>
          </rPr>
          <t xml:space="preserve">
Quadratischer Verlustkoeffizient des Sonnenkollektors.</t>
        </r>
      </text>
    </comment>
    <comment ref="F53" authorId="1" shapeId="0" xr:uid="{00000000-0006-0000-0200-000017000000}">
      <text>
        <r>
          <rPr>
            <b/>
            <sz val="8"/>
            <color indexed="81"/>
            <rFont val="Tahoma"/>
            <family val="2"/>
          </rPr>
          <t xml:space="preserve">Deckungsgrad Zusatzheizung für die Heizung:
</t>
        </r>
        <r>
          <rPr>
            <sz val="8"/>
            <color indexed="81"/>
            <rFont val="Tahoma"/>
            <family val="2"/>
          </rPr>
          <t>In den MINERGIE-Nachweis übertragen</t>
        </r>
      </text>
    </comment>
    <comment ref="F54" authorId="1" shapeId="0" xr:uid="{00000000-0006-0000-02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58" authorId="1" shapeId="0" xr:uid="{00000000-0006-0000-0200-000019000000}">
      <text>
        <r>
          <rPr>
            <b/>
            <sz val="8"/>
            <color indexed="81"/>
            <rFont val="Tahoma"/>
            <family val="2"/>
          </rPr>
          <t xml:space="preserve">Deckungsgrad  der Wärmepumpe für die Heizung:
</t>
        </r>
        <r>
          <rPr>
            <sz val="8"/>
            <color indexed="81"/>
            <rFont val="Tahoma"/>
            <family val="2"/>
          </rPr>
          <t>In den MINERGIE-Nachweis übertragen</t>
        </r>
      </text>
    </comment>
    <comment ref="H58" authorId="1" shapeId="0" xr:uid="{00000000-0006-0000-02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59" authorId="1" shapeId="0" xr:uid="{00000000-0006-0000-02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59" authorId="1" shapeId="0" xr:uid="{00000000-0006-0000-0200-00001C000000}">
      <text>
        <r>
          <rPr>
            <b/>
            <sz val="8"/>
            <color indexed="81"/>
            <rFont val="Tahoma"/>
            <family val="2"/>
          </rPr>
          <t xml:space="preserve">Jahresarbeitszahl (JAZ) der Wärmepumpe für Warmwasser, 
</t>
        </r>
        <r>
          <rPr>
            <sz val="8"/>
            <color indexed="81"/>
            <rFont val="Tahoma"/>
            <family val="2"/>
          </rPr>
          <t>ohne Berücksichtigung des Elektro- Direktheizungsanteils.
In den MINERGIE-Nachweis übertragen.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Huber</author>
    <author>Arthur Huber</author>
  </authors>
  <commentList>
    <comment ref="F12" authorId="0" shapeId="0" xr:uid="{00000000-0006-0000-0300-000001000000}">
      <text>
        <r>
          <rPr>
            <b/>
            <sz val="8"/>
            <color indexed="81"/>
            <rFont val="Arial"/>
            <family val="2"/>
          </rPr>
          <t xml:space="preserve">Heizwärmebedarf Qh,eff:
</t>
        </r>
        <r>
          <rPr>
            <sz val="8"/>
            <color indexed="81"/>
            <rFont val="Arial"/>
            <family val="2"/>
          </rPr>
          <t>Kann aus der Berechnung des Energieausweises entnommen werden. Berechnet mit effektivem, thermisch wirksamen Aussenluftvolumenstrom (WRG kann berücksichtigt werden).</t>
        </r>
      </text>
    </comment>
    <comment ref="I12" authorId="1" shapeId="0" xr:uid="{00000000-0006-0000-0300-000002000000}">
      <text>
        <r>
          <rPr>
            <b/>
            <sz val="8"/>
            <color indexed="81"/>
            <rFont val="Arial"/>
            <family val="2"/>
          </rPr>
          <t>Heizwärmebedarf Qh,eff:</t>
        </r>
        <r>
          <rPr>
            <sz val="8"/>
            <color indexed="81"/>
            <rFont val="Arial"/>
            <family val="2"/>
          </rPr>
          <t xml:space="preserve">
Kann aus der Berechnung des Energieausweises entnommen werden. Berechnet mit effektivem, thermisch wirksamen Aussenluftvolumenstrom (WRG kann berücksichtigt werden).
Spezifischer Wert bezogen auf BGF.</t>
        </r>
      </text>
    </comment>
    <comment ref="F13" authorId="0" shapeId="0" xr:uid="{00000000-0006-0000-0300-000003000000}">
      <text>
        <r>
          <rPr>
            <b/>
            <sz val="8"/>
            <color indexed="81"/>
            <rFont val="Arial"/>
            <family val="2"/>
          </rPr>
          <t xml:space="preserve">Transmissionswärmeverluste:
</t>
        </r>
        <r>
          <rPr>
            <sz val="8"/>
            <color indexed="81"/>
            <rFont val="Arial"/>
            <family val="2"/>
          </rPr>
          <t>Kann aus der Berechnung des Energieausweises entnommen werden.
Falls QT und QV leer gelassen werden, wird (QT+QV) = Qh/15*24 gesetzt.</t>
        </r>
      </text>
    </comment>
    <comment ref="I13" authorId="1" shapeId="0" xr:uid="{00000000-0006-0000-0300-000004000000}">
      <text>
        <r>
          <rPr>
            <b/>
            <sz val="8"/>
            <color indexed="81"/>
            <rFont val="Arial"/>
            <family val="2"/>
          </rPr>
          <t>Transmissionswärmeverluste:</t>
        </r>
        <r>
          <rPr>
            <sz val="8"/>
            <color indexed="81"/>
            <rFont val="Arial"/>
            <family val="2"/>
          </rPr>
          <t xml:space="preserve">
Kann aus der Berechnung des Energieausweises entnommen werden.
Spezifischer Wert bezogen auf BGF.</t>
        </r>
      </text>
    </comment>
    <comment ref="F14" authorId="0" shapeId="0" xr:uid="{00000000-0006-0000-0300-000005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Falls QT und QV leer gelassen werden, wird (QT+QV) = Qh/15*24 gesetzt.</t>
        </r>
      </text>
    </comment>
    <comment ref="I14" authorId="1" shapeId="0" xr:uid="{00000000-0006-0000-0300-000006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Spezifischer Wert bezogen auf BGF.</t>
        </r>
      </text>
    </comment>
    <comment ref="F15" authorId="0" shapeId="0" xr:uid="{00000000-0006-0000-0300-000007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F16" authorId="0" shapeId="0" xr:uid="{00000000-0006-0000-0300-000008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D17" authorId="1" shapeId="0" xr:uid="{00000000-0006-0000-0300-000009000000}">
      <text>
        <r>
          <rPr>
            <b/>
            <sz val="8"/>
            <color indexed="81"/>
            <rFont val="Tahoma"/>
            <family val="2"/>
          </rPr>
          <t>Heizleistungsbedarf:</t>
        </r>
        <r>
          <rPr>
            <sz val="8"/>
            <color indexed="81"/>
            <rFont val="Tahoma"/>
            <family val="2"/>
          </rPr>
          <t xml:space="preserve">
Heizleistungsbedarf für Heizung inkl. Verteilverluste, aber ohne Warmwasser und ohne Sperrzeiten.</t>
        </r>
      </text>
    </comment>
    <comment ref="F19" authorId="0" shapeId="0" xr:uid="{00000000-0006-0000-0300-00000A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6" authorId="0" shapeId="0" xr:uid="{00000000-0006-0000-0300-00000B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G34" authorId="1" shapeId="0" xr:uid="{00000000-0006-0000-0300-00000C000000}">
      <text>
        <r>
          <rPr>
            <b/>
            <sz val="8"/>
            <color indexed="81"/>
            <rFont val="Arial"/>
            <family val="2"/>
          </rPr>
          <t xml:space="preserve">Spez. Sondenbelastung:
</t>
        </r>
        <r>
          <rPr>
            <sz val="8"/>
            <color indexed="81"/>
            <rFont val="Arial"/>
            <family val="2"/>
          </rPr>
          <t>Schrift grün: Analge ist förderfähig
Schrift rot:   Anlage ist nicht förderfähig</t>
        </r>
        <r>
          <rPr>
            <sz val="9"/>
            <color indexed="81"/>
            <rFont val="Tahoma"/>
            <family val="2"/>
          </rPr>
          <t xml:space="preserve">
</t>
        </r>
      </text>
    </comment>
    <comment ref="L35" authorId="0" shapeId="0" xr:uid="{00000000-0006-0000-0300-00000D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6" authorId="1" shapeId="0" xr:uid="{00000000-0006-0000-0300-00000E000000}">
      <text>
        <r>
          <rPr>
            <b/>
            <sz val="8"/>
            <color indexed="81"/>
            <rFont val="Tahoma"/>
            <family val="2"/>
          </rPr>
          <t>Bei manueller Eingabe der Auslegungs-Quellentemperatur der Erdsonden:</t>
        </r>
        <r>
          <rPr>
            <sz val="8"/>
            <color indexed="81"/>
            <rFont val="Tahoma"/>
            <family val="2"/>
          </rPr>
          <t xml:space="preserve">
Bei manueller Eingabe ist eine externe Berechnung (z.B. mit dem Programm EWS) beizulegen.</t>
        </r>
      </text>
    </comment>
    <comment ref="I36" authorId="0" shapeId="0" xr:uid="{00000000-0006-0000-0300-00000F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9" authorId="1" shapeId="0" xr:uid="{00000000-0006-0000-0300-000010000000}">
      <text>
        <r>
          <rPr>
            <b/>
            <sz val="8"/>
            <color indexed="81"/>
            <rFont val="Tahoma"/>
            <family val="2"/>
          </rPr>
          <t>Bei manueller Eingabe der Vorlauftemperatur TVL:</t>
        </r>
        <r>
          <rPr>
            <sz val="8"/>
            <color indexed="81"/>
            <rFont val="Tahoma"/>
            <family val="2"/>
          </rPr>
          <t xml:space="preserve">
Raumheizlastberechnung nach EN 12831 und Auswahl/Dimensionierung des Wärmeabgabesystems gemäss Herstellerdaten ist beizulegen.</t>
        </r>
      </text>
    </comment>
    <comment ref="G39" authorId="1" shapeId="0" xr:uid="{00000000-0006-0000-0300-000011000000}">
      <text>
        <r>
          <rPr>
            <u/>
            <sz val="8"/>
            <color indexed="81"/>
            <rFont val="Tahoma"/>
            <family val="2"/>
          </rPr>
          <t>In Abhängigkeit des spezifischen Heizwärmebedarf (HWB) setzt das Programm folgende Werte für die Vorlauf- bzw. Rücklauftemperatur des Wärmeverteilsystems ein:</t>
        </r>
        <r>
          <rPr>
            <sz val="8"/>
            <color indexed="81"/>
            <rFont val="Tahoma"/>
            <family val="2"/>
          </rPr>
          <t xml:space="preserve">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I39" authorId="1" shapeId="0" xr:uid="{00000000-0006-0000-0300-000012000000}">
      <text>
        <r>
          <rPr>
            <b/>
            <sz val="8"/>
            <color indexed="81"/>
            <rFont val="Tahoma"/>
            <family val="2"/>
          </rPr>
          <t xml:space="preserve">Minimalwert:
</t>
        </r>
        <r>
          <rPr>
            <sz val="8"/>
            <color indexed="81"/>
            <rFont val="Tahoma"/>
            <family val="2"/>
          </rPr>
          <t>T VL &gt;= T RK + 4°C</t>
        </r>
      </text>
    </comment>
    <comment ref="F40" authorId="1" shapeId="0" xr:uid="{00000000-0006-0000-0300-000013000000}">
      <text>
        <r>
          <rPr>
            <b/>
            <sz val="8"/>
            <color indexed="81"/>
            <rFont val="Tahoma"/>
            <family val="2"/>
          </rPr>
          <t>Bei manueller Eingabe der Rücklauftemperatur TRL:</t>
        </r>
        <r>
          <rPr>
            <sz val="8"/>
            <color indexed="81"/>
            <rFont val="Tahoma"/>
            <family val="2"/>
          </rPr>
          <t xml:space="preserve">
Raumheizlastberechnung nach EN 12831 und Auswahl/Dimensionierung des Wärmeabgabesystems gemäss Herstellerdaten ist beizulegen.</t>
        </r>
      </text>
    </comment>
    <comment ref="G40" authorId="1" shapeId="0" xr:uid="{00000000-0006-0000-0300-000014000000}">
      <text>
        <r>
          <rPr>
            <sz val="8"/>
            <color indexed="81"/>
            <rFont val="Tahoma"/>
            <family val="2"/>
          </rPr>
          <t xml:space="preserve">In Abhängigkeit des spezifischen Heizwärmebedarf (HWB) setzt das Programm folgende Werte für die Vorlauf- bzw. Rücklauftemperatur des Wärmeverteilsystems ein: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G41" authorId="0" shapeId="0" xr:uid="{00000000-0006-0000-0300-000015000000}">
      <text>
        <r>
          <rPr>
            <sz val="8"/>
            <color indexed="81"/>
            <rFont val="Arial"/>
            <family val="2"/>
          </rPr>
          <t>Gibt an, um wie viel °C der Speicher höher
geladen wird als die Vorlauftemperatur. 
Typischer minimalwert ist 5K.</t>
        </r>
      </text>
    </comment>
    <comment ref="B42" authorId="0" shapeId="0" xr:uid="{00000000-0006-0000-0300-000016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3" authorId="0" shapeId="0" xr:uid="{00000000-0006-0000-0300-000017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4" authorId="0" shapeId="0" xr:uid="{00000000-0006-0000-0300-000018000000}">
      <text>
        <r>
          <rPr>
            <sz val="8"/>
            <color indexed="81"/>
            <rFont val="Arial"/>
            <family val="2"/>
          </rPr>
          <t>Warmwasser-Temperatur, die alleine mit der Wärmepumpe erzeugt werden kann.</t>
        </r>
      </text>
    </comment>
    <comment ref="B47" authorId="1" shapeId="0" xr:uid="{00000000-0006-0000-0300-000019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F49" authorId="1" shapeId="0" xr:uid="{00000000-0006-0000-0300-00001A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H49" authorId="1" shapeId="0" xr:uid="{00000000-0006-0000-0300-00001B000000}">
      <text>
        <r>
          <rPr>
            <b/>
            <sz val="8"/>
            <color indexed="81"/>
            <rFont val="Arial"/>
            <family val="2"/>
          </rPr>
          <t>Neigung:</t>
        </r>
        <r>
          <rPr>
            <sz val="8"/>
            <color indexed="81"/>
            <rFont val="Arial"/>
            <family val="2"/>
          </rPr>
          <t xml:space="preserve">
Aufstellwinkel der Kollektoren.
0 = horizontal, 
90 = vertikal.
Eingabe ohne [°].</t>
        </r>
      </text>
    </comment>
    <comment ref="D51" authorId="1" shapeId="0" xr:uid="{00000000-0006-0000-0300-00001C000000}">
      <text>
        <r>
          <rPr>
            <b/>
            <sz val="8"/>
            <color indexed="81"/>
            <rFont val="Arial"/>
            <family val="2"/>
          </rPr>
          <t xml:space="preserve">Bei Berechnung nach SIA 384/3:
</t>
        </r>
        <r>
          <rPr>
            <sz val="8"/>
            <color indexed="81"/>
            <rFont val="Arial"/>
            <family val="2"/>
          </rPr>
          <t>Konversionsfaktor des Sonnenkollektors</t>
        </r>
      </text>
    </comment>
    <comment ref="F51" authorId="1" shapeId="0" xr:uid="{00000000-0006-0000-0300-00001D000000}">
      <text>
        <r>
          <rPr>
            <b/>
            <sz val="8"/>
            <color indexed="81"/>
            <rFont val="Arial"/>
            <family val="2"/>
          </rPr>
          <t>Bei Berechnung nach SIA 384/3:</t>
        </r>
        <r>
          <rPr>
            <sz val="8"/>
            <color indexed="81"/>
            <rFont val="Arial"/>
            <family val="2"/>
          </rPr>
          <t xml:space="preserve">
Linearer Verlustkoeffizient des Sonnenkollektors.</t>
        </r>
      </text>
    </comment>
    <comment ref="H51" authorId="1" shapeId="0" xr:uid="{00000000-0006-0000-0300-00001E000000}">
      <text>
        <r>
          <rPr>
            <b/>
            <sz val="8"/>
            <color indexed="81"/>
            <rFont val="Arial"/>
            <family val="2"/>
          </rPr>
          <t>Bei Berechnung nach SIA 384/3:</t>
        </r>
        <r>
          <rPr>
            <sz val="8"/>
            <color indexed="81"/>
            <rFont val="Arial"/>
            <family val="2"/>
          </rPr>
          <t xml:space="preserve">
Quadratischer Verlustkoeffizient des Sonnenkollektors.</t>
        </r>
      </text>
    </comment>
    <comment ref="I61" authorId="0" shapeId="0" xr:uid="{00000000-0006-0000-0300-00001F000000}">
      <text>
        <r>
          <rPr>
            <b/>
            <sz val="8"/>
            <color indexed="81"/>
            <rFont val="Tahoma"/>
            <family val="2"/>
          </rPr>
          <t xml:space="preserve">Wärmepumpenförderung Vorarlberg:
</t>
        </r>
        <r>
          <rPr>
            <sz val="8"/>
            <color indexed="81"/>
            <rFont val="Tahoma"/>
            <family val="2"/>
          </rPr>
          <t>Nach den derzeit gültigen Richtlinien muss die Jahresarbeitszahl (JAZ) für den  Heizbetrieb mit der Wärmepumpe (JAZ Heiz) mindestens 4.0 betragen. Der Nachweis dieses Wertes ist nur für die Erzeugung der Heizwärme mit der WP erforderlich und wird hier ausgewiesen.
Eine Solaranlage mit Heizungsunterstützung (G46) darf NICHT eingerechnet werden.</t>
        </r>
      </text>
    </comment>
    <comment ref="B63" authorId="0" shapeId="0" xr:uid="{00000000-0006-0000-0300-000020000000}">
      <text>
        <r>
          <rPr>
            <sz val="8"/>
            <color indexed="81"/>
            <rFont val="Tahoma"/>
            <family val="2"/>
          </rPr>
          <t>Arbeitszahl ohne Berücksichtigung der Elektro - 
Zusatzheizung / ohne WRG</t>
        </r>
      </text>
    </comment>
    <comment ref="I63" authorId="1" shapeId="0" xr:uid="{00000000-0006-0000-0300-000021000000}">
      <text>
        <r>
          <rPr>
            <b/>
            <sz val="8"/>
            <color indexed="81"/>
            <rFont val="Tahoma"/>
            <family val="2"/>
          </rPr>
          <t xml:space="preserve">Jahresarbeitszahl für Heizung und Warmwasser JAZ(h+ww):
</t>
        </r>
        <r>
          <rPr>
            <sz val="8"/>
            <color indexed="81"/>
            <rFont val="Tahoma"/>
            <family val="2"/>
          </rPr>
          <t>mit Solaranlage (falls vorhanden), aber ohne Elektrozusatz</t>
        </r>
      </text>
    </comment>
    <comment ref="I64" authorId="0" shapeId="0" xr:uid="{00000000-0006-0000-0300-000022000000}">
      <text>
        <r>
          <rPr>
            <b/>
            <sz val="8"/>
            <color indexed="81"/>
            <rFont val="Tahoma"/>
            <family val="2"/>
          </rPr>
          <t xml:space="preserve">Jahresarbeitszahl für die gesamte Wärmepumpenanlage (inkl. Elektrozusatz) für Heizung plus Warmwasser
Wärmepumpenförderung Vorarlberg:
</t>
        </r>
        <r>
          <rPr>
            <sz val="8"/>
            <color indexed="81"/>
            <rFont val="Tahoma"/>
            <family val="2"/>
          </rPr>
          <t>Nach den derzeit gültigen Richtlinien muss die Jahresarbeitszahl (JAZ) für den die gesamte Wärmepumpenanlage mindestens 3.5 betragen.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D21" authorId="0" shapeId="0" xr:uid="{00000000-0006-0000-0400-000001000000}">
      <text>
        <r>
          <rPr>
            <b/>
            <sz val="9"/>
            <color indexed="81"/>
            <rFont val="Tahoma"/>
            <family val="2"/>
          </rPr>
          <t>Martin:</t>
        </r>
        <r>
          <rPr>
            <sz val="9"/>
            <color indexed="81"/>
            <rFont val="Tahoma"/>
            <family val="2"/>
          </rPr>
          <t xml:space="preserve">
Gleicher Gütegrad wie bei -15</t>
        </r>
      </text>
    </comment>
    <comment ref="D24" authorId="0" shapeId="0" xr:uid="{00000000-0006-0000-0400-000002000000}">
      <text>
        <r>
          <rPr>
            <b/>
            <sz val="9"/>
            <color indexed="81"/>
            <rFont val="Tahoma"/>
            <family val="2"/>
          </rPr>
          <t>Martin:</t>
        </r>
        <r>
          <rPr>
            <sz val="9"/>
            <color indexed="81"/>
            <rFont val="Tahoma"/>
            <family val="2"/>
          </rPr>
          <t xml:space="preserve">
Gleicher Gütegrad wie bei -15</t>
        </r>
      </text>
    </comment>
    <comment ref="D33" authorId="0" shapeId="0" xr:uid="{00000000-0006-0000-0400-000003000000}">
      <text>
        <r>
          <rPr>
            <b/>
            <sz val="9"/>
            <color indexed="81"/>
            <rFont val="Tahoma"/>
            <family val="2"/>
          </rPr>
          <t>Martin:</t>
        </r>
        <r>
          <rPr>
            <sz val="9"/>
            <color indexed="81"/>
            <rFont val="Tahoma"/>
            <family val="2"/>
          </rPr>
          <t xml:space="preserve">
Gleicher Gütegrad wie bei -15</t>
        </r>
      </text>
    </comment>
    <comment ref="D36" authorId="0" shapeId="0" xr:uid="{00000000-0006-0000-0400-000004000000}">
      <text>
        <r>
          <rPr>
            <b/>
            <sz val="9"/>
            <color indexed="81"/>
            <rFont val="Tahoma"/>
            <family val="2"/>
          </rPr>
          <t>Martin:</t>
        </r>
        <r>
          <rPr>
            <sz val="9"/>
            <color indexed="81"/>
            <rFont val="Tahoma"/>
            <family val="2"/>
          </rPr>
          <t xml:space="preserve">
Gleicher Gütegrad wie bei -15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W35" authorId="0" shapeId="0" xr:uid="{00000000-0006-0000-0600-000001000000}">
      <text>
        <r>
          <rPr>
            <b/>
            <sz val="9"/>
            <color indexed="81"/>
            <rFont val="Tahoma"/>
            <family val="2"/>
          </rPr>
          <t>Martin:</t>
        </r>
        <r>
          <rPr>
            <sz val="9"/>
            <color indexed="81"/>
            <rFont val="Tahoma"/>
            <family val="2"/>
          </rPr>
          <t xml:space="preserve">
Gleicher Gütegrad wie bei -15</t>
        </r>
      </text>
    </comment>
    <comment ref="W38" authorId="0" shapeId="0" xr:uid="{00000000-0006-0000-0600-000002000000}">
      <text>
        <r>
          <rPr>
            <b/>
            <sz val="9"/>
            <color indexed="81"/>
            <rFont val="Tahoma"/>
            <family val="2"/>
          </rPr>
          <t>Martin:</t>
        </r>
        <r>
          <rPr>
            <sz val="9"/>
            <color indexed="81"/>
            <rFont val="Tahoma"/>
            <family val="2"/>
          </rPr>
          <t xml:space="preserve">
Gleicher Gütegrad wie bei -15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Wilhelm Schlader</author>
  </authors>
  <commentList>
    <comment ref="C9" authorId="0" shapeId="0" xr:uid="{00000000-0006-0000-0800-000001000000}">
      <text>
        <r>
          <rPr>
            <sz val="8"/>
            <color indexed="81"/>
            <rFont val="Tahoma"/>
            <family val="2"/>
          </rPr>
          <t xml:space="preserve">Tarif für "VKW-Wärmestrom"
</t>
        </r>
      </text>
    </comment>
  </commentList>
</comments>
</file>

<file path=xl/sharedStrings.xml><?xml version="1.0" encoding="utf-8"?>
<sst xmlns="http://schemas.openxmlformats.org/spreadsheetml/2006/main" count="13775" uniqueCount="5723">
  <si>
    <t>impostazione anti-legionella settimanale</t>
  </si>
  <si>
    <t>Cavo riscaldante</t>
  </si>
  <si>
    <t>Circolazione dell'ACS</t>
  </si>
  <si>
    <t>una velocità</t>
  </si>
  <si>
    <t>due velocità</t>
  </si>
  <si>
    <t>Potenza termica alla temperatura di mandata</t>
  </si>
  <si>
    <t>COP alla temperatura di mandata</t>
  </si>
  <si>
    <t>Circolazione dell'ACS/ cavo riscaldante</t>
  </si>
  <si>
    <t>più velocità</t>
  </si>
  <si>
    <t>velocità variabile</t>
  </si>
  <si>
    <t>Impianto di ventilazione senza recupero di calore</t>
  </si>
  <si>
    <t>Nessuna impianto solare</t>
  </si>
  <si>
    <t>Specifiche del collettore</t>
  </si>
  <si>
    <t>Curva di riscaldamento della PdC (non quella dell'utilizzatore di calore)</t>
  </si>
  <si>
    <t>Temperature di partenza e ritorno dalla PdC [°C]</t>
  </si>
  <si>
    <t>Temperatura esterna Ta  [°C]</t>
  </si>
  <si>
    <t>Foglio di calcolo Wpesti</t>
  </si>
  <si>
    <t>PdC, specifiche individuali</t>
  </si>
  <si>
    <t>Dati della PdC</t>
  </si>
  <si>
    <t>Dati di potenza della PdC</t>
  </si>
  <si>
    <t>Condensatore</t>
  </si>
  <si>
    <t>Valore di calcolo della T mand</t>
  </si>
  <si>
    <t>Dati inseriti in ordine crescente in funzione della temperatura della fonte di calore</t>
  </si>
  <si>
    <t>Temperatura della fonte di calore</t>
  </si>
  <si>
    <t>Nome e tipo della pompa</t>
  </si>
  <si>
    <t>Potenza elettrica assorbita dalla pompa a pieno regime</t>
  </si>
  <si>
    <t>Perdita di carico a pieno regime</t>
  </si>
  <si>
    <t>Portata a pieno regime</t>
  </si>
  <si>
    <t>Modalità d'impiego</t>
  </si>
  <si>
    <t>Regolazione</t>
  </si>
  <si>
    <t>Valore di calcolo:</t>
  </si>
  <si>
    <t>Valore stimato:</t>
  </si>
  <si>
    <t>Valore stimato dalla scheda della PdC</t>
  </si>
  <si>
    <t>Valore effettivo:</t>
  </si>
  <si>
    <t>Pompa dell'evaporatore o ventilatore</t>
  </si>
  <si>
    <t>Potenza elettrica assorbita dalla pompa/ventilatore a pieno regime</t>
  </si>
  <si>
    <t>Pompa del condensatore</t>
  </si>
  <si>
    <t>Potenza elettrica assorbita dalla pompa P1 a pieno regime (solo per la parte del condensatore)</t>
  </si>
  <si>
    <t>Perdita di carico nell'evaporatore</t>
  </si>
  <si>
    <t>Portata nell'evaporatore</t>
  </si>
  <si>
    <t>Perdita di carico nominale nel condensatore</t>
  </si>
  <si>
    <t>Portata nominale nel condensatore</t>
  </si>
  <si>
    <t>già incluso nel COP</t>
  </si>
  <si>
    <t>non calcolato</t>
  </si>
  <si>
    <t>Sempre in funzione</t>
  </si>
  <si>
    <t>In funzione solo in combinazione con la PdC</t>
  </si>
  <si>
    <t>non regolato</t>
  </si>
  <si>
    <t>regolato</t>
  </si>
  <si>
    <t>Accumulatore combinato, 1 ritorno dalla PdC</t>
  </si>
  <si>
    <t>Accumulatore combinato, 2 ritorni dalla PdC</t>
  </si>
  <si>
    <t>Modalità di funzionamento della PdC</t>
  </si>
  <si>
    <t>Pompa della fonte di calore</t>
  </si>
  <si>
    <t>Prevalenza</t>
  </si>
  <si>
    <t>Quota di energia elettrica per il riscaldamento dell'ACS</t>
  </si>
  <si>
    <t>Quota di energia fossile per il riscaldamento dell'ACS</t>
  </si>
  <si>
    <t>Entrées dans "Spez"</t>
  </si>
  <si>
    <t>Entrées en bas</t>
  </si>
  <si>
    <t>Ingresso in "Spez"</t>
  </si>
  <si>
    <t>Ingresso abbasso</t>
  </si>
  <si>
    <t>Accumulatore combinato, secondo STASCH</t>
  </si>
  <si>
    <t>Wampersdorf</t>
  </si>
  <si>
    <t>Wang</t>
  </si>
  <si>
    <t>Weikendorf</t>
  </si>
  <si>
    <t>Weikertschlag an der Thaya</t>
  </si>
  <si>
    <t>Weißenbach an der Triesting</t>
  </si>
  <si>
    <t>Weißenkirchen in der Wachau</t>
  </si>
  <si>
    <t>Weistrach</t>
  </si>
  <si>
    <t>Weiten</t>
  </si>
  <si>
    <t>Chauffage d'appoint ECS:</t>
  </si>
  <si>
    <t>Appoint au chauffage:</t>
  </si>
  <si>
    <t>Pertes:</t>
  </si>
  <si>
    <t>Couverture des besoins:</t>
  </si>
  <si>
    <t>Charge de base PAC, y c. corps de chauffe ECS</t>
  </si>
  <si>
    <t xml:space="preserve">   Erreur!</t>
  </si>
  <si>
    <t>français</t>
  </si>
  <si>
    <t>italiano</t>
  </si>
  <si>
    <t>Programm-Version:</t>
  </si>
  <si>
    <t>gültig bis:</t>
  </si>
  <si>
    <t xml:space="preserve">puissance de la PAC insuffisante </t>
  </si>
  <si>
    <t>Kombispeicher, 1 WP-Rücklauf aus Speicher</t>
  </si>
  <si>
    <t>Kombispeicher, 2 WP-Rücklauf aus Speicher</t>
  </si>
  <si>
    <t>Verluste Heizungs-Speicher, Kombispeicher, Stasch-Schaltung</t>
  </si>
  <si>
    <t>Verluste Heizungs-Speicher, Kombispeicher, 1 WP-Rücklauf aus Speicher</t>
  </si>
  <si>
    <t>Verluste Heizungs-Speicher, Kombispeicher, 2 WP-Rücklauf aus Speicher</t>
  </si>
  <si>
    <t>Überladung</t>
  </si>
  <si>
    <r>
      <t>T</t>
    </r>
    <r>
      <rPr>
        <vertAlign val="subscript"/>
        <sz val="10"/>
        <rFont val="Arial"/>
        <family val="2"/>
      </rPr>
      <t>Quelle</t>
    </r>
    <r>
      <rPr>
        <sz val="10"/>
        <rFont val="Arial"/>
        <family val="2"/>
      </rPr>
      <t xml:space="preserve"> [°C] Maximalwert vorhandene Messdaten</t>
    </r>
  </si>
  <si>
    <r>
      <t>T</t>
    </r>
    <r>
      <rPr>
        <vertAlign val="subscript"/>
        <sz val="10"/>
        <rFont val="Arial"/>
        <family val="2"/>
      </rPr>
      <t>V</t>
    </r>
    <r>
      <rPr>
        <sz val="10"/>
        <rFont val="Arial"/>
        <family val="2"/>
      </rPr>
      <t xml:space="preserve"> [°C]</t>
    </r>
  </si>
  <si>
    <r>
      <t>Ta0 begrenzt T</t>
    </r>
    <r>
      <rPr>
        <vertAlign val="subscript"/>
        <sz val="10"/>
        <rFont val="Arial"/>
        <family val="2"/>
      </rPr>
      <t>Quelle</t>
    </r>
    <r>
      <rPr>
        <sz val="10"/>
        <rFont val="Arial"/>
        <family val="2"/>
      </rPr>
      <t xml:space="preserve"> max</t>
    </r>
  </si>
  <si>
    <r>
      <rPr>
        <sz val="10"/>
        <rFont val="Symbol"/>
        <family val="1"/>
        <charset val="2"/>
      </rPr>
      <t>h</t>
    </r>
    <r>
      <rPr>
        <sz val="10"/>
        <rFont val="Arial"/>
        <family val="2"/>
      </rPr>
      <t xml:space="preserve"> a0,v0</t>
    </r>
  </si>
  <si>
    <t>Sondentemperatur</t>
  </si>
  <si>
    <t>Tv Auslegung</t>
  </si>
  <si>
    <t>COP Carnot</t>
  </si>
  <si>
    <t>--</t>
  </si>
  <si>
    <t>Berechnung der Quellentemperatur</t>
  </si>
  <si>
    <t>Auswahl der für die Quellentemperatur relevanten Stützunkte</t>
  </si>
  <si>
    <t>Tv0 (Vorlauf WW)</t>
  </si>
  <si>
    <t>Tv0 (Vorlauf Heizung)</t>
  </si>
  <si>
    <t>Interpolationstherme Heizung</t>
  </si>
  <si>
    <t>Interpolationstherme Warmwasser</t>
  </si>
  <si>
    <t>Interpolation Berechnung Luft/Wasser WP/ Spez WP</t>
  </si>
  <si>
    <t>Arbeitspunkte Luft/Wasser WP/ Spez WP</t>
  </si>
  <si>
    <r>
      <t>T</t>
    </r>
    <r>
      <rPr>
        <vertAlign val="subscript"/>
        <sz val="10"/>
        <rFont val="Arial"/>
        <family val="2"/>
      </rPr>
      <t>Quelle</t>
    </r>
  </si>
  <si>
    <t>Tv (Vorlauf Heizung)</t>
  </si>
  <si>
    <r>
      <rPr>
        <sz val="10"/>
        <rFont val="Symbol"/>
        <family val="1"/>
        <charset val="2"/>
      </rPr>
      <t>h</t>
    </r>
    <r>
      <rPr>
        <sz val="10"/>
        <rFont val="Arial"/>
        <family val="2"/>
      </rPr>
      <t xml:space="preserve"> </t>
    </r>
  </si>
  <si>
    <t>COP v0</t>
  </si>
  <si>
    <t>Messpunkt WW</t>
  </si>
  <si>
    <t>Externe Berechnung (z.B. mit Erdsonden-programm EWS) beilegen, sonst leer lassen.</t>
  </si>
  <si>
    <t>Externe Berechnung (z.B. mit  Erdsonden-programm EWS) beilegen, sonst leer lassen.</t>
  </si>
  <si>
    <t>Umschalt-Temperatur für bivalent-alternativen Betrieb:</t>
  </si>
  <si>
    <t>Auslegungs-Aussentemperatur, unterhalb der die Wärmpumpe ganz abgestellt wird und die Zusatzheizung den ganzen Wärmebedarf deckt.</t>
  </si>
  <si>
    <t>Elektro - Einsatz im Parallelbetrieb:</t>
  </si>
  <si>
    <t>Heizstab im Speicher eingebaut und während
der Speicherladung nicht gesperrt</t>
  </si>
  <si>
    <t>Elektro-Einsatz zur Nachwärmung:</t>
  </si>
  <si>
    <t>Durchlauferhitzer nach Speicher oder 
Heizstab in Speicher, gesperrt bei Speicherladung.</t>
  </si>
  <si>
    <t>Warmwasser-Temperatur, die alleine mit der Wärmepumpe erzeugt werden kann.</t>
  </si>
  <si>
    <t>Deckungsgrad Zusatzheizung für die Heizung:</t>
  </si>
  <si>
    <t>alt (nicht mehr verwendet):</t>
  </si>
  <si>
    <r>
      <t xml:space="preserve">Wichtiger Hnweis für Endkunden: </t>
    </r>
    <r>
      <rPr>
        <i/>
        <sz val="8"/>
        <rFont val="Arial"/>
        <family val="2"/>
      </rPr>
      <t xml:space="preserve">
</t>
    </r>
    <r>
      <rPr>
        <sz val="8"/>
        <rFont val="Arial"/>
        <family val="2"/>
      </rPr>
      <t>Aufgrund individuellen Nutzerverhaltens (z.B. höhere Raumtemperaturen, anderer Brauchwasserbedarf, etc.) oder Änderungen in der realisierten Ausführung, kann die tatsächliche Jahresarbeitszahl von der berechneten Jahresarbeitszahl abweichen.</t>
    </r>
  </si>
  <si>
    <t>Heizkurve der Wärmepumpe (nicht der Wärmeabgabe):</t>
  </si>
  <si>
    <t>Solaranlage</t>
  </si>
  <si>
    <t>Solarer Deckungsgrad Warmwasser</t>
  </si>
  <si>
    <t>Stanzach</t>
  </si>
  <si>
    <t>Schiefling</t>
  </si>
  <si>
    <t>Hadres</t>
  </si>
  <si>
    <t>Mehrnbach</t>
  </si>
  <si>
    <t>Mixnitz</t>
  </si>
  <si>
    <t>Steeg</t>
  </si>
  <si>
    <t>Seeboden</t>
  </si>
  <si>
    <t>Haidershofen</t>
  </si>
  <si>
    <t>Mettmach</t>
  </si>
  <si>
    <t>Möderbrugg</t>
  </si>
  <si>
    <t>Steinach</t>
  </si>
  <si>
    <t>Sirnitz</t>
  </si>
  <si>
    <t>Hainburg an der Donau</t>
  </si>
  <si>
    <t>Michaelnbach</t>
  </si>
  <si>
    <t>Mönichwald</t>
  </si>
  <si>
    <t>Strass im Zillertal</t>
  </si>
  <si>
    <t>Spittal an der Drau</t>
  </si>
  <si>
    <t>Hainfeld</t>
  </si>
  <si>
    <t>Micheldorf in Oberösterreich</t>
  </si>
  <si>
    <t>Mooskirchen</t>
  </si>
  <si>
    <t>Strengen</t>
  </si>
  <si>
    <t>Stall</t>
  </si>
  <si>
    <t>Haitzendorf</t>
  </si>
  <si>
    <t>Mining</t>
  </si>
  <si>
    <t>Mühlen</t>
  </si>
  <si>
    <t>Tannheim</t>
  </si>
  <si>
    <t>Steindorf</t>
  </si>
  <si>
    <t>Hardegg</t>
  </si>
  <si>
    <t>Mistelbach bei Wels</t>
  </si>
  <si>
    <t>Murau</t>
  </si>
  <si>
    <t>Tarrenz</t>
  </si>
  <si>
    <t>Steinfeld</t>
  </si>
  <si>
    <t>Haringsee</t>
  </si>
  <si>
    <t>Mitterkirchen</t>
  </si>
  <si>
    <t>Mürzhofen</t>
  </si>
  <si>
    <t>Telfes im Stubai</t>
  </si>
  <si>
    <t>Stockenboi</t>
  </si>
  <si>
    <t>Harland</t>
  </si>
  <si>
    <t>Molln</t>
  </si>
  <si>
    <t>Mürzsteg</t>
  </si>
  <si>
    <t>Telfs</t>
  </si>
  <si>
    <t>Straßburg</t>
  </si>
  <si>
    <t>Harmannsdorf</t>
  </si>
  <si>
    <t>Mönchdorf</t>
  </si>
  <si>
    <t>Mürzzuschlag</t>
  </si>
  <si>
    <t>Terfens</t>
  </si>
  <si>
    <t>Tainach</t>
  </si>
  <si>
    <t>Mondsee</t>
  </si>
  <si>
    <t>Mürzzuschlag-Hönigsberg</t>
  </si>
  <si>
    <t>Thal-Assling</t>
  </si>
  <si>
    <t>Techendorf</t>
  </si>
  <si>
    <t>Haugsdorf</t>
  </si>
  <si>
    <t>Moosbach</t>
  </si>
  <si>
    <t>Nestelbach bei Graz</t>
  </si>
  <si>
    <t>Thaur</t>
  </si>
  <si>
    <t>Thörl-Maglern</t>
  </si>
  <si>
    <t>Hausbrunn</t>
  </si>
  <si>
    <t>Moosdorf</t>
  </si>
  <si>
    <t>Neuberg an der Mürz</t>
  </si>
  <si>
    <t>Thiersee</t>
  </si>
  <si>
    <t>Trebesing</t>
  </si>
  <si>
    <t>Hauskirchen</t>
  </si>
  <si>
    <t>Mühlheim am Inn</t>
  </si>
  <si>
    <t>Neudau</t>
  </si>
  <si>
    <t>Tösens</t>
  </si>
  <si>
    <t>Treffen</t>
  </si>
  <si>
    <t>Hausleiten</t>
  </si>
  <si>
    <t>Blatt "JAZcalc", Zelle B63: falscher Bezug auf G49 statt L47</t>
  </si>
  <si>
    <t>Blatt "JAZcalc", Zelle B63: Text geändert, JAZ immer ohne Solaranlage</t>
  </si>
  <si>
    <t>Blatt "JAZcalc", Zelle I35: Bedingte Formatierung angepasst</t>
  </si>
  <si>
    <t>Installation bivalente fossile</t>
  </si>
  <si>
    <t>Impianto bivalente supplemento fossile</t>
  </si>
  <si>
    <t>(heures par jour): interruptions de l'alimentation électrique de la PAC par le distributeur d'électricité. A demander auprès du distributeur local. Mentionner les temps de coupure effectifs, aux conditions de dimensionnement.</t>
  </si>
  <si>
    <t>STG</t>
  </si>
  <si>
    <t>SHA</t>
  </si>
  <si>
    <t>SCU</t>
  </si>
  <si>
    <t>Scuol</t>
  </si>
  <si>
    <t>SIO</t>
  </si>
  <si>
    <t>VAD</t>
  </si>
  <si>
    <t>WYN</t>
  </si>
  <si>
    <t>ZER</t>
  </si>
  <si>
    <t>SMA</t>
  </si>
  <si>
    <t>Index</t>
  </si>
  <si>
    <t>Versch.</t>
  </si>
  <si>
    <t>Einheit</t>
  </si>
  <si>
    <t>kWh/m²</t>
  </si>
  <si>
    <t>T Grenz</t>
  </si>
  <si>
    <t>Raumtemp.</t>
  </si>
  <si>
    <t>Delta T</t>
  </si>
  <si>
    <t>y</t>
  </si>
  <si>
    <t>x Ta h</t>
  </si>
  <si>
    <t>x Ta Tg</t>
  </si>
  <si>
    <t>Kh</t>
  </si>
  <si>
    <t>BIN Flächen Ta h</t>
  </si>
  <si>
    <t>BIN Flächen Ta Tg</t>
  </si>
  <si>
    <t>&lt;-- Differenz Ta h, Ta Tg</t>
  </si>
  <si>
    <t>Objekt</t>
  </si>
  <si>
    <t>Gebäudetyp</t>
  </si>
  <si>
    <t>m²</t>
  </si>
  <si>
    <t>EBF</t>
  </si>
  <si>
    <t>Auslegungstemperatur</t>
  </si>
  <si>
    <t>Abweichung</t>
  </si>
  <si>
    <t>Behamberg</t>
  </si>
  <si>
    <t>Bad Ischl</t>
  </si>
  <si>
    <t>Golling an der Salzach</t>
  </si>
  <si>
    <t>Dobl</t>
  </si>
  <si>
    <t>Fließ</t>
  </si>
  <si>
    <t>Wien-Wieden</t>
  </si>
  <si>
    <t>Kennelbach</t>
  </si>
  <si>
    <t>Jois</t>
  </si>
  <si>
    <t>Feistritz an der Gail</t>
  </si>
  <si>
    <t>Berg (bei Kittsee)</t>
  </si>
  <si>
    <t>Bad Kreuzen</t>
  </si>
  <si>
    <t>Gries im Pinzgau</t>
  </si>
  <si>
    <t>Dobldorf</t>
  </si>
  <si>
    <t>Flirsch</t>
  </si>
  <si>
    <t>Klaus</t>
  </si>
  <si>
    <t>Kaisersdorf</t>
  </si>
  <si>
    <t>Feistritz im Rosental</t>
  </si>
  <si>
    <t>Berndorf (an der Triesting)</t>
  </si>
  <si>
    <t>Bad Leonfelden</t>
  </si>
  <si>
    <t>Grödig</t>
  </si>
  <si>
    <t>Donawitz</t>
  </si>
  <si>
    <t>Fritzens</t>
  </si>
  <si>
    <t>Klösterle</t>
  </si>
  <si>
    <t>Kemeten</t>
  </si>
  <si>
    <t>Feld am See</t>
  </si>
  <si>
    <t>Bernhardsthal</t>
  </si>
  <si>
    <t>Bad Schallerbach</t>
  </si>
  <si>
    <t>Großarl</t>
  </si>
  <si>
    <t>Donnersbach</t>
  </si>
  <si>
    <t>Fügen</t>
  </si>
  <si>
    <t>Koblach</t>
  </si>
  <si>
    <t>Kittsee</t>
  </si>
  <si>
    <t>Feldkirchen in Kärnten</t>
  </si>
  <si>
    <t>Biedermannsdorf</t>
  </si>
  <si>
    <t>Bad Wimsbach-Neydharting</t>
  </si>
  <si>
    <t>Großgmain</t>
  </si>
  <si>
    <t>Dorf Veitsch</t>
  </si>
  <si>
    <t>Fulpmes</t>
  </si>
  <si>
    <t>Krumbach</t>
  </si>
  <si>
    <t>Klingenbach</t>
  </si>
  <si>
    <t>Ferlach</t>
  </si>
  <si>
    <t>Bisamberg</t>
  </si>
  <si>
    <t>Bad Zell</t>
  </si>
  <si>
    <t>Hallein</t>
  </si>
  <si>
    <t>Ebersdorf</t>
  </si>
  <si>
    <t>Galtür</t>
  </si>
  <si>
    <t>Langen</t>
  </si>
  <si>
    <t>Karnabrunn</t>
  </si>
  <si>
    <t>Peuerbach</t>
  </si>
  <si>
    <t>Sankt Johann am Tauern</t>
  </si>
  <si>
    <t>Kasten bei Böheimkirchen</t>
  </si>
  <si>
    <t>Pfarrkirchen im Mühlkreis</t>
  </si>
  <si>
    <t>Sankt Johann bei Herberstein</t>
  </si>
  <si>
    <t>Katzelsdorf (im Steinfeld)</t>
  </si>
  <si>
    <t>Pichl bei Wels</t>
  </si>
  <si>
    <r>
      <rPr>
        <sz val="10"/>
        <color indexed="8"/>
        <rFont val="Symbol"/>
        <family val="1"/>
        <charset val="2"/>
      </rPr>
      <t>F</t>
    </r>
    <r>
      <rPr>
        <vertAlign val="subscript"/>
        <sz val="10"/>
        <color indexed="8"/>
        <rFont val="Arial"/>
        <family val="2"/>
      </rPr>
      <t xml:space="preserve">S  </t>
    </r>
    <r>
      <rPr>
        <sz val="8"/>
        <color indexed="8"/>
        <rFont val="Arial"/>
        <family val="2"/>
      </rPr>
      <t>Überschuss Solar WW 2. Vert.</t>
    </r>
  </si>
  <si>
    <t>A55(WW)</t>
  </si>
  <si>
    <t>Mannersdorf am Leithagebirge</t>
  </si>
  <si>
    <t>Schlierbach</t>
  </si>
  <si>
    <t>Erhöhung Lufttemperatur bei Luft-Wasser-WP</t>
  </si>
  <si>
    <r>
      <t>D</t>
    </r>
    <r>
      <rPr>
        <sz val="9"/>
        <color indexed="9"/>
        <rFont val="Arial"/>
        <family val="2"/>
      </rPr>
      <t>T bei -7°C   (A-7/W35)</t>
    </r>
  </si>
  <si>
    <t>K</t>
  </si>
  <si>
    <r>
      <t>D</t>
    </r>
    <r>
      <rPr>
        <sz val="9"/>
        <color indexed="9"/>
        <rFont val="Arial"/>
        <family val="2"/>
      </rPr>
      <t>T bei 2°C   (A2/W35)</t>
    </r>
  </si>
  <si>
    <r>
      <t>D</t>
    </r>
    <r>
      <rPr>
        <sz val="9"/>
        <color indexed="9"/>
        <rFont val="Arial"/>
        <family val="2"/>
      </rPr>
      <t>T bei 7°C   (A7/W35)</t>
    </r>
  </si>
  <si>
    <r>
      <t>D</t>
    </r>
    <r>
      <rPr>
        <sz val="9"/>
        <color indexed="9"/>
        <rFont val="Arial"/>
        <family val="2"/>
      </rPr>
      <t>T bei 7°C   (A7/W50)</t>
    </r>
  </si>
  <si>
    <t>Heizleistung bei Normtemperatur -7 °C  (A-7 / W35):</t>
  </si>
  <si>
    <t>Heizleistung bei (W10 / W35):</t>
  </si>
  <si>
    <t>COP bei Normtemperatur +2 °C  (A2 / W35):</t>
  </si>
  <si>
    <t xml:space="preserve">Température source de chaleur (si pas 10°C) </t>
  </si>
  <si>
    <t>Heizleistung bei Normtemperatur +2 °C  (A2 / W35):</t>
  </si>
  <si>
    <t>COP bei Normtemperatur (B0 / W50):</t>
  </si>
  <si>
    <t>Coefficient de performance COP (B0 / W35)</t>
  </si>
  <si>
    <t>COP bei Normtemperatur +7 °C  (A7 / W35):</t>
  </si>
  <si>
    <t>Leistungszahl COP (B0 / W35):</t>
  </si>
  <si>
    <t>Puissance calorifique pour (B0 / W35):</t>
  </si>
  <si>
    <t>Heizleistung bei Normtemperatur +7 °C (A7 / W35):</t>
  </si>
  <si>
    <t>Heizleistung bei (B0 / W35):</t>
  </si>
  <si>
    <t>Grösse Heizungsspeicher</t>
  </si>
  <si>
    <t>Liter</t>
  </si>
  <si>
    <t>Litres</t>
  </si>
  <si>
    <t>Station climatique</t>
  </si>
  <si>
    <t>Habitat collectif</t>
  </si>
  <si>
    <t>Habitat individuel</t>
  </si>
  <si>
    <t>Administration</t>
  </si>
  <si>
    <t>Ecole</t>
  </si>
  <si>
    <t>Restauration</t>
  </si>
  <si>
    <t>Hôpitaux</t>
  </si>
  <si>
    <t>Chauffage</t>
  </si>
  <si>
    <t>Calcul de la courbe de charge</t>
  </si>
  <si>
    <t>Correction clim.</t>
  </si>
  <si>
    <t>Période chauffage</t>
  </si>
  <si>
    <t>Gains de chaleur</t>
  </si>
  <si>
    <t>Durée marche PAC</t>
  </si>
  <si>
    <t>Distribution chauffage</t>
  </si>
  <si>
    <t>Besoins chaleur ECS</t>
  </si>
  <si>
    <t>Distribution ECS</t>
  </si>
  <si>
    <t xml:space="preserve">Rechenwert bei </t>
  </si>
  <si>
    <t xml:space="preserve">Vorschlag bei </t>
  </si>
  <si>
    <t xml:space="preserve">Proposition à </t>
  </si>
  <si>
    <t xml:space="preserve">Proposta a </t>
  </si>
  <si>
    <t xml:space="preserve">P calculée à </t>
  </si>
  <si>
    <t xml:space="preserve">P calcolata a </t>
  </si>
  <si>
    <t>Blatt "Spez", Grafik COP für Warmwasser: falscher Bezug auf x-Achse. Fehler behoben.</t>
  </si>
  <si>
    <t>Timmersdorf</t>
  </si>
  <si>
    <t>Mank</t>
  </si>
  <si>
    <t>Schiedlberg</t>
  </si>
  <si>
    <t>Tobelbad</t>
  </si>
  <si>
    <t>Pischelsdorf am Engelbach</t>
  </si>
  <si>
    <t>Sankt Josef (Weststeiermark)</t>
  </si>
  <si>
    <t>Kematen</t>
  </si>
  <si>
    <t>Polling im Innkreis</t>
  </si>
  <si>
    <t>Sankt Katharein an der Laming</t>
  </si>
  <si>
    <t>Sankt Johann im Saggautal</t>
  </si>
  <si>
    <t>Kaumberg</t>
  </si>
  <si>
    <t>Pierbach</t>
  </si>
  <si>
    <t>Sankt Johann in der Haide</t>
  </si>
  <si>
    <t>Kautendorf</t>
  </si>
  <si>
    <t>Pinsdorf</t>
  </si>
  <si>
    <t>Sankt Johann ob Hohenburg</t>
  </si>
  <si>
    <t>Kautzen</t>
  </si>
  <si>
    <t>Kemmelbach</t>
  </si>
  <si>
    <t>Pöndorf</t>
  </si>
  <si>
    <t>Sankt Kathrein am Hauenstein</t>
  </si>
  <si>
    <t>Kernhof</t>
  </si>
  <si>
    <t>Pram</t>
  </si>
  <si>
    <t>Sankt Kathrein am Offenegg</t>
  </si>
  <si>
    <t>Kettlasbrunn</t>
  </si>
  <si>
    <t>Prambachkirchen</t>
  </si>
  <si>
    <t>Sankt Lambrecht</t>
  </si>
  <si>
    <t>Kienberg</t>
  </si>
  <si>
    <t>Pramet</t>
  </si>
  <si>
    <t>Sankt Lorenzen am Wechsel</t>
  </si>
  <si>
    <t>Kilb</t>
  </si>
  <si>
    <t>Pregarten</t>
  </si>
  <si>
    <t>kein Elektro-Heizstab</t>
  </si>
  <si>
    <t>Zuschlagstemperatur Auslegung Oesterreich:</t>
  </si>
  <si>
    <t>Blatt "WP1", Zelle D68, neue Variable Zuschlag_A (tiefere Auslegung Österreich) eingeführt und auf 0 gesetzt</t>
  </si>
  <si>
    <t>Exigence minimale pour l'installation PAC</t>
  </si>
  <si>
    <t>Besoin de chaleur pour le chauffage Qh,eff:</t>
  </si>
  <si>
    <t>Déperditions par tranmission:</t>
  </si>
  <si>
    <t>Déperditions par renouvellement d'air:</t>
  </si>
  <si>
    <t>Annexer le calcul externe (p. ex. avec le logiciel EWS) ou laisser vide.</t>
  </si>
  <si>
    <t>Dorfgastein</t>
  </si>
  <si>
    <t>Bärnbach</t>
  </si>
  <si>
    <t>Brixen im Thale</t>
  </si>
  <si>
    <t>Wien-Margareten</t>
  </si>
  <si>
    <t>Frastanz</t>
  </si>
  <si>
    <t>Gerersdorf bei Güssing</t>
  </si>
  <si>
    <t>Döllach</t>
  </si>
  <si>
    <t>Ardagger Markt</t>
  </si>
  <si>
    <t>Arnreit</t>
  </si>
  <si>
    <t>Dürrnberg</t>
  </si>
  <si>
    <t>Birkfeld</t>
  </si>
  <si>
    <t>Brixlegg</t>
  </si>
  <si>
    <t>Wien-Mariahilf</t>
  </si>
  <si>
    <t>Fußach</t>
  </si>
  <si>
    <t>Gols</t>
  </si>
  <si>
    <t>Drobollach am Faakersee</t>
  </si>
  <si>
    <t>Artstetten</t>
  </si>
  <si>
    <t>Aschach an der Donau</t>
  </si>
  <si>
    <t>Eben im Pongau</t>
  </si>
  <si>
    <t>Bischoffeld</t>
  </si>
  <si>
    <t>Dölsach</t>
  </si>
  <si>
    <t>Wien-Meidling</t>
  </si>
  <si>
    <t>Gaißau</t>
  </si>
  <si>
    <t>Großhöflein</t>
  </si>
  <si>
    <t>Ebene Reichenau</t>
  </si>
  <si>
    <t>Aschbach Markt</t>
  </si>
  <si>
    <t>Aschach an der Steyr</t>
  </si>
  <si>
    <t>Ebenau</t>
  </si>
  <si>
    <t>Blumau in der Steiermark</t>
  </si>
  <si>
    <t>Ebbs</t>
  </si>
  <si>
    <t>Wien-Neubau</t>
  </si>
  <si>
    <t>Gargellen</t>
  </si>
  <si>
    <t>Großpetersdorf</t>
  </si>
  <si>
    <t>Ebenthal</t>
  </si>
  <si>
    <t>Dorfstetten</t>
  </si>
  <si>
    <t>Feldkirchen an der Donau</t>
  </si>
  <si>
    <t>Mauterndorf</t>
  </si>
  <si>
    <t>Frojach</t>
  </si>
  <si>
    <t>Igls</t>
  </si>
  <si>
    <t>Sankt Anton im Montafon</t>
  </si>
  <si>
    <r>
      <t>Die Wärmepumpenanlage wird auf Basis der objektspezifischen Situation mit dem Tool nachgebildet, dimensioniert und optimiert. Gerade die Art der Warmwasserbereitung kann auf unterschiedliche Arten realisiert werden. In der vorliegenden Version ist es auch erstmals möglich, den Einfluss einer Solaranlage zu berechnen. Dies kann hilfreich bei der Kundenberatung sein (Darstellung der positiven Auswirkungen einer Solaranlage auf die JAZ) und für die Optimierung der Wärmepumpenanlage von Interesse sein. Für den Nachweis der JAZ</t>
    </r>
    <r>
      <rPr>
        <vertAlign val="subscript"/>
        <sz val="10"/>
        <rFont val="Trebuchet MS"/>
        <family val="2"/>
      </rPr>
      <t>Heizung</t>
    </r>
    <r>
      <rPr>
        <sz val="10"/>
        <rFont val="Trebuchet MS"/>
        <family val="2"/>
      </rPr>
      <t xml:space="preserve"> im Sinne der Landesförderung darf die Solaranlage NICHT eingerechnet werden (-&gt; dropdown-Feld bei der Auswahl der Solaranlage leer lassen).</t>
    </r>
  </si>
  <si>
    <t>3) Vorlauf- und Rücklauftemperatur</t>
  </si>
  <si>
    <t xml:space="preserve">Chauffage avec PAC et chauffage électrique d'appoint </t>
  </si>
  <si>
    <t>Fonctionnement bivalent fossile:</t>
  </si>
  <si>
    <r>
      <t>Das Hydraulikkonzept und die garantierte Brauchwassertemperatur sind so zu wählen, dass sie den Anforderungen</t>
    </r>
    <r>
      <rPr>
        <b/>
        <sz val="10"/>
        <rFont val="Trebuchet MS"/>
        <family val="2"/>
      </rPr>
      <t xml:space="preserve"> </t>
    </r>
    <r>
      <rPr>
        <sz val="10"/>
        <rFont val="Trebuchet MS"/>
        <family val="2"/>
      </rPr>
      <t xml:space="preserve">aus der ÖNORM B5019- Hygienerelevante Planung, Ausführung, Betrieb, Wartung, Überwachung und Sanierung von zentralen Trinkwassererwärmungsanlagen („Legionellenverordnung“) entsprechen. </t>
    </r>
  </si>
  <si>
    <t>Sarmingstein</t>
  </si>
  <si>
    <t>Studenzen</t>
  </si>
  <si>
    <t>Loich</t>
  </si>
  <si>
    <t>Sattledt</t>
  </si>
  <si>
    <t>Tauchen-Schaueregg</t>
  </si>
  <si>
    <t>Loosdorf</t>
  </si>
  <si>
    <t>Saxen</t>
  </si>
  <si>
    <t>Tauplitz</t>
  </si>
  <si>
    <t>Loosdorf (Bez. Mistelbach)</t>
  </si>
  <si>
    <t>Schardenberg</t>
  </si>
  <si>
    <t>Teufenbach</t>
  </si>
  <si>
    <t>Ludweis</t>
  </si>
  <si>
    <t>Schärding</t>
  </si>
  <si>
    <t>Thalheim</t>
  </si>
  <si>
    <t>Lunz am See</t>
  </si>
  <si>
    <t>Scharnstein</t>
  </si>
  <si>
    <t>Thörl</t>
  </si>
  <si>
    <t>Mailberg</t>
  </si>
  <si>
    <t>Scharten</t>
  </si>
  <si>
    <t>Tieschen</t>
  </si>
  <si>
    <t>Maissau</t>
  </si>
  <si>
    <t>Schenkenfelden</t>
  </si>
  <si>
    <t>Vöcklamarkt</t>
  </si>
  <si>
    <t>Neusiedl an der Zaya</t>
  </si>
  <si>
    <t>Vorchdorf</t>
  </si>
  <si>
    <t>Neustadtl-Markt</t>
  </si>
  <si>
    <t>Vorderstoder</t>
  </si>
  <si>
    <t>Niederabsdorf</t>
  </si>
  <si>
    <t>Vorderweißenbach</t>
  </si>
  <si>
    <t>Niederfladnitz</t>
  </si>
  <si>
    <t>Waizenkirchen</t>
  </si>
  <si>
    <t>Niederhollabrunn</t>
  </si>
  <si>
    <t>Waldhausen im Strudengau</t>
  </si>
  <si>
    <t>Niederkreuzstetten</t>
  </si>
  <si>
    <t>Walding</t>
  </si>
  <si>
    <t>Niederleis</t>
  </si>
  <si>
    <t>Waldneukirchen</t>
  </si>
  <si>
    <t>Niedernondorf</t>
  </si>
  <si>
    <t>Waldzell</t>
  </si>
  <si>
    <t>Niederrußbach</t>
  </si>
  <si>
    <t>Wallern an der Trattnach</t>
  </si>
  <si>
    <t>Nöchling</t>
  </si>
  <si>
    <t>Wartberg an der Krems</t>
  </si>
  <si>
    <t>Ober-Grafendorf</t>
  </si>
  <si>
    <t>Wartberg ob der Aist</t>
  </si>
  <si>
    <t>Ober-Meisling</t>
  </si>
  <si>
    <t>Schema 25</t>
  </si>
  <si>
    <t>Schema 26</t>
  </si>
  <si>
    <t>Schema 27</t>
  </si>
  <si>
    <t>Schema 28</t>
  </si>
  <si>
    <t>Schema 29</t>
  </si>
  <si>
    <t>Schema 30</t>
  </si>
  <si>
    <t>Schema 31</t>
  </si>
  <si>
    <t>Schaltungstypen</t>
  </si>
  <si>
    <t>10,1kW S</t>
  </si>
  <si>
    <t>13,9kW M</t>
  </si>
  <si>
    <r>
      <t>Q</t>
    </r>
    <r>
      <rPr>
        <vertAlign val="subscript"/>
        <sz val="10"/>
        <color indexed="8"/>
        <rFont val="Arial"/>
        <family val="2"/>
      </rPr>
      <t>S,i (Übertrag &gt;=0°C)</t>
    </r>
  </si>
  <si>
    <r>
      <t>Q</t>
    </r>
    <r>
      <rPr>
        <vertAlign val="subscript"/>
        <sz val="10"/>
        <color indexed="8"/>
        <rFont val="Arial"/>
        <family val="2"/>
      </rPr>
      <t>S.sur,i</t>
    </r>
    <r>
      <rPr>
        <sz val="10"/>
        <color indexed="8"/>
        <rFont val="Arial"/>
        <family val="2"/>
      </rPr>
      <t xml:space="preserve"> </t>
    </r>
    <r>
      <rPr>
        <sz val="8"/>
        <color indexed="8"/>
        <rFont val="Arial"/>
        <family val="2"/>
      </rPr>
      <t>(Überschuss n. 1. Verteilung)</t>
    </r>
  </si>
  <si>
    <t>h Unterdeckung &lt;0°C</t>
  </si>
  <si>
    <t>Marbach an der Donau</t>
  </si>
  <si>
    <t>Schönau im Mühlkreis</t>
  </si>
  <si>
    <t>Trautmannsdorf in Oststeiermark</t>
  </si>
  <si>
    <t>Marchegg Bahnhof</t>
  </si>
  <si>
    <t>Schörfling</t>
  </si>
  <si>
    <t>Treglwang</t>
  </si>
  <si>
    <t>Marchegg Stadt</t>
  </si>
  <si>
    <t>Schwand im Innkreis</t>
  </si>
  <si>
    <t>Trieben</t>
  </si>
  <si>
    <t>Margarethen am Moos</t>
  </si>
  <si>
    <t>Schwanenstadt</t>
  </si>
  <si>
    <t>Trofaiach</t>
  </si>
  <si>
    <t>Maria Ellend</t>
  </si>
  <si>
    <t>Schwarzenberg im Mühlkreis</t>
  </si>
  <si>
    <t>Turnau</t>
  </si>
  <si>
    <t>Maria Enzersdorf am Gebirge</t>
  </si>
  <si>
    <t>Schwertberg</t>
  </si>
  <si>
    <t>Turrach</t>
  </si>
  <si>
    <t>Maria Laach am Jauerling</t>
  </si>
  <si>
    <t>Seewalchen am Attersee</t>
  </si>
  <si>
    <t>Übelbach</t>
  </si>
  <si>
    <t>Maria Schutz</t>
  </si>
  <si>
    <t>Sierning</t>
  </si>
  <si>
    <t>Unterlamm</t>
  </si>
  <si>
    <t>Maria Taferl</t>
  </si>
  <si>
    <t>Sigharting</t>
  </si>
  <si>
    <t>Unterpremstätten</t>
  </si>
  <si>
    <t>Maria-Anzbach</t>
  </si>
  <si>
    <t>Sans considérer la part de chauffage électrique direct et sans la part de la RC. A reporter dans le justificatif MINERGIE.</t>
  </si>
  <si>
    <t>Quota di copertura del riscaldamento d'appoggio per il riscaldamento:</t>
  </si>
  <si>
    <t>Da riportare nella verifica MINERGIE</t>
  </si>
  <si>
    <t>Quota di copertura del riscaldamento d'appoggio per l'acqua calda ACS:</t>
  </si>
  <si>
    <t>Quota di copertura della PdC per il riscaldamento:</t>
  </si>
  <si>
    <t>Elektro-Einsatz im Parallelbetrieb</t>
  </si>
  <si>
    <t>Elektroeinsatz zur Nachwärmung</t>
  </si>
  <si>
    <t>pas de résistance électrique</t>
  </si>
  <si>
    <t>unmöglich</t>
  </si>
  <si>
    <t>Frostgefahr!</t>
  </si>
  <si>
    <t>Danger de gel!</t>
  </si>
  <si>
    <t>dT Nutzer</t>
  </si>
  <si>
    <t>dT utilisateur</t>
  </si>
  <si>
    <t>T Dep</t>
  </si>
  <si>
    <t>T VL</t>
  </si>
  <si>
    <t>T RL</t>
  </si>
  <si>
    <t>T Ret</t>
  </si>
  <si>
    <t>dT Speicher</t>
  </si>
  <si>
    <t>dT accu</t>
  </si>
  <si>
    <t>Heizwärmebedarf Qh,eff:</t>
  </si>
  <si>
    <t>Kann aus der Berechnung SIA 380/1 entnommen werden. Berechnet mit effektivem, thermisch wirksamen Aussenluftvolumenstrom (WRG kann berücksichtigt werden).</t>
  </si>
  <si>
    <t>Transmissionswärmeverluste:</t>
  </si>
  <si>
    <t>COP alle condizioni normalizzate +2 °C (A2 / W35)</t>
  </si>
  <si>
    <t>Temperatura della fonte di calore (se non 10°C)</t>
  </si>
  <si>
    <t>scegliere -&gt;</t>
  </si>
  <si>
    <t>Potenza termica alle condizioni normalizzate -7 °C  (A-7 / W35):</t>
  </si>
  <si>
    <t>Potenza termica a (W10 / W35):</t>
  </si>
  <si>
    <t>Potenza termica alle condizioni normalizzate +2 °C  (A2 / W35):</t>
  </si>
  <si>
    <t>Aspang Markt</t>
  </si>
  <si>
    <t>Aspach</t>
  </si>
  <si>
    <t>Elsbethen</t>
  </si>
  <si>
    <t>Breitenfeld an der Rittschein</t>
  </si>
  <si>
    <t>Ehrwald</t>
  </si>
  <si>
    <t>Wien-Neustift</t>
  </si>
  <si>
    <t>Gaschurn</t>
  </si>
  <si>
    <t>Großwarasdorf</t>
  </si>
  <si>
    <t>Eberndorf</t>
  </si>
  <si>
    <t>Asparn an der Zaya</t>
  </si>
  <si>
    <t>Asten</t>
  </si>
  <si>
    <t>Eugendorf</t>
  </si>
  <si>
    <t>Bruck an der Lafnitz</t>
  </si>
  <si>
    <t>Elbigenalp</t>
  </si>
  <si>
    <t>Wien-Nußdorf</t>
  </si>
  <si>
    <t>Göfis</t>
  </si>
  <si>
    <t>Güssing</t>
  </si>
  <si>
    <t>Eberstein</t>
  </si>
  <si>
    <t>Asperhofen</t>
  </si>
  <si>
    <t>Attersee</t>
  </si>
  <si>
    <t>Faistenau</t>
  </si>
  <si>
    <t>Bruck an der Mur</t>
  </si>
  <si>
    <t>Ellmau</t>
  </si>
  <si>
    <t>Wien-Oberlaa</t>
  </si>
  <si>
    <t>Götzis</t>
  </si>
  <si>
    <t>Halbturn</t>
  </si>
  <si>
    <t>Egg (bei Hermagor)</t>
  </si>
  <si>
    <t>Atzenbrugg</t>
  </si>
  <si>
    <t>Attnang</t>
  </si>
  <si>
    <t>Filzmoos</t>
  </si>
  <si>
    <t>Brunnsee</t>
  </si>
  <si>
    <t>Elmen</t>
  </si>
  <si>
    <t>Wien-Ottakring</t>
  </si>
  <si>
    <t>Hard</t>
  </si>
  <si>
    <t>Hannersdorf</t>
  </si>
  <si>
    <t>Einöde bei Villach</t>
  </si>
  <si>
    <t>Auersthal</t>
  </si>
  <si>
    <t>Atzbach</t>
  </si>
  <si>
    <t>Flachau</t>
  </si>
  <si>
    <t>Buch bei Hartberg</t>
  </si>
  <si>
    <t>Erl</t>
  </si>
  <si>
    <t>Wien-Penzing</t>
  </si>
  <si>
    <t>Hirschegg</t>
  </si>
  <si>
    <t>Heiligenkreuz im Lafnitztal</t>
  </si>
  <si>
    <t>Eisenkappel</t>
  </si>
  <si>
    <t>Bad Deutsch-Altenburg</t>
  </si>
  <si>
    <t>Au an der Donau</t>
  </si>
  <si>
    <t>Fusch an der Großglocknerstraße</t>
  </si>
  <si>
    <t>Burgau</t>
  </si>
  <si>
    <t>Krems an der Donau</t>
  </si>
  <si>
    <t>Roßbach</t>
  </si>
  <si>
    <t>Sankt Ruprecht an der Raab</t>
  </si>
  <si>
    <t>Kritzendorf</t>
  </si>
  <si>
    <t>Roßleithen</t>
  </si>
  <si>
    <t>Sankt Stefan im Rosental</t>
  </si>
  <si>
    <t>Krumau am Kamp</t>
  </si>
  <si>
    <t>Rottenbach</t>
  </si>
  <si>
    <t>Sankt Stefan ob Leoben</t>
  </si>
  <si>
    <t>Rottenegg</t>
  </si>
  <si>
    <t>Sankt Stefan ob Stainz</t>
  </si>
  <si>
    <t>Krummnußbaum</t>
  </si>
  <si>
    <t>Rutzenmoos</t>
  </si>
  <si>
    <t>Sankt Veit am Vogau</t>
  </si>
  <si>
    <t>Küb</t>
  </si>
  <si>
    <t>Sandl</t>
  </si>
  <si>
    <t>Schäffern</t>
  </si>
  <si>
    <t>Laa an der Thaya</t>
  </si>
  <si>
    <t>Temperatura di dimensionamento delle sonde (opzioni, calcolo esterno)</t>
  </si>
  <si>
    <t>Pertes en mode chauffage (démarrage, accumulateur, etc.)</t>
  </si>
  <si>
    <t>Durée de fonctionnement de la pompe à chaleur</t>
  </si>
  <si>
    <t>Part et COP annuel de la pompe à chaleur pour le chauffage</t>
  </si>
  <si>
    <t>Gewichtungsfaktor Heizung wh:</t>
  </si>
  <si>
    <t>Gewichtungsfaktor Warmwasser www:</t>
  </si>
  <si>
    <t>Jahresarbeitszahl Heizung + Warmwasser JAZh+ww:</t>
  </si>
  <si>
    <t>Temperaturerhöhung in der Wärmepumpe bei Normbedingungen</t>
  </si>
  <si>
    <t>Vorlauftemperatur der Heizung:</t>
  </si>
  <si>
    <t>Température de départ du chauffage:</t>
  </si>
  <si>
    <t>Sankt Aegidi</t>
  </si>
  <si>
    <t>Scheifling</t>
  </si>
  <si>
    <t>Laab im Walde</t>
  </si>
  <si>
    <t>Sankt Agatha</t>
  </si>
  <si>
    <t>Schladming</t>
  </si>
  <si>
    <t>Laaben</t>
  </si>
  <si>
    <t>Sankt Florian bei Linz</t>
  </si>
  <si>
    <t>Schöder</t>
  </si>
  <si>
    <t>Lackenhof</t>
  </si>
  <si>
    <t>Sankt Georgen am Walde</t>
  </si>
  <si>
    <t>Schwanberg</t>
  </si>
  <si>
    <t>Ladendorf</t>
  </si>
  <si>
    <t>Sankt Georgen an der Gusen</t>
  </si>
  <si>
    <t>Sebersdorf</t>
  </si>
  <si>
    <t>Laimbach am Ostrong</t>
  </si>
  <si>
    <t>Sankt Georgen im Attergau</t>
  </si>
  <si>
    <t>Seckau</t>
  </si>
  <si>
    <t>Langau</t>
  </si>
  <si>
    <t>Sankt Johann am Walde</t>
  </si>
  <si>
    <t>Seewiesen</t>
  </si>
  <si>
    <t>Langau bei Gaming</t>
  </si>
  <si>
    <t>Sankt Johann am Wimberg</t>
  </si>
  <si>
    <t>Selzthal</t>
  </si>
  <si>
    <t>Langegg</t>
  </si>
  <si>
    <t>Sankt Konrad</t>
  </si>
  <si>
    <t>Semriach</t>
  </si>
  <si>
    <t>Langenlebarn</t>
  </si>
  <si>
    <t>Sankt Leonhard bei Freistadt</t>
  </si>
  <si>
    <t>Sinabelkirchen</t>
  </si>
  <si>
    <t>Langenlois</t>
  </si>
  <si>
    <t>Sankt Marien</t>
  </si>
  <si>
    <t>Soboth</t>
  </si>
  <si>
    <t>Langenrohr</t>
  </si>
  <si>
    <t>Sankt Marienkirchen an der Polsenz</t>
  </si>
  <si>
    <t>Söchau</t>
  </si>
  <si>
    <t>Langenzersdorf</t>
  </si>
  <si>
    <t>Sankt Marienkirchen bei Schärding</t>
  </si>
  <si>
    <t>Söding</t>
  </si>
  <si>
    <t>Langschlag</t>
  </si>
  <si>
    <t>Sankt Martin im Innkreis</t>
  </si>
  <si>
    <t>Spielfeld</t>
  </si>
  <si>
    <t>Lanzenkirchen</t>
  </si>
  <si>
    <t>Sankt Martin im Mühlkreis</t>
  </si>
  <si>
    <t>Blatt "WP", Zelle E60: Umschaltung für Berechnung JAZ mit und ohne Elektro-Zusatzheizung eingeführt.</t>
  </si>
  <si>
    <t>Peut être repris du calcul selon SIA 380/1. Calculé avec le débit d'air neuf thermiquement actif (la RC peut être prise en compte).</t>
  </si>
  <si>
    <t>Peuvent être repris du calcul selon SIA 380/1. Si QT et QV sont laissés vides, il est admis que:
(QT+QV)=Qh/15*24</t>
  </si>
  <si>
    <t>Peuvent être repris du calcul selon SIA 380/1. La RC peut être prise en compte dans les déperditions par renouvellement d'air (c-à-d. calculé avec le débit d'air neuf thermiquement actif). Si QT et QV sont laissés vides, il est admis que:
(QT+QV)=Qh/15*24</t>
  </si>
  <si>
    <t>Circulation d'ECS</t>
  </si>
  <si>
    <t>Abweichung der Kollektorausrichtung von Süden.  0 = Süd.  90 = Ost oder West.  Eingabe ohne [°].</t>
  </si>
  <si>
    <t>Jahresarbeitszahl (JAZ) der WP für die Heizung</t>
  </si>
  <si>
    <t>ohne Berücksichtigung des Elektro-Direktheizungsanteils und ohne WRG-Anteil. In den MINERGIE-Nachweis übertragen.</t>
  </si>
  <si>
    <t>Jahresarbeitszahl (JAZ) der WP für Warmwasser</t>
  </si>
  <si>
    <t>ohne Berücksichtigung des Elektro-Direktheizungsanteils. In den MINERGIE-Nachweis übertragen.</t>
  </si>
  <si>
    <t>Münzkirchen</t>
  </si>
  <si>
    <t>Niklasdorf</t>
  </si>
  <si>
    <t>Umhausen</t>
  </si>
  <si>
    <t>Unterbergen im Rosental</t>
  </si>
  <si>
    <t>Heiligenkreuz</t>
  </si>
  <si>
    <t>Naarn im Machlande</t>
  </si>
  <si>
    <t>Obdach</t>
  </si>
  <si>
    <t>Vent</t>
  </si>
  <si>
    <t>Velden am Wörthersee</t>
  </si>
  <si>
    <t>Heinrichs bei Weitra</t>
  </si>
  <si>
    <t>Natternbach</t>
  </si>
  <si>
    <t>La puissance de chauffage nécessaire peut tenir compte des gains de chaleur assurés (max. 10%, resp 1 kW). A justifier séparément.</t>
  </si>
  <si>
    <t>Valeur minimale: si la valeur introduite est plus petite que la valeur minimale, le calcul se fait avec la valeur minimale, calculée comme suit:
0.85*valeur proposée [kW], resp. valeur proposée - 1.2 kW.</t>
  </si>
  <si>
    <t>Chauffage avec PAC et chaudière d'appoint à mazout ou à gaz pour les pointes de puissance</t>
  </si>
  <si>
    <t>Corps de chauffe monté dans l'accumulateur, non bloqué durant le chargement de l'accumulteur.</t>
  </si>
  <si>
    <t>Registre électrique instantanné après l'accumulateur ou registre électrique dans accumulateur, bloqué durant le chargement de l'accumulateur.</t>
  </si>
  <si>
    <t>Pente/inclinaison des collecteurs. 0 = horizontal, 90 = vertical.  Donnée sans [°].</t>
  </si>
  <si>
    <t>Taux couverture solaire (ECS)</t>
  </si>
  <si>
    <t>Taux couverture solaire (chauf.)</t>
  </si>
  <si>
    <t xml:space="preserve"> Besoins de chaleur sans capteurs solaires</t>
  </si>
  <si>
    <t>Reichenau an der Rax</t>
  </si>
  <si>
    <t>Reidling</t>
  </si>
  <si>
    <t>Reingers</t>
  </si>
  <si>
    <t>Reinthal</t>
  </si>
  <si>
    <t>Rekawinkel</t>
  </si>
  <si>
    <t>Retz</t>
  </si>
  <si>
    <t>Ried am Riederberg</t>
  </si>
  <si>
    <t>Rohr im Gebirge</t>
  </si>
  <si>
    <t>Rohrau</t>
  </si>
  <si>
    <t>Rohrbach an der Gölsen</t>
  </si>
  <si>
    <t>Puissance électrique soutirée par pompe saumure:</t>
  </si>
  <si>
    <t>Puissance électrique soutirée par pompe de circulation:</t>
  </si>
  <si>
    <t>Gl. Nr.</t>
  </si>
  <si>
    <t>input</t>
  </si>
  <si>
    <t>A45/x</t>
  </si>
  <si>
    <t>A45/y</t>
  </si>
  <si>
    <r>
      <t>A45/y</t>
    </r>
    <r>
      <rPr>
        <vertAlign val="superscript"/>
        <sz val="10"/>
        <color indexed="8"/>
        <rFont val="Arial"/>
        <family val="2"/>
      </rPr>
      <t>2</t>
    </r>
  </si>
  <si>
    <t>A41/42</t>
  </si>
  <si>
    <t>A43/44</t>
  </si>
  <si>
    <t>A45</t>
  </si>
  <si>
    <t>A50(WW)</t>
  </si>
  <si>
    <t>A49(WW)</t>
  </si>
  <si>
    <t>A51(WW)</t>
  </si>
  <si>
    <t>A53</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</si>
  <si>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(nur WW)</t>
    </r>
  </si>
  <si>
    <r>
      <t>x</t>
    </r>
    <r>
      <rPr>
        <vertAlign val="subscript"/>
        <sz val="10"/>
        <color indexed="8"/>
        <rFont val="Arial"/>
        <family val="2"/>
      </rPr>
      <t>i</t>
    </r>
  </si>
  <si>
    <t>A48(WW)</t>
  </si>
  <si>
    <r>
      <t>tBin Korr Q</t>
    </r>
    <r>
      <rPr>
        <vertAlign val="subscript"/>
        <sz val="10"/>
        <color indexed="8"/>
        <rFont val="Arial"/>
        <family val="2"/>
      </rPr>
      <t>ug, ue</t>
    </r>
    <r>
      <rPr>
        <sz val="10"/>
        <color indexed="8"/>
        <rFont val="Arial"/>
        <family val="2"/>
      </rPr>
      <t xml:space="preserve"> Ta h</t>
    </r>
  </si>
  <si>
    <t>Elektro-Direkt-Anteil für das Warmwasser</t>
  </si>
  <si>
    <t>Elektro-Direkt-Anteil für die Heizung</t>
  </si>
  <si>
    <r>
      <t xml:space="preserve">e </t>
    </r>
    <r>
      <rPr>
        <sz val="9"/>
        <rFont val="Arial"/>
        <family val="2"/>
      </rPr>
      <t>Inkl. Solar:</t>
    </r>
  </si>
  <si>
    <r>
      <t xml:space="preserve">
</t>
    </r>
    <r>
      <rPr>
        <b/>
        <sz val="14"/>
        <rFont val="Arial"/>
        <family val="2"/>
      </rPr>
      <t>Wärmepumpen - Berechnungsblatt</t>
    </r>
    <r>
      <rPr>
        <b/>
        <sz val="12"/>
        <rFont val="Arial"/>
        <family val="2"/>
      </rPr>
      <t xml:space="preserve">
</t>
    </r>
  </si>
  <si>
    <t>SIA 384/3-Modell freigeben?</t>
  </si>
  <si>
    <t xml:space="preserve">WPesti / V </t>
  </si>
  <si>
    <t>Wärmepumpen-Berechnungsblatt WPesti</t>
  </si>
  <si>
    <t>Auswahl WP - Art:</t>
  </si>
  <si>
    <t>Text für Eingabe der Anlagen - Kennwerte</t>
  </si>
  <si>
    <r>
      <t>JAZ</t>
    </r>
    <r>
      <rPr>
        <sz val="7"/>
        <rFont val="Arial"/>
        <family val="2"/>
      </rPr>
      <t>h</t>
    </r>
    <r>
      <rPr>
        <sz val="9"/>
        <rFont val="Arial"/>
        <family val="2"/>
      </rPr>
      <t>:</t>
    </r>
  </si>
  <si>
    <r>
      <t>JAZ</t>
    </r>
    <r>
      <rPr>
        <sz val="7"/>
        <rFont val="Arial"/>
        <family val="2"/>
      </rPr>
      <t>ww</t>
    </r>
    <r>
      <rPr>
        <sz val="9"/>
        <rFont val="Arial"/>
        <family val="2"/>
      </rPr>
      <t>:</t>
    </r>
  </si>
  <si>
    <t>Grenzwerte</t>
  </si>
  <si>
    <r>
      <t>H</t>
    </r>
    <r>
      <rPr>
        <vertAlign val="subscript"/>
        <sz val="9"/>
        <rFont val="Arial"/>
        <family val="2"/>
      </rPr>
      <t>g0</t>
    </r>
  </si>
  <si>
    <r>
      <t>D</t>
    </r>
    <r>
      <rPr>
        <sz val="9"/>
        <rFont val="Arial"/>
        <family val="2"/>
      </rPr>
      <t>H</t>
    </r>
    <r>
      <rPr>
        <vertAlign val="subscript"/>
        <sz val="9"/>
        <rFont val="Arial"/>
        <family val="2"/>
      </rPr>
      <t>g</t>
    </r>
  </si>
  <si>
    <r>
      <t>Q</t>
    </r>
    <r>
      <rPr>
        <vertAlign val="subscript"/>
        <sz val="9"/>
        <rFont val="Arial"/>
        <family val="2"/>
      </rPr>
      <t>ww</t>
    </r>
  </si>
  <si>
    <t xml:space="preserve"> </t>
  </si>
  <si>
    <t>MFH</t>
  </si>
  <si>
    <t>Erdsonden-Wärmepumpe</t>
  </si>
  <si>
    <t>-</t>
  </si>
  <si>
    <t>m</t>
  </si>
  <si>
    <t>Elektrische Leistungsaufnahme Sondenpumpe:</t>
  </si>
  <si>
    <t>W</t>
  </si>
  <si>
    <t>EFH</t>
  </si>
  <si>
    <t>Wasser-Wasser-Wärmepumpe</t>
  </si>
  <si>
    <t xml:space="preserve">Quellentemperatur (falls nicht 10°C) </t>
  </si>
  <si>
    <t xml:space="preserve"> °C</t>
  </si>
  <si>
    <t>Elektrische Leistungsaufnahme Förderpumpe:</t>
  </si>
  <si>
    <t>Typ der Förderpumpe (Angabe nötig, wenn Leistung &lt; Vorschlagswert)</t>
  </si>
  <si>
    <t>Gebäudedaten</t>
  </si>
  <si>
    <t>Verwaltung</t>
  </si>
  <si>
    <t>Klimastation</t>
  </si>
  <si>
    <t>Schule</t>
  </si>
  <si>
    <t>Gebäudekategorie</t>
  </si>
  <si>
    <t>Verkauf</t>
  </si>
  <si>
    <r>
      <t>m</t>
    </r>
    <r>
      <rPr>
        <vertAlign val="superscript"/>
        <sz val="9"/>
        <rFont val="Arial"/>
        <family val="2"/>
      </rPr>
      <t>2</t>
    </r>
  </si>
  <si>
    <t>Restaurant</t>
  </si>
  <si>
    <t>Vers.</t>
  </si>
  <si>
    <t>Heizwärmebedarf nach SIA 380/1</t>
  </si>
  <si>
    <r>
      <t>MJ/m</t>
    </r>
    <r>
      <rPr>
        <vertAlign val="superscript"/>
        <sz val="9"/>
        <rFont val="Arial"/>
        <family val="2"/>
      </rPr>
      <t>2</t>
    </r>
    <r>
      <rPr>
        <sz val="9"/>
        <rFont val="Arial"/>
        <family val="2"/>
      </rPr>
      <t>a</t>
    </r>
  </si>
  <si>
    <t>Spitäler</t>
  </si>
  <si>
    <t>Transmissionswärmeverluste nach SIA 380/1</t>
  </si>
  <si>
    <r>
      <t>Q</t>
    </r>
    <r>
      <rPr>
        <vertAlign val="subscript"/>
        <sz val="9"/>
        <rFont val="Arial"/>
        <family val="2"/>
      </rPr>
      <t>T</t>
    </r>
  </si>
  <si>
    <t>Industrie</t>
  </si>
  <si>
    <t>Luft - Wasser - WP</t>
  </si>
  <si>
    <t>Sole - Wasser - WP</t>
  </si>
  <si>
    <t>Wasser - Wasser - WP:</t>
  </si>
  <si>
    <t>Lüftungswärmeverluste nach SIA 380/1</t>
  </si>
  <si>
    <r>
      <t>Q</t>
    </r>
    <r>
      <rPr>
        <vertAlign val="subscript"/>
        <sz val="9"/>
        <rFont val="Arial"/>
        <family val="2"/>
      </rPr>
      <t>V</t>
    </r>
  </si>
  <si>
    <t>Lager</t>
  </si>
  <si>
    <t>Heizung</t>
  </si>
  <si>
    <t>Fonte di calore</t>
  </si>
  <si>
    <t>Lüftungswärmeverluste:</t>
  </si>
  <si>
    <t>Vorschlgswerte typtische Wohnbauten:</t>
  </si>
  <si>
    <t>Heizleistungsbedarf:</t>
  </si>
  <si>
    <t>Beim Heizleistungsbedarf darf die im Auslegungsfall sicher aufretende, freie Wärme berücksichtigt werden (max. 10%, bzw. 1 kW). Diese ist separat auszuweisen.</t>
  </si>
  <si>
    <t>- Speicher + Verteilverluste
  (Armaturen, Pumpen wie Leitungen gedämmt):     15-30%</t>
  </si>
  <si>
    <t>Auslegungs-Sondentemperatur:</t>
  </si>
  <si>
    <t>Quota e CLA della pompa di calore per il riscaldamento</t>
  </si>
  <si>
    <t>Quota e CLA della pompa di calore per l'ACS</t>
  </si>
  <si>
    <t>Fattore di ponderazione per il riscaldamento:</t>
  </si>
  <si>
    <t>Fattore di ponderazione per l'ACS:</t>
  </si>
  <si>
    <t>CLA per il riscaldamento e l'ACS (CLA [risc+acs]):</t>
  </si>
  <si>
    <t>Temperatura di mandata del riscaldamento:</t>
  </si>
  <si>
    <t>Temperatura di ritorno del riscaldamento:</t>
  </si>
  <si>
    <t>Differenza di temperatura tra accumulatore e mandata riscaldamento:</t>
  </si>
  <si>
    <t>Tipo d'appoggio elettrico per ACS</t>
  </si>
  <si>
    <t>Temperatura dell'ACS garantita senza appoggio elettrico:</t>
  </si>
  <si>
    <t>WP-Typ</t>
  </si>
  <si>
    <t>Min. DT (Kondensator-TRL)</t>
  </si>
  <si>
    <t>Leistung</t>
  </si>
  <si>
    <t>Heizkurve WP</t>
  </si>
  <si>
    <t>COP</t>
  </si>
  <si>
    <t>Gütegrad</t>
  </si>
  <si>
    <t>Summe</t>
  </si>
  <si>
    <t>Können aus der Berechnung SIA 380/1 entnommen werden. Falls QT und QV leer gelassen werden, wird (QT+QV) = Qh/15*24 gesetzt.</t>
  </si>
  <si>
    <t>Sperrzeiten der Wärmepumpe:</t>
  </si>
  <si>
    <t>Ja</t>
  </si>
  <si>
    <t>(Stunden pro Tag): Tägliche Strom - Sperrzeiten für die Wärmepumpe durch das Elektrizitätswerk. Muss vom lokalen Elektrizitäswerk erfragt werden. Es sind die effektiv gesperrten Zeiten bei Auslegungsbedingungen einzusetzten.</t>
  </si>
  <si>
    <t>Vorschlagswert:  Falls Eingabefeld leer, wird mit dem Vorschlagswert gerechnet. Der Vorschlagswert wird berechnet mit (QT+QV)*EBF/3.6/(HGT*1.065)/24*(20-TaMin) [kW].</t>
  </si>
  <si>
    <t>Minimalwert:  Falls Eingabe kleiner als Minimalwert, so wird mit dem Minimalwert gerechnet. Der Minimalwert wird berechnet mit 0.85*Vorschlagswert [kW], bzw. Vorschlagswert - 1.2 kW.</t>
  </si>
  <si>
    <t>mit elektrischer Notheizung</t>
  </si>
  <si>
    <t xml:space="preserve">avec chauffage électrique de secours </t>
  </si>
  <si>
    <t>Potenza elettrica assorbita dalla pompa di circolazione:</t>
  </si>
  <si>
    <t>ACS acqua calda sanitaria</t>
  </si>
  <si>
    <t>Riscaldamento + ACS</t>
  </si>
  <si>
    <t xml:space="preserve">Funzionamento monovalente del riscaldamento </t>
  </si>
  <si>
    <t>Collettori solari per l'ACS</t>
  </si>
  <si>
    <t>Collettori solari per il riscaldamento e l'ACS</t>
  </si>
  <si>
    <t>Inclinazione [°]:</t>
  </si>
  <si>
    <t>msm</t>
  </si>
  <si>
    <t>Pericolo di gelo!</t>
  </si>
  <si>
    <t>dT utilizzatore</t>
  </si>
  <si>
    <t>T mand</t>
  </si>
  <si>
    <t>T rit</t>
  </si>
  <si>
    <t>Offerta dell'installatore:</t>
  </si>
  <si>
    <t>Esigenze minime per l'istallazione della PdC</t>
  </si>
  <si>
    <t>Valore minimo:</t>
  </si>
  <si>
    <t>Valore proposto:</t>
  </si>
  <si>
    <t>Fabbisogno di calore  per il riscaldamento Qh, eff:</t>
  </si>
  <si>
    <t>Può essere ripreso dal calcolo SIA 380/1. Calcolato con la portata d'aria termicamente determinante (il recupero di calore può essere preso in conto)</t>
  </si>
  <si>
    <t xml:space="preserve">Perdite per trasmissione </t>
  </si>
  <si>
    <t>Possono essere ripresi dal calcolo SIA 380/1. Se QT e QV sono lasciati vuoti, é ammesso che: (QT+QV)=Qh/15*24</t>
  </si>
  <si>
    <t>Perdite per ventilazione</t>
  </si>
  <si>
    <t>Valori tipici di default per abitazioni:</t>
  </si>
  <si>
    <t>Temperatura di dimensionamento delle sonde:</t>
  </si>
  <si>
    <t>Durata di interruzione di corrente della PdC</t>
  </si>
  <si>
    <t>Mandling</t>
  </si>
  <si>
    <t>Frein an der Mürz</t>
  </si>
  <si>
    <t>Holzgau</t>
  </si>
  <si>
    <t>Rankweil</t>
  </si>
  <si>
    <t>Mischendorf</t>
  </si>
  <si>
    <t>Greifenburg</t>
  </si>
  <si>
    <t>Dietmanns</t>
  </si>
  <si>
    <t>Rosental an der Kainach</t>
  </si>
  <si>
    <t>Jagenbach</t>
  </si>
  <si>
    <t>Ort im Innkreis</t>
  </si>
  <si>
    <t>Rottenmann</t>
  </si>
  <si>
    <t>Japons</t>
  </si>
  <si>
    <t>Ostermiething</t>
  </si>
  <si>
    <t>Salla</t>
  </si>
  <si>
    <t>Jedenspeigen</t>
  </si>
  <si>
    <t>Ottensheim</t>
  </si>
  <si>
    <t>Sankt Andrä im Sausal</t>
  </si>
  <si>
    <t>Jetzelsdorf</t>
  </si>
  <si>
    <t>Ottnang am Hausruck</t>
  </si>
  <si>
    <t>Sankt Anna am Aigen</t>
  </si>
  <si>
    <t>Judenau</t>
  </si>
  <si>
    <t>Pabneukirchen</t>
  </si>
  <si>
    <t>Sankt Erhard bei Mixnitz</t>
  </si>
  <si>
    <t>Kaltenleutgeben</t>
  </si>
  <si>
    <t>Pasching</t>
  </si>
  <si>
    <t>Sankt Gallen</t>
  </si>
  <si>
    <t>Kammersdorf</t>
  </si>
  <si>
    <t>Peilstein im Mühlviertel</t>
  </si>
  <si>
    <t>Sankt Georgen an der Stiefing</t>
  </si>
  <si>
    <t>Kapelln</t>
  </si>
  <si>
    <t>Pennewang</t>
  </si>
  <si>
    <t>Sankt Georgen ob Judenburg</t>
  </si>
  <si>
    <t>Karlstein</t>
  </si>
  <si>
    <t>Perg</t>
  </si>
  <si>
    <t>Sankt Georgen ob Murau</t>
  </si>
  <si>
    <t>Karlstetten</t>
  </si>
  <si>
    <t>Peterskirchen</t>
  </si>
  <si>
    <t>Sankt Jakob bei Mixnitz</t>
  </si>
  <si>
    <t>Karlstift</t>
  </si>
  <si>
    <t>Pettenbach</t>
  </si>
  <si>
    <t>Sankt Jakob im Walde</t>
  </si>
  <si>
    <t>Altenberg bei Linz</t>
  </si>
  <si>
    <t>Anthering</t>
  </si>
  <si>
    <t>Altaussee</t>
  </si>
  <si>
    <t>Assling</t>
  </si>
  <si>
    <t>Wien-Floridsdorf</t>
  </si>
  <si>
    <t>Braz</t>
  </si>
  <si>
    <t>Deutschkreutz</t>
  </si>
  <si>
    <t>Baldramsdorf</t>
  </si>
  <si>
    <t>Allentsteig</t>
  </si>
  <si>
    <t>Altenfelden</t>
  </si>
  <si>
    <t>Bad Hofgastein</t>
  </si>
  <si>
    <t>Altenmarkt bei Sankt Gallen</t>
  </si>
  <si>
    <t>Auffach</t>
  </si>
  <si>
    <t>Wien-Hadersdorf</t>
  </si>
  <si>
    <t>Bregenz</t>
  </si>
  <si>
    <t>Dobersdorf</t>
  </si>
  <si>
    <t>Berg (im Drautal)</t>
  </si>
  <si>
    <t>Altenburg</t>
  </si>
  <si>
    <t>Mehrfamilienhäuser</t>
  </si>
  <si>
    <t>Einfamilienhäuser</t>
  </si>
  <si>
    <t>Fabbisogno totale</t>
  </si>
  <si>
    <t xml:space="preserve">Heizung + dezentrale Warmwasser-WP </t>
  </si>
  <si>
    <t>dez. WW-WP</t>
  </si>
  <si>
    <t>Heizung + WW-WP</t>
  </si>
  <si>
    <t>Datensatzüberprüfung</t>
  </si>
  <si>
    <t>Geordnete Kenndaten</t>
  </si>
  <si>
    <t>Rang</t>
  </si>
  <si>
    <t>Leer</t>
  </si>
  <si>
    <t>ungedeckter Wärmebedarf Heizung</t>
  </si>
  <si>
    <t>Anteil fossiler Zusatzheizung für Warmwasser</t>
  </si>
  <si>
    <t>con accumulatore riscaldamento</t>
  </si>
  <si>
    <t>resistenza elettrica istantanea</t>
  </si>
  <si>
    <t>resistenza elettrica nell'accumulatore</t>
  </si>
  <si>
    <t>resistenza elettrica bloccata durante la carica dell'accumulatore</t>
  </si>
  <si>
    <t>senza resistenza elettrica</t>
  </si>
  <si>
    <t>resistenza elettrica in parallelo</t>
  </si>
  <si>
    <t>resistenza elettrica per postriscaldamento</t>
  </si>
  <si>
    <t>Valore proposto: se il campo resta vuoto, il calcolo viene fatto con un valore di default, calcolato come segue: (QT+QV)*Ae/3.6/(HGT*1.065)/24*(20-TaMin) [kW].</t>
  </si>
  <si>
    <r>
      <t>Gewichtungsfaktor Heizung w</t>
    </r>
    <r>
      <rPr>
        <vertAlign val="subscript"/>
        <sz val="8"/>
        <rFont val="Arial"/>
        <family val="2"/>
      </rPr>
      <t>h</t>
    </r>
    <r>
      <rPr>
        <sz val="8"/>
        <rFont val="Arial"/>
        <family val="2"/>
      </rPr>
      <t>:</t>
    </r>
  </si>
  <si>
    <r>
      <t>Gewichtungsfaktor Warmwasser w</t>
    </r>
    <r>
      <rPr>
        <vertAlign val="subscript"/>
        <sz val="8"/>
        <rFont val="Arial"/>
        <family val="2"/>
      </rPr>
      <t>ww</t>
    </r>
    <r>
      <rPr>
        <sz val="8"/>
        <rFont val="Arial"/>
        <family val="2"/>
      </rPr>
      <t>:</t>
    </r>
  </si>
  <si>
    <t>Leistung, Minimalwert</t>
  </si>
  <si>
    <t>Blatt aktiv</t>
  </si>
  <si>
    <t>Blatt nicht aktiv</t>
  </si>
  <si>
    <t>Stunden (Ta Tagesmittel)</t>
  </si>
  <si>
    <t>Global Horiz.</t>
  </si>
  <si>
    <t>Global Ost</t>
  </si>
  <si>
    <t>Global Süd</t>
  </si>
  <si>
    <t>Global West</t>
  </si>
  <si>
    <t>Global Nord</t>
  </si>
  <si>
    <t>ALT</t>
  </si>
  <si>
    <t>BAS</t>
  </si>
  <si>
    <t>BER</t>
  </si>
  <si>
    <t>Bern-Liebefeld</t>
  </si>
  <si>
    <t>BUS</t>
  </si>
  <si>
    <t>Buchs-Aarau</t>
  </si>
  <si>
    <t>CHU</t>
  </si>
  <si>
    <t>DAV</t>
  </si>
  <si>
    <t>DIS</t>
  </si>
  <si>
    <t>ENG</t>
  </si>
  <si>
    <t>GVE</t>
  </si>
  <si>
    <t>Genève-Cointrin</t>
  </si>
  <si>
    <t>GLA</t>
  </si>
  <si>
    <t>GSB</t>
  </si>
  <si>
    <t>Grosser St. Bernhard</t>
  </si>
  <si>
    <t>GUT</t>
  </si>
  <si>
    <t>CDF</t>
  </si>
  <si>
    <t>OTL</t>
  </si>
  <si>
    <t>LUG</t>
  </si>
  <si>
    <t>LUZ</t>
  </si>
  <si>
    <t>MAG</t>
  </si>
  <si>
    <t>MVE</t>
  </si>
  <si>
    <t>NEU</t>
  </si>
  <si>
    <t>PAY</t>
  </si>
  <si>
    <t>Puissance calorifique aux conditions normalisées +7 °C (A7 / W35):</t>
  </si>
  <si>
    <t>Collecteurs solaires pour chauffage et ECS</t>
  </si>
  <si>
    <t>Pente [°]:</t>
  </si>
  <si>
    <t>impossible</t>
  </si>
  <si>
    <t>Offre de l'installateur:</t>
  </si>
  <si>
    <t>Absorberfläche</t>
  </si>
  <si>
    <t>Sonnenkollektoren für Warmwasser</t>
  </si>
  <si>
    <t>Sonnenkollektoren für Heizung und Warmwasser</t>
  </si>
  <si>
    <t>Nettoertrag pro m2 Absorberfläche</t>
  </si>
  <si>
    <t>Höhe über Meer des Standortes</t>
  </si>
  <si>
    <t>Solare Deckung</t>
  </si>
  <si>
    <t>nur WW</t>
  </si>
  <si>
    <t>Heiz+WW</t>
  </si>
  <si>
    <t>Deckung WW</t>
  </si>
  <si>
    <t>Deckung Heizung</t>
  </si>
  <si>
    <t>kWh/m2a</t>
  </si>
  <si>
    <t>senza considerare la parte di riscaldamento elettrico diretto  e senza la parte del RC. Da riportare nella verifica MINERGIE.</t>
  </si>
  <si>
    <t>senza considerare la parte di riscaldamento elettrico diretto. Da riportare nella verifica MINERGIE</t>
  </si>
  <si>
    <t>Temperatura dell'ACS che può essere raggiunta con la sola pompa di calore</t>
  </si>
  <si>
    <t xml:space="preserve">funzionamento monovalente del riscaldamento </t>
  </si>
  <si>
    <t>Blatt "WP1", Zelle H39: Bivalenzpunkt nicht berücksichtigt, falscher Bezug auf J24 statt J23. Fehler behoben</t>
  </si>
  <si>
    <t>8.0.3</t>
  </si>
  <si>
    <t>2 vitesses</t>
  </si>
  <si>
    <t>Plusieurs vitesses</t>
  </si>
  <si>
    <t>Chauffage solaire de l'ECS</t>
  </si>
  <si>
    <r>
      <t>Q</t>
    </r>
    <r>
      <rPr>
        <vertAlign val="subscript"/>
        <sz val="10"/>
        <color indexed="8"/>
        <rFont val="Arial"/>
        <family val="2"/>
      </rPr>
      <t>H,dis,i</t>
    </r>
    <r>
      <rPr>
        <sz val="10"/>
        <color indexed="8"/>
        <rFont val="Arial"/>
        <family val="2"/>
      </rPr>
      <t xml:space="preserve"> </t>
    </r>
    <r>
      <rPr>
        <sz val="8"/>
        <color indexed="8"/>
        <rFont val="Arial"/>
        <family val="2"/>
      </rPr>
      <t>(inkl. Verluste?)</t>
    </r>
  </si>
  <si>
    <t>A55(H+WW)</t>
  </si>
  <si>
    <t>A57</t>
  </si>
  <si>
    <t>A59</t>
  </si>
  <si>
    <t>A58(H+WW)</t>
  </si>
  <si>
    <t>Altenhof am Hausruck</t>
  </si>
  <si>
    <t>Badgastein</t>
  </si>
  <si>
    <t>Anger</t>
  </si>
  <si>
    <t>Außervillgraten</t>
  </si>
  <si>
    <t>Wien-Hernals</t>
  </si>
  <si>
    <t>Bregenz-Rieden</t>
  </si>
  <si>
    <t>Donnerskirchen</t>
  </si>
  <si>
    <t>Birnbaum</t>
  </si>
  <si>
    <t>Altenmarkt-Thenneberg</t>
  </si>
  <si>
    <t>Altheim</t>
  </si>
  <si>
    <t>Bergheim</t>
  </si>
  <si>
    <t>Ardning</t>
  </si>
  <si>
    <t>Axams</t>
  </si>
  <si>
    <t>Wien-Hietzing</t>
  </si>
  <si>
    <t>Bregenz-Vorkloster</t>
  </si>
  <si>
    <t>Draßburg</t>
  </si>
  <si>
    <t>Bleiburg</t>
  </si>
  <si>
    <t>Altenwörth</t>
  </si>
  <si>
    <t>Altmünster</t>
  </si>
  <si>
    <t>Berndorf bei Salzburg</t>
  </si>
  <si>
    <t>Arnfels</t>
  </si>
  <si>
    <t>Bach (Lechtal)</t>
  </si>
  <si>
    <t>Wien-Innere Stadt</t>
  </si>
  <si>
    <t>Dalaas</t>
  </si>
  <si>
    <t>Draßmarkt</t>
  </si>
  <si>
    <t>Bodensdorf</t>
  </si>
  <si>
    <t>Altlengbach</t>
  </si>
  <si>
    <t>Altschwendt</t>
  </si>
  <si>
    <t>Bischofshofen</t>
  </si>
  <si>
    <t>Assach</t>
  </si>
  <si>
    <t>Bad Häring</t>
  </si>
  <si>
    <t>Wien-Josefstadt</t>
  </si>
  <si>
    <t>Damüls</t>
  </si>
  <si>
    <t>Eberau</t>
  </si>
  <si>
    <t>Brückl</t>
  </si>
  <si>
    <t>Altlichtenwarth</t>
  </si>
  <si>
    <t>Ampflwang</t>
  </si>
  <si>
    <t>Böckstein</t>
  </si>
  <si>
    <t>Au bei Aflenz</t>
  </si>
  <si>
    <t>Baumkirchen</t>
  </si>
  <si>
    <t>Wien-Kaiserebersdorf</t>
  </si>
  <si>
    <t>Doren</t>
  </si>
  <si>
    <t>Eisenstadt</t>
  </si>
  <si>
    <t>Dellach (im Gailtal)</t>
  </si>
  <si>
    <t>Ameis</t>
  </si>
  <si>
    <t>Andorf</t>
  </si>
  <si>
    <t>Bramberg am Wildkogel</t>
  </si>
  <si>
    <t>Bad Aussee</t>
  </si>
  <si>
    <t>Berwang</t>
  </si>
  <si>
    <t>Wien-Kalksburg</t>
  </si>
  <si>
    <t>Dornbirn</t>
  </si>
  <si>
    <t>Eltendorf</t>
  </si>
  <si>
    <t xml:space="preserve">Temperaturerhöhung DT der Wärmequelle Luft DT bei einer Aussentemperatur von  7°C </t>
  </si>
  <si>
    <t>Aufstellwinkel der Kollektoren. 0 = horizontal, 90 = vertikal.  Eingabe ohne [°].</t>
  </si>
  <si>
    <t>Deckungsgrad  der Wärmepumpe für die Heizung:</t>
  </si>
  <si>
    <t>Deckungsgrad  der Wärmepume für das Warmwasser:</t>
  </si>
  <si>
    <t>Sankt Lorenzen bei Knittelfeld</t>
  </si>
  <si>
    <t>Kirchberg am Wagram</t>
  </si>
  <si>
    <t>Putzleinsdorf</t>
  </si>
  <si>
    <t>Sankt Lorenzen im Mürztal</t>
  </si>
  <si>
    <t>Kirchberg am Walde</t>
  </si>
  <si>
    <t>Raab</t>
  </si>
  <si>
    <t>Sankt Marein bei Graz-Markt</t>
  </si>
  <si>
    <t>Kirchberg am Wechsel Markt</t>
  </si>
  <si>
    <t>Rainbach im Innkreis</t>
  </si>
  <si>
    <t>Sankt Marein bei Knittelfeld</t>
  </si>
  <si>
    <t>Kirchberg an der Pielach</t>
  </si>
  <si>
    <t>Rainbach im Mühlkreis</t>
  </si>
  <si>
    <t>Sankt Marein im Mürztal</t>
  </si>
  <si>
    <t>Kirchberg an der Wild</t>
  </si>
  <si>
    <t>Ranshofen</t>
  </si>
  <si>
    <t>Sankt Margarethen an der Raab</t>
  </si>
  <si>
    <t>Kirchschlag in der Buckligen Welt</t>
  </si>
  <si>
    <t>Regau</t>
  </si>
  <si>
    <t>Sankt Martin am Grimming</t>
  </si>
  <si>
    <t>Kirchstetten</t>
  </si>
  <si>
    <t>Reichenau im Mühlkreis</t>
  </si>
  <si>
    <t>Sankt Martin im Sulmtal</t>
  </si>
  <si>
    <t>Kirnberg an der Mank</t>
  </si>
  <si>
    <t>Reichenthal</t>
  </si>
  <si>
    <t>Sankt Michael in Obersteiermark</t>
  </si>
  <si>
    <t>Klausen-Leopoldsdorf</t>
  </si>
  <si>
    <t>Reichersberg</t>
  </si>
  <si>
    <t>Sankt Nikolai im Sausal</t>
  </si>
  <si>
    <t>Kleinneusiedl</t>
  </si>
  <si>
    <t>Reichraming</t>
  </si>
  <si>
    <t>Sankt Nikolai ob Draßling</t>
  </si>
  <si>
    <t>Kleinpöchlarn</t>
  </si>
  <si>
    <t>Ried im Innkreis</t>
  </si>
  <si>
    <t>Sankt Oswald bei Plankenwarth</t>
  </si>
  <si>
    <t>Kleinzell</t>
  </si>
  <si>
    <t>Ried im Traunkreis</t>
  </si>
  <si>
    <t>Sankt Oswald ob Eibiswald</t>
  </si>
  <si>
    <t>Klosterneuburg</t>
  </si>
  <si>
    <t>Ried in der Riedmark</t>
  </si>
  <si>
    <t>Sankt Peter am Kammersberg</t>
  </si>
  <si>
    <t>Königsbrunn am Wagram</t>
  </si>
  <si>
    <t>Riedau</t>
  </si>
  <si>
    <t>Sankt Peter am Ottersbach</t>
  </si>
  <si>
    <t>Königstetten</t>
  </si>
  <si>
    <t>Rohr im Kremstal</t>
  </si>
  <si>
    <t>Sankt Peter im Sulmtal</t>
  </si>
  <si>
    <t>Korneuburg</t>
  </si>
  <si>
    <t>Rohrbach in Oberösterreich</t>
  </si>
  <si>
    <t>Sankt Peter ob Judenburg</t>
  </si>
  <si>
    <t>Kottes</t>
  </si>
  <si>
    <t>Roitham</t>
  </si>
  <si>
    <t>Sankt Peter-Freienstein</t>
  </si>
  <si>
    <t>Kottingbrunn</t>
  </si>
  <si>
    <t>Pompa di calore con sonda geotermica</t>
  </si>
  <si>
    <t>Superficie dei collettori</t>
  </si>
  <si>
    <t>max. Sondenbelastung:</t>
  </si>
  <si>
    <t>Bei JAZ Div 0, wenn auf Spez-Blatt nur eine Kurve eingegeben. Blatt "WP_BIN", Zellen T19 bis CG20, Div 0 abgefangen.</t>
  </si>
  <si>
    <t>Schattendorf</t>
  </si>
  <si>
    <t>Malta</t>
  </si>
  <si>
    <t>Freiland</t>
  </si>
  <si>
    <t>Haslach an der Mühl</t>
  </si>
  <si>
    <t>Straßwalchen</t>
  </si>
  <si>
    <t>Hatzendorf</t>
  </si>
  <si>
    <t>Mötz</t>
  </si>
  <si>
    <t>Schützen am Gebirge</t>
  </si>
  <si>
    <t>Maria Elend</t>
  </si>
  <si>
    <t>Friedersbach</t>
  </si>
  <si>
    <t>Helfenberg</t>
  </si>
  <si>
    <t>Strobl</t>
  </si>
  <si>
    <t>Haus</t>
  </si>
  <si>
    <t>Münster</t>
  </si>
  <si>
    <t>Siegendorf im Burgenland</t>
  </si>
  <si>
    <t>Maria Luggau</t>
  </si>
  <si>
    <t>Furth bei Göttweig</t>
  </si>
  <si>
    <t>Hellmonsödt</t>
  </si>
  <si>
    <t>Stuhlfelden</t>
  </si>
  <si>
    <t>Hausmannstätten</t>
  </si>
  <si>
    <t>Mutters</t>
  </si>
  <si>
    <t>Sieggraben</t>
  </si>
  <si>
    <t>Maria Rain</t>
  </si>
  <si>
    <t>Gaaden</t>
  </si>
  <si>
    <t>Herzogsdorf</t>
  </si>
  <si>
    <t>Tamsweg</t>
  </si>
  <si>
    <t>Heilbrunn</t>
  </si>
  <si>
    <t>Nassereith</t>
  </si>
  <si>
    <t>Sigleß</t>
  </si>
  <si>
    <t>Maria Rojach</t>
  </si>
  <si>
    <t>Gablitz</t>
  </si>
  <si>
    <t>Hinterstoder</t>
  </si>
  <si>
    <t>Taxenbach</t>
  </si>
  <si>
    <t>Heiligenkreuz am Waasen</t>
  </si>
  <si>
    <t>Natters</t>
  </si>
  <si>
    <t>Stadtschlaining</t>
  </si>
  <si>
    <t>Maria Saal</t>
  </si>
  <si>
    <t>Gaming</t>
  </si>
  <si>
    <t>Hirschbach im Mühlkreis</t>
  </si>
  <si>
    <t>Tenneck</t>
  </si>
  <si>
    <t>In den MINERGIE-Nachweis übertragen</t>
  </si>
  <si>
    <t>Deckungsgrad Zusatzheizung für das Warmwasser:</t>
  </si>
  <si>
    <t>Temp extérieure
Ta</t>
  </si>
  <si>
    <t>Aussentemperatur
Ta</t>
  </si>
  <si>
    <t>Leistungs-
bedarf</t>
  </si>
  <si>
    <t>Puissance
nécessaire</t>
  </si>
  <si>
    <t>Distribution
BIN</t>
  </si>
  <si>
    <t>BIN - 
Verteilung</t>
  </si>
  <si>
    <t>Lastkurve ohne
freie Wärme</t>
  </si>
  <si>
    <t>Courbe de charge
sans gains de chaleur</t>
  </si>
  <si>
    <t>Summen-
häufigkeit</t>
  </si>
  <si>
    <t>Fréquence
cumulée</t>
  </si>
  <si>
    <t>Trautenfels</t>
  </si>
  <si>
    <t>Eggerding</t>
  </si>
  <si>
    <t>Maishofen</t>
  </si>
  <si>
    <t>Frauental an der Laßnitz</t>
  </si>
  <si>
    <t>Verkürzte Bin</t>
  </si>
  <si>
    <t>A56(WW)</t>
  </si>
  <si>
    <t>A3.6.2(&gt;0°C)</t>
  </si>
  <si>
    <t>A58(WW)</t>
  </si>
  <si>
    <t>A3.6.2(&lt;0°C)</t>
  </si>
  <si>
    <t>Berechnung für Solaranlagen:</t>
  </si>
  <si>
    <t>Pulldowns:</t>
  </si>
  <si>
    <t>Vorschlag Minergie:</t>
  </si>
  <si>
    <t>WW solar</t>
  </si>
  <si>
    <t>Heizung solar</t>
  </si>
  <si>
    <t>externe Berechnung:</t>
  </si>
  <si>
    <t>Deckung WW SIA 384/3</t>
  </si>
  <si>
    <t>Deckung Heizung SIA 384/3</t>
  </si>
  <si>
    <t>Berechnung nach SIA 384/3</t>
  </si>
  <si>
    <t>Berechnung nach MINERGIE</t>
  </si>
  <si>
    <t>Max. Deckung WW</t>
  </si>
  <si>
    <t>Max. Deckung Heizung</t>
  </si>
  <si>
    <t>Winkelkorr WW</t>
  </si>
  <si>
    <t>Nettoertrag, kWh/m2</t>
  </si>
  <si>
    <t>korr. Fläche Koll.</t>
  </si>
  <si>
    <t>Solarertrag</t>
  </si>
  <si>
    <t>Solarertrag kWh/m2</t>
  </si>
  <si>
    <t>Schönbühel an der Donau</t>
  </si>
  <si>
    <t>Schönkirchen</t>
  </si>
  <si>
    <t>Schottwien</t>
  </si>
  <si>
    <t>Schrattenberg</t>
  </si>
  <si>
    <t>Schrattenthal</t>
  </si>
  <si>
    <t>Schrems</t>
  </si>
  <si>
    <t>Schwadorf</t>
  </si>
  <si>
    <t>Schwarzau am Steinfelde</t>
  </si>
  <si>
    <t>Schwarzau im Gebirge</t>
  </si>
  <si>
    <t>Schwarzenau</t>
  </si>
  <si>
    <t>Schwarzenbach</t>
  </si>
  <si>
    <t>Schwarzenbach an der Pielach</t>
  </si>
  <si>
    <t>Schwechat</t>
  </si>
  <si>
    <t>Schweiggers</t>
  </si>
  <si>
    <t>Seebenstein</t>
  </si>
  <si>
    <t>Seefeld</t>
  </si>
  <si>
    <t>Seibersdorf</t>
  </si>
  <si>
    <t>Seitenstetten Markt</t>
  </si>
  <si>
    <t>Semmering Kurort</t>
  </si>
  <si>
    <t>Senftenberg</t>
  </si>
  <si>
    <t>Sieding</t>
  </si>
  <si>
    <t>Sieghartskirchen</t>
  </si>
  <si>
    <t>Sierndorf</t>
  </si>
  <si>
    <t>Sigmundsherberg</t>
  </si>
  <si>
    <t>Sittendorf bei Wien</t>
  </si>
  <si>
    <t>Sitzendorf an der Schmida</t>
  </si>
  <si>
    <t>Sollenau</t>
  </si>
  <si>
    <t>Sommerein</t>
  </si>
  <si>
    <t>Spannberg</t>
  </si>
  <si>
    <t>Spillern</t>
  </si>
  <si>
    <t>Spitz</t>
  </si>
  <si>
    <t>Statzendorf</t>
  </si>
  <si>
    <t>In Abhängigkeit des spezifischen Heizwärmebedarfes (HWB) setzt das Programm folgende Werte für die Vorlauf- bzw. Rücklauftemperatur des Wärmeverteilsystems ein:</t>
  </si>
  <si>
    <r>
      <t xml:space="preserve">Heizwärmebedarf HWB(*) </t>
    </r>
    <r>
      <rPr>
        <sz val="8"/>
        <rFont val="Trebuchet MS"/>
        <family val="2"/>
      </rPr>
      <t>(kWh/m²,a)</t>
    </r>
  </si>
  <si>
    <t>15 bis 30</t>
  </si>
  <si>
    <t>30 bis 45</t>
  </si>
  <si>
    <t xml:space="preserve"> 45 bis 70</t>
  </si>
  <si>
    <t>größer 70</t>
  </si>
  <si>
    <r>
      <t>Vorlauftemperatur T</t>
    </r>
    <r>
      <rPr>
        <vertAlign val="subscript"/>
        <sz val="10"/>
        <rFont val="Trebuchet MS"/>
        <family val="2"/>
      </rPr>
      <t>VL</t>
    </r>
    <r>
      <rPr>
        <sz val="10"/>
        <rFont val="Trebuchet MS"/>
        <family val="2"/>
      </rPr>
      <t xml:space="preserve"> mindestens </t>
    </r>
    <r>
      <rPr>
        <sz val="8"/>
        <rFont val="Trebuchet MS"/>
        <family val="2"/>
      </rPr>
      <t>(°C)</t>
    </r>
  </si>
  <si>
    <r>
      <t>Rücklauftemperatur T</t>
    </r>
    <r>
      <rPr>
        <vertAlign val="subscript"/>
        <sz val="10"/>
        <rFont val="Trebuchet MS"/>
        <family val="2"/>
      </rPr>
      <t>RL</t>
    </r>
    <r>
      <rPr>
        <sz val="10"/>
        <rFont val="Trebuchet MS"/>
        <family val="2"/>
      </rPr>
      <t xml:space="preserve"> mindestens </t>
    </r>
    <r>
      <rPr>
        <sz val="8"/>
        <rFont val="Trebuchet MS"/>
        <family val="2"/>
      </rPr>
      <t>(°C)</t>
    </r>
  </si>
  <si>
    <t>(*) Standortbezogener HWB (nicht auf Referenzklima bezogen) aus dem Energieausweis.</t>
  </si>
  <si>
    <t xml:space="preserve">Für den Fall, dass objektbezogen die angegebenen Mindestwerte für die Vorlauftemperatur bzw. Rücklauftemperatur unterschritten werden können, sind folgende Nachweise erforderlich: </t>
  </si>
  <si>
    <t>Vorlage der Raumheizlast-Berechnung (nach EN 12831) und Nachweis der Auslegung des gewählten Wärmeabgabesystems. Jeweils das Zusammenfassungsblatt bzw. das Übersichtsblatt der Berechnungen.</t>
  </si>
  <si>
    <t>4) Garantierte Warmwassertemperatur</t>
  </si>
  <si>
    <t>Burgkirchen</t>
  </si>
  <si>
    <t>Hüttschlag</t>
  </si>
  <si>
    <t>Eisenerz</t>
  </si>
  <si>
    <t>PAC avec collecteur terrestre</t>
  </si>
  <si>
    <t>COP aux conditions normalisées 7 °C / 50°C (A7 / W50):</t>
  </si>
  <si>
    <t>COP aux conditions normalisées (W10 / W50):</t>
  </si>
  <si>
    <t>JAZcalc</t>
  </si>
  <si>
    <t>OES</t>
  </si>
  <si>
    <t>Oesterreich</t>
  </si>
  <si>
    <t>nur HT 20/12</t>
  </si>
  <si>
    <t>Stunden Solar WW</t>
  </si>
  <si>
    <t>Stunden WW ohne Solar</t>
  </si>
  <si>
    <t xml:space="preserve">Lastkurve </t>
  </si>
  <si>
    <t>o. Kollektoren</t>
  </si>
  <si>
    <t>Heizungsunterstützung</t>
  </si>
  <si>
    <t>Azimut:</t>
  </si>
  <si>
    <t>West</t>
  </si>
  <si>
    <t>Ost</t>
  </si>
  <si>
    <t>Referenz:</t>
  </si>
  <si>
    <t>Korrektur:</t>
  </si>
  <si>
    <t>Sonnenkollektoren</t>
  </si>
  <si>
    <t>Neigung:</t>
  </si>
  <si>
    <t>45° / 45°:</t>
  </si>
  <si>
    <t>Kollektorausrichtung</t>
  </si>
  <si>
    <t xml:space="preserve">Index1 Azimut: </t>
  </si>
  <si>
    <t xml:space="preserve">Index2 Azimut: </t>
  </si>
  <si>
    <t xml:space="preserve">Index Neigung: </t>
  </si>
  <si>
    <t xml:space="preserve">Azimut [°]:  </t>
  </si>
  <si>
    <t>Neigung [°]:</t>
  </si>
  <si>
    <t>Deckungsgrad solar (Heizung)</t>
  </si>
  <si>
    <t>Deckungsgrad solar (WW)</t>
  </si>
  <si>
    <t>Elektrische Leistungsaufnahme Solepumpe:</t>
  </si>
  <si>
    <t>Spezifische Entzugsleistung</t>
  </si>
  <si>
    <t>W/m2</t>
  </si>
  <si>
    <t>Erdkollektor-Wärmepumpe</t>
  </si>
  <si>
    <t>Kollektorfläche</t>
  </si>
  <si>
    <t>Erdkollektor - WP</t>
  </si>
  <si>
    <t>spez. Entzugsleistung</t>
  </si>
  <si>
    <t>Sprachversion</t>
  </si>
  <si>
    <t>deutsch</t>
  </si>
  <si>
    <t>französisch</t>
  </si>
  <si>
    <t>italienisch</t>
  </si>
  <si>
    <t>Données concernant le bâtiment</t>
  </si>
  <si>
    <t>Surface de référence énergétique SRE</t>
  </si>
  <si>
    <t xml:space="preserve">Station climatique:    </t>
  </si>
  <si>
    <t>Besoins de chaleur pour le chauffage selon SIA 380/1</t>
  </si>
  <si>
    <t>Déperditions par transmission selon SIA 380/1</t>
  </si>
  <si>
    <t>Déperditions par renouvellement d'air selon SIA 380/1</t>
  </si>
  <si>
    <t>Installation de pompe à chaleur</t>
  </si>
  <si>
    <t>Nom et type de PAC</t>
  </si>
  <si>
    <t>auswählen -&gt;</t>
  </si>
  <si>
    <t>choisir -&gt;</t>
  </si>
  <si>
    <t xml:space="preserve">   Fehler!</t>
  </si>
  <si>
    <t>Mode de fonctionnement de la PAC</t>
  </si>
  <si>
    <t>Heizungsspeicher</t>
  </si>
  <si>
    <t>Accumulateur de chaleur</t>
  </si>
  <si>
    <t>Steuerung des Elektro-Heizeinsatzes</t>
  </si>
  <si>
    <t>Résultats</t>
  </si>
  <si>
    <t>Anteil fossiler Zusatzheizung für Heizung</t>
  </si>
  <si>
    <t xml:space="preserve">Methode SIA 384/3:  </t>
  </si>
  <si>
    <t>Lembach im Mühlkreis</t>
  </si>
  <si>
    <t>Krottendorf bei Ligist</t>
  </si>
  <si>
    <t>Sankt Leonhard im Pitztal</t>
  </si>
  <si>
    <t>Ruden</t>
  </si>
  <si>
    <t>Kombispeicherzuschlag</t>
  </si>
  <si>
    <t>Weitersfeld</t>
  </si>
  <si>
    <t>Weitra</t>
  </si>
  <si>
    <t>Wiener Neudorf</t>
  </si>
  <si>
    <t>Wiener Neustadt</t>
  </si>
  <si>
    <t>Wienerbruck</t>
  </si>
  <si>
    <t>Wieselburg</t>
  </si>
  <si>
    <t>Wiesmath</t>
  </si>
  <si>
    <t>Wildendürnbach</t>
  </si>
  <si>
    <t>Wilfersdorf</t>
  </si>
  <si>
    <t>Wilfleinsdorf</t>
  </si>
  <si>
    <t>Wilhelmsburg</t>
  </si>
  <si>
    <t>Willendorf</t>
  </si>
  <si>
    <t>Wimpassing</t>
  </si>
  <si>
    <t>Windigsteig</t>
  </si>
  <si>
    <t>Winzendorf</t>
  </si>
  <si>
    <t>Pompe de la source</t>
  </si>
  <si>
    <t xml:space="preserve">Courant absorbé de la pompe à plein régime </t>
  </si>
  <si>
    <t>Perte de charge dynamique à plein régime</t>
  </si>
  <si>
    <t>Débit à plein régime</t>
  </si>
  <si>
    <t>Hauteur statique</t>
  </si>
  <si>
    <t>Mode d'exploitation</t>
  </si>
  <si>
    <t>Régulation</t>
  </si>
  <si>
    <t>Valeur de calcul</t>
  </si>
  <si>
    <t>Valeur estimée</t>
  </si>
  <si>
    <t>Valeur estimée selon feuille PAC</t>
  </si>
  <si>
    <t>Valeur effective</t>
  </si>
  <si>
    <t>Pompe de l'évaporateur ou ventilateur</t>
  </si>
  <si>
    <t xml:space="preserve">Courant absorbé de la pompe / ventilateur à plein régime </t>
  </si>
  <si>
    <t>Perte de charge à l'évaporateur</t>
  </si>
  <si>
    <t>Débit à l'évaporateur</t>
  </si>
  <si>
    <t>Pompe au condenseur</t>
  </si>
  <si>
    <t>Courant absorbé par la pompe P1 à plein régime (seule la part du condenseur)</t>
  </si>
  <si>
    <t>Perte de charge nominale au condenseur</t>
  </si>
  <si>
    <t>Accuumulateur combiné - 1 prise de retour Accu-PAC</t>
  </si>
  <si>
    <t>Accuumulateur combiné - 2 prise de retour Accu-PAC</t>
  </si>
  <si>
    <t>Registre électrique bloqué durant la charge de l'accu.</t>
  </si>
  <si>
    <t>Liste des PAC</t>
  </si>
  <si>
    <t>Ossiach</t>
  </si>
  <si>
    <t>Gnadendorf</t>
  </si>
  <si>
    <t>Kirchheim im Innkreis</t>
  </si>
  <si>
    <t>Zinkenbach</t>
  </si>
  <si>
    <t>Kalsdorf bei Graz</t>
  </si>
  <si>
    <t>Pertisau</t>
  </si>
  <si>
    <t>Wiesen</t>
  </si>
  <si>
    <t>Patergassen</t>
  </si>
  <si>
    <t>Göllersdorf</t>
  </si>
  <si>
    <t>Klaffer</t>
  </si>
  <si>
    <t>Kalwang</t>
  </si>
  <si>
    <t>Pettneu am Arlberg</t>
  </si>
  <si>
    <t>Kematen am Innbach</t>
  </si>
  <si>
    <t>Weißbach bei Lofer</t>
  </si>
  <si>
    <t>Judenburg</t>
  </si>
  <si>
    <t>Obertilliach</t>
  </si>
  <si>
    <t>Unterrabnitz</t>
  </si>
  <si>
    <t>Mühldorf</t>
  </si>
  <si>
    <t>Gießhübl</t>
  </si>
  <si>
    <t>Kematen an der Krems</t>
  </si>
  <si>
    <t>Werfen</t>
  </si>
  <si>
    <t>Judendorf</t>
  </si>
  <si>
    <t>Obsteig</t>
  </si>
  <si>
    <t>Wallern im Burgenland</t>
  </si>
  <si>
    <t>Nötsch</t>
  </si>
  <si>
    <t>Glaubendorf</t>
  </si>
  <si>
    <t>Kirchberg bei Mattighofen</t>
  </si>
  <si>
    <t>Werfenweng</t>
  </si>
  <si>
    <t>Kainach bei Voitsberg</t>
  </si>
  <si>
    <t>Oetz</t>
  </si>
  <si>
    <t>Weiden am See</t>
  </si>
  <si>
    <t>Oberdrauburg</t>
  </si>
  <si>
    <t>Gloggnitz</t>
  </si>
  <si>
    <t>Kirchdorf an der Krems</t>
  </si>
  <si>
    <t>Zederhaus</t>
  </si>
  <si>
    <t>Kaindorf</t>
  </si>
  <si>
    <t>Ötztal Bahnhof</t>
  </si>
  <si>
    <t>Weiden bei Rechnitz</t>
  </si>
  <si>
    <t>Obervellach</t>
  </si>
  <si>
    <t>Kirchham</t>
  </si>
  <si>
    <t>Zell am See</t>
  </si>
  <si>
    <t>Kainisch</t>
  </si>
  <si>
    <t>Patsch</t>
  </si>
  <si>
    <t>Weppersdorf</t>
  </si>
  <si>
    <t>Perdite per distribuzione per edifici nuovi, riscaldamento in cantina, isolata secondo le prescrizioni (rubinetteria, pompe, condotte isolate,..): 1.3%. / Perdite di distribuzione per edifici in costruzione, riscaldamento nell'edifici vicino: 3-15%.</t>
  </si>
  <si>
    <t>Surface de collecteurs</t>
  </si>
  <si>
    <t>Puissance calorifique aux conditions normalisées -7 °C  (A-7 / W35):</t>
  </si>
  <si>
    <t>COP aux conditions normalisées +2 °C  (A2 / W35):</t>
  </si>
  <si>
    <t>Puissance calorifique aux conditions normalisées +2 °C  (A2 / W35):</t>
  </si>
  <si>
    <t>COP aux conditions normalisées (B0 / W50)</t>
  </si>
  <si>
    <t>COP aux conditions normalisées +7 °C  (A7 / W35):</t>
  </si>
  <si>
    <t>Hersteller</t>
  </si>
  <si>
    <t>Typ</t>
  </si>
  <si>
    <t>Herst Nr</t>
  </si>
  <si>
    <t>H_5</t>
  </si>
  <si>
    <t>Steuerung</t>
  </si>
  <si>
    <t>Zeilen Nr Herst</t>
  </si>
  <si>
    <t>Zeilen_Nr</t>
  </si>
  <si>
    <t>Eigene Werte</t>
  </si>
  <si>
    <t>Zeilen Nr Herst +1</t>
  </si>
  <si>
    <t>Letzte Zeile Herst</t>
  </si>
  <si>
    <t>Anzahl Typen</t>
  </si>
  <si>
    <r>
      <t>tBin Korr Q</t>
    </r>
    <r>
      <rPr>
        <vertAlign val="subscript"/>
        <sz val="10"/>
        <color indexed="8"/>
        <rFont val="Arial"/>
        <family val="2"/>
      </rPr>
      <t>ug, ue</t>
    </r>
    <r>
      <rPr>
        <sz val="10"/>
        <color indexed="8"/>
        <rFont val="Arial"/>
        <family val="2"/>
      </rPr>
      <t xml:space="preserve"> Ta Tg</t>
    </r>
  </si>
  <si>
    <t>Ph* tPh</t>
  </si>
  <si>
    <r>
      <t>Q</t>
    </r>
    <r>
      <rPr>
        <vertAlign val="subscript"/>
        <sz val="8"/>
        <rFont val="Arial"/>
        <family val="2"/>
      </rPr>
      <t>tot</t>
    </r>
  </si>
  <si>
    <r>
      <t>Q</t>
    </r>
    <r>
      <rPr>
        <vertAlign val="subscript"/>
        <sz val="8"/>
        <rFont val="Arial"/>
        <family val="2"/>
      </rPr>
      <t>tot-</t>
    </r>
    <r>
      <rPr>
        <sz val="8"/>
        <rFont val="Arial"/>
        <family val="2"/>
      </rPr>
      <t>Q</t>
    </r>
    <r>
      <rPr>
        <vertAlign val="subscript"/>
        <sz val="8"/>
        <rFont val="Arial"/>
        <family val="2"/>
      </rPr>
      <t>ug, ev</t>
    </r>
  </si>
  <si>
    <r>
      <t>Q</t>
    </r>
    <r>
      <rPr>
        <vertAlign val="subscript"/>
        <sz val="8"/>
        <rFont val="Arial"/>
        <family val="2"/>
      </rPr>
      <t>H</t>
    </r>
  </si>
  <si>
    <r>
      <t>tP</t>
    </r>
    <r>
      <rPr>
        <vertAlign val="subscript"/>
        <sz val="8"/>
        <rFont val="Arial"/>
        <family val="2"/>
      </rPr>
      <t>tot</t>
    </r>
  </si>
  <si>
    <r>
      <t>tP</t>
    </r>
    <r>
      <rPr>
        <vertAlign val="subscript"/>
        <sz val="8"/>
        <rFont val="Arial"/>
        <family val="2"/>
      </rPr>
      <t>tot</t>
    </r>
    <r>
      <rPr>
        <sz val="8"/>
        <rFont val="Arial"/>
        <family val="2"/>
      </rPr>
      <t xml:space="preserve"> Summe</t>
    </r>
  </si>
  <si>
    <r>
      <t>P</t>
    </r>
    <r>
      <rPr>
        <vertAlign val="subscript"/>
        <sz val="8"/>
        <rFont val="Arial"/>
        <family val="2"/>
      </rPr>
      <t>tot</t>
    </r>
  </si>
  <si>
    <r>
      <t>P</t>
    </r>
    <r>
      <rPr>
        <vertAlign val="subscript"/>
        <sz val="8"/>
        <rFont val="Arial"/>
        <family val="2"/>
      </rPr>
      <t>tot</t>
    </r>
    <r>
      <rPr>
        <sz val="8"/>
        <rFont val="Arial"/>
        <family val="2"/>
      </rPr>
      <t xml:space="preserve"> - P</t>
    </r>
    <r>
      <rPr>
        <vertAlign val="subscript"/>
        <sz val="8"/>
        <rFont val="Arial"/>
        <family val="2"/>
      </rPr>
      <t>ug,ev</t>
    </r>
  </si>
  <si>
    <r>
      <t>tP</t>
    </r>
    <r>
      <rPr>
        <vertAlign val="subscript"/>
        <sz val="8"/>
        <rFont val="Arial"/>
        <family val="2"/>
      </rPr>
      <t>H</t>
    </r>
  </si>
  <si>
    <r>
      <t>tP</t>
    </r>
    <r>
      <rPr>
        <vertAlign val="subscript"/>
        <sz val="8"/>
        <rFont val="Arial"/>
        <family val="2"/>
      </rPr>
      <t>H</t>
    </r>
    <r>
      <rPr>
        <sz val="8"/>
        <rFont val="Arial"/>
        <family val="2"/>
      </rPr>
      <t xml:space="preserve"> Summe</t>
    </r>
  </si>
  <si>
    <r>
      <t>P</t>
    </r>
    <r>
      <rPr>
        <vertAlign val="subscript"/>
        <sz val="8"/>
        <rFont val="Arial"/>
        <family val="2"/>
      </rPr>
      <t>H</t>
    </r>
  </si>
  <si>
    <t>Blatt WP-Spez</t>
  </si>
  <si>
    <t>WP, individuelle Spezifikationen</t>
  </si>
  <si>
    <t>Daten Wärmepumpe</t>
  </si>
  <si>
    <t>Leistungsdaten der Wärmepumpe:</t>
  </si>
  <si>
    <t>T Vorlauf</t>
  </si>
  <si>
    <t>Heizleistung</t>
  </si>
  <si>
    <t>Quellentemp.</t>
  </si>
  <si>
    <t>Valeur proposée: si le champ reste vide, le calcul se fait avec une valeur par défaut, calculée comme suit:
(QT+QV)*SRE/3.6/(HGT*1.065)/24*(20-TaMin) [kW].</t>
  </si>
  <si>
    <t>Interpolation weiterer Stützpunkte</t>
  </si>
  <si>
    <t>Therm a1,v1</t>
  </si>
  <si>
    <t>Therm a2,v1</t>
  </si>
  <si>
    <t>Therm a1,v2</t>
  </si>
  <si>
    <t>Hilfsgrössen</t>
  </si>
  <si>
    <t>Therm a2,v2</t>
  </si>
  <si>
    <t>Steigung A-15/A-7</t>
  </si>
  <si>
    <t>P Heiz</t>
  </si>
  <si>
    <t>Bin Temperatur</t>
  </si>
  <si>
    <t>Offset Quelle</t>
  </si>
  <si>
    <t>Steigung A7/A20</t>
  </si>
  <si>
    <t>Stg A-7/A7</t>
  </si>
  <si>
    <t>P El.</t>
  </si>
  <si>
    <t>Ta0 (Quelle)</t>
  </si>
  <si>
    <t>COP carnot</t>
  </si>
  <si>
    <t>COP a0, v0</t>
  </si>
  <si>
    <t>Werteschema Erdsonden und Wasser-Wasser WP</t>
  </si>
  <si>
    <r>
      <t>T</t>
    </r>
    <r>
      <rPr>
        <vertAlign val="subscript"/>
        <sz val="10"/>
        <rFont val="Arial"/>
        <family val="2"/>
      </rPr>
      <t>Quelle</t>
    </r>
    <r>
      <rPr>
        <sz val="10"/>
        <rFont val="Arial"/>
        <family val="2"/>
      </rPr>
      <t xml:space="preserve"> [°C]</t>
    </r>
  </si>
  <si>
    <t xml:space="preserve">Bei WW-WP werden Daten nicht aus Blatt "WP_Daten" übernommen.
Blatt "WP1",  W50 - W53 ergänzt. </t>
  </si>
  <si>
    <t>Temperatura dell'ACS con post-riscaldamento elettrico:</t>
  </si>
  <si>
    <t>Capacità dell'accumulatore dell'ACS</t>
  </si>
  <si>
    <t>Altitudine dell'impianto</t>
  </si>
  <si>
    <t>Tasso di copertura solare per l'ACS</t>
  </si>
  <si>
    <t>Installateur / Planer:</t>
  </si>
  <si>
    <t>Warmwasserbedarf nach SIA 380/1</t>
  </si>
  <si>
    <t>eff. Vorlauftemperatur WP :</t>
  </si>
  <si>
    <r>
      <t>P</t>
    </r>
    <r>
      <rPr>
        <sz val="8"/>
        <rFont val="Arial"/>
        <family val="2"/>
      </rPr>
      <t>Pumpe</t>
    </r>
    <r>
      <rPr>
        <sz val="9"/>
        <rFont val="Arial"/>
        <family val="2"/>
      </rPr>
      <t xml:space="preserve"> [W]</t>
    </r>
  </si>
  <si>
    <t>COP bei 7°C / 50°C</t>
  </si>
  <si>
    <t>Warmwasser: Zusätzliche Speicher- und Verteilverluste</t>
  </si>
  <si>
    <t>eff. Rüclauftemperatur WP :</t>
  </si>
  <si>
    <t>Vollbetrieb-h</t>
  </si>
  <si>
    <t>WW-Temperatur</t>
  </si>
  <si>
    <r>
      <t>D</t>
    </r>
    <r>
      <rPr>
        <b/>
        <sz val="9"/>
        <color indexed="9"/>
        <rFont val="Arial"/>
        <family val="2"/>
      </rPr>
      <t>T</t>
    </r>
    <r>
      <rPr>
        <b/>
        <vertAlign val="subscript"/>
        <sz val="9"/>
        <color indexed="9"/>
        <rFont val="Arial"/>
        <family val="2"/>
      </rPr>
      <t xml:space="preserve">Spr,Ref </t>
    </r>
    <r>
      <rPr>
        <b/>
        <sz val="9"/>
        <color indexed="9"/>
        <rFont val="Arial"/>
        <family val="2"/>
      </rPr>
      <t>= dT Nutzer :</t>
    </r>
  </si>
  <si>
    <t>Sondenanzahl</t>
  </si>
  <si>
    <t>WW-Temperatur Zusatz</t>
  </si>
  <si>
    <t>Wärmepumpen-Anlage</t>
  </si>
  <si>
    <r>
      <t>D</t>
    </r>
    <r>
      <rPr>
        <b/>
        <sz val="9"/>
        <color indexed="9"/>
        <rFont val="Arial"/>
        <family val="2"/>
      </rPr>
      <t>T</t>
    </r>
    <r>
      <rPr>
        <b/>
        <vertAlign val="subscript"/>
        <sz val="9"/>
        <color indexed="9"/>
        <rFont val="Arial"/>
        <family val="2"/>
      </rPr>
      <t xml:space="preserve">Spr,eff </t>
    </r>
    <r>
      <rPr>
        <b/>
        <sz val="9"/>
        <color indexed="9"/>
        <rFont val="Arial"/>
        <family val="2"/>
      </rPr>
      <t>= T VL - T RL :</t>
    </r>
  </si>
  <si>
    <t>Gew. -7°C</t>
  </si>
  <si>
    <t>Sondenlänge</t>
  </si>
  <si>
    <t>Quellentemp WW-WP</t>
  </si>
  <si>
    <t>Name und Typ der Wärmepumpe:</t>
  </si>
  <si>
    <t>Burgenland</t>
  </si>
  <si>
    <t>Strasse:</t>
  </si>
  <si>
    <r>
      <t>Q</t>
    </r>
    <r>
      <rPr>
        <vertAlign val="subscript"/>
        <sz val="8"/>
        <rFont val="Arial"/>
        <family val="2"/>
      </rPr>
      <t>ww</t>
    </r>
    <r>
      <rPr>
        <sz val="8"/>
        <rFont val="Arial"/>
        <family val="2"/>
      </rPr>
      <t xml:space="preserve"> [MJ/m</t>
    </r>
    <r>
      <rPr>
        <vertAlign val="superscript"/>
        <sz val="8"/>
        <rFont val="Arial"/>
        <family val="2"/>
      </rPr>
      <t>2</t>
    </r>
    <r>
      <rPr>
        <sz val="8"/>
        <rFont val="Arial"/>
        <family val="2"/>
      </rPr>
      <t>]</t>
    </r>
  </si>
  <si>
    <r>
      <t>wwwb [Wh/m</t>
    </r>
    <r>
      <rPr>
        <vertAlign val="superscript"/>
        <sz val="8"/>
        <rFont val="Arial"/>
        <family val="2"/>
      </rPr>
      <t>2</t>
    </r>
    <r>
      <rPr>
        <sz val="8"/>
        <rFont val="Arial"/>
        <family val="2"/>
      </rPr>
      <t>d]</t>
    </r>
  </si>
  <si>
    <t>Leistung:</t>
  </si>
  <si>
    <t>Kärnten</t>
  </si>
  <si>
    <t>Ort:</t>
  </si>
  <si>
    <t>Sondenbelastung</t>
  </si>
  <si>
    <t>W/m</t>
  </si>
  <si>
    <t>Niederösterreich</t>
  </si>
  <si>
    <t>Gleinstätten</t>
  </si>
  <si>
    <t>Ischgl</t>
  </si>
  <si>
    <t>Schwarzach</t>
  </si>
  <si>
    <t>Nickelsdorf</t>
  </si>
  <si>
    <t>Kappel am Krappfeld</t>
  </si>
  <si>
    <t>Ebreichsdorf</t>
  </si>
  <si>
    <t>Gallneukirchen</t>
  </si>
  <si>
    <t>Niedernfritz</t>
  </si>
  <si>
    <t>Gleisdorf</t>
  </si>
  <si>
    <t>Jenbach</t>
  </si>
  <si>
    <t>Schwarzenberg</t>
  </si>
  <si>
    <t>Nikitsch</t>
  </si>
  <si>
    <t>Keutschach</t>
  </si>
  <si>
    <t>Echsenbach</t>
  </si>
  <si>
    <t>Gallspach</t>
  </si>
  <si>
    <t>Niedernsill</t>
  </si>
  <si>
    <t>Gnas</t>
  </si>
  <si>
    <t>Jochberg</t>
  </si>
  <si>
    <t>Sonntag</t>
  </si>
  <si>
    <t>Oberloisdorf</t>
  </si>
  <si>
    <t>Kirchbach</t>
  </si>
  <si>
    <t>Eckartsau</t>
  </si>
  <si>
    <t>Gampern</t>
  </si>
  <si>
    <t>Nußdorf am Haunsberg</t>
  </si>
  <si>
    <t>Gollrad</t>
  </si>
  <si>
    <t>Jungholz</t>
  </si>
  <si>
    <t>Stuben</t>
  </si>
  <si>
    <t>Oberpullendorf</t>
  </si>
  <si>
    <t>Klagenfurt</t>
  </si>
  <si>
    <t>Edlitz Markt</t>
  </si>
  <si>
    <t>Bruttoertrag (nur WW)</t>
  </si>
  <si>
    <t>Max. Leistung Gebäude</t>
  </si>
  <si>
    <t xml:space="preserve">Temperaturerhöhung DT der Wärmequelle Luft DT bei einer Aussentemperatur von  2°C </t>
  </si>
  <si>
    <t xml:space="preserve">Temperaturerhöhung DT der Wärmequelle Luft DT bei einer Aussentemperatur von -7°C </t>
  </si>
  <si>
    <t>Wetterstation:</t>
  </si>
  <si>
    <t>Heizperiode:</t>
  </si>
  <si>
    <t>Heizwärmebedarf:</t>
  </si>
  <si>
    <t>Temperatura di commutazione per il funzionamento bivalente alternativo</t>
  </si>
  <si>
    <t>Superficie dell'assorbitore</t>
  </si>
  <si>
    <t>Orientamento / inclinazione dei collettori</t>
  </si>
  <si>
    <t>Apporto netto per m2 d'assorbitore</t>
  </si>
  <si>
    <r>
      <t>Wärmeverluste Q</t>
    </r>
    <r>
      <rPr>
        <vertAlign val="subscript"/>
        <sz val="9"/>
        <color indexed="9"/>
        <rFont val="Arial"/>
        <family val="2"/>
      </rPr>
      <t>tot</t>
    </r>
  </si>
  <si>
    <t xml:space="preserve">P calculée à -8°C </t>
  </si>
  <si>
    <t xml:space="preserve">Besoins de chaleur </t>
  </si>
  <si>
    <t>Besoins de chaleur</t>
  </si>
  <si>
    <t>COP Mittelwert</t>
  </si>
  <si>
    <t>Durée de coupure d'alimentation de la PAC</t>
  </si>
  <si>
    <t>Registre électrique pour postchauffage</t>
  </si>
  <si>
    <t>Température de commutation pour fonctionnement bivalent alternatif:</t>
  </si>
  <si>
    <t>BIN</t>
  </si>
  <si>
    <t>HGT</t>
  </si>
  <si>
    <r>
      <t>Schätzung Wärmeverluste Q</t>
    </r>
    <r>
      <rPr>
        <vertAlign val="subscript"/>
        <sz val="9"/>
        <color indexed="9"/>
        <rFont val="Arial"/>
        <family val="2"/>
      </rPr>
      <t>tot</t>
    </r>
  </si>
  <si>
    <t>Referenzbin</t>
  </si>
  <si>
    <t>Station Auswahl</t>
  </si>
  <si>
    <t>HGT Ref. oben</t>
  </si>
  <si>
    <t>HGT Ref. unten</t>
  </si>
  <si>
    <t>Differenz</t>
  </si>
  <si>
    <t>Steigung</t>
  </si>
  <si>
    <t>Referenzkurve</t>
  </si>
  <si>
    <t>dT [K]</t>
  </si>
  <si>
    <t>Berechnete Verschiebung</t>
  </si>
  <si>
    <t>K/Kd</t>
  </si>
  <si>
    <t>Verschobene BIN Temp.</t>
  </si>
  <si>
    <t>Versch.BIN T. Ganzzahl</t>
  </si>
  <si>
    <t>Rückverschiebung</t>
  </si>
  <si>
    <t xml:space="preserve">Rückversschobene </t>
  </si>
  <si>
    <t>Tabeller</t>
  </si>
  <si>
    <t>Berechnungshilfe für Wetterdaten Oesterreich:</t>
  </si>
  <si>
    <t>Wetterdaten Oesterreich:</t>
  </si>
  <si>
    <t>ausfüllen -&gt;</t>
  </si>
  <si>
    <t>tägliche Legionellenschaltung</t>
  </si>
  <si>
    <t>wöchentliche Legionellenschaltung</t>
  </si>
  <si>
    <t>Solltemperatur wärmster Raum (z.B. Badezimmer)</t>
  </si>
  <si>
    <t>Rechenwerte bei TVL=</t>
  </si>
  <si>
    <t>Heizleistung bei Vorlauftemperatur</t>
  </si>
  <si>
    <t>COP bei Vorlauftemperatur</t>
  </si>
  <si>
    <t>Sondes géothermiques:</t>
  </si>
  <si>
    <t>Erdwärmesonden:</t>
  </si>
  <si>
    <t>Sonde geotermiche:</t>
  </si>
  <si>
    <t>Anzahl:</t>
  </si>
  <si>
    <t xml:space="preserve">Nombre: </t>
  </si>
  <si>
    <t>Numero:</t>
  </si>
  <si>
    <t xml:space="preserve">Longueur: </t>
  </si>
  <si>
    <t>Lunghezza:</t>
  </si>
  <si>
    <t>Fläche</t>
  </si>
  <si>
    <t>Surface</t>
  </si>
  <si>
    <t>Superficie</t>
  </si>
  <si>
    <t>- Pertes accumulateur + distribution (armatures, pompes ainsi que conduites isolées):     15-30%</t>
  </si>
  <si>
    <t>- Pertes accumulateur + distribution + circulation (armatures, pompes ainsi que conduites isolées):     30-50%.    Le besoin en électricité des rubans chauffant est à calculer séparément.</t>
  </si>
  <si>
    <t>Prendre les valeurs selon publications du centre de test pour PAC WPZ, ou calculer avec dT utilisateur = Q / m cp</t>
  </si>
  <si>
    <t>Indique à combien de °C au-dessus de la température de départ l'accumulateur est chargé.</t>
  </si>
  <si>
    <t>Source de chaleur:</t>
  </si>
  <si>
    <t>PdC</t>
  </si>
  <si>
    <t>Stazione climatica</t>
  </si>
  <si>
    <t>Superficie di riferimento energetico Ae</t>
  </si>
  <si>
    <t>MINERGIE-Solarformeln:</t>
  </si>
  <si>
    <t>COPww</t>
  </si>
  <si>
    <t>Tel :</t>
  </si>
  <si>
    <t>Oberösterreich</t>
  </si>
  <si>
    <t xml:space="preserve">Bundesland: </t>
  </si>
  <si>
    <t>Warnhinweis</t>
  </si>
  <si>
    <t>Salzburg</t>
  </si>
  <si>
    <t>Bürogebäude</t>
  </si>
  <si>
    <t>Steiermark</t>
  </si>
  <si>
    <t>Schulen</t>
  </si>
  <si>
    <t>Energie:</t>
  </si>
  <si>
    <t>Tirol</t>
  </si>
  <si>
    <r>
      <t>Brutto Grundfläche BGF</t>
    </r>
    <r>
      <rPr>
        <vertAlign val="subscript"/>
        <sz val="9"/>
        <rFont val="Arial"/>
        <family val="2"/>
      </rPr>
      <t xml:space="preserve"> (gemäß Energieausweis)</t>
    </r>
  </si>
  <si>
    <t>Wien</t>
  </si>
  <si>
    <r>
      <t xml:space="preserve">Heizwärmebedarf </t>
    </r>
    <r>
      <rPr>
        <sz val="6"/>
        <rFont val="Arial"/>
        <family val="2"/>
      </rPr>
      <t>(gemäß Energieausweis)</t>
    </r>
  </si>
  <si>
    <r>
      <t>kWh/m</t>
    </r>
    <r>
      <rPr>
        <vertAlign val="superscript"/>
        <sz val="9"/>
        <rFont val="Arial"/>
        <family val="2"/>
      </rPr>
      <t>2</t>
    </r>
    <r>
      <rPr>
        <sz val="9"/>
        <rFont val="Arial"/>
        <family val="2"/>
      </rPr>
      <t>a</t>
    </r>
  </si>
  <si>
    <t>kWh/m</t>
  </si>
  <si>
    <r>
      <t xml:space="preserve">Transmissionswärmeverluste </t>
    </r>
    <r>
      <rPr>
        <sz val="6"/>
        <rFont val="Arial"/>
        <family val="2"/>
      </rPr>
      <t>(gemäß Energieausweis)</t>
    </r>
    <r>
      <rPr>
        <sz val="9"/>
        <rFont val="Arial"/>
        <family val="2"/>
      </rPr>
      <t xml:space="preserve"> </t>
    </r>
  </si>
  <si>
    <t>Versammlungslokale</t>
  </si>
  <si>
    <r>
      <t xml:space="preserve">Lüftungswärmeverluste </t>
    </r>
    <r>
      <rPr>
        <sz val="6"/>
        <rFont val="Arial"/>
        <family val="2"/>
      </rPr>
      <t>(gemäß Energieausweis)</t>
    </r>
    <r>
      <rPr>
        <sz val="9"/>
        <rFont val="Arial"/>
        <family val="2"/>
      </rPr>
      <t xml:space="preserve"> </t>
    </r>
  </si>
  <si>
    <t>Krankenäuser &amp; Pflegeheime</t>
  </si>
  <si>
    <t xml:space="preserve">Warmwasserbedarf </t>
  </si>
  <si>
    <t>Bundesland</t>
  </si>
  <si>
    <t>bivalent:</t>
  </si>
  <si>
    <t>Höhe</t>
  </si>
  <si>
    <t>Auslegung CH</t>
  </si>
  <si>
    <t>Alberschwende</t>
  </si>
  <si>
    <t>Andau</t>
  </si>
  <si>
    <t>Afritz</t>
  </si>
  <si>
    <t>Absdorf</t>
  </si>
  <si>
    <t>Ach</t>
  </si>
  <si>
    <t>Abtenau</t>
  </si>
  <si>
    <t>Admont</t>
  </si>
  <si>
    <t>Abfaltersbach</t>
  </si>
  <si>
    <t>Wien-Alsergrund</t>
  </si>
  <si>
    <t>Altach</t>
  </si>
  <si>
    <t>Apetlon</t>
  </si>
  <si>
    <t>Althofen</t>
  </si>
  <si>
    <t>Achau</t>
  </si>
  <si>
    <t>Adlwang</t>
  </si>
  <si>
    <t>Adnet</t>
  </si>
  <si>
    <t>Aflenz Kurort</t>
  </si>
  <si>
    <t>Achenkirch</t>
  </si>
  <si>
    <t>Wien-Breitenlee</t>
  </si>
  <si>
    <t>Andelsbuch</t>
  </si>
  <si>
    <t>Bad Tatzmannsdorf</t>
  </si>
  <si>
    <t>Arnoldstein</t>
  </si>
  <si>
    <t>Aggsbach Dorf</t>
  </si>
  <si>
    <t>Aigen im Mühlkreis</t>
  </si>
  <si>
    <t>Aigen-Voglhub</t>
  </si>
  <si>
    <t>Aich (im Ennstal)</t>
  </si>
  <si>
    <t>Ainet</t>
  </si>
  <si>
    <t>Wien-Brigittenau</t>
  </si>
  <si>
    <t>Au (Bregenzerwald)</t>
  </si>
  <si>
    <t>Bernstein</t>
  </si>
  <si>
    <t>Arriach</t>
  </si>
  <si>
    <t>Neue Version 7.0 unter Berücksichtigung des Entwurfs SIA 384/3</t>
  </si>
  <si>
    <t>Potenza di estrazione specifica</t>
  </si>
  <si>
    <t>Ermittlung der Arbeitspunkte pro BIN</t>
  </si>
  <si>
    <t>WP Art</t>
  </si>
  <si>
    <t>--&gt;</t>
  </si>
  <si>
    <t>Temperatura esterna di dimensionamento al si sotto della quale la PdC é completamente spenta ed il riscaldamento d'appoggio copre la totalità del fabbisogno termico.</t>
  </si>
  <si>
    <t>Riscaldamento elettrico in  parallelo:</t>
  </si>
  <si>
    <t>Resistenza montata nell'accumulatore, non bloccata durante la carica dell'accumulatore</t>
  </si>
  <si>
    <t>Resistenza elettrica per post riscaldamento:</t>
  </si>
  <si>
    <t>Resistenza elettrica istantanea dopo l'accumulatore o resistenza elettrica nell'accumulatore, bloccate durante la carica dell'accumulatore.</t>
  </si>
  <si>
    <t>mit Heizungs - Speicher</t>
  </si>
  <si>
    <t>ohne Heizungs - Speicher</t>
  </si>
  <si>
    <t>avec accumulateur chauffage</t>
  </si>
  <si>
    <t>sans accumulateur chauffage</t>
  </si>
  <si>
    <t>Elektro Durchlauferhitzer</t>
  </si>
  <si>
    <t>Elektro-Einsatz im Speicher</t>
  </si>
  <si>
    <t>Elektro-Einsatz gesperrt bei Speicher-Ladung</t>
  </si>
  <si>
    <t>Warmwasser-Zirkulation / Begleitheizband</t>
  </si>
  <si>
    <t>Luft-Wasser - Wärmepumpe</t>
  </si>
  <si>
    <t>mehrstufig</t>
  </si>
  <si>
    <t xml:space="preserve">valeur calculée: </t>
  </si>
  <si>
    <t xml:space="preserve">valore calcolato: </t>
  </si>
  <si>
    <t>Rücklauftemperatur der Heizung:</t>
  </si>
  <si>
    <t>Température de retour du chauffage:</t>
  </si>
  <si>
    <t>JAZ mit / ohne el-Zusatz</t>
  </si>
  <si>
    <t>inkl. el.:</t>
  </si>
  <si>
    <t>exkl. el. Zusatz</t>
  </si>
  <si>
    <t>8.0.4</t>
  </si>
  <si>
    <t>Solaranlage:</t>
  </si>
  <si>
    <t>Installation solaire:</t>
  </si>
  <si>
    <t>1. Keine Solaranlage  2. Solare Wassererwärmung  3. Solare Wassererwärmung mit Heizungsunterstützung</t>
  </si>
  <si>
    <t>1. Aucune installation solaire  2. Chauffage solaire ECS  3. Chauffage solaire ECS avec appoint au chauffage</t>
  </si>
  <si>
    <t>Arbeitszahl</t>
  </si>
  <si>
    <t>Coefficient de performance</t>
  </si>
  <si>
    <t>ohne Berücksichtigung der Elektro - Zusatzheizung / ohne WRG</t>
  </si>
  <si>
    <t>sans tenir compte du chauffage d'appoint électrique / sans RC</t>
  </si>
  <si>
    <t>Kombispeicher, Stasch-Schaltung</t>
  </si>
  <si>
    <t>ROB</t>
  </si>
  <si>
    <t>SAM</t>
  </si>
  <si>
    <t>SBE</t>
  </si>
  <si>
    <t>Categoria dell'edificio</t>
  </si>
  <si>
    <t>Fabbisogno termico per il riscaldamento secondo SIA 380/1</t>
  </si>
  <si>
    <t>Riscaldamento: ulteriori perdite  di distribuzione</t>
  </si>
  <si>
    <t>Fabbisogno termico per l'acqua calda ACS secondo SIA 380/1</t>
  </si>
  <si>
    <t>Acqua calda sanitaria: ulteriori perdite  di accumulazione e distribuzione</t>
  </si>
  <si>
    <t>Nome e tipo della PdC</t>
  </si>
  <si>
    <t xml:space="preserve">  Errore!</t>
  </si>
  <si>
    <t>Accumulatore per il riscaldamento</t>
  </si>
  <si>
    <t>Comando del riscaldamento elettrico d'appoggio</t>
  </si>
  <si>
    <t>Quota di energia fossile per il riscaldamento</t>
  </si>
  <si>
    <t>Quota di energia elettrica per il riscaldamento</t>
  </si>
  <si>
    <t>WP-Liste</t>
  </si>
  <si>
    <t>Einheiten</t>
  </si>
  <si>
    <t>Breitenschützing</t>
  </si>
  <si>
    <t>Hollersbach im Pinzgau</t>
  </si>
  <si>
    <t>Ehrenhausen</t>
  </si>
  <si>
    <t>Götzens</t>
  </si>
  <si>
    <t>Lech</t>
  </si>
  <si>
    <t>Kukmirn</t>
  </si>
  <si>
    <t>Fresach</t>
  </si>
  <si>
    <t>Böheimkirchen</t>
  </si>
  <si>
    <t>Buchkirchen</t>
  </si>
  <si>
    <t>Hüttau</t>
  </si>
  <si>
    <t>Eibiswald</t>
  </si>
  <si>
    <t>Grän</t>
  </si>
  <si>
    <t>Lingenau</t>
  </si>
  <si>
    <t>Lackenbach</t>
  </si>
  <si>
    <t>Friesach</t>
  </si>
  <si>
    <t>Böhlerwerk</t>
  </si>
  <si>
    <t>Température extérieure de dimensionnement au-dessous de laquelle la PAC est complètement déclenchée, le chauffage d'appoint couvrant la totalité des besoins de chaleur.</t>
  </si>
  <si>
    <t>Chauffage électrique en fonctionnement parallèle:</t>
  </si>
  <si>
    <t>Température de l'ECS pouvant être atteinte avec la seule PAC.</t>
  </si>
  <si>
    <t>Taux de couverture du chauffage d'appoint pour chauffage:</t>
  </si>
  <si>
    <t>A reporter dans le justificatif MINERGIE</t>
  </si>
  <si>
    <t>Taux de couverture du chauffage d'appoint pour chauffage ECS:</t>
  </si>
  <si>
    <t>Taux de couverture de la PAC pour le chauffage:</t>
  </si>
  <si>
    <t>Coefficient de performance annuel (COPa) de la PAC, pour le chauffage</t>
  </si>
  <si>
    <t>Coefficient de performance annuel (COPa) de la PAC, pour l'ECS</t>
  </si>
  <si>
    <t>sans tenir compte de la part de chauffage électrique direct. A reporter dans le justificatif MINERGIE</t>
  </si>
  <si>
    <t>Ecart du champ de capteurs par rapport au Sud.  0 = Sud.  90 = Est ou Ouest.  Donnée sans [°].</t>
  </si>
  <si>
    <t>Climat et profil de charge:</t>
  </si>
  <si>
    <t>Besoin d'électricité PAC</t>
  </si>
  <si>
    <t>Besoin de puissance de chauffage (sans ECS)</t>
  </si>
  <si>
    <t>PAC pour chauffage:</t>
  </si>
  <si>
    <t>PAC pour ECS:</t>
  </si>
  <si>
    <t xml:space="preserve">In den Richtlinien zur Wärmepumpendirektförderung und Wohnbauförderung Vorarlberg sind Mindestwerte für die JAZ festgelegt. Der Nachweis muss durch das Tool JAZcalc erfolgen. </t>
  </si>
  <si>
    <t>Wichtige Hinweise und Rahmenbedingung für den Fördernachweis sind:</t>
  </si>
  <si>
    <t>1) Erforderliche Mindest-Jahresarbeitszahl</t>
  </si>
  <si>
    <r>
      <t xml:space="preserve">Nach den derzeit gültigen Richtlinien muss die Jahresarbeitszahl (JAZ) elektrisch betriebener Wärmepumpen mindestens 4.0 betragen. 
Der Nachweis dieses Wertes ist </t>
    </r>
    <r>
      <rPr>
        <u/>
        <sz val="10"/>
        <rFont val="Trebuchet MS"/>
        <family val="2"/>
      </rPr>
      <t>nur für die Erzeugung der Heizwärme</t>
    </r>
    <r>
      <rPr>
        <sz val="10"/>
        <rFont val="Trebuchet MS"/>
        <family val="2"/>
      </rPr>
      <t xml:space="preserve"> mit der Wärmepumpe erforderlich. Der errechnete Wert wird in der Zeile „</t>
    </r>
    <r>
      <rPr>
        <i/>
        <sz val="10"/>
        <rFont val="Trebuchet MS"/>
        <family val="2"/>
      </rPr>
      <t>Anteil und JAZ (ohne Elektrozusatz) der WP für die Heizung“</t>
    </r>
    <r>
      <rPr>
        <sz val="10"/>
        <rFont val="Trebuchet MS"/>
        <family val="2"/>
      </rPr>
      <t xml:space="preserve"> ausgewiesen (JAZ</t>
    </r>
    <r>
      <rPr>
        <vertAlign val="subscript"/>
        <sz val="10"/>
        <rFont val="Trebuchet MS"/>
        <family val="2"/>
      </rPr>
      <t>Heizung</t>
    </r>
    <r>
      <rPr>
        <sz val="10"/>
        <rFont val="Trebuchet MS"/>
        <family val="2"/>
      </rPr>
      <t xml:space="preserve">). </t>
    </r>
  </si>
  <si>
    <r>
      <t>2) Vorgehen</t>
    </r>
    <r>
      <rPr>
        <sz val="10"/>
        <rFont val="Trebuchet MS"/>
        <family val="2"/>
      </rPr>
      <t>:</t>
    </r>
  </si>
  <si>
    <t>Quota non coperta del fabbisogno termico  per il riscaldamento</t>
  </si>
  <si>
    <t>Perdite in modalità riscaldamento (avviamento, accumulatore, ecc.)</t>
  </si>
  <si>
    <t>Perdite in modalità preparazione dell' ACS (avviamento, accumulatore, ecc.)</t>
  </si>
  <si>
    <r>
      <t>Name</t>
    </r>
    <r>
      <rPr>
        <sz val="8"/>
        <rFont val="Arial"/>
        <family val="2"/>
      </rPr>
      <t xml:space="preserve"> (Bauherr/GU)</t>
    </r>
    <r>
      <rPr>
        <sz val="10"/>
        <rFont val="Arial"/>
        <family val="2"/>
      </rPr>
      <t>:</t>
    </r>
  </si>
  <si>
    <t>Name:</t>
  </si>
  <si>
    <t>Erdsonden-WP</t>
  </si>
  <si>
    <t>Neu:</t>
  </si>
  <si>
    <t>WP Laufzeit</t>
  </si>
  <si>
    <t>Mittelwert Heizung</t>
  </si>
  <si>
    <t>Summe Heizung</t>
  </si>
  <si>
    <t>Summe Warmwasser</t>
  </si>
  <si>
    <t>Mittelwert Warmwasser</t>
  </si>
  <si>
    <t>WW</t>
  </si>
  <si>
    <t>Solarant. =</t>
  </si>
  <si>
    <t>Betrieb</t>
  </si>
  <si>
    <t>bivalent?</t>
  </si>
  <si>
    <t>el.-Zusatz</t>
  </si>
  <si>
    <t>Speicher-Verluste</t>
  </si>
  <si>
    <t>Speicherverluste</t>
  </si>
  <si>
    <t>Verlust - Tabelle:</t>
  </si>
  <si>
    <t>monovalenter Betrieb Heizung</t>
  </si>
  <si>
    <t>default:</t>
  </si>
  <si>
    <t>Tasso di copertura solare per il riscaldamento</t>
  </si>
  <si>
    <t>Pompa di calore aria / acqua</t>
  </si>
  <si>
    <t>Pompa di calore acqua / acqua</t>
  </si>
  <si>
    <t>PdC con registro nel terreno</t>
  </si>
  <si>
    <t>COP alle condizioni normalizzate 7 °C / 50°C (A7 / W50):</t>
  </si>
  <si>
    <t>Potenza elettrica assorbita dalla pompa delle sonde</t>
  </si>
  <si>
    <t>COP alle condizioni normalizzate (W10 / W50):</t>
  </si>
  <si>
    <t>Potenza elettrica assorbita dalla pompa salamoia</t>
  </si>
  <si>
    <t>COP alle condizioni normalizzate -7 °C / 35°C (A-7 / W35):</t>
  </si>
  <si>
    <t>COP alle condizioni normalizzate (W10 / W35):</t>
  </si>
  <si>
    <t>Auswahl Klima</t>
  </si>
  <si>
    <t>Hilfsformeln</t>
  </si>
  <si>
    <t xml:space="preserve">gültig bis </t>
  </si>
  <si>
    <t>Durata di funzionamento della pompa di calore</t>
  </si>
  <si>
    <t>Können aus der Berechnung SIA 380/1 entnommen werden. Bei den Lüftungswärmeverlusten darf die WRG eingerechnet werden (d.h. es ist mit dem effektiven, thermisch wirksamen Aussenluft-volumenstrom zu rechnen). Falls QT und QV leer gelassen werden, wird (QT+QV) = Qh/15*24 gesetzt.</t>
  </si>
  <si>
    <t>Verteilverluste bei Neubauten, Heizung im Keller, nach Vorschrift gedämmt  (Armaturen, Pumpen wie Leitungen gedämmt):  1-3%.  /  Verteilverluste bei Neubauten, Heizung im Nachbargebäude:  3-15%.    Der Strombedarf von Frostschutzbändern ist separat zu berechnen.</t>
  </si>
  <si>
    <t>Index 1 (Q1)</t>
  </si>
  <si>
    <t>WP-Daten Luft-Wasser WP</t>
  </si>
  <si>
    <t>Index 2 (Q2)</t>
  </si>
  <si>
    <t>Tv 1</t>
  </si>
  <si>
    <t>Bezeichnung:</t>
  </si>
  <si>
    <t>Ta 1</t>
  </si>
  <si>
    <t>Tv 2</t>
  </si>
  <si>
    <t>Messstellen gemäss Norm 14511 Reglement 2011</t>
  </si>
  <si>
    <t>Ta 2</t>
  </si>
  <si>
    <t>P Heiz.</t>
  </si>
  <si>
    <t>Lastkurve mit
freier Wärme</t>
  </si>
  <si>
    <t>Courbe de charge
avec gains chaleur</t>
  </si>
  <si>
    <t>Wärmeabgabe
Wärmepumpe</t>
  </si>
  <si>
    <t>Apport chaleur
PAC</t>
  </si>
  <si>
    <t>Wärmepumpe
 + Zusatzheiz.</t>
  </si>
  <si>
    <t>Abréviations:</t>
  </si>
  <si>
    <t>WP = Wärmepumpe;     WW = Warmwasser;    h = Wirkungsgrad;    JAZ = Jahresarbeitszahl (ohne Zusatzheizung / ohne Heizstäbe)</t>
  </si>
  <si>
    <t>PAC = pompe à chaleur; ECS = eau chaude sanitaire;  h = rendement;  COPA = coefficient de perf annuel (sans chauffage d'appoint ni résistance électrique)</t>
  </si>
  <si>
    <t>Summenhäufigkeit</t>
  </si>
  <si>
    <t>Fréquence cumulée</t>
  </si>
  <si>
    <t>max. Leistungsbedarf [kW]</t>
  </si>
  <si>
    <t>Besoin de puissance max [kW]</t>
  </si>
  <si>
    <t>Jahresstunden</t>
  </si>
  <si>
    <t>Heures annuelles</t>
  </si>
  <si>
    <t xml:space="preserve"> Grundlast WP, inkl. WW-Heizstab</t>
  </si>
  <si>
    <t>Distribuzione
BIN</t>
  </si>
  <si>
    <t>Curva di carico senza apporti di calore</t>
  </si>
  <si>
    <t>Frequenza cumulata</t>
  </si>
  <si>
    <t>Curva di carico con apporti di calore</t>
  </si>
  <si>
    <t>Apporto di calore
PdC</t>
  </si>
  <si>
    <t xml:space="preserve"> Zusatzheizung</t>
  </si>
  <si>
    <t xml:space="preserve"> Chauffage d'appoint</t>
  </si>
  <si>
    <t xml:space="preserve"> Wärmebedarf ohne Kollektoren</t>
  </si>
  <si>
    <t xml:space="preserve"> Deckung Sonnenkollektoren</t>
  </si>
  <si>
    <t xml:space="preserve"> Wärmebedarf ohne Wärmegewinne</t>
  </si>
  <si>
    <t>Minimalwert:</t>
  </si>
  <si>
    <t>Vorschlagswert:</t>
  </si>
  <si>
    <t>valeur minimale:</t>
  </si>
  <si>
    <t>Ta,min</t>
  </si>
  <si>
    <t>TVL</t>
  </si>
  <si>
    <t>TRL</t>
  </si>
  <si>
    <t>Ta</t>
  </si>
  <si>
    <t>(effektiv)</t>
  </si>
  <si>
    <t>(geregelt)</t>
  </si>
  <si>
    <t>Rücklauftempf Ta = 20°C</t>
  </si>
  <si>
    <t>Rücklauftempf bei Ta = -8°C</t>
  </si>
  <si>
    <t>Differenz Speicher-Vorlauf</t>
  </si>
  <si>
    <t>Abluft-WP</t>
  </si>
  <si>
    <t>Verluste Heizungs-Speicher, inkl. Speicherladepumpe:</t>
  </si>
  <si>
    <t>Verluste WW-Speicher:</t>
  </si>
  <si>
    <t>zus. Speicher-Ladeverluste mit Elektro-Durchlauferhitzer</t>
  </si>
  <si>
    <t>28f</t>
  </si>
  <si>
    <t>8.0.6c</t>
  </si>
  <si>
    <t>Hollenstein an der Ybbs</t>
  </si>
  <si>
    <t>Obermühl an der Donau</t>
  </si>
  <si>
    <t>Radmer</t>
  </si>
  <si>
    <t>Hollenthon</t>
  </si>
  <si>
    <t>Obernberg am Inn</t>
  </si>
  <si>
    <t>Ramsau</t>
  </si>
  <si>
    <t>Horn</t>
  </si>
  <si>
    <t>Oberneukirchen</t>
  </si>
  <si>
    <t>Ranten</t>
  </si>
  <si>
    <t>Hötzelsdorf</t>
  </si>
  <si>
    <t>Obertraun</t>
  </si>
  <si>
    <t>Ratten</t>
  </si>
  <si>
    <t>Hürm</t>
  </si>
  <si>
    <t>Oberwang</t>
  </si>
  <si>
    <t>Rein</t>
  </si>
  <si>
    <t>Idolsberg</t>
  </si>
  <si>
    <t>Oberweis</t>
  </si>
  <si>
    <t>Rettenegg</t>
  </si>
  <si>
    <t>Immendorf</t>
  </si>
  <si>
    <t>Offenhausen</t>
  </si>
  <si>
    <t>Riegersburg</t>
  </si>
  <si>
    <t>Innermanzing</t>
  </si>
  <si>
    <t>Oftering</t>
  </si>
  <si>
    <t>Rohrbach an der Lafnitz</t>
  </si>
  <si>
    <t>Irnfritz</t>
  </si>
  <si>
    <t>Ohlsdorf</t>
  </si>
  <si>
    <t>Capacité de l'accumulateur chauffage</t>
  </si>
  <si>
    <t>Installation sportive</t>
  </si>
  <si>
    <t>Dépôt</t>
  </si>
  <si>
    <t>Lieu de rassemblement</t>
  </si>
  <si>
    <t>Commerce</t>
  </si>
  <si>
    <t>ECS eau chaude sanitaire</t>
  </si>
  <si>
    <t>Registre électrique instantané</t>
  </si>
  <si>
    <t>Registre électrique dans l'accumulateur</t>
  </si>
  <si>
    <t xml:space="preserve">Registre électrique en service en parallèle </t>
  </si>
  <si>
    <t>Collecteurs solaires pour l'ECS</t>
  </si>
  <si>
    <t>Chauffage + production d'ECS décentralisée par PAC</t>
  </si>
  <si>
    <t>Nutzbare Solarwärme Aufteilung auf Heizung und Warmwasser</t>
  </si>
  <si>
    <t>A60 Therm 1</t>
  </si>
  <si>
    <t xml:space="preserve">A60 </t>
  </si>
  <si>
    <r>
      <t>Q</t>
    </r>
    <r>
      <rPr>
        <vertAlign val="subscript"/>
        <sz val="10"/>
        <color indexed="8"/>
        <rFont val="Arial"/>
        <family val="2"/>
      </rPr>
      <t>H,S,i (Roh)</t>
    </r>
  </si>
  <si>
    <t>eigene Korr.</t>
  </si>
  <si>
    <r>
      <t>Q</t>
    </r>
    <r>
      <rPr>
        <vertAlign val="subscript"/>
        <sz val="10"/>
        <color indexed="8"/>
        <rFont val="Arial"/>
        <family val="2"/>
      </rPr>
      <t xml:space="preserve">H,S,i (korr)  </t>
    </r>
    <r>
      <rPr>
        <sz val="10"/>
        <color indexed="8"/>
        <rFont val="Arial"/>
        <family val="2"/>
      </rPr>
      <t>MIN(Q</t>
    </r>
    <r>
      <rPr>
        <vertAlign val="subscript"/>
        <sz val="10"/>
        <color indexed="8"/>
        <rFont val="Arial"/>
        <family val="2"/>
      </rPr>
      <t xml:space="preserve">H,i </t>
    </r>
    <r>
      <rPr>
        <sz val="10"/>
        <color indexed="8"/>
        <rFont val="Arial"/>
        <family val="2"/>
      </rPr>
      <t>; Q</t>
    </r>
    <r>
      <rPr>
        <vertAlign val="subscript"/>
        <sz val="10"/>
        <color indexed="8"/>
        <rFont val="Arial"/>
        <family val="2"/>
      </rPr>
      <t>H,S,i</t>
    </r>
    <r>
      <rPr>
        <sz val="10"/>
        <color indexed="8"/>
        <rFont val="Arial"/>
        <family val="2"/>
      </rPr>
      <t>)</t>
    </r>
  </si>
  <si>
    <t>A61</t>
  </si>
  <si>
    <r>
      <t>Q</t>
    </r>
    <r>
      <rPr>
        <vertAlign val="subscript"/>
        <sz val="10"/>
        <color indexed="8"/>
        <rFont val="Arial"/>
        <family val="2"/>
      </rPr>
      <t xml:space="preserve">W,S,i </t>
    </r>
  </si>
  <si>
    <t>Deckungsgrad WW</t>
  </si>
  <si>
    <t>1=einstufig / 2=2stufig / 3=mehrstufig / 4=stufenlos</t>
  </si>
  <si>
    <t>Wärmepumpentyp:</t>
  </si>
  <si>
    <t>stufenlos</t>
  </si>
  <si>
    <t>1stufig</t>
  </si>
  <si>
    <t>2stufig</t>
  </si>
  <si>
    <t>WP einstufig</t>
  </si>
  <si>
    <t>WP zweistufig</t>
  </si>
  <si>
    <t>WP mehrstufig</t>
  </si>
  <si>
    <t>WP stufenlos</t>
  </si>
  <si>
    <t>Pumpen:</t>
  </si>
  <si>
    <t>Betriebsart:</t>
  </si>
  <si>
    <t>Regelung:</t>
  </si>
  <si>
    <t>Schätzwert aus Blatt WP:</t>
  </si>
  <si>
    <t xml:space="preserve">Rechenwert: </t>
  </si>
  <si>
    <t>Einsatzgrenzen</t>
  </si>
  <si>
    <t>Eingabe in aufsteigender Reihenfolge nach Quellentemperatur</t>
  </si>
  <si>
    <t xml:space="preserve">eff. Wert: </t>
  </si>
  <si>
    <t>COP unter Berücksichtigung der Pumpen</t>
  </si>
  <si>
    <t>W für Heizung</t>
  </si>
  <si>
    <t>W für Warmwasser</t>
  </si>
  <si>
    <t>Verdampferpumpe oder Ventilator</t>
  </si>
  <si>
    <t>Druckabfall über Verdampfer</t>
  </si>
  <si>
    <t>Durchsatz über Verdampfer</t>
  </si>
  <si>
    <t>Stromaufnahme Pumpe P1 bei Vollast (nur Anteil für Kondensator)</t>
  </si>
  <si>
    <t>Stromaufnahme Pumpe / Ventilator bei Vollast</t>
  </si>
  <si>
    <t>nicht eingerechnet</t>
  </si>
  <si>
    <t>Ventilator:</t>
  </si>
  <si>
    <t>Kondensatorpump:</t>
  </si>
  <si>
    <t>berücksichtigen?</t>
  </si>
  <si>
    <t>Stromaufnahme Pumpe bei Vollast</t>
  </si>
  <si>
    <t>Durchsatz bei Vollast</t>
  </si>
  <si>
    <t>Linz-Neue Heimat</t>
  </si>
  <si>
    <t>Leoben</t>
  </si>
  <si>
    <t>Schwaz</t>
  </si>
  <si>
    <t>Sankt Kanzian am Klopeiner See</t>
  </si>
  <si>
    <t>Großschönau</t>
  </si>
  <si>
    <t>Linz-Pöstlingberg</t>
  </si>
  <si>
    <t>Leutschach</t>
  </si>
  <si>
    <t>See</t>
  </si>
  <si>
    <t>Sankt Lorenzen im Lesachtal</t>
  </si>
  <si>
    <t>Großschweinbarth</t>
  </si>
  <si>
    <t>Linz-Urfahr</t>
  </si>
  <si>
    <t>dynamischer Druckabfall bei Vollast</t>
  </si>
  <si>
    <t>Quellenpumpen:  [h]</t>
  </si>
  <si>
    <t>Verdampferpumpe: [h]</t>
  </si>
  <si>
    <t>Kondensatorpumpe:  [h]</t>
  </si>
  <si>
    <t>bereits in COP enthalten</t>
  </si>
  <si>
    <t>Eingabedaten für Spez-WP:</t>
  </si>
  <si>
    <t>Typenliste</t>
  </si>
  <si>
    <t>Startzeile</t>
  </si>
  <si>
    <t>Hilfswert</t>
  </si>
  <si>
    <t>Zeile</t>
  </si>
  <si>
    <t>- Speicher + Verteilverluste + Zirkulation (Armaturen, Pumpen wie Leitungen gedämmt):     30-50%.    Der Strombedarf von Warmhaltebändern ist separat zu berechnen.</t>
  </si>
  <si>
    <t>monovalenter Betrieb Heizung:</t>
  </si>
  <si>
    <t>Heizung mit Wärmepumpe ohne Zusatzheizung und
ohne Elektro-Einsatz (für die Heizung)</t>
  </si>
  <si>
    <t>Abluft-Wärmepumpe ohne WRG</t>
  </si>
  <si>
    <t>Abluft-Wärmepumpe ohne Lüftungs-WRG</t>
  </si>
  <si>
    <t>Sankt Stefan an der Gail</t>
  </si>
  <si>
    <t>Gutenbrunn</t>
  </si>
  <si>
    <t>Mattighofen</t>
  </si>
  <si>
    <t>Markt Hartmannsdorf</t>
  </si>
  <si>
    <t>Söll</t>
  </si>
  <si>
    <t>Sankt Stefan im Lavanttal</t>
  </si>
  <si>
    <t>Gutenstein</t>
  </si>
  <si>
    <t>Mauerkirchen</t>
  </si>
  <si>
    <t>Mautern in Steiermark</t>
  </si>
  <si>
    <t>Stams</t>
  </si>
  <si>
    <t>Sankt Veit an der Glan</t>
  </si>
  <si>
    <t>Haag</t>
  </si>
  <si>
    <t>Mauthausen</t>
  </si>
  <si>
    <t>(ore giornaliere): interruzioni dell'alimentazione elettrica della PdC  dal distributore di elettricità. Informarsi presso il distributore locale. Menzionare il tempo di interruzione effettivo, alle condizioni di dimensionamento.</t>
  </si>
  <si>
    <t>Potenza termica necessaria:</t>
  </si>
  <si>
    <t>La potenza termica necessaria può tenere conto degli apporti di calore assicurati (max. 10%, risp.1 kW). Da giustificare separatamente.</t>
  </si>
  <si>
    <t>Valore minimo: se il valore introdotto é più piccolo del valore minimo, il calcolo viene eseguito con il valore minimo, calcolato come segue: 0.85*valore proposto [kW], risp. valore proposto - 1.2 kW.</t>
  </si>
  <si>
    <t>Differenz Speichertemperatur - Vorlauftemperatur Heizung</t>
  </si>
  <si>
    <t>Umschalt-Temperatur für bivalent-alternativen Betrieb</t>
  </si>
  <si>
    <t>Pompe à chaleur air/eau</t>
  </si>
  <si>
    <t>Pompe à chaleur sol/eau</t>
  </si>
  <si>
    <t>Besoins de chaleur pour l'ECS selon SIA 380/1</t>
  </si>
  <si>
    <t>Eau chaude sanitaire: pertes supplémentaires d'accumulation et de distribution</t>
  </si>
  <si>
    <t>Chauffage: pertes supplémentaires de distribution de chaleur</t>
  </si>
  <si>
    <t>Utilisation (chauffage ou eau chaude sanitaire)</t>
  </si>
  <si>
    <t>Commande de l'appoint électrique de chauffage</t>
  </si>
  <si>
    <t>Part non couverte des besoins de chaleur pour le chauffage</t>
  </si>
  <si>
    <t>Part d'énergie électrique pour l'ECS</t>
  </si>
  <si>
    <t>Part d'énergie électrique pour le chauffage</t>
  </si>
  <si>
    <t>Part d'énergie fossile d'appoint pour l'ECS</t>
  </si>
  <si>
    <t>Part d'énergie fossile d'appoint pour le chauffage</t>
  </si>
  <si>
    <t>Pertes en mode préparation d'ECS (démarrage, accumulateur, etc.)</t>
  </si>
  <si>
    <t>Part et COP annuel de la pompe à chaleur pour l'ECS</t>
  </si>
  <si>
    <t>Facteur de pondération pour l'ECS</t>
  </si>
  <si>
    <t>Elévation de température dans la PAC en conditions de test selon la norme</t>
  </si>
  <si>
    <t>Différence de température accu - départ chauffage</t>
  </si>
  <si>
    <t>Capacité de l'accumulateur d'ECS</t>
  </si>
  <si>
    <t>Surface des absorbeurs</t>
  </si>
  <si>
    <t>Taux de couverture solaire pour l'ECS</t>
  </si>
  <si>
    <t>Taux de couverture solaire pour le chauffage</t>
  </si>
  <si>
    <t>Puissance électrique soutirée par pompe de sonde:</t>
  </si>
  <si>
    <t>Température de la source de chaleur:</t>
  </si>
  <si>
    <t>Type de pompe (données nécessaires si puissance &lt; valeur proposée)</t>
  </si>
  <si>
    <t>Enns</t>
  </si>
  <si>
    <t>Maria Alm am Steinernen Meer</t>
  </si>
  <si>
    <t>Fresing</t>
  </si>
  <si>
    <t>Hopfgarten im Brixental</t>
  </si>
  <si>
    <t>Riefensberg</t>
  </si>
  <si>
    <t>Mogersdorf</t>
  </si>
  <si>
    <t>Griffen</t>
  </si>
  <si>
    <t>Dobermannsdorf</t>
  </si>
  <si>
    <t>Enzenkirchen</t>
  </si>
  <si>
    <t>Mariapfarr</t>
  </si>
  <si>
    <t>Friedberg</t>
  </si>
  <si>
    <t>Hopfgarten in Defereggen</t>
  </si>
  <si>
    <t>Riezlern</t>
  </si>
  <si>
    <t>Mönchhof</t>
  </si>
  <si>
    <t>Gummern</t>
  </si>
  <si>
    <t>Dobersberg</t>
  </si>
  <si>
    <t>Esternberg</t>
  </si>
  <si>
    <t>Mattsee</t>
  </si>
  <si>
    <t>Frohnleiten</t>
  </si>
  <si>
    <t>Huben</t>
  </si>
  <si>
    <t>Röthis</t>
  </si>
  <si>
    <t>Mörbisch am See</t>
  </si>
  <si>
    <t>8.0.2</t>
  </si>
  <si>
    <t>WP1: Sondentemp. WW</t>
  </si>
  <si>
    <t>COP eff</t>
  </si>
  <si>
    <t>Leistungsaufnahme Pumpe</t>
  </si>
  <si>
    <t>Leistung, Vorschlagswert TaMin</t>
  </si>
  <si>
    <t>WP2: Sondentemp. Heizung</t>
  </si>
  <si>
    <r>
      <t>e</t>
    </r>
    <r>
      <rPr>
        <vertAlign val="subscript"/>
        <sz val="9"/>
        <rFont val="Arial"/>
        <family val="2"/>
      </rPr>
      <t>WP :</t>
    </r>
  </si>
  <si>
    <t>QWW [MJ/m2a]</t>
  </si>
  <si>
    <t>Riscaldamento + ACS non centralizzato</t>
  </si>
  <si>
    <t>potenza della PdC insufficente</t>
  </si>
  <si>
    <t>Temperatura mirata per il locale più caldo (ad es. bagno)</t>
  </si>
  <si>
    <t>impostazione anti-legionella giornaliera</t>
  </si>
  <si>
    <t>Obritzberg</t>
  </si>
  <si>
    <t>Weng im Innkreis</t>
  </si>
  <si>
    <t>Oed</t>
  </si>
  <si>
    <t>Wernstein am Inn</t>
  </si>
  <si>
    <t>Wesenufer</t>
  </si>
  <si>
    <t>Ollersbach</t>
  </si>
  <si>
    <t>Weyer Markt</t>
  </si>
  <si>
    <t>Ollersdorf</t>
  </si>
  <si>
    <t>Weyregg am Attersee</t>
  </si>
  <si>
    <t>Opponitz</t>
  </si>
  <si>
    <t>Wildenau</t>
  </si>
  <si>
    <t>Orth an der Donau</t>
  </si>
  <si>
    <t>Wilhering</t>
  </si>
  <si>
    <t>Ottenschlag</t>
  </si>
  <si>
    <t>Windhaag bei Freistadt</t>
  </si>
  <si>
    <t>Ottenthal</t>
  </si>
  <si>
    <t>Windhaag bei Perg</t>
  </si>
  <si>
    <t>Palterndorf</t>
  </si>
  <si>
    <t>Windischgarsten</t>
  </si>
  <si>
    <t>Payerbach</t>
  </si>
  <si>
    <t>Wolfern</t>
  </si>
  <si>
    <t>Perchtoldsdorf</t>
  </si>
  <si>
    <t>Wolfsegg am Hausruck</t>
  </si>
  <si>
    <t>Pernersdorf</t>
  </si>
  <si>
    <t>Zell am Moos</t>
  </si>
  <si>
    <t>Pernitz</t>
  </si>
  <si>
    <t>Zell an der Pram</t>
  </si>
  <si>
    <t>Perschling</t>
  </si>
  <si>
    <t>Zipf</t>
  </si>
  <si>
    <t>Persenbeug</t>
  </si>
  <si>
    <t>Zwettl an der Rodl</t>
  </si>
  <si>
    <t>Petronell</t>
  </si>
  <si>
    <t>Petzenkirchen</t>
  </si>
  <si>
    <t>Pfaffenschlag bei Waidhofen an der Thaya</t>
  </si>
  <si>
    <t>Pfaffstätten</t>
  </si>
  <si>
    <t>Piesting</t>
  </si>
  <si>
    <t>Pillichsdorf</t>
  </si>
  <si>
    <t>Pirawarth</t>
  </si>
  <si>
    <t>Pitten</t>
  </si>
  <si>
    <t>Plank am Kamp</t>
  </si>
  <si>
    <t>Pleißing</t>
  </si>
  <si>
    <t>Pöchlarn</t>
  </si>
  <si>
    <t>Pöggstall</t>
  </si>
  <si>
    <t>Pottenbrunn</t>
  </si>
  <si>
    <t>Pottendorf</t>
  </si>
  <si>
    <t>Pottenstein</t>
  </si>
  <si>
    <t>Pottschach</t>
  </si>
  <si>
    <t>Poysbrunn</t>
  </si>
  <si>
    <t>Poysdorf</t>
  </si>
  <si>
    <t>Prein an der Rax</t>
  </si>
  <si>
    <t>Prellenkirchen</t>
  </si>
  <si>
    <t>Pressbaum</t>
  </si>
  <si>
    <t>Prinzendorf an der Zaya</t>
  </si>
  <si>
    <t>Prinzersdorf</t>
  </si>
  <si>
    <t>Prottes</t>
  </si>
  <si>
    <t>Puchberg am Schneeberg</t>
  </si>
  <si>
    <t>Puchenstuben</t>
  </si>
  <si>
    <t>Pulkau</t>
  </si>
  <si>
    <t>Pürbach</t>
  </si>
  <si>
    <t>Purgstall</t>
  </si>
  <si>
    <t>Purkersdorf</t>
  </si>
  <si>
    <t>Pyhra</t>
  </si>
  <si>
    <t>Raabs an der Thaya</t>
  </si>
  <si>
    <t>Raasdorf</t>
  </si>
  <si>
    <t>Rabensburg</t>
  </si>
  <si>
    <t>Rabenstein</t>
  </si>
  <si>
    <t>Raggendorf</t>
  </si>
  <si>
    <t>Rainfeld</t>
  </si>
  <si>
    <t>Randegg</t>
  </si>
  <si>
    <t>Rannersdorf bei Wien</t>
  </si>
  <si>
    <t>Rappottenstein</t>
  </si>
  <si>
    <t>Rastenfeld</t>
  </si>
  <si>
    <t>Ravelsbach</t>
  </si>
  <si>
    <t>Raxendorf</t>
  </si>
  <si>
    <t>Regelsbrunn</t>
  </si>
  <si>
    <t>28h</t>
  </si>
  <si>
    <t>Blatt "JAZcalc", B30-I33: Bei Luft-Wasser-WP werden für die Berechnung des COP auch bei reinem Heizungsbetrieb oder bei reinem Warmwasserbetrieb alle Werte bei einer Vorlauftemperatur von 55°C und 35°C benötigt -&gt;einblenden</t>
  </si>
  <si>
    <t>Blatt "WP", B27-H30: Bei Luft-Wasser-WP werden für die Berechnung des COP auch bei reinem Heizungsbetrieb oder bei reinem Warmwasserbetrieb alle Werte bei einer Vorlauftemperatur von 55°C und 35°C benötigt -&gt;einblenden</t>
  </si>
  <si>
    <t>Überprüfung Datensätze</t>
  </si>
  <si>
    <t>Rang T Quelle</t>
  </si>
  <si>
    <t>Anz. gültige Datensätze</t>
  </si>
  <si>
    <t>Name und Typ der Pumpe</t>
  </si>
  <si>
    <t>Betriebsart</t>
  </si>
  <si>
    <t>Immer in Betrieb</t>
  </si>
  <si>
    <t>Nur Betrieb bei WP ein</t>
  </si>
  <si>
    <t>Regelung</t>
  </si>
  <si>
    <t>Kondensatorpumpe</t>
  </si>
  <si>
    <t>Quellenpumpe 1</t>
  </si>
  <si>
    <t>kPa</t>
  </si>
  <si>
    <t>m³/h</t>
  </si>
  <si>
    <t>Nenn-Durchsatz über Kondensator</t>
  </si>
  <si>
    <t>Nenn-Druckabfall über Kondensator</t>
  </si>
  <si>
    <t>ungeregelt</t>
  </si>
  <si>
    <t>geregelt</t>
  </si>
  <si>
    <t>Geodätische Höhe</t>
  </si>
  <si>
    <t>Quellenpumpe</t>
  </si>
  <si>
    <t>einstufig</t>
  </si>
  <si>
    <t>zweistufig</t>
  </si>
  <si>
    <t>Erhöhung der Lufttemperatur bei Luft-Wasser-WP</t>
  </si>
  <si>
    <t>Steuerung Darstellung Schema</t>
  </si>
  <si>
    <t>Schema 2</t>
  </si>
  <si>
    <t>Schema 3</t>
  </si>
  <si>
    <t>Schema 4</t>
  </si>
  <si>
    <t>Schema 5</t>
  </si>
  <si>
    <t>Schema 6</t>
  </si>
  <si>
    <t>Schema 7</t>
  </si>
  <si>
    <t>Schema 8</t>
  </si>
  <si>
    <t>Schema 9</t>
  </si>
  <si>
    <t>Schema 10</t>
  </si>
  <si>
    <t>Bezeichnung</t>
  </si>
  <si>
    <t>Flag Test =1</t>
  </si>
  <si>
    <t>Index Auswahl</t>
  </si>
  <si>
    <t>Schema 11</t>
  </si>
  <si>
    <t>Schema 12</t>
  </si>
  <si>
    <t>Schema 13</t>
  </si>
  <si>
    <t>Schema 14</t>
  </si>
  <si>
    <t>Schema 15</t>
  </si>
  <si>
    <t>Schema 16</t>
  </si>
  <si>
    <t>Schema 17</t>
  </si>
  <si>
    <t>Schema 18</t>
  </si>
  <si>
    <t>Schema 19</t>
  </si>
  <si>
    <t>Schema 20</t>
  </si>
  <si>
    <t>Schema 21</t>
  </si>
  <si>
    <t>Schema 22</t>
  </si>
  <si>
    <t>Groß-Gerungs</t>
  </si>
  <si>
    <t>Lenzing</t>
  </si>
  <si>
    <t>Kumberg</t>
  </si>
  <si>
    <t>Sankt Ulrich am Pillersee</t>
  </si>
  <si>
    <t>Sachsenburg</t>
  </si>
  <si>
    <r>
      <rPr>
        <sz val="10"/>
        <color indexed="8"/>
        <rFont val="Symbol"/>
        <family val="1"/>
        <charset val="2"/>
      </rPr>
      <t>h</t>
    </r>
    <r>
      <rPr>
        <vertAlign val="subscript"/>
        <sz val="10"/>
        <color indexed="8"/>
        <rFont val="Arial"/>
        <family val="2"/>
      </rPr>
      <t xml:space="preserve">C,i </t>
    </r>
    <r>
      <rPr>
        <sz val="10"/>
        <color indexed="8"/>
        <rFont val="Arial"/>
        <family val="2"/>
      </rPr>
      <t>Kollektorwirkungsgrad</t>
    </r>
  </si>
  <si>
    <t>A47(WW)</t>
  </si>
  <si>
    <t>Maximaler Kollektorfeldrertrag (nur WW)</t>
  </si>
  <si>
    <t>A54(WW)</t>
  </si>
  <si>
    <r>
      <t>Q</t>
    </r>
    <r>
      <rPr>
        <vertAlign val="subscript"/>
        <sz val="10"/>
        <color indexed="8"/>
        <rFont val="Arial"/>
        <family val="2"/>
      </rPr>
      <t>WW</t>
    </r>
    <r>
      <rPr>
        <sz val="10"/>
        <color indexed="8"/>
        <rFont val="Arial"/>
        <family val="2"/>
      </rPr>
      <t xml:space="preserve"> </t>
    </r>
    <r>
      <rPr>
        <sz val="8"/>
        <color indexed="8"/>
        <rFont val="Arial"/>
        <family val="2"/>
      </rPr>
      <t>(inkl. Verluste)</t>
    </r>
  </si>
  <si>
    <t>kWh/a</t>
  </si>
  <si>
    <t>Input</t>
  </si>
  <si>
    <t>berechnet</t>
  </si>
  <si>
    <r>
      <t>Q</t>
    </r>
    <r>
      <rPr>
        <vertAlign val="subscript"/>
        <sz val="10"/>
        <color indexed="8"/>
        <rFont val="Arial"/>
        <family val="2"/>
      </rPr>
      <t xml:space="preserve">s,C,i </t>
    </r>
    <r>
      <rPr>
        <sz val="8"/>
        <color indexed="8"/>
        <rFont val="Arial"/>
        <family val="2"/>
      </rPr>
      <t>(max Kollektorfeldertrag)</t>
    </r>
  </si>
  <si>
    <r>
      <t>Q</t>
    </r>
    <r>
      <rPr>
        <vertAlign val="subscript"/>
        <sz val="10"/>
        <color indexed="8"/>
        <rFont val="Arial"/>
        <family val="2"/>
      </rPr>
      <t>W,dis,i</t>
    </r>
    <r>
      <rPr>
        <sz val="10"/>
        <color indexed="8"/>
        <rFont val="Arial"/>
        <family val="2"/>
      </rPr>
      <t xml:space="preserve"> </t>
    </r>
    <r>
      <rPr>
        <sz val="8"/>
        <color indexed="8"/>
        <rFont val="Arial"/>
        <family val="2"/>
      </rPr>
      <t>(inkl. Verluste)</t>
    </r>
  </si>
  <si>
    <t>Bin-Verteilung</t>
  </si>
  <si>
    <t>mögliches</t>
  </si>
  <si>
    <t>Jahres-</t>
  </si>
  <si>
    <t>Aussen-Temperatur</t>
  </si>
  <si>
    <t>Summen-häufigkeit</t>
  </si>
  <si>
    <t>Heizleistung Gebäude</t>
  </si>
  <si>
    <t>Heizleistung für WW</t>
  </si>
  <si>
    <t>Heizleistung WP</t>
  </si>
  <si>
    <t>Nötige Leistung Elektrostab</t>
  </si>
  <si>
    <t>Zusatzenergie Heizung</t>
  </si>
  <si>
    <t>Zusatzenergie WW</t>
  </si>
  <si>
    <t>Bedarf</t>
  </si>
  <si>
    <t>WP</t>
  </si>
  <si>
    <t>max. mögli-cher Heizener-giebedarf</t>
  </si>
  <si>
    <t>benötigte Zu-satzenergie total</t>
  </si>
  <si>
    <t>Puch bei Weiz</t>
  </si>
  <si>
    <t>Hollabrunn</t>
  </si>
  <si>
    <t>Oberhofen am Irrsee</t>
  </si>
  <si>
    <t>Pusterwald</t>
  </si>
  <si>
    <t>Hollenburg</t>
  </si>
  <si>
    <t>Oberkappel</t>
  </si>
  <si>
    <t>Radkersburg</t>
  </si>
  <si>
    <t>Quota di copertura PdC (ACS)</t>
  </si>
  <si>
    <t>CLA PdC (riscaldamento)</t>
  </si>
  <si>
    <t>CLA PdC (ACS)</t>
  </si>
  <si>
    <t>PdC per il riscaldamento:</t>
  </si>
  <si>
    <t>PdC per l'ACS:</t>
  </si>
  <si>
    <t>Riscaldamento d'appoggio ACS:</t>
  </si>
  <si>
    <t>Appoggio al riscaldamento:</t>
  </si>
  <si>
    <t>Perdite:</t>
  </si>
  <si>
    <t>Copertura dei bisogni:</t>
  </si>
  <si>
    <t>Blatt "WP1", Zelle V40-AB40: Formeln für dezentrale Wassererwärmung gemäss Handbuch angepasst</t>
  </si>
  <si>
    <t>Type d'appoint électrique pour ECS :</t>
  </si>
  <si>
    <t>elektrische Zusatzheizung Warmwasser:</t>
  </si>
  <si>
    <t>garantierte Warmwassertemperatur ohne Elektroheizstab:</t>
  </si>
  <si>
    <t>Warmwassertemperatur mit Elektro - Nachwärmer  Qww :</t>
  </si>
  <si>
    <t>WW-Speicher-Inhalt</t>
  </si>
  <si>
    <t>COP bei Normtemperatur -7 °C / 35°C (A-7 / W35):</t>
  </si>
  <si>
    <t>COP bei Normtemperatur (W10 / W35):</t>
  </si>
  <si>
    <t>Zeilen Nr Typ</t>
  </si>
  <si>
    <t>Gibt an, um wie viel °C der Speicher höher geladen wird als die Vorlauftemperatur</t>
  </si>
  <si>
    <t>Ventilateur</t>
  </si>
  <si>
    <t>T Rücklauf</t>
  </si>
  <si>
    <t>Puissance therm.</t>
  </si>
  <si>
    <t>Potenza term.</t>
  </si>
  <si>
    <t>Oberhaag</t>
  </si>
  <si>
    <t>Vils</t>
  </si>
  <si>
    <t>Villach</t>
  </si>
  <si>
    <t>zus. Speicher-Ladeverluste mit Heizstab</t>
  </si>
  <si>
    <t>Locarno-Monti</t>
  </si>
  <si>
    <t>zus. Speicher-Ladeverluste mit Heizstab, gesperrt bei Ladung</t>
  </si>
  <si>
    <t>Lugano</t>
  </si>
  <si>
    <t>WW-Zusatzstrombedarf mit Heizstab im parallelbetrieb</t>
  </si>
  <si>
    <t>Luzern</t>
  </si>
  <si>
    <t>WW-Zusatzstrombedarf mit el.-Nachwärmung</t>
  </si>
  <si>
    <t>Montana</t>
  </si>
  <si>
    <t>Neuchâtel</t>
  </si>
  <si>
    <t>Minimalanforderung an Wärmepumpenanlage</t>
  </si>
  <si>
    <t>Robbia</t>
  </si>
  <si>
    <t>Schaffhausen</t>
  </si>
  <si>
    <t>Sion</t>
  </si>
  <si>
    <t>Q Heiz.</t>
  </si>
  <si>
    <t>Heizleistung WP Qheiz</t>
  </si>
  <si>
    <t>BIN (Ta [°C])</t>
  </si>
  <si>
    <t>Q Heiz. a0,v0</t>
  </si>
  <si>
    <t>Q(L-15/W35)</t>
  </si>
  <si>
    <t>COP(L-15/W35)</t>
  </si>
  <si>
    <t>Q(L-7/W35)</t>
  </si>
  <si>
    <t>COP(L-7/W35)</t>
  </si>
  <si>
    <t>Q(L2/W35)</t>
  </si>
  <si>
    <t>Q(L7/W35)</t>
  </si>
  <si>
    <t>COP(L7/W35)</t>
  </si>
  <si>
    <t>COP(L2/W35)</t>
  </si>
  <si>
    <t>Q(L20/W35)</t>
  </si>
  <si>
    <t>COP(L20/W35)</t>
  </si>
  <si>
    <t>Q(L-7/W55)</t>
  </si>
  <si>
    <t>COP(L-7/W55)</t>
  </si>
  <si>
    <t>Q(L7/W55)</t>
  </si>
  <si>
    <t>COP(L7/W55)</t>
  </si>
  <si>
    <t>COP(L20/W55)</t>
  </si>
  <si>
    <t>Q(L20/W55)</t>
  </si>
  <si>
    <t>Q(B0/W35)</t>
  </si>
  <si>
    <t>COP(B0/W35)</t>
  </si>
  <si>
    <t>Q(B0/W55)</t>
  </si>
  <si>
    <t>COP(B0/W55)</t>
  </si>
  <si>
    <t>COP(W10/W35)</t>
  </si>
  <si>
    <t>Q(W10/W55)</t>
  </si>
  <si>
    <t>COP(W10/W55)</t>
  </si>
  <si>
    <t>WP-Art: (2=LW, 3=SW, 4=WW)</t>
  </si>
  <si>
    <t>Klimastationen SIA 2028</t>
  </si>
  <si>
    <t>Aggsbach Markt</t>
  </si>
  <si>
    <t>Aistersheim</t>
  </si>
  <si>
    <t>Alm</t>
  </si>
  <si>
    <t>Aigen im Ennstal</t>
  </si>
  <si>
    <t>Aldrans</t>
  </si>
  <si>
    <t>Wien-Döbling</t>
  </si>
  <si>
    <t>Bezau</t>
  </si>
  <si>
    <t>Breitenbrunn</t>
  </si>
  <si>
    <t>Außerfragant</t>
  </si>
  <si>
    <t>Aigen (Waldviertel)</t>
  </si>
  <si>
    <t>Alberndorf in der Riedmark</t>
  </si>
  <si>
    <t>Altenmarkt im Pongau</t>
  </si>
  <si>
    <t>Allerheiligen bei Wildon</t>
  </si>
  <si>
    <t>Alpach</t>
  </si>
  <si>
    <t>Wien-Donaustadt</t>
  </si>
  <si>
    <t>Bizau</t>
  </si>
  <si>
    <t>Deutsch Jahrndorf</t>
  </si>
  <si>
    <t>Bad Bleiberg</t>
  </si>
  <si>
    <t>Albrechtsberg an der Großen Krems</t>
  </si>
  <si>
    <t>Alkoven</t>
  </si>
  <si>
    <t>Anif</t>
  </si>
  <si>
    <t>Allerheiligen im Mürztal</t>
  </si>
  <si>
    <t>Arzl im Pitztal</t>
  </si>
  <si>
    <t>Wien-Eßling</t>
  </si>
  <si>
    <t>Bludenz</t>
  </si>
  <si>
    <t>Deutsch Kaltenbrunn</t>
  </si>
  <si>
    <t>Bad Kleinkirchheim</t>
  </si>
  <si>
    <t>Alland</t>
  </si>
  <si>
    <t>Allhaming</t>
  </si>
  <si>
    <t>Annaberg im Lammertal</t>
  </si>
  <si>
    <t>Alpl</t>
  </si>
  <si>
    <t>Aschau (Zillertal)</t>
  </si>
  <si>
    <t>Wien-Favoriten</t>
  </si>
  <si>
    <t>Brand</t>
  </si>
  <si>
    <t>Deutsch Schützen</t>
  </si>
  <si>
    <t>Bad Sankt Leonhard im Lavanttal</t>
  </si>
  <si>
    <t>Alland Heilstätte</t>
  </si>
  <si>
    <t>Blatt "WP", Zelle B53-E53: Lila Warnmeldung, sobald neu Leistungsbedarf 1% über WP-Leistung bei Auslegung</t>
  </si>
  <si>
    <t>Kobersdorf</t>
  </si>
  <si>
    <t>Ferndorf</t>
  </si>
  <si>
    <t>Bischofstetten</t>
  </si>
  <si>
    <t>Baumgartenberg</t>
  </si>
  <si>
    <t>Henndorf am Wallersee</t>
  </si>
  <si>
    <t>Edelsbach bei Feldbach</t>
  </si>
  <si>
    <t>Gerlos</t>
  </si>
  <si>
    <t>Langen am Arlberg</t>
  </si>
  <si>
    <t>Kohfidisch</t>
  </si>
  <si>
    <t>Finkenstein</t>
  </si>
  <si>
    <t>Blindenmarkt</t>
  </si>
  <si>
    <t>Braunau am Inn</t>
  </si>
  <si>
    <t>Hinterglemm</t>
  </si>
  <si>
    <t>Edelschrott</t>
  </si>
  <si>
    <t>Ginzling</t>
  </si>
  <si>
    <t>Langenegg</t>
  </si>
  <si>
    <t>Königsdorf</t>
  </si>
  <si>
    <t>Flattach</t>
  </si>
  <si>
    <t>Blumau bei Felixdorf</t>
  </si>
  <si>
    <t>Breitenaich</t>
  </si>
  <si>
    <t>Hof bei Salzburg</t>
  </si>
  <si>
    <t>Eggersdorf bei Graz</t>
  </si>
  <si>
    <t>Going</t>
  </si>
  <si>
    <t>Lauterach</t>
  </si>
  <si>
    <t>Krensdorf</t>
  </si>
  <si>
    <t>Föderlach</t>
  </si>
  <si>
    <t>Bockfließ</t>
  </si>
  <si>
    <t>COP aux conditions normalisées -7 °C / 35°C (A-7 / W35):</t>
  </si>
  <si>
    <t>COP aux conditions normalisées (W10 / W35):</t>
  </si>
  <si>
    <t>Gries am Brenner</t>
  </si>
  <si>
    <t>Lochau</t>
  </si>
  <si>
    <t>Lackendorf</t>
  </si>
  <si>
    <t>Fürnitz</t>
  </si>
  <si>
    <t>Brand (Waldviertel)</t>
  </si>
  <si>
    <t>Desselbrunn</t>
  </si>
  <si>
    <t>Kaprun</t>
  </si>
  <si>
    <t>Etmißl</t>
  </si>
  <si>
    <t>Gries im Sellrain</t>
  </si>
  <si>
    <t>Ludesch</t>
  </si>
  <si>
    <t>Litzelsdorf</t>
  </si>
  <si>
    <t>Gallizien</t>
  </si>
  <si>
    <t>Breitenau (Steinfeld)</t>
  </si>
  <si>
    <t>Dimbach</t>
  </si>
  <si>
    <t>Köstendorf</t>
  </si>
  <si>
    <t>Fehring</t>
  </si>
  <si>
    <t>Grins</t>
  </si>
  <si>
    <t>Lustenau</t>
  </si>
  <si>
    <t>Lockenhaus</t>
  </si>
  <si>
    <t>Glanegg</t>
  </si>
  <si>
    <t>Breitenfurt bei Wien</t>
  </si>
  <si>
    <t>Dorf an der Pram</t>
  </si>
  <si>
    <t>Krimml</t>
  </si>
  <si>
    <t>Feldbach</t>
  </si>
  <si>
    <t>Haiming</t>
  </si>
  <si>
    <t>Mäder</t>
  </si>
  <si>
    <t>Lutzmannsburg</t>
  </si>
  <si>
    <t>Globasnitz</t>
  </si>
  <si>
    <t>Breitenstein</t>
  </si>
  <si>
    <t>Ebensee</t>
  </si>
  <si>
    <t>Kuchl</t>
  </si>
  <si>
    <t>Feldkirchen bei Graz</t>
  </si>
  <si>
    <t>Hall in Tirol</t>
  </si>
  <si>
    <t>Meiningen</t>
  </si>
  <si>
    <t>Mannersdorf an der Rabnitz</t>
  </si>
  <si>
    <t>Glödnitz</t>
  </si>
  <si>
    <t>Breitenwaida</t>
  </si>
  <si>
    <t>Eberschwang</t>
  </si>
  <si>
    <t>Lamprechtshausen Kirchendorf</t>
  </si>
  <si>
    <t>Fernitz</t>
  </si>
  <si>
    <t>Häselgehr</t>
  </si>
  <si>
    <t>Mellau</t>
  </si>
  <si>
    <t>Mariasdorf</t>
  </si>
  <si>
    <t>Gmünd</t>
  </si>
  <si>
    <t>Bromberg</t>
  </si>
  <si>
    <t>Eberstallzell</t>
  </si>
  <si>
    <t>Lend</t>
  </si>
  <si>
    <t>Fischbach</t>
  </si>
  <si>
    <t>Heiterwang</t>
  </si>
  <si>
    <t>Mittelberg</t>
  </si>
  <si>
    <t>Markt Allhau</t>
  </si>
  <si>
    <t>Gnesau</t>
  </si>
  <si>
    <t>Bruck an der Leitha</t>
  </si>
  <si>
    <t>Eferding</t>
  </si>
  <si>
    <t>Leogang</t>
  </si>
  <si>
    <t>Fladnitz an der Teichalpe</t>
  </si>
  <si>
    <t>Hintertux</t>
  </si>
  <si>
    <t>Nenzing</t>
  </si>
  <si>
    <t>Markt Neuhodis</t>
  </si>
  <si>
    <t>Gödersdorf</t>
  </si>
  <si>
    <t>Munderfing</t>
  </si>
  <si>
    <t>Neumarkt in Steiermark</t>
  </si>
  <si>
    <t>Trins</t>
  </si>
  <si>
    <t>Treibach</t>
  </si>
  <si>
    <t>Hausmening</t>
  </si>
  <si>
    <t>Münzbach</t>
  </si>
  <si>
    <t>Niederwölz</t>
  </si>
  <si>
    <t>Uderns</t>
  </si>
  <si>
    <t>Twimberg</t>
  </si>
  <si>
    <t>Heidenreichstein</t>
  </si>
  <si>
    <t>Salzburg-Morzg</t>
  </si>
  <si>
    <t>Großpesendorf</t>
  </si>
  <si>
    <t>Lermoos</t>
  </si>
  <si>
    <t>Rotenturm an der Pinka</t>
  </si>
  <si>
    <t>Lavamünd</t>
  </si>
  <si>
    <t>Falkenstein</t>
  </si>
  <si>
    <t>Gutau</t>
  </si>
  <si>
    <t>Heizung mit Wärmepumpe und mit einem Öl-  oder
Gas - Spitzenlastkessel</t>
  </si>
  <si>
    <t>fossil bivalenter Betrieb:</t>
  </si>
  <si>
    <t xml:space="preserve">e = </t>
  </si>
  <si>
    <t>Nachtabsenk / Nachtladung WP</t>
  </si>
  <si>
    <t>Wärmepumpe für Heizung:</t>
  </si>
  <si>
    <t>Klimakorrektur:</t>
  </si>
  <si>
    <t>Verteilung Heizung:</t>
  </si>
  <si>
    <t>Wärmepumpe für Warmwasser:</t>
  </si>
  <si>
    <t>Warmwasserbedarf:</t>
  </si>
  <si>
    <t>Zusatzheizung Warmwasser:</t>
  </si>
  <si>
    <t>freie Wärme:</t>
  </si>
  <si>
    <t>Verteilung WW:</t>
  </si>
  <si>
    <t>Bedarf total:</t>
  </si>
  <si>
    <t>Verluste:</t>
  </si>
  <si>
    <t>Bedarf WW:</t>
  </si>
  <si>
    <t>Bedarfsdeckung:</t>
  </si>
  <si>
    <t>Deckungsgrad WP (Heizung)</t>
  </si>
  <si>
    <t>Deckungsgrad WP (WW)</t>
  </si>
  <si>
    <t>JAZ Wärmepumpe (Heizung)</t>
  </si>
  <si>
    <t>Laufzeit WP:</t>
  </si>
  <si>
    <t>JAZ Wärmepumpe (WW)</t>
  </si>
  <si>
    <t>Summen-</t>
  </si>
  <si>
    <t>Zusatzheizung</t>
  </si>
  <si>
    <t>häufigkeit</t>
  </si>
  <si>
    <t>+ Zusatzheiz.</t>
  </si>
  <si>
    <t>[°C]</t>
  </si>
  <si>
    <t>[kW]</t>
  </si>
  <si>
    <t>[%]</t>
  </si>
  <si>
    <t>[h]</t>
  </si>
  <si>
    <t>Abkürzungen:</t>
  </si>
  <si>
    <t>EBFo</t>
  </si>
  <si>
    <t>m2</t>
  </si>
  <si>
    <t>Energiebezugsfläche EBF</t>
  </si>
  <si>
    <r>
      <t>A</t>
    </r>
    <r>
      <rPr>
        <vertAlign val="subscript"/>
        <sz val="9"/>
        <rFont val="Arial"/>
        <family val="2"/>
      </rPr>
      <t>E</t>
    </r>
  </si>
  <si>
    <t>Bezug WP2</t>
  </si>
  <si>
    <t>Auslegungs-Sondentemperatur (optional, aus externer Berechnung in Beilage)</t>
  </si>
  <si>
    <t>Zusatzheizung Heizung:</t>
  </si>
  <si>
    <t>Strombedarf WP</t>
  </si>
  <si>
    <t>Heizleistungsbedarf (ohne WW)</t>
  </si>
  <si>
    <t>Rechenwert bei -8°C:</t>
  </si>
  <si>
    <t>Energiebedarf:</t>
  </si>
  <si>
    <t>Klima und Lastprofil:</t>
  </si>
  <si>
    <t>Wärmepumpe:</t>
  </si>
  <si>
    <t>Bedarfsdeckung und Arbeitszahlen:</t>
  </si>
  <si>
    <t>Adelboden</t>
  </si>
  <si>
    <t>Güttingen</t>
  </si>
  <si>
    <t>La Chaux-de-Fonds</t>
  </si>
  <si>
    <t>Magadino</t>
  </si>
  <si>
    <t>Payerne</t>
  </si>
  <si>
    <t>Samedan</t>
  </si>
  <si>
    <t>San Bernardino</t>
  </si>
  <si>
    <t>Vaduz</t>
  </si>
  <si>
    <t>Wynau</t>
  </si>
  <si>
    <t>geändert durch</t>
  </si>
  <si>
    <t>AH</t>
  </si>
  <si>
    <t>Beschreibung</t>
  </si>
  <si>
    <t>Datum</t>
  </si>
  <si>
    <t>Version</t>
  </si>
  <si>
    <t>Nr.</t>
  </si>
  <si>
    <t>Anpassungen am Programm WPesti</t>
  </si>
  <si>
    <r>
      <t>Q</t>
    </r>
    <r>
      <rPr>
        <vertAlign val="subscript"/>
        <sz val="9"/>
        <rFont val="Arial"/>
        <family val="2"/>
      </rPr>
      <t>h,eff</t>
    </r>
  </si>
  <si>
    <t>GH Jahr</t>
  </si>
  <si>
    <r>
      <t>MJ/m</t>
    </r>
    <r>
      <rPr>
        <vertAlign val="superscript"/>
        <sz val="9"/>
        <color indexed="9"/>
        <rFont val="Arial"/>
        <family val="2"/>
      </rPr>
      <t>2</t>
    </r>
    <r>
      <rPr>
        <sz val="9"/>
        <color indexed="9"/>
        <rFont val="Arial"/>
        <family val="2"/>
      </rPr>
      <t>a</t>
    </r>
  </si>
  <si>
    <t>Schönberg im Stubaital</t>
  </si>
  <si>
    <t>Sankt Jakob im Lesachtal</t>
  </si>
  <si>
    <t>Großriedenthal</t>
  </si>
  <si>
    <t>Linz-Kleinmünchen</t>
  </si>
  <si>
    <t>Leibnitz</t>
  </si>
  <si>
    <t>Schönwies</t>
  </si>
  <si>
    <t>Sankt Jakob im Rosental</t>
  </si>
  <si>
    <t>Großrußbach</t>
  </si>
  <si>
    <t>Lieboch</t>
  </si>
  <si>
    <t>Seefeld in Tirol</t>
  </si>
  <si>
    <t>Sankt Margareten im Rosental</t>
  </si>
  <si>
    <t>Groß-Siegharts</t>
  </si>
  <si>
    <t>Lochen</t>
  </si>
  <si>
    <t>Liezen</t>
  </si>
  <si>
    <t>Sellrain</t>
  </si>
  <si>
    <t>Sankt Margarethen im Lavanttal</t>
  </si>
  <si>
    <t>Großweikersdorf</t>
  </si>
  <si>
    <t>Lohnsburg</t>
  </si>
  <si>
    <t>Ligist</t>
  </si>
  <si>
    <t>Serfaus</t>
  </si>
  <si>
    <t>Sankt Michael</t>
  </si>
  <si>
    <t>Grünbach am Schneeberg</t>
  </si>
  <si>
    <t>Loibichl</t>
  </si>
  <si>
    <t>Lödersdorf</t>
  </si>
  <si>
    <t>Sillian</t>
  </si>
  <si>
    <t>Sankt Michael im Lavanttal</t>
  </si>
  <si>
    <t>Gumpoldskirchen</t>
  </si>
  <si>
    <t>Losenstein</t>
  </si>
  <si>
    <t>Loipersdorf bei Fürstenfeld</t>
  </si>
  <si>
    <t>Silz</t>
  </si>
  <si>
    <t>Sankt Paul im Lavanttal</t>
  </si>
  <si>
    <t>Günselsdorf</t>
  </si>
  <si>
    <t>Marchtrenk</t>
  </si>
  <si>
    <t>Maria Lankowitz</t>
  </si>
  <si>
    <t>Sistrans</t>
  </si>
  <si>
    <t>Sankt Primus</t>
  </si>
  <si>
    <t>Guntersdorf</t>
  </si>
  <si>
    <t>Maria Neustift</t>
  </si>
  <si>
    <t>Mariahof</t>
  </si>
  <si>
    <t>Solbad Hall in Tirol</t>
  </si>
  <si>
    <t>Sankt Salvator</t>
  </si>
  <si>
    <t>Guntramsdorf</t>
  </si>
  <si>
    <t>Maria Schmolln</t>
  </si>
  <si>
    <t>Mariazell</t>
  </si>
  <si>
    <t>Sölden</t>
  </si>
  <si>
    <t>Heizwärmebedarf und TVL / TRL</t>
  </si>
  <si>
    <t>Spezifischer Heizwärmebedarf bis [°C]</t>
  </si>
  <si>
    <t>Rücklauftemperatur TRL [°C]</t>
  </si>
  <si>
    <t>Vorlauftemperatur TVL [°C]</t>
  </si>
  <si>
    <t>Maximale JAZww</t>
  </si>
  <si>
    <t>Ja/Nein</t>
  </si>
  <si>
    <t>ja</t>
  </si>
  <si>
    <t>nein</t>
  </si>
  <si>
    <t>JA</t>
  </si>
  <si>
    <t>NEIN</t>
  </si>
  <si>
    <t xml:space="preserve">Energieausweis Nr: </t>
  </si>
  <si>
    <t>Keine Solaranlage</t>
  </si>
  <si>
    <t>Riscaldamento solare dell' ACS</t>
  </si>
  <si>
    <t>Solare Wassererwärmung</t>
  </si>
  <si>
    <t>Riscaldamento solare dell'ACS + riscaldamento</t>
  </si>
  <si>
    <t>(calcul externe)</t>
  </si>
  <si>
    <t>(calcolo esterno)</t>
  </si>
  <si>
    <t>(externe Berechnung)</t>
  </si>
  <si>
    <t>Nicht vorhanden</t>
  </si>
  <si>
    <t>Kollektor-Kenndaten:</t>
  </si>
  <si>
    <t>Altitude par rapport au niveau de la mer</t>
  </si>
  <si>
    <t>Warmwasser + Heizung</t>
  </si>
  <si>
    <t>Vor- und Rücklauftemperatur der WP  [°C]</t>
  </si>
  <si>
    <t>Aussentemperatur Ta  [°C]</t>
  </si>
  <si>
    <t>Pompes:</t>
  </si>
  <si>
    <t>Pompa:</t>
  </si>
  <si>
    <t>Verdampfer</t>
  </si>
  <si>
    <t>Ventilator</t>
  </si>
  <si>
    <t>Evaporateur</t>
  </si>
  <si>
    <t>Evaporatore</t>
  </si>
  <si>
    <t>Ventilatore</t>
  </si>
  <si>
    <r>
      <t>Q</t>
    </r>
    <r>
      <rPr>
        <vertAlign val="subscript"/>
        <sz val="10"/>
        <color indexed="8"/>
        <rFont val="Arial"/>
        <family val="2"/>
      </rPr>
      <t>S.brut,i</t>
    </r>
    <r>
      <rPr>
        <sz val="10"/>
        <color indexed="8"/>
        <rFont val="Arial"/>
        <family val="2"/>
      </rPr>
      <t xml:space="preserve"> </t>
    </r>
    <r>
      <rPr>
        <sz val="8"/>
        <color indexed="8"/>
        <rFont val="Arial"/>
        <family val="2"/>
      </rPr>
      <t>(Bruttoertrag Solar)</t>
    </r>
  </si>
  <si>
    <t>Nutzbare Solarwärme im BIN</t>
  </si>
  <si>
    <t>h Unterdeckung &gt;=0°C</t>
  </si>
  <si>
    <r>
      <rPr>
        <sz val="10"/>
        <color indexed="8"/>
        <rFont val="Symbol"/>
        <family val="1"/>
        <charset val="2"/>
      </rPr>
      <t>F</t>
    </r>
    <r>
      <rPr>
        <vertAlign val="subscript"/>
        <sz val="10"/>
        <color indexed="8"/>
        <rFont val="Arial"/>
        <family val="2"/>
      </rPr>
      <t xml:space="preserve">W, dis </t>
    </r>
    <r>
      <rPr>
        <sz val="8"/>
        <color indexed="8"/>
        <rFont val="Arial"/>
        <family val="2"/>
      </rPr>
      <t>Wärmeleistungsbed WW</t>
    </r>
  </si>
  <si>
    <r>
      <t>Q</t>
    </r>
    <r>
      <rPr>
        <vertAlign val="subscript"/>
        <sz val="10"/>
        <color indexed="8"/>
        <rFont val="Arial"/>
        <family val="2"/>
      </rPr>
      <t>S.sur,i</t>
    </r>
    <r>
      <rPr>
        <sz val="10"/>
        <color indexed="8"/>
        <rFont val="Arial"/>
        <family val="2"/>
      </rPr>
      <t xml:space="preserve"> </t>
    </r>
    <r>
      <rPr>
        <sz val="8"/>
        <color indexed="8"/>
        <rFont val="Arial"/>
        <family val="2"/>
      </rPr>
      <t>(Überschuss Solar im BIN)</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</si>
  <si>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(nur WW)</t>
    </r>
  </si>
  <si>
    <r>
      <t>Q</t>
    </r>
    <r>
      <rPr>
        <vertAlign val="subscript"/>
        <sz val="10"/>
        <color indexed="8"/>
        <rFont val="Arial"/>
        <family val="2"/>
      </rPr>
      <t>S.sur,i</t>
    </r>
    <r>
      <rPr>
        <sz val="10"/>
        <color indexed="8"/>
        <rFont val="Arial"/>
        <family val="2"/>
      </rPr>
      <t xml:space="preserve"> </t>
    </r>
    <r>
      <rPr>
        <sz val="8"/>
        <color indexed="8"/>
        <rFont val="Arial"/>
        <family val="2"/>
      </rPr>
      <t>(Überschuss Solar Total)</t>
    </r>
  </si>
  <si>
    <r>
      <rPr>
        <sz val="10"/>
        <color indexed="8"/>
        <rFont val="Symbol"/>
        <family val="1"/>
        <charset val="2"/>
      </rPr>
      <t>F</t>
    </r>
    <r>
      <rPr>
        <vertAlign val="subscript"/>
        <sz val="10"/>
        <color indexed="8"/>
        <rFont val="Arial"/>
        <family val="2"/>
      </rPr>
      <t xml:space="preserve">S  </t>
    </r>
    <r>
      <rPr>
        <sz val="8"/>
        <color indexed="8"/>
        <rFont val="Arial"/>
        <family val="2"/>
      </rPr>
      <t>Überschuss Solar WW</t>
    </r>
  </si>
  <si>
    <r>
      <t>Q</t>
    </r>
    <r>
      <rPr>
        <vertAlign val="subscript"/>
        <sz val="10"/>
        <color indexed="8"/>
        <rFont val="Arial"/>
        <family val="2"/>
      </rPr>
      <t>S,i (Basis)</t>
    </r>
  </si>
  <si>
    <t>Herzogenburg</t>
  </si>
  <si>
    <t>Neuhofen an der Krems</t>
  </si>
  <si>
    <t>Oberzeiring</t>
  </si>
  <si>
    <t>Völs</t>
  </si>
  <si>
    <t>Weißbriach</t>
  </si>
  <si>
    <t>Himberg</t>
  </si>
  <si>
    <t>Neukirchen</t>
  </si>
  <si>
    <t>Öblarn</t>
  </si>
  <si>
    <t>Vomp</t>
  </si>
  <si>
    <t>Weißenstein</t>
  </si>
  <si>
    <t>Hinterbrühl</t>
  </si>
  <si>
    <t>Neukirchen am Walde</t>
  </si>
  <si>
    <t>Ottendorf bei Gleisdorf</t>
  </si>
  <si>
    <t>Vomperbach</t>
  </si>
  <si>
    <t>Weitensfeld</t>
  </si>
  <si>
    <t>Hintersdorf</t>
  </si>
  <si>
    <t>Neukirchen an der Enknach</t>
  </si>
  <si>
    <t>Paldau</t>
  </si>
  <si>
    <t>Waidring</t>
  </si>
  <si>
    <t>Weizelsdorf</t>
  </si>
  <si>
    <t>Hirschbach</t>
  </si>
  <si>
    <t>Neukirchen an der Vöckla</t>
  </si>
  <si>
    <t>Palfau</t>
  </si>
  <si>
    <t>Walchsee</t>
  </si>
  <si>
    <t>Wieting</t>
  </si>
  <si>
    <t>Hirtenberg</t>
  </si>
  <si>
    <t>Neukirchen bei Lambach</t>
  </si>
  <si>
    <t>Passail</t>
  </si>
  <si>
    <t>Wattens</t>
  </si>
  <si>
    <t>Wildbad Einöd</t>
  </si>
  <si>
    <t>Hochneukirchen</t>
  </si>
  <si>
    <t>Neumarkt im Hausruckkreis</t>
  </si>
  <si>
    <t>Peggau</t>
  </si>
  <si>
    <t>Weerberg</t>
  </si>
  <si>
    <t>Winklern</t>
  </si>
  <si>
    <t>Hochwolkersdorf</t>
  </si>
  <si>
    <t>Neumarkt im Mühlkreis</t>
  </si>
  <si>
    <t>Pernegg an der Mur</t>
  </si>
  <si>
    <t>Weißenbach am Lech</t>
  </si>
  <si>
    <t>Wolfsberg</t>
  </si>
  <si>
    <t>Hof am Leithaberge</t>
  </si>
  <si>
    <t>Neustift</t>
  </si>
  <si>
    <t>Pichl</t>
  </si>
  <si>
    <t>Wenns</t>
  </si>
  <si>
    <t>Zlan</t>
  </si>
  <si>
    <t>Höflein</t>
  </si>
  <si>
    <t>Neuzeug</t>
  </si>
  <si>
    <t>Pinggau</t>
  </si>
  <si>
    <t>Westendorf</t>
  </si>
  <si>
    <t>Zweinitz</t>
  </si>
  <si>
    <t>Höflein an der Donau</t>
  </si>
  <si>
    <t>Neydharting</t>
  </si>
  <si>
    <t>Pischelsdorf in Steiermark</t>
  </si>
  <si>
    <t>Wildschönau-Auffach</t>
  </si>
  <si>
    <t>Hofstetten</t>
  </si>
  <si>
    <t>Niederkappel</t>
  </si>
  <si>
    <t>Pölfing</t>
  </si>
  <si>
    <t>Wildschönau-Niederau</t>
  </si>
  <si>
    <t>Hohe Wand-Stollhof</t>
  </si>
  <si>
    <t>Niederneukirchen</t>
  </si>
  <si>
    <t>Pöllau (Hartberg)</t>
  </si>
  <si>
    <t>Wildschönau-Oberau</t>
  </si>
  <si>
    <t>Hohenau an der March</t>
  </si>
  <si>
    <t>Niederthalheim</t>
  </si>
  <si>
    <t>Pöls ob Judenburg</t>
  </si>
  <si>
    <t>Wörgl</t>
  </si>
  <si>
    <t>Hohenberg</t>
  </si>
  <si>
    <t>Niederwaldkirchen</t>
  </si>
  <si>
    <t>Preding</t>
  </si>
  <si>
    <t>Zams</t>
  </si>
  <si>
    <t>Hoheneich</t>
  </si>
  <si>
    <t>Nußbach</t>
  </si>
  <si>
    <t>Predlitz</t>
  </si>
  <si>
    <t>Zell am Ziller</t>
  </si>
  <si>
    <t>Hohenruppersdorf</t>
  </si>
  <si>
    <t>Nußdorf am Attersee</t>
  </si>
  <si>
    <t>Pruggern</t>
  </si>
  <si>
    <t>Zirl</t>
  </si>
  <si>
    <t>Hohenwarth</t>
  </si>
  <si>
    <t>Obergrünburg</t>
  </si>
  <si>
    <t>Progetto:</t>
  </si>
  <si>
    <t>WW-Temperatur inkl. Legionellenschaltung</t>
  </si>
  <si>
    <t>WP Typ:</t>
  </si>
  <si>
    <t>Angaben unten</t>
  </si>
  <si>
    <t>Eingabe in "Spez"</t>
  </si>
  <si>
    <t>Strombedarf el. Zusatzheizung:</t>
  </si>
  <si>
    <t>Begleitheizband:</t>
  </si>
  <si>
    <t>Länge:</t>
  </si>
  <si>
    <t>WW-Zirkulation</t>
  </si>
  <si>
    <t>Begleitheizband</t>
  </si>
  <si>
    <t>Stromanteil:</t>
  </si>
  <si>
    <t>Arbeitspunkte Erdsonden WP / Wasser-Wasser-WP / Erdkollektor-WP / Abluft-WP</t>
  </si>
  <si>
    <t>Pel 20/W35:</t>
  </si>
  <si>
    <t>orientation / inclinaison des collecteurs</t>
  </si>
  <si>
    <t>Puissance thermique à (W10 / W35):</t>
  </si>
  <si>
    <t>Heizung mit Wärmepumpe und elektrischer Zusatzheizung</t>
  </si>
  <si>
    <t>mit elektrischer Zusatzheizung:</t>
  </si>
  <si>
    <t>Zusatz:</t>
  </si>
  <si>
    <t>Zeilen Nr. WP Daten</t>
  </si>
  <si>
    <t>Anz Hersteller</t>
  </si>
  <si>
    <t>Herstellerliste</t>
  </si>
  <si>
    <t>Kondensator</t>
  </si>
  <si>
    <t>Sole- und Wassser/Wasser-WP</t>
  </si>
  <si>
    <t>bei</t>
  </si>
  <si>
    <t xml:space="preserve">Schätzwert: </t>
  </si>
  <si>
    <t>Neue BIN-Methode nach SIA 384/3:</t>
  </si>
  <si>
    <t>COPmittel</t>
  </si>
  <si>
    <t>Hilfstabellen:</t>
  </si>
  <si>
    <t>Dechantskirchen</t>
  </si>
  <si>
    <t>Feichten</t>
  </si>
  <si>
    <t>Wien-Simmering</t>
  </si>
  <si>
    <t>Höchst</t>
  </si>
  <si>
    <t>Horitschon</t>
  </si>
  <si>
    <t>Eitweg</t>
  </si>
  <si>
    <t>Bad Schönau</t>
  </si>
  <si>
    <t>Bachmanning</t>
  </si>
  <si>
    <t>Gartenau-Sankt Leonhard</t>
  </si>
  <si>
    <t>Deutsch Goritz</t>
  </si>
  <si>
    <t>Fieberbrunn</t>
  </si>
  <si>
    <t>Wien-Stammersdorf</t>
  </si>
  <si>
    <t>Hohenems</t>
  </si>
  <si>
    <t>Hornstein</t>
  </si>
  <si>
    <t>Ettendorf</t>
  </si>
  <si>
    <t>Bad Vöslau</t>
  </si>
  <si>
    <t>Bad Goisern</t>
  </si>
  <si>
    <t>Glasenbach</t>
  </si>
  <si>
    <t>Deutschfeistritz</t>
  </si>
  <si>
    <t>Finkenberg</t>
  </si>
  <si>
    <t>Wien-Süßenbrunn</t>
  </si>
  <si>
    <t>Hohenweiler</t>
  </si>
  <si>
    <t>Illmitz</t>
  </si>
  <si>
    <t>Faak am See</t>
  </si>
  <si>
    <t>Baden</t>
  </si>
  <si>
    <t>Bad Hall</t>
  </si>
  <si>
    <t>Goldegg</t>
  </si>
  <si>
    <t>Deutschlandsberg</t>
  </si>
  <si>
    <t>Flaurling</t>
  </si>
  <si>
    <t>Wien-Währing</t>
  </si>
  <si>
    <t>Hörbranz</t>
  </si>
  <si>
    <t>Jennersdorf</t>
  </si>
  <si>
    <t>Feistritz an der Drau</t>
  </si>
  <si>
    <t>Durée de coupure d'alimentation de la PAC:</t>
  </si>
  <si>
    <t>Débit nominal au condenseur</t>
  </si>
  <si>
    <t>inclus dans le COP</t>
  </si>
  <si>
    <t>non calculé</t>
  </si>
  <si>
    <t>toujours en exploitation</t>
  </si>
  <si>
    <t>seulement en exploitation si la PAC est en service</t>
  </si>
  <si>
    <t>non réglé</t>
  </si>
  <si>
    <t>réglé</t>
  </si>
  <si>
    <t>Accumulateur combiné chauffage et ECS selon STASCH</t>
  </si>
  <si>
    <t>Es unterstützt Sie gerne:</t>
  </si>
  <si>
    <t xml:space="preserve">Warmwasserbedarf nach OIB Richtlinie 6 </t>
  </si>
  <si>
    <t>Warnmeldungen Sonden</t>
  </si>
  <si>
    <t>Bundesland:</t>
  </si>
  <si>
    <t>Spital am Semmering</t>
  </si>
  <si>
    <t>Lassee</t>
  </si>
  <si>
    <t>Sankt Nikola an der Donau</t>
  </si>
  <si>
    <t>Stadl an der Mur</t>
  </si>
  <si>
    <t>Laxenburg</t>
  </si>
  <si>
    <t>Sankt Oswald bei Freistadt</t>
  </si>
  <si>
    <t>Stainach</t>
  </si>
  <si>
    <t>Leiben</t>
  </si>
  <si>
    <t>Sankt Pankraz</t>
  </si>
  <si>
    <t>Stainz</t>
  </si>
  <si>
    <t>Leitzersdorf</t>
  </si>
  <si>
    <t>Sankt Pantaleon</t>
  </si>
  <si>
    <t>Stallhofen</t>
  </si>
  <si>
    <t>Lengenfeld</t>
  </si>
  <si>
    <t>Sankt Peter am Hart</t>
  </si>
  <si>
    <t>Stanz im Mürztal</t>
  </si>
  <si>
    <t>Leobersdorf</t>
  </si>
  <si>
    <t>Sankt Peter am Wimberg</t>
  </si>
  <si>
    <t>Stein an der Enns</t>
  </si>
  <si>
    <t>Leopoldsdorf bei Wien</t>
  </si>
  <si>
    <t>Sankt Roman bei Schärding</t>
  </si>
  <si>
    <t>Steinhaus am Semmering</t>
  </si>
  <si>
    <t>Leopoldsdorf im Marchfelde</t>
  </si>
  <si>
    <t>Sankt Thomas</t>
  </si>
  <si>
    <t>Stolzalpe Landesheilanstalt</t>
  </si>
  <si>
    <t>Lichtenau</t>
  </si>
  <si>
    <t>Sankt Thomas am Blasenstein</t>
  </si>
  <si>
    <t>Straden</t>
  </si>
  <si>
    <t>Lichtenegg (Dorf)</t>
  </si>
  <si>
    <t>Sankt Veit im Mühlkreis</t>
  </si>
  <si>
    <t>Strallegg</t>
  </si>
  <si>
    <t>Lichtenwörth</t>
  </si>
  <si>
    <t>Sankt Willibald</t>
  </si>
  <si>
    <t>Straß in Steiermark</t>
  </si>
  <si>
    <t>Lilienfeld</t>
  </si>
  <si>
    <t>Sankt Wolfgang im Salzkammergut</t>
  </si>
  <si>
    <t>Stubenberg</t>
  </si>
  <si>
    <t>Limberg</t>
  </si>
  <si>
    <t>Sarleinsbach</t>
  </si>
  <si>
    <t>Stübing</t>
  </si>
  <si>
    <t>Litschau</t>
  </si>
  <si>
    <t>Blatt "WP1", Zelle H68, neue Variable Zuschlag_CH (minimal Auslegungstemp. Schweiz) eingeführt und auf 2 gesetzt</t>
  </si>
  <si>
    <t>8.0.6b</t>
  </si>
  <si>
    <t>28e</t>
  </si>
  <si>
    <t>Bei Sole- &amp; WW-WP wird beim Deckungsgrad der Anteil Begleitheizband nicht abgezogen. Blatt "WP1", X35, Z35, AB35 anpepasst.</t>
  </si>
  <si>
    <t>28j</t>
  </si>
  <si>
    <t>falsche Berechnung JAZ bei negativer Temperatur Wärmequelle (s/w und w/w). Blatt "WP1", Zelle H33 angepasst.</t>
  </si>
  <si>
    <t>8.1.0</t>
  </si>
  <si>
    <t>fossil bivalent (paralleler Betrieb)</t>
  </si>
  <si>
    <t>fossil bivalent (alternativer Betrieb)</t>
  </si>
  <si>
    <t>Installation bivalente fossile alternative</t>
  </si>
  <si>
    <t>Impianto bivalente supplemento fossile alternativa</t>
  </si>
  <si>
    <t>Neu Unterscheidung fossil bivalent paralleler Betrieb und fossil bivalent alternativer Betrieb</t>
  </si>
  <si>
    <t>Dellach im Drautal</t>
  </si>
  <si>
    <t>Amstetten</t>
  </si>
  <si>
    <t>Andrichsfurt</t>
  </si>
  <si>
    <t>Bruck an der Großglocknerstraße</t>
  </si>
  <si>
    <t>Bad Gams</t>
  </si>
  <si>
    <t>Biberwier</t>
  </si>
  <si>
    <t>Wien-Landstraße</t>
  </si>
  <si>
    <t>Egg</t>
  </si>
  <si>
    <t>Forchtenstein</t>
  </si>
  <si>
    <t>Deutsch-Griffen</t>
  </si>
  <si>
    <t>Angern an der March</t>
  </si>
  <si>
    <t>Ansfelden</t>
  </si>
  <si>
    <t>Bürmoos</t>
  </si>
  <si>
    <t>Bad Gleichenberg</t>
  </si>
  <si>
    <t>Bichlbach</t>
  </si>
  <si>
    <t>Wien-Leopoldstadt</t>
  </si>
  <si>
    <t>Feldkirch</t>
  </si>
  <si>
    <t>Frauenkirchen</t>
  </si>
  <si>
    <t>Diex</t>
  </si>
  <si>
    <t>Annaberg</t>
  </si>
  <si>
    <t>Antiesenhofen</t>
  </si>
  <si>
    <t>Dienten am Hochkönig</t>
  </si>
  <si>
    <t>Bad Mitterndorf</t>
  </si>
  <si>
    <t>Brandenberg</t>
  </si>
  <si>
    <t>Wien-Liesing</t>
  </si>
  <si>
    <t>Fontanella</t>
  </si>
  <si>
    <t>Gattendorf</t>
  </si>
  <si>
    <t>Döbriach</t>
  </si>
  <si>
    <t>Arbesbach</t>
  </si>
  <si>
    <t>Arbing</t>
  </si>
  <si>
    <r>
      <t>Gesamtverlust Q</t>
    </r>
    <r>
      <rPr>
        <vertAlign val="subscript"/>
        <sz val="10"/>
        <color indexed="8"/>
        <rFont val="Arial"/>
        <family val="2"/>
      </rPr>
      <t>tot</t>
    </r>
  </si>
  <si>
    <r>
      <t>Heizwärmebedarf Q</t>
    </r>
    <r>
      <rPr>
        <vertAlign val="subscript"/>
        <sz val="10"/>
        <color indexed="8"/>
        <rFont val="Arial"/>
        <family val="2"/>
      </rPr>
      <t>H</t>
    </r>
  </si>
  <si>
    <t>Einträge:</t>
  </si>
  <si>
    <t>WP-Art</t>
  </si>
  <si>
    <t>WPArt</t>
  </si>
  <si>
    <t>Tv (Vorlauf Warmwasser)</t>
  </si>
  <si>
    <t>Bin h</t>
  </si>
  <si>
    <t xml:space="preserve">COP </t>
  </si>
  <si>
    <t xml:space="preserve">Pertes de distribution pour bâtiment à construire, chauffage dans la cave, isolée selon prescriptions (armatures, pompes ainsiq ue conduites isolées):  1-3%.  /  Pertes de distribution pour bâtiment à construire, chauffage dans bâtiment voisin:  3-15%.   </t>
  </si>
  <si>
    <r>
      <t>Facteur de pondération pour le chauffage</t>
    </r>
    <r>
      <rPr>
        <sz val="9"/>
        <rFont val="Arial"/>
        <family val="2"/>
      </rPr>
      <t xml:space="preserve">: </t>
    </r>
  </si>
  <si>
    <r>
      <t>Température ECS avec postchauffage électrique</t>
    </r>
    <r>
      <rPr>
        <sz val="9"/>
        <rFont val="Arial"/>
        <family val="2"/>
      </rPr>
      <t>:</t>
    </r>
  </si>
  <si>
    <t>im mittel über Auslegung</t>
  </si>
  <si>
    <t>Blatt WP</t>
  </si>
  <si>
    <t>WP Grafik</t>
  </si>
  <si>
    <t>Graphique PAC</t>
  </si>
  <si>
    <t>PdC=pompa di calore; ACS= Acqua calda sanitaria; h=rendimento; CLA= coefficiente di lavoro annuo (senza riscaldamento d'appoggio ne resistenze elettriche)</t>
  </si>
  <si>
    <t>Temperatura esterna
Ta</t>
  </si>
  <si>
    <t>Potenza
Necessaria</t>
  </si>
  <si>
    <t>PdC + riscaldamento d'appoggio</t>
  </si>
  <si>
    <t>Abbreviazioni:</t>
  </si>
  <si>
    <t>Pompe à chaleur eau/eau</t>
  </si>
  <si>
    <t>COP bei Normtemperatur 7 °C / 50°C (A7 / W50):</t>
  </si>
  <si>
    <t>COP bei Normtemperatur  (W10 / W50):</t>
  </si>
  <si>
    <t>une vitesse</t>
  </si>
  <si>
    <t>Fehler Qev</t>
  </si>
  <si>
    <t>Wenn Wahr dann Fehler</t>
  </si>
  <si>
    <t>Fabbisogno termico senza gli apporti di calore</t>
  </si>
  <si>
    <t>Copertura  dei collettori solari</t>
  </si>
  <si>
    <t>Fabbisogno termico senza collettori solari</t>
  </si>
  <si>
    <t>Riscaldamento d'appoggio</t>
  </si>
  <si>
    <t>Carico di base PdC, compresi corpi di riscaldamento dell'ACS</t>
  </si>
  <si>
    <t>Heimschuh</t>
  </si>
  <si>
    <t>Nauders</t>
  </si>
  <si>
    <t>Stegersbach</t>
  </si>
  <si>
    <t>Maria Wörth</t>
  </si>
  <si>
    <t>Gansbach</t>
  </si>
  <si>
    <t>Hofkirchen an der Trattnach</t>
  </si>
  <si>
    <t>Thalgau</t>
  </si>
  <si>
    <t>Hengsberg</t>
  </si>
  <si>
    <t>Nesselwängle</t>
  </si>
  <si>
    <t>Steinberg</t>
  </si>
  <si>
    <t>Meiselding</t>
  </si>
  <si>
    <t>Gänserndorf</t>
  </si>
  <si>
    <t>Hofkirchen im Mühlkreis</t>
  </si>
  <si>
    <t>Tweng</t>
  </si>
  <si>
    <t>Hieflau</t>
  </si>
  <si>
    <t>Neustift im Stubaital</t>
  </si>
  <si>
    <t>Steinbrunn</t>
  </si>
  <si>
    <t>Metnitz</t>
  </si>
  <si>
    <t>Gars am Kamp</t>
  </si>
  <si>
    <t>Hofkirchen im Traunkreis</t>
  </si>
  <si>
    <t>Unken</t>
  </si>
  <si>
    <t>Hirnsdorf</t>
  </si>
  <si>
    <t>Niederau</t>
  </si>
  <si>
    <t>Stinatz</t>
  </si>
  <si>
    <t>Micheldorf</t>
  </si>
  <si>
    <t>Gastern</t>
  </si>
  <si>
    <t>Hohenzell</t>
  </si>
  <si>
    <t>Untertauern</t>
  </si>
  <si>
    <t>Hirschegg Rein</t>
  </si>
  <si>
    <t>Niederndorf</t>
  </si>
  <si>
    <t>Stoob</t>
  </si>
  <si>
    <t>Miklauzhof</t>
  </si>
  <si>
    <t>Gaweinstal</t>
  </si>
  <si>
    <t>Höhnhart</t>
  </si>
  <si>
    <t>Uttendorf</t>
  </si>
  <si>
    <t>Hitzendorf</t>
  </si>
  <si>
    <t>Nikolsdorf</t>
  </si>
  <si>
    <t>Strem</t>
  </si>
  <si>
    <t>Millstatt</t>
  </si>
  <si>
    <t>Gedersdorf</t>
  </si>
  <si>
    <t>Hörsching</t>
  </si>
  <si>
    <t>Viehofen</t>
  </si>
  <si>
    <t>Ilz</t>
  </si>
  <si>
    <t>Oberau</t>
  </si>
  <si>
    <t>Tadten</t>
  </si>
  <si>
    <t>Mittertrixen</t>
  </si>
  <si>
    <t>Geras</t>
  </si>
  <si>
    <t>Julbach</t>
  </si>
  <si>
    <t>Wagrain Markt</t>
  </si>
  <si>
    <t>Irdning</t>
  </si>
  <si>
    <t>Obergurgl</t>
  </si>
  <si>
    <t>Trausdorf an der Wulka</t>
  </si>
  <si>
    <t>Möllbrücke</t>
  </si>
  <si>
    <t>Gerasdorf</t>
  </si>
  <si>
    <t>Katsdorf</t>
  </si>
  <si>
    <t>Wald im Pinzgau</t>
  </si>
  <si>
    <t>Jagerberg</t>
  </si>
  <si>
    <t>Oberndorf in Tirol</t>
  </si>
  <si>
    <t>Unterkohlstätten</t>
  </si>
  <si>
    <t>Moosburg</t>
  </si>
  <si>
    <t>Getzersdorf bei Traismauer</t>
  </si>
  <si>
    <t>Kefermarkt</t>
  </si>
  <si>
    <t>Wals</t>
  </si>
  <si>
    <t>Johnsbach</t>
  </si>
  <si>
    <t>Oberperfuss</t>
  </si>
  <si>
    <t>Unterpullendorf</t>
  </si>
  <si>
    <t>Mörtschach</t>
  </si>
  <si>
    <t>Gföhl</t>
  </si>
  <si>
    <t>Grundlsee</t>
  </si>
  <si>
    <t>Matrei in Osttirol</t>
  </si>
  <si>
    <t>Sankt Martin (Bezirk Oberpullendorf)</t>
  </si>
  <si>
    <t>Liesing</t>
  </si>
  <si>
    <t>Feuersbrunn</t>
  </si>
  <si>
    <t>Haid</t>
  </si>
  <si>
    <t>Sankt Michael im Lungau</t>
  </si>
  <si>
    <t>Gstatterboden</t>
  </si>
  <si>
    <t>Maurach</t>
  </si>
  <si>
    <t>Sankt Martin an der Raab</t>
  </si>
  <si>
    <t>Lind im Drautal</t>
  </si>
  <si>
    <t>Fischamend Markt</t>
  </si>
  <si>
    <t>Hallstatt</t>
  </si>
  <si>
    <t>Sankt Veit im Pongau</t>
  </si>
  <si>
    <t>Gußwerk</t>
  </si>
  <si>
    <t>Mayrhofen</t>
  </si>
  <si>
    <t>Sankt Michael im Burgenland</t>
  </si>
  <si>
    <t>Lölling</t>
  </si>
  <si>
    <t>Frankenfels</t>
  </si>
  <si>
    <t>Handenberg</t>
  </si>
  <si>
    <t>Schwarzach im Pongau</t>
  </si>
  <si>
    <t>Hainersdorf</t>
  </si>
  <si>
    <t>Mieders</t>
  </si>
  <si>
    <t>Sauerbrunn</t>
  </si>
  <si>
    <t>Ludmannsdorf</t>
  </si>
  <si>
    <t>Franzen</t>
  </si>
  <si>
    <t>Hargelsberg</t>
  </si>
  <si>
    <t>Seeham</t>
  </si>
  <si>
    <t>Halbenrain</t>
  </si>
  <si>
    <t>Mieming</t>
  </si>
  <si>
    <t>Schachendorf</t>
  </si>
  <si>
    <t>Mallnitz</t>
  </si>
  <si>
    <t>Frättingsdorf</t>
  </si>
  <si>
    <t>Hartkirchen</t>
  </si>
  <si>
    <t>Seekirchen Markt</t>
  </si>
  <si>
    <t>Hartberg</t>
  </si>
  <si>
    <t>Mittewald an der Drau</t>
  </si>
  <si>
    <t>Tragöß</t>
  </si>
  <si>
    <t>Mannswörth</t>
  </si>
  <si>
    <t>Schneegattern</t>
  </si>
  <si>
    <t>Sipbachzell</t>
  </si>
  <si>
    <t>Unterpurkla</t>
  </si>
  <si>
    <t>Maria-Lanzendorf</t>
  </si>
  <si>
    <t>Spital am Pyhrn</t>
  </si>
  <si>
    <t>Unterrohr</t>
  </si>
  <si>
    <t>Markgrafneusiedl</t>
  </si>
  <si>
    <t>Stadl-Paura</t>
  </si>
  <si>
    <t>Unzmarkt</t>
  </si>
  <si>
    <t>Martinsberg</t>
  </si>
  <si>
    <t>Voitsberg</t>
  </si>
  <si>
    <t>Matzen</t>
  </si>
  <si>
    <t>Steinbach am Attersee</t>
  </si>
  <si>
    <t>Vorau</t>
  </si>
  <si>
    <t>Matzleinsdorf bei Melk</t>
  </si>
  <si>
    <t>Steinbach am Ziehberg</t>
  </si>
  <si>
    <t>Vordernberg</t>
  </si>
  <si>
    <t>Mauerbach</t>
  </si>
  <si>
    <t>Steinerkirchen an der Traun</t>
  </si>
  <si>
    <t>Wagna</t>
  </si>
  <si>
    <t>Mauer-Öhling</t>
  </si>
  <si>
    <t>Steinhaus</t>
  </si>
  <si>
    <t>Wald am Schoberpaß</t>
  </si>
  <si>
    <t>Mautern</t>
  </si>
  <si>
    <t>Steyr</t>
  </si>
  <si>
    <t>Waldbach</t>
  </si>
  <si>
    <t>Melk</t>
  </si>
  <si>
    <t>Steyregg</t>
  </si>
  <si>
    <t>Waldstein</t>
  </si>
  <si>
    <t>Messern</t>
  </si>
  <si>
    <t>Steyrermühl</t>
  </si>
  <si>
    <t>Waltersdorf in Oststeiermark</t>
  </si>
  <si>
    <t>Michelbach Markt</t>
  </si>
  <si>
    <t>Steyrling</t>
  </si>
  <si>
    <t>Wartberg im Mürztal</t>
  </si>
  <si>
    <t>Michelhausen</t>
  </si>
  <si>
    <t>Straß im Attergau</t>
  </si>
  <si>
    <t>Wasendorf</t>
  </si>
  <si>
    <t>Miesenbach</t>
  </si>
  <si>
    <t>Stroheim</t>
  </si>
  <si>
    <t>Wegscheid</t>
  </si>
  <si>
    <t>Mistelbach an der Zaya</t>
  </si>
  <si>
    <t>Suben</t>
  </si>
  <si>
    <t>Hennersdorf bei Wien</t>
  </si>
  <si>
    <t>Neufelden</t>
  </si>
  <si>
    <t>Oberort</t>
  </si>
  <si>
    <t>Virgen</t>
  </si>
  <si>
    <t>Völkermarkt</t>
  </si>
  <si>
    <t>Herrnbaumgarten</t>
  </si>
  <si>
    <t>Neuhaus an der Donau</t>
  </si>
  <si>
    <t>Oberwölz Stadt</t>
  </si>
  <si>
    <t>Volders</t>
  </si>
  <si>
    <t>Vorderberg</t>
  </si>
  <si>
    <t>Quelle</t>
  </si>
  <si>
    <t>Luft-Wasser</t>
  </si>
  <si>
    <t>Heizung + WW</t>
  </si>
  <si>
    <t xml:space="preserve">Heizung </t>
  </si>
  <si>
    <t>Erdsonden</t>
  </si>
  <si>
    <t>Einsatz</t>
  </si>
  <si>
    <t>Wärmeq.:</t>
  </si>
  <si>
    <t>Speicher</t>
  </si>
  <si>
    <t>mit Heizungs - Speicher und Mischgruppe</t>
  </si>
  <si>
    <r>
      <t>Q</t>
    </r>
    <r>
      <rPr>
        <vertAlign val="subscript"/>
        <sz val="10"/>
        <color indexed="8"/>
        <rFont val="Arial"/>
        <family val="2"/>
      </rPr>
      <t>S,i (Übertrag &lt;0°C)</t>
    </r>
  </si>
  <si>
    <r>
      <t>Q</t>
    </r>
    <r>
      <rPr>
        <vertAlign val="subscript"/>
        <sz val="10"/>
        <color indexed="8"/>
        <rFont val="Arial"/>
        <family val="2"/>
      </rPr>
      <t>S,i (total)</t>
    </r>
  </si>
  <si>
    <t>Berechnungen Heizung und WW</t>
  </si>
  <si>
    <r>
      <rPr>
        <sz val="10"/>
        <color indexed="8"/>
        <rFont val="Symbol"/>
        <family val="1"/>
        <charset val="2"/>
      </rPr>
      <t>F</t>
    </r>
    <r>
      <rPr>
        <vertAlign val="subscript"/>
        <sz val="10"/>
        <color indexed="8"/>
        <rFont val="Arial"/>
        <family val="2"/>
      </rPr>
      <t xml:space="preserve">H, dis,i </t>
    </r>
    <r>
      <rPr>
        <sz val="8"/>
        <color indexed="8"/>
        <rFont val="Arial"/>
        <family val="2"/>
      </rPr>
      <t>Wärmelstg. bed. Heizung</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</si>
  <si>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(H + WW)</t>
    </r>
  </si>
  <si>
    <t>Aus WP-Leistungewerte</t>
  </si>
  <si>
    <r>
      <rPr>
        <sz val="10"/>
        <color indexed="8"/>
        <rFont val="Symbol"/>
        <family val="1"/>
        <charset val="2"/>
      </rPr>
      <t>q</t>
    </r>
    <r>
      <rPr>
        <vertAlign val="subscript"/>
        <sz val="10"/>
        <color indexed="8"/>
        <rFont val="Arial"/>
        <family val="2"/>
      </rPr>
      <t>H,ret,i</t>
    </r>
    <r>
      <rPr>
        <sz val="10"/>
        <color indexed="8"/>
        <rFont val="Arial"/>
        <family val="2"/>
      </rPr>
      <t xml:space="preserve"> </t>
    </r>
    <r>
      <rPr>
        <sz val="8"/>
        <color indexed="8"/>
        <rFont val="Arial"/>
        <family val="2"/>
      </rPr>
      <t>T RL Heizung im Bin</t>
    </r>
  </si>
  <si>
    <r>
      <rPr>
        <sz val="10"/>
        <color indexed="8"/>
        <rFont val="Symbol"/>
        <family val="1"/>
        <charset val="2"/>
      </rPr>
      <t>q</t>
    </r>
    <r>
      <rPr>
        <vertAlign val="subscript"/>
        <sz val="10"/>
        <color indexed="8"/>
        <rFont val="Arial"/>
        <family val="2"/>
      </rPr>
      <t>H,su,i</t>
    </r>
    <r>
      <rPr>
        <sz val="10"/>
        <color indexed="8"/>
        <rFont val="Arial"/>
        <family val="2"/>
      </rPr>
      <t xml:space="preserve"> </t>
    </r>
    <r>
      <rPr>
        <sz val="8"/>
        <color indexed="8"/>
        <rFont val="Arial"/>
        <family val="2"/>
      </rPr>
      <t>T VL Heizung im Bin</t>
    </r>
  </si>
  <si>
    <t>A52(Heizg)</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</si>
  <si>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(Heizung)</t>
    </r>
  </si>
  <si>
    <t>A52/A51</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</si>
  <si>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(H+WW)</t>
    </r>
  </si>
  <si>
    <t>A54(H+WW)</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</si>
  <si>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(H + WW)</t>
    </r>
  </si>
  <si>
    <t>A48(H+WW)</t>
  </si>
  <si>
    <t>A47(H+WW)</t>
  </si>
  <si>
    <t>Bruttoertrag (Heizung und WW)</t>
  </si>
  <si>
    <t>inkl. el. Zusatz</t>
  </si>
  <si>
    <t>y compris el. add.</t>
  </si>
  <si>
    <t>exclu el. add.</t>
  </si>
  <si>
    <t>escl. el. suppl.</t>
  </si>
  <si>
    <t>incl. el. suppl.</t>
  </si>
  <si>
    <t>Bei Zusatzenergie Verteilverlustedoppelt eingerechnet. Blatt "WP1", Zellen AD60-AD127 / AF60-AF127 angepasst</t>
  </si>
  <si>
    <t>Blatt "WP1", Zelle Y60-Y127: BIN-Stunden mit Korrekturfaktor reduziert bei manueller Eingabe der Heizleistung</t>
  </si>
  <si>
    <t>Blatt "Berecnungen", Zelle A36: Korrekturfaktor Leistung bei manueller Leistungsvorgabe eingeführt</t>
  </si>
  <si>
    <t>Heizleistungsbedarf Gebäude unterhalb Auslegungstemp. nicht mehr erhöht. Blatt WP1, Zellen Z60-Z127 angepasst.</t>
  </si>
  <si>
    <t>Vorarlberg</t>
  </si>
  <si>
    <t>·         für Fragen zur Wärmepumpen-Förderung: Christian Vögel, Amt der Vorarlberger Landesregierung, 05574 / 511-26120, Christian.Voegel@vorarlberg.at</t>
  </si>
  <si>
    <t>·         für Fragen zum Tool JAZcalc: Wilhelm Schlader, Energieinstitut Vorarlberg, 05572 / 31202-82, wilhelm.schlader@energeinstitut.at</t>
  </si>
  <si>
    <t>Richtlinien und Antrag der Energieförderungen (Biomasse, Wärmepumpe, Solaranlage):</t>
  </si>
  <si>
    <t>http://www.vorarlberg.at/vorarlberg/wasser_energie/energie/energie/formulare/energieformulare.htm</t>
  </si>
  <si>
    <t>Amt der Vorarlberger Landesregierung, DI Christian Vögel, Jän. 2011</t>
  </si>
  <si>
    <t>Stufigkeit</t>
  </si>
  <si>
    <t>1=einstufig / 2=zweistufig / 3=mehrstufig / 4=stufenlos</t>
  </si>
  <si>
    <t>COP alle condizioni normalizzate (B0 / W50)</t>
  </si>
  <si>
    <t>COP alle condizioni normalizzate +7 °C  (A7 / W35):</t>
  </si>
  <si>
    <t>Coefficiente di prestazione COP (B0 / W35)</t>
  </si>
  <si>
    <t>Tipo di pompa (dati necessari se la potenza &lt; al valore proposto)</t>
  </si>
  <si>
    <t>Potenza termica alle condizioni normalizzate +7 °C (A7 / W35):</t>
  </si>
  <si>
    <t>Potenza termica per (B0 / W35):</t>
  </si>
  <si>
    <t>Capacità dell'accumulatore del riscaldamento</t>
  </si>
  <si>
    <t>Litri</t>
  </si>
  <si>
    <t>Abitazione plurifamiliare</t>
  </si>
  <si>
    <t>Abitazione monofamiliare</t>
  </si>
  <si>
    <t>Amministrazione</t>
  </si>
  <si>
    <t>Scuole</t>
  </si>
  <si>
    <t>Negozi</t>
  </si>
  <si>
    <t>Ristoranti</t>
  </si>
  <si>
    <t>Locali pubblici</t>
  </si>
  <si>
    <t>Ospedali</t>
  </si>
  <si>
    <t>Magazzini</t>
  </si>
  <si>
    <t>Impianti sportivi</t>
  </si>
  <si>
    <t>Piscine</t>
  </si>
  <si>
    <t>Riscaldamento</t>
  </si>
  <si>
    <t>Bivalenzpunkt (alternativ)</t>
  </si>
  <si>
    <t>°C</t>
  </si>
  <si>
    <t>Pel B0/W35:</t>
  </si>
  <si>
    <t>Pel 10/35:</t>
  </si>
  <si>
    <t>Pel 10/50:</t>
  </si>
  <si>
    <t>Leistung bei 7°C</t>
  </si>
  <si>
    <t>Dati dell'edificio</t>
  </si>
  <si>
    <t>Qh mit Verteilverlusten</t>
  </si>
  <si>
    <t>COP mittel</t>
  </si>
  <si>
    <t>Wolfsbach</t>
  </si>
  <si>
    <t>Wolfsgraben</t>
  </si>
  <si>
    <t>Wolfsthal</t>
  </si>
  <si>
    <t>Wolkersdorf</t>
  </si>
  <si>
    <t>Wöllersdorf</t>
  </si>
  <si>
    <t>Wullersdorf</t>
  </si>
  <si>
    <t>Wulzeshofen</t>
  </si>
  <si>
    <t>Würmla</t>
  </si>
  <si>
    <t>Würnitz</t>
  </si>
  <si>
    <t>Ybbs an der Donau</t>
  </si>
  <si>
    <t>Ybbsitz</t>
  </si>
  <si>
    <t>Yspertal</t>
  </si>
  <si>
    <t>Zeillern</t>
  </si>
  <si>
    <t>Zeiselmauer</t>
  </si>
  <si>
    <t>Zellerndorf</t>
  </si>
  <si>
    <t>Ziersdorf</t>
  </si>
  <si>
    <t>Zissersdorf</t>
  </si>
  <si>
    <t>Zistersdorf</t>
  </si>
  <si>
    <t>Zöbern</t>
  </si>
  <si>
    <t>Zöbing</t>
  </si>
  <si>
    <t>Zwentendorf an der Donau</t>
  </si>
  <si>
    <t>Zwettl Stadt</t>
  </si>
  <si>
    <t>Zwingendorf</t>
  </si>
  <si>
    <t xml:space="preserve">
Energiekosten: Grundlagen
</t>
  </si>
  <si>
    <t>Stromkosten:</t>
  </si>
  <si>
    <t>Niedertarif</t>
  </si>
  <si>
    <t>Euro / kWh</t>
  </si>
  <si>
    <t xml:space="preserve">von  </t>
  </si>
  <si>
    <t xml:space="preserve">Uhr    bis  </t>
  </si>
  <si>
    <t xml:space="preserve"> Uhr</t>
  </si>
  <si>
    <t>Hochtarif</t>
  </si>
  <si>
    <t>Mittelwert:</t>
  </si>
  <si>
    <t>Energiekosten Zusatzheizung</t>
  </si>
  <si>
    <t>Kosten:</t>
  </si>
  <si>
    <t>Erdöl</t>
  </si>
  <si>
    <t>Wichtige Hinweise für den Fördernachweis in Vorarlberg</t>
  </si>
  <si>
    <t>Sankt Gilgen</t>
  </si>
  <si>
    <t>Großreifling</t>
  </si>
  <si>
    <t>Leutasch</t>
  </si>
  <si>
    <t>Rudersdorf</t>
  </si>
  <si>
    <t>Ledenitzen</t>
  </si>
  <si>
    <t>Feistritz am Wechsel</t>
  </si>
  <si>
    <t>Haag am Hausruck</t>
  </si>
  <si>
    <t>Sankt Johann im Pongau</t>
  </si>
  <si>
    <t>Großsteinbach</t>
  </si>
  <si>
    <t>Lienz</t>
  </si>
  <si>
    <t>Rust</t>
  </si>
  <si>
    <t>Lendorf</t>
  </si>
  <si>
    <t>Felixdorf</t>
  </si>
  <si>
    <t>Hagenberg im Mühlkreis</t>
  </si>
  <si>
    <t>Sankt Koloman</t>
  </si>
  <si>
    <t>Großveitsch</t>
  </si>
  <si>
    <t>Mathon</t>
  </si>
  <si>
    <t>Sankt Andrä bei Frauenkirchen</t>
  </si>
  <si>
    <t>Liebenfels</t>
  </si>
  <si>
    <t>Fels am Wagram</t>
  </si>
  <si>
    <t>Haibach bei Schärding</t>
  </si>
  <si>
    <t>Sankt Martin am Tennengebirge</t>
  </si>
  <si>
    <t>Großwilfersdorf</t>
  </si>
  <si>
    <t>Matrei am Brenner</t>
  </si>
  <si>
    <t>Sankt Margarethen im Burgenland</t>
  </si>
  <si>
    <t>Lieserbrücke</t>
  </si>
  <si>
    <t>Ferschnitz</t>
  </si>
  <si>
    <t>Haibach ob der Donau</t>
  </si>
  <si>
    <t>Sankt Martin bei Lofer</t>
  </si>
  <si>
    <t>Winden am See</t>
  </si>
  <si>
    <t>Paternion</t>
  </si>
  <si>
    <t>Göpfritz an der Wild</t>
  </si>
  <si>
    <t>Klam</t>
  </si>
  <si>
    <t>Kammern im Liesingtal</t>
  </si>
  <si>
    <t>Pfaffenhofen</t>
  </si>
  <si>
    <t>Wolfau</t>
  </si>
  <si>
    <t>Penk</t>
  </si>
  <si>
    <t>Gösing</t>
  </si>
  <si>
    <t>Klaus an der Pyhrnbahn</t>
  </si>
  <si>
    <t>Kapellen</t>
  </si>
  <si>
    <t>Pfunds Dorf</t>
  </si>
  <si>
    <t>Wulkaprodersdorf</t>
  </si>
  <si>
    <t>Pischeldorf</t>
  </si>
  <si>
    <t>Gösing an der Mariazeller Bahn</t>
  </si>
  <si>
    <t>Kleinraming</t>
  </si>
  <si>
    <t>Kapfenberg</t>
  </si>
  <si>
    <t>Pians</t>
  </si>
  <si>
    <t>Zemendorf</t>
  </si>
  <si>
    <t>Pörtschach am Wörthersee</t>
  </si>
  <si>
    <t>Göstling an der Ybbs</t>
  </si>
  <si>
    <t>Kleinreifling</t>
  </si>
  <si>
    <t>Kapfenstein</t>
  </si>
  <si>
    <t>Prägraten</t>
  </si>
  <si>
    <t>Zillingtal</t>
  </si>
  <si>
    <t>Prebl</t>
  </si>
  <si>
    <t>Göttlesbrunn</t>
  </si>
  <si>
    <t>Kleinzell im Mühlkreis</t>
  </si>
  <si>
    <t>Katsch an der Mur</t>
  </si>
  <si>
    <t>Prutz</t>
  </si>
  <si>
    <t>Zurndorf</t>
  </si>
  <si>
    <t>Preitenegg</t>
  </si>
  <si>
    <t>Götzendorf</t>
  </si>
  <si>
    <t>Kollerschlag</t>
  </si>
  <si>
    <t>Kindberg</t>
  </si>
  <si>
    <t>Rattenberg</t>
  </si>
  <si>
    <t>Pusarnitz</t>
  </si>
  <si>
    <t>Götzendorf an der Leitha</t>
  </si>
  <si>
    <t>Königswiesen</t>
  </si>
  <si>
    <t>Kindberg-Aumühl</t>
  </si>
  <si>
    <t>Reith bei Brixlegg</t>
  </si>
  <si>
    <t>Pustritz</t>
  </si>
  <si>
    <t>Grafenschlag</t>
  </si>
  <si>
    <t>Kopfing im Innkreis</t>
  </si>
  <si>
    <t>Kirchbach in Steiermark</t>
  </si>
  <si>
    <t>Reith bei Seefeld</t>
  </si>
  <si>
    <t>Radenthein</t>
  </si>
  <si>
    <t>Grafenwörth</t>
  </si>
  <si>
    <t>Kremsmünster</t>
  </si>
  <si>
    <t>Kirchberg an der Raab</t>
  </si>
  <si>
    <t>Reutte</t>
  </si>
  <si>
    <t>Rangersdorf</t>
  </si>
  <si>
    <t>Grainbrunn</t>
  </si>
  <si>
    <t>Krenglbach</t>
  </si>
  <si>
    <t>Kitzeck im Sausal</t>
  </si>
  <si>
    <t>Ried im Oberinntal</t>
  </si>
  <si>
    <t>Rattendorf</t>
  </si>
  <si>
    <t>Gramatneusiedl</t>
  </si>
  <si>
    <t>Kreuzen</t>
  </si>
  <si>
    <t>Klöch</t>
  </si>
  <si>
    <t>Rietz</t>
  </si>
  <si>
    <t>Reichenfels</t>
  </si>
  <si>
    <t>Greifenstein</t>
  </si>
  <si>
    <t>Kronstorf</t>
  </si>
  <si>
    <t>Knittelfeld</t>
  </si>
  <si>
    <t>Rinn</t>
  </si>
  <si>
    <t>Reifnitz</t>
  </si>
  <si>
    <t>Gresten</t>
  </si>
  <si>
    <t>Laakirchen</t>
  </si>
  <si>
    <t>Köflach</t>
  </si>
  <si>
    <t>Roppen</t>
  </si>
  <si>
    <t>Reisach</t>
  </si>
  <si>
    <t>Grimmenstein</t>
  </si>
  <si>
    <t>Lambach</t>
  </si>
  <si>
    <t>Köflach-Pichling</t>
  </si>
  <si>
    <t>Rum</t>
  </si>
  <si>
    <t>Rennweg</t>
  </si>
  <si>
    <t>Groß Sierning</t>
  </si>
  <si>
    <t>Lambrechten</t>
  </si>
  <si>
    <t>Koglhof</t>
  </si>
  <si>
    <t>Sankt Anton am Arlberg</t>
  </si>
  <si>
    <t>Riegersdorf</t>
  </si>
  <si>
    <t>Großau</t>
  </si>
  <si>
    <t>Lasberg</t>
  </si>
  <si>
    <t>Krakaudorf</t>
  </si>
  <si>
    <t>Sankt Jakob in Defereggen</t>
  </si>
  <si>
    <t>Rosegg</t>
  </si>
  <si>
    <t>Großebersdorf</t>
  </si>
  <si>
    <t>Lauffen</t>
  </si>
  <si>
    <t>Kraubath an der Mur</t>
  </si>
  <si>
    <t>Sankt Jodok am Brenner</t>
  </si>
  <si>
    <t>Rosenbach</t>
  </si>
  <si>
    <t>Groß-Engersdorf</t>
  </si>
  <si>
    <t>Laussa</t>
  </si>
  <si>
    <t>Krieglach</t>
  </si>
  <si>
    <t>Sankt Johann in Tirol</t>
  </si>
  <si>
    <t>Rothenthurn</t>
  </si>
  <si>
    <t>Groß-Enzersdorf</t>
  </si>
  <si>
    <t>Allegare il calcolo esterno (p.es. con programma EWS) o lasciare vuoto</t>
  </si>
  <si>
    <r>
      <t>Genutzte freie Wärme Q</t>
    </r>
    <r>
      <rPr>
        <vertAlign val="subscript"/>
        <sz val="10"/>
        <color indexed="8"/>
        <rFont val="Arial"/>
        <family val="2"/>
      </rPr>
      <t>ug</t>
    </r>
  </si>
  <si>
    <r>
      <rPr>
        <sz val="10"/>
        <color indexed="8"/>
        <rFont val="Symbol"/>
        <family val="1"/>
        <charset val="2"/>
      </rPr>
      <t>F</t>
    </r>
    <r>
      <rPr>
        <vertAlign val="subscript"/>
        <sz val="10"/>
        <color indexed="8"/>
        <rFont val="Arial"/>
        <family val="2"/>
      </rPr>
      <t>g, ev</t>
    </r>
  </si>
  <si>
    <r>
      <t>Q</t>
    </r>
    <r>
      <rPr>
        <vertAlign val="subscript"/>
        <sz val="10"/>
        <color indexed="8"/>
        <rFont val="Arial"/>
        <family val="2"/>
      </rPr>
      <t xml:space="preserve">ug,ev </t>
    </r>
    <r>
      <rPr>
        <sz val="10"/>
        <color indexed="8"/>
        <rFont val="Arial"/>
        <family val="2"/>
      </rPr>
      <t>Ta h</t>
    </r>
  </si>
  <si>
    <r>
      <t>Q</t>
    </r>
    <r>
      <rPr>
        <vertAlign val="subscript"/>
        <sz val="10"/>
        <color indexed="8"/>
        <rFont val="Arial"/>
        <family val="2"/>
      </rPr>
      <t xml:space="preserve">ug,ev </t>
    </r>
    <r>
      <rPr>
        <sz val="10"/>
        <color indexed="8"/>
        <rFont val="Arial"/>
        <family val="2"/>
      </rPr>
      <t>Ta Tg</t>
    </r>
  </si>
  <si>
    <r>
      <t>t</t>
    </r>
    <r>
      <rPr>
        <vertAlign val="subscript"/>
        <sz val="10"/>
        <color indexed="8"/>
        <rFont val="Arial"/>
        <family val="2"/>
      </rPr>
      <t>Qtot - Qug,ev</t>
    </r>
    <r>
      <rPr>
        <sz val="10"/>
        <color indexed="8"/>
        <rFont val="Arial"/>
        <family val="2"/>
      </rPr>
      <t xml:space="preserve"> Ta h</t>
    </r>
  </si>
  <si>
    <r>
      <t>t</t>
    </r>
    <r>
      <rPr>
        <vertAlign val="subscript"/>
        <sz val="10"/>
        <color indexed="8"/>
        <rFont val="Arial"/>
        <family val="2"/>
      </rPr>
      <t>Qtot - Qug,ev</t>
    </r>
    <r>
      <rPr>
        <sz val="10"/>
        <color indexed="8"/>
        <rFont val="Arial"/>
        <family val="2"/>
      </rPr>
      <t xml:space="preserve"> Ta Tg</t>
    </r>
  </si>
  <si>
    <r>
      <t>Q</t>
    </r>
    <r>
      <rPr>
        <vertAlign val="subscript"/>
        <sz val="10"/>
        <color indexed="8"/>
        <rFont val="Arial"/>
        <family val="2"/>
      </rPr>
      <t xml:space="preserve">ug,ue </t>
    </r>
    <r>
      <rPr>
        <sz val="10"/>
        <color indexed="8"/>
        <rFont val="Arial"/>
        <family val="2"/>
      </rPr>
      <t>Ta h</t>
    </r>
  </si>
  <si>
    <r>
      <t>Q</t>
    </r>
    <r>
      <rPr>
        <vertAlign val="subscript"/>
        <sz val="10"/>
        <color indexed="8"/>
        <rFont val="Arial"/>
        <family val="2"/>
      </rPr>
      <t xml:space="preserve">ug,ue </t>
    </r>
    <r>
      <rPr>
        <sz val="10"/>
        <color indexed="8"/>
        <rFont val="Arial"/>
        <family val="2"/>
      </rPr>
      <t>Ta Tg</t>
    </r>
  </si>
  <si>
    <r>
      <t>Q</t>
    </r>
    <r>
      <rPr>
        <vertAlign val="subscript"/>
        <sz val="10"/>
        <color indexed="8"/>
        <rFont val="Arial"/>
        <family val="2"/>
      </rPr>
      <t xml:space="preserve">ug,ue </t>
    </r>
    <r>
      <rPr>
        <sz val="10"/>
        <color indexed="8"/>
        <rFont val="Arial"/>
        <family val="2"/>
      </rPr>
      <t>Ta h BINs Vorgabe</t>
    </r>
  </si>
  <si>
    <r>
      <t>Q</t>
    </r>
    <r>
      <rPr>
        <vertAlign val="subscript"/>
        <sz val="10"/>
        <color indexed="8"/>
        <rFont val="Arial"/>
        <family val="2"/>
      </rPr>
      <t xml:space="preserve">ug,ue </t>
    </r>
    <r>
      <rPr>
        <sz val="10"/>
        <color indexed="8"/>
        <rFont val="Arial"/>
        <family val="2"/>
      </rPr>
      <t>Ta Tg BINs Vorgabe</t>
    </r>
  </si>
  <si>
    <r>
      <t>Q</t>
    </r>
    <r>
      <rPr>
        <vertAlign val="subscript"/>
        <sz val="10"/>
        <color indexed="8"/>
        <rFont val="Arial"/>
        <family val="2"/>
      </rPr>
      <t xml:space="preserve">ug,ue </t>
    </r>
    <r>
      <rPr>
        <sz val="10"/>
        <color indexed="8"/>
        <rFont val="Arial"/>
        <family val="2"/>
      </rPr>
      <t>Ta h Differenz</t>
    </r>
  </si>
  <si>
    <r>
      <t>Q</t>
    </r>
    <r>
      <rPr>
        <vertAlign val="subscript"/>
        <sz val="10"/>
        <color indexed="8"/>
        <rFont val="Arial"/>
        <family val="2"/>
      </rPr>
      <t xml:space="preserve">ug,ue </t>
    </r>
    <r>
      <rPr>
        <sz val="10"/>
        <color indexed="8"/>
        <rFont val="Arial"/>
        <family val="2"/>
      </rPr>
      <t>Ta Tg  Differenz</t>
    </r>
  </si>
  <si>
    <r>
      <t>t</t>
    </r>
    <r>
      <rPr>
        <vertAlign val="subscript"/>
        <sz val="10"/>
        <color indexed="8"/>
        <rFont val="Arial"/>
        <family val="2"/>
      </rPr>
      <t>Qtot - Qug,ev</t>
    </r>
    <r>
      <rPr>
        <sz val="10"/>
        <color indexed="8"/>
        <rFont val="Arial"/>
        <family val="2"/>
      </rPr>
      <t xml:space="preserve"> Ta h Differenz</t>
    </r>
  </si>
  <si>
    <r>
      <t>t</t>
    </r>
    <r>
      <rPr>
        <vertAlign val="subscript"/>
        <sz val="10"/>
        <color indexed="8"/>
        <rFont val="Arial"/>
        <family val="2"/>
      </rPr>
      <t>Qtot - Qug,ev</t>
    </r>
    <r>
      <rPr>
        <sz val="10"/>
        <color indexed="8"/>
        <rFont val="Arial"/>
        <family val="2"/>
      </rPr>
      <t xml:space="preserve"> Ta Tg Differenz</t>
    </r>
  </si>
  <si>
    <r>
      <t>Q</t>
    </r>
    <r>
      <rPr>
        <vertAlign val="subscript"/>
        <sz val="10"/>
        <color indexed="8"/>
        <rFont val="Arial"/>
        <family val="2"/>
      </rPr>
      <t xml:space="preserve">ug,ue </t>
    </r>
    <r>
      <rPr>
        <sz val="10"/>
        <color indexed="8"/>
        <rFont val="Arial"/>
        <family val="2"/>
      </rPr>
      <t>Ta h BINs Differenz</t>
    </r>
  </si>
  <si>
    <r>
      <t>Q</t>
    </r>
    <r>
      <rPr>
        <vertAlign val="subscript"/>
        <sz val="10"/>
        <color indexed="8"/>
        <rFont val="Arial"/>
        <family val="2"/>
      </rPr>
      <t xml:space="preserve">ug,ue </t>
    </r>
    <r>
      <rPr>
        <sz val="10"/>
        <color indexed="8"/>
        <rFont val="Arial"/>
        <family val="2"/>
      </rPr>
      <t>Ta Tg BINs Differenz</t>
    </r>
  </si>
  <si>
    <r>
      <t>Q</t>
    </r>
    <r>
      <rPr>
        <vertAlign val="subscript"/>
        <sz val="10"/>
        <color indexed="8"/>
        <rFont val="Arial"/>
        <family val="2"/>
      </rPr>
      <t xml:space="preserve">ug,ue </t>
    </r>
    <r>
      <rPr>
        <sz val="10"/>
        <color indexed="8"/>
        <rFont val="Arial"/>
        <family val="2"/>
      </rPr>
      <t>Ta h BINs Fehler</t>
    </r>
  </si>
  <si>
    <r>
      <t>Q</t>
    </r>
    <r>
      <rPr>
        <vertAlign val="subscript"/>
        <sz val="10"/>
        <color indexed="8"/>
        <rFont val="Arial"/>
        <family val="2"/>
      </rPr>
      <t xml:space="preserve">ug,ue </t>
    </r>
    <r>
      <rPr>
        <sz val="10"/>
        <color indexed="8"/>
        <rFont val="Arial"/>
        <family val="2"/>
      </rPr>
      <t>Ta Tg BINs Fehler</t>
    </r>
  </si>
  <si>
    <r>
      <t>Q</t>
    </r>
    <r>
      <rPr>
        <vertAlign val="subscript"/>
        <sz val="10"/>
        <color indexed="8"/>
        <rFont val="Arial"/>
        <family val="2"/>
      </rPr>
      <t xml:space="preserve">ug,ue </t>
    </r>
    <r>
      <rPr>
        <sz val="10"/>
        <color indexed="8"/>
        <rFont val="Arial"/>
        <family val="2"/>
      </rPr>
      <t>Ta h BINs Umlage</t>
    </r>
  </si>
  <si>
    <r>
      <t>Q</t>
    </r>
    <r>
      <rPr>
        <vertAlign val="subscript"/>
        <sz val="10"/>
        <color indexed="8"/>
        <rFont val="Arial"/>
        <family val="2"/>
      </rPr>
      <t xml:space="preserve">ug,ue </t>
    </r>
    <r>
      <rPr>
        <sz val="10"/>
        <color indexed="8"/>
        <rFont val="Arial"/>
        <family val="2"/>
      </rPr>
      <t>Ta Tg BINs Umlage</t>
    </r>
  </si>
  <si>
    <r>
      <t>Q</t>
    </r>
    <r>
      <rPr>
        <vertAlign val="subscript"/>
        <sz val="10"/>
        <color indexed="8"/>
        <rFont val="Arial"/>
        <family val="2"/>
      </rPr>
      <t xml:space="preserve">tot </t>
    </r>
    <r>
      <rPr>
        <sz val="10"/>
        <color indexed="8"/>
        <rFont val="Arial"/>
        <family val="2"/>
      </rPr>
      <t>Ta h BINs</t>
    </r>
  </si>
  <si>
    <r>
      <t>Q</t>
    </r>
    <r>
      <rPr>
        <vertAlign val="subscript"/>
        <sz val="10"/>
        <color indexed="8"/>
        <rFont val="Arial"/>
        <family val="2"/>
      </rPr>
      <t xml:space="preserve">tot </t>
    </r>
    <r>
      <rPr>
        <sz val="10"/>
        <color indexed="8"/>
        <rFont val="Arial"/>
        <family val="2"/>
      </rPr>
      <t>Ta Tg BINS</t>
    </r>
  </si>
  <si>
    <t>Non disponibile</t>
  </si>
  <si>
    <t>Fabbisogno di potenza per il riscaldamento (senza ACS)</t>
  </si>
  <si>
    <t>P calcolata a -8°C</t>
  </si>
  <si>
    <t>Copertura del fabbisogno e prestazioni</t>
  </si>
  <si>
    <t>Quota di copertura solare (risc.)</t>
  </si>
  <si>
    <t>Quota di copertura solare (ACS)</t>
  </si>
  <si>
    <t>Quota di copertura PdC (risc.)</t>
  </si>
  <si>
    <t>Weichselboden</t>
  </si>
  <si>
    <t>Mitterarnsdorf</t>
  </si>
  <si>
    <t>Taiskirchen im Innkreis</t>
  </si>
  <si>
    <t>Weißenbach an der Enns</t>
  </si>
  <si>
    <t>Mitterbach</t>
  </si>
  <si>
    <t>Taufkirchen an der Pram</t>
  </si>
  <si>
    <t>Weißkirchen in Steiermark</t>
  </si>
  <si>
    <t>Mitterndorf an der Fischa</t>
  </si>
  <si>
    <t>Taufkirchen an der Trattnach</t>
  </si>
  <si>
    <t>Weiz</t>
  </si>
  <si>
    <t>Mödling</t>
  </si>
  <si>
    <t>Ternberg</t>
  </si>
  <si>
    <t>Wenigzell</t>
  </si>
  <si>
    <t>Möllersdorf</t>
  </si>
  <si>
    <t>Possono essere ripresi dal calcolo SIA 380/1. Il recupero di calore può essere preso in conto nelle perdite per ventilazione (Dunque calcolate con la portata d'aria termicamente determinante). Se QT e QV sono lasciati vuoti, é ammesso che: (QT+QV)=Qh/15*2</t>
  </si>
  <si>
    <t>Température de commutation pour fonctionnement bivalent alternatif</t>
  </si>
  <si>
    <t>Heizleistung nach 384/3</t>
  </si>
  <si>
    <t>8.0.5</t>
  </si>
  <si>
    <t>Blatt "WP1", Zelle Y130 und T130: Fehler bei Berechnung Anteil freie Wärme (Solaranteil). Fehler behoben</t>
  </si>
  <si>
    <t>Gemäss Norm SIA 384/3 ist Leistungsbedarf keine Eingabegrösse: Blatt "WP1", Zelle H14 angepasst.</t>
  </si>
  <si>
    <t>Blatt "WP1", Zelle Z60 - Z125, Leistungsbedarf neu von Blatt Berechnung SIA 384/3 übernommen.</t>
  </si>
  <si>
    <t>Blatt "Grafik". Berechnung entsprechend Anpassung 15 angepasst.</t>
  </si>
  <si>
    <t>H_5_T36</t>
  </si>
  <si>
    <t>Anzal Zeilen pro Block</t>
  </si>
  <si>
    <t>Station</t>
  </si>
  <si>
    <t>ABO</t>
  </si>
  <si>
    <t>Bintemperatur</t>
  </si>
  <si>
    <t>Stunden (Ta Stundewerte)</t>
  </si>
  <si>
    <t>Thening</t>
  </si>
  <si>
    <t>Werndorf</t>
  </si>
  <si>
    <t>Mönichkirchen</t>
  </si>
  <si>
    <t>Thomasroith</t>
  </si>
  <si>
    <t>Wettmannstätten</t>
  </si>
  <si>
    <t>Mühlbach am Manhartsberg</t>
  </si>
  <si>
    <t>Timelkam</t>
  </si>
  <si>
    <t>Wies</t>
  </si>
  <si>
    <t>Traberg</t>
  </si>
  <si>
    <t>Wildalpen</t>
  </si>
  <si>
    <t>Münchendorf</t>
  </si>
  <si>
    <t>Tragwein</t>
  </si>
  <si>
    <t>Wildon</t>
  </si>
  <si>
    <t>Münichreith</t>
  </si>
  <si>
    <t>Trattenbach</t>
  </si>
  <si>
    <t>Wolfsberg im Schwarzautal</t>
  </si>
  <si>
    <t>Muthmannsdorf</t>
  </si>
  <si>
    <t>Traun</t>
  </si>
  <si>
    <t>Wörschach</t>
  </si>
  <si>
    <t>Nagelberg</t>
  </si>
  <si>
    <t>Traunkirchen</t>
  </si>
  <si>
    <t>Wörth an der Lafnitz</t>
  </si>
  <si>
    <t>Nappersdorf</t>
  </si>
  <si>
    <t>Treubach</t>
  </si>
  <si>
    <t>Wundschuh</t>
  </si>
  <si>
    <t>Naßwald</t>
  </si>
  <si>
    <t>Ulrichsberg</t>
  </si>
  <si>
    <t>Zeltweg</t>
  </si>
  <si>
    <t>Neubau</t>
  </si>
  <si>
    <t>Ungenach</t>
  </si>
  <si>
    <t>Neuda</t>
  </si>
  <si>
    <t>Unterach</t>
  </si>
  <si>
    <t>Neudorf bei Staatz</t>
  </si>
  <si>
    <t>Untergaisbach</t>
  </si>
  <si>
    <t>Neuhaus</t>
  </si>
  <si>
    <t>Unterweißenbach</t>
  </si>
  <si>
    <t>Neuhofen an der Ybbs</t>
  </si>
  <si>
    <t>Neulengbach</t>
  </si>
  <si>
    <t>Utzenaich</t>
  </si>
  <si>
    <t>Neumarkt an der Ybbs</t>
  </si>
  <si>
    <t>Vichtenstein</t>
  </si>
  <si>
    <t>Neunkirchen</t>
  </si>
  <si>
    <t>Vöcklabruck</t>
  </si>
  <si>
    <t>Neupölla</t>
  </si>
  <si>
    <t>Leistungsbedarf</t>
  </si>
  <si>
    <t>Registre électrique pour post-chauffage:</t>
  </si>
  <si>
    <t>Taux de couverture de la PAC pour ECS</t>
  </si>
  <si>
    <t>Inclinaison:</t>
  </si>
  <si>
    <t>Besoin d'énergie:</t>
  </si>
  <si>
    <t>Couverture des besoins et COP's:</t>
  </si>
  <si>
    <t>PAC + chauffage d'appoint</t>
  </si>
  <si>
    <t xml:space="preserve"> Besoins de chaleur sans les gains de chaleur</t>
  </si>
  <si>
    <t>Couverture par les capteurs solaires</t>
  </si>
  <si>
    <t>Anfahrverluste WP Heizung</t>
  </si>
  <si>
    <t>Anfahrverluste WP WW</t>
  </si>
  <si>
    <t>Röhrenbach</t>
  </si>
  <si>
    <t>Röschitz</t>
  </si>
  <si>
    <t>Rosenau</t>
  </si>
  <si>
    <t>Rosenau Schloß</t>
  </si>
  <si>
    <t>Rosenburg</t>
  </si>
  <si>
    <t>Rossatz</t>
  </si>
  <si>
    <t>Rückersdorf-Harmannsdorf</t>
  </si>
  <si>
    <t>Ruprechtshofen</t>
  </si>
  <si>
    <t>Sallingberg</t>
  </si>
  <si>
    <t>Sankt Aegyd am Neuwalde</t>
  </si>
  <si>
    <t>Sankt Andrä-Wördern</t>
  </si>
  <si>
    <t>Sankt Anton an der Jeßnitz</t>
  </si>
  <si>
    <t>Sankt Christophen</t>
  </si>
  <si>
    <t>Sankt Georgen am Reith</t>
  </si>
  <si>
    <t>Sankt Georgen am Steinfelde</t>
  </si>
  <si>
    <t>Sankt Georgen an der Leys</t>
  </si>
  <si>
    <t>Sankt Leonhard am Forst</t>
  </si>
  <si>
    <t>Sankt Leonhard am Hornerwald</t>
  </si>
  <si>
    <t>Sankt Margarethen an der Sierning</t>
  </si>
  <si>
    <t>Sankt Martin</t>
  </si>
  <si>
    <t>Sankt Oswald</t>
  </si>
  <si>
    <t>Sankt Peter in der Au Markt</t>
  </si>
  <si>
    <t>Sankt Pölten</t>
  </si>
  <si>
    <t>Sankt Valentin</t>
  </si>
  <si>
    <t>Sankt Veit an der Gölsen</t>
  </si>
  <si>
    <t>Säusenstein</t>
  </si>
  <si>
    <t>Scheibbs</t>
  </si>
  <si>
    <t>Schiltern</t>
  </si>
  <si>
    <t>Schleinbach</t>
  </si>
  <si>
    <t>Schönbach</t>
  </si>
  <si>
    <t>Schönberg</t>
  </si>
  <si>
    <r>
      <t>a</t>
    </r>
    <r>
      <rPr>
        <vertAlign val="subscript"/>
        <sz val="10"/>
        <color indexed="8"/>
        <rFont val="Arial"/>
        <family val="2"/>
      </rPr>
      <t>2</t>
    </r>
    <r>
      <rPr>
        <sz val="10"/>
        <color indexed="8"/>
        <rFont val="Arial"/>
        <family val="2"/>
      </rPr>
      <t xml:space="preserve"> Quadr. Verlustbeiwert</t>
    </r>
  </si>
  <si>
    <r>
      <t>A</t>
    </r>
    <r>
      <rPr>
        <vertAlign val="subscript"/>
        <sz val="10"/>
        <color indexed="8"/>
        <rFont val="Arial"/>
        <family val="2"/>
      </rPr>
      <t>A</t>
    </r>
    <r>
      <rPr>
        <sz val="10"/>
        <color indexed="8"/>
        <rFont val="Arial"/>
        <family val="2"/>
      </rPr>
      <t xml:space="preserve"> Aperturfläche</t>
    </r>
  </si>
  <si>
    <r>
      <rPr>
        <sz val="10"/>
        <color indexed="8"/>
        <rFont val="Symbol"/>
        <family val="1"/>
        <charset val="2"/>
      </rPr>
      <t>q</t>
    </r>
    <r>
      <rPr>
        <vertAlign val="subscript"/>
        <sz val="10"/>
        <color indexed="8"/>
        <rFont val="Arial"/>
        <family val="2"/>
      </rPr>
      <t>C,0,i</t>
    </r>
    <r>
      <rPr>
        <sz val="10"/>
        <color indexed="8"/>
        <rFont val="Arial"/>
        <family val="2"/>
      </rPr>
      <t xml:space="preserve"> Stillstandtemp.</t>
    </r>
  </si>
  <si>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(nur WW)</t>
    </r>
  </si>
  <si>
    <r>
      <t>e</t>
    </r>
    <r>
      <rPr>
        <vertAlign val="superscript"/>
        <sz val="10"/>
        <color indexed="8"/>
        <rFont val="Arial"/>
        <family val="2"/>
      </rPr>
      <t>-k*f</t>
    </r>
    <r>
      <rPr>
        <vertAlign val="superscript"/>
        <sz val="10"/>
        <color indexed="8"/>
        <rFont val="Symbol"/>
        <family val="1"/>
        <charset val="2"/>
      </rPr>
      <t>F</t>
    </r>
  </si>
  <si>
    <t>Q(W10/W35)</t>
  </si>
  <si>
    <t>Wärmepumpen - Datenbank:</t>
  </si>
  <si>
    <t>Wahl:</t>
  </si>
  <si>
    <t>Eingaben</t>
  </si>
  <si>
    <t>Qheiz mit Sperrzeit/Verlust</t>
  </si>
  <si>
    <t>Q Heiz. a1,v1</t>
  </si>
  <si>
    <t>Q Heiz. a2,v1</t>
  </si>
  <si>
    <t>Q Heiz. a1,v2</t>
  </si>
  <si>
    <t>Q Heiz. a2,v2</t>
  </si>
  <si>
    <t>Installation solaire</t>
  </si>
  <si>
    <t>Leistungskorrektur WP Erdsonden / Erdkollektor:</t>
  </si>
  <si>
    <r>
      <t>COS(</t>
    </r>
    <r>
      <rPr>
        <sz val="10"/>
        <color indexed="8"/>
        <rFont val="Symbol"/>
        <family val="1"/>
        <charset val="2"/>
      </rPr>
      <t>a</t>
    </r>
    <r>
      <rPr>
        <sz val="10"/>
        <color indexed="8"/>
        <rFont val="Arial"/>
        <family val="2"/>
      </rPr>
      <t xml:space="preserve"> - 180°)</t>
    </r>
  </si>
  <si>
    <r>
      <t>SIN(2*</t>
    </r>
    <r>
      <rPr>
        <sz val="10"/>
        <color indexed="8"/>
        <rFont val="Symbol"/>
        <family val="1"/>
        <charset val="2"/>
      </rPr>
      <t>n)</t>
    </r>
  </si>
  <si>
    <r>
      <t>COS(</t>
    </r>
    <r>
      <rPr>
        <sz val="10"/>
        <color indexed="8"/>
        <rFont val="Symbol"/>
        <family val="1"/>
        <charset val="2"/>
      </rPr>
      <t>a - b)</t>
    </r>
  </si>
  <si>
    <r>
      <rPr>
        <sz val="10"/>
        <color indexed="8"/>
        <rFont val="Symbol"/>
        <family val="1"/>
        <charset val="2"/>
      </rPr>
      <t>[</t>
    </r>
    <r>
      <rPr>
        <sz val="10"/>
        <color indexed="8"/>
        <rFont val="Arial"/>
        <family val="2"/>
      </rPr>
      <t>1+0.16 sin(2*</t>
    </r>
    <r>
      <rPr>
        <sz val="10"/>
        <color indexed="8"/>
        <rFont val="Symbol"/>
        <family val="1"/>
        <charset val="2"/>
      </rPr>
      <t>n</t>
    </r>
    <r>
      <rPr>
        <sz val="10"/>
        <color indexed="8"/>
        <rFont val="Arial"/>
        <family val="2"/>
      </rPr>
      <t>)*cos(</t>
    </r>
    <r>
      <rPr>
        <sz val="10"/>
        <color indexed="8"/>
        <rFont val="Symbol"/>
        <family val="1"/>
        <charset val="2"/>
      </rPr>
      <t>a-b)]</t>
    </r>
  </si>
  <si>
    <r>
      <t>(</t>
    </r>
    <r>
      <rPr>
        <sz val="10"/>
        <color indexed="8"/>
        <rFont val="Symbol"/>
        <family val="1"/>
        <charset val="2"/>
      </rPr>
      <t>n</t>
    </r>
    <r>
      <rPr>
        <sz val="10"/>
        <color indexed="8"/>
        <rFont val="Arial"/>
        <family val="2"/>
      </rPr>
      <t>/90°)</t>
    </r>
  </si>
  <si>
    <r>
      <t>y</t>
    </r>
    <r>
      <rPr>
        <vertAlign val="superscript"/>
        <sz val="10"/>
        <color indexed="8"/>
        <rFont val="Arial"/>
        <family val="2"/>
      </rPr>
      <t>2</t>
    </r>
  </si>
  <si>
    <r>
      <t>(</t>
    </r>
    <r>
      <rPr>
        <sz val="10"/>
        <color indexed="8"/>
        <rFont val="Symbol"/>
        <family val="1"/>
        <charset val="2"/>
      </rPr>
      <t>n</t>
    </r>
    <r>
      <rPr>
        <sz val="10"/>
        <color indexed="8"/>
        <rFont val="Arial"/>
        <family val="2"/>
      </rPr>
      <t>/90°)</t>
    </r>
    <r>
      <rPr>
        <vertAlign val="superscript"/>
        <sz val="10"/>
        <color indexed="8"/>
        <rFont val="Arial"/>
        <family val="2"/>
      </rPr>
      <t>2</t>
    </r>
  </si>
  <si>
    <r>
      <t>H</t>
    </r>
    <r>
      <rPr>
        <vertAlign val="subscript"/>
        <sz val="10"/>
        <color indexed="8"/>
        <rFont val="Arial"/>
        <family val="2"/>
      </rPr>
      <t>g,90</t>
    </r>
  </si>
  <si>
    <r>
      <t>H</t>
    </r>
    <r>
      <rPr>
        <vertAlign val="subscript"/>
        <sz val="10"/>
        <color indexed="8"/>
        <rFont val="Arial"/>
        <family val="2"/>
      </rPr>
      <t>g,-90</t>
    </r>
  </si>
  <si>
    <r>
      <t>H</t>
    </r>
    <r>
      <rPr>
        <vertAlign val="subscript"/>
        <sz val="10"/>
        <color indexed="8"/>
        <rFont val="Arial"/>
        <family val="2"/>
      </rPr>
      <t>g,C</t>
    </r>
  </si>
  <si>
    <t>Projet:</t>
  </si>
  <si>
    <t>Erpfendorf</t>
  </si>
  <si>
    <t>Wien-Rudolfsheim-Fünfhaus</t>
  </si>
  <si>
    <t>Hittisau</t>
  </si>
  <si>
    <t>Hirm</t>
  </si>
  <si>
    <t>Eisentratten</t>
  </si>
  <si>
    <t>Bad Fischau</t>
  </si>
  <si>
    <t>Aurolzmünster</t>
  </si>
  <si>
    <t>Fuschl am See</t>
  </si>
  <si>
    <t>8.0.6</t>
  </si>
  <si>
    <t>Wenn kein El.-Heizstab für WW angewählt, dann ist Tww-Soll 60°C. Blatt "WP1", Zelle M49: Formel angepasst</t>
  </si>
  <si>
    <t>Blatt "WP", Zellen E60 und H60: ausblenden bei bivalentem Betrieb</t>
  </si>
  <si>
    <t>Bei bivalenten Anlagen wird für die Zusatzheizung Wert für Heizung + WW angegeben. Blatt "WP1", Zelle H57 angepasst</t>
  </si>
  <si>
    <t>Blatt "JAZcalc", Anzeige "Frostgefahr" ohne Eingabe auf I36. Formel L35 angepasst.</t>
  </si>
  <si>
    <r>
      <t>JAZ</t>
    </r>
    <r>
      <rPr>
        <vertAlign val="subscript"/>
        <sz val="8"/>
        <rFont val="Arial"/>
        <family val="2"/>
      </rPr>
      <t>Heizung</t>
    </r>
    <r>
      <rPr>
        <sz val="8"/>
        <rFont val="Arial"/>
        <family val="2"/>
      </rPr>
      <t xml:space="preserve"> =  </t>
    </r>
  </si>
  <si>
    <r>
      <t>JAZ</t>
    </r>
    <r>
      <rPr>
        <vertAlign val="subscript"/>
        <sz val="8"/>
        <rFont val="Arial"/>
        <family val="2"/>
      </rPr>
      <t>Warmwasser</t>
    </r>
    <r>
      <rPr>
        <sz val="8"/>
        <rFont val="Arial"/>
        <family val="2"/>
      </rPr>
      <t xml:space="preserve"> =  </t>
    </r>
  </si>
  <si>
    <t>Brunn am Gebirge</t>
  </si>
  <si>
    <t>Eggelsberg</t>
  </si>
  <si>
    <t>Lofer</t>
  </si>
  <si>
    <t>Floing</t>
  </si>
  <si>
    <t>Hippach</t>
  </si>
  <si>
    <t>Nüziders</t>
  </si>
  <si>
    <t>Marz</t>
  </si>
  <si>
    <t>Görtschach</t>
  </si>
  <si>
    <t>Brunn an der Wild</t>
  </si>
  <si>
    <t>Eggendorf im Traunkreis</t>
  </si>
  <si>
    <t>Sondenzahl</t>
  </si>
  <si>
    <t>Wärmequelle:</t>
  </si>
  <si>
    <t>Eau chaude sanitaire ECS + chauffage</t>
  </si>
  <si>
    <t>Températures de départ et de retour de la PAC [°C]</t>
  </si>
  <si>
    <t>Température extérieure Ta [°C]</t>
  </si>
  <si>
    <t>Feuille de calcul PACesti</t>
  </si>
  <si>
    <t>PAC, spécifications individuelles</t>
  </si>
  <si>
    <t>Données de la PAC</t>
  </si>
  <si>
    <t>Données de puissance de la PAC</t>
  </si>
  <si>
    <t>Consenseur</t>
  </si>
  <si>
    <t>Nom et type de la pompe</t>
  </si>
  <si>
    <t>Température cible du local le plus chaud (p.ex. salle de bains)</t>
  </si>
  <si>
    <t xml:space="preserve">mode anti-légionnellose journalier </t>
  </si>
  <si>
    <t>mode anti-légionnellose hebdomadaire</t>
  </si>
  <si>
    <t>Valeurs de calcul pour Tdép</t>
  </si>
  <si>
    <t>COP à la température de départ</t>
  </si>
  <si>
    <t>Circulation d'ECS / câble chauffant</t>
  </si>
  <si>
    <t>Câble chauffant</t>
  </si>
  <si>
    <t>vitesse variable</t>
  </si>
  <si>
    <t>PAC sur air extrait sur installation de ventilation sans récupération de chaleur</t>
  </si>
  <si>
    <t>pas d'installation solaire</t>
  </si>
  <si>
    <t>Spécifications du collecteur</t>
  </si>
  <si>
    <t>Courbe de chauffe de la PAC (et pas celle des consommateurs de chauffage):</t>
  </si>
  <si>
    <t>Données introduites en ordre croissant selon la température de la source</t>
  </si>
  <si>
    <t>IDM</t>
  </si>
  <si>
    <t>KNV Technik</t>
  </si>
  <si>
    <t>Quellentemperatur (Verdampfer-Eintritt):</t>
  </si>
  <si>
    <t>Température de la source (entrée PAC)</t>
  </si>
  <si>
    <t>Temperatura della fonte di calore (dalle PdC):</t>
  </si>
  <si>
    <t>WP1: Sondentemp. Heizung</t>
  </si>
  <si>
    <t>Gew. +2°C</t>
  </si>
  <si>
    <t>Eff Tverd_ein:</t>
  </si>
  <si>
    <t>Einsatz (Heizung oder Warmwasser):</t>
  </si>
  <si>
    <t>Blatt "WP1", Zelle V37: Fehler bei Eingaben in Spez-Blatt. Fehler behoben</t>
  </si>
  <si>
    <t>- Perdite accumulatore + distribuzione (rubinetterie, pompe, condotte isolate):     15-30%</t>
  </si>
  <si>
    <t>Deckungsgrad Heizung</t>
  </si>
  <si>
    <t>Konstante</t>
  </si>
  <si>
    <t>kWh/m2</t>
  </si>
  <si>
    <t>Umwälzpumpen</t>
  </si>
  <si>
    <t>- Perdite accumulatore + distribuzione + circolazione (rubinetterie, pompe, condotte isolate):     30-50%.
I bisogni di elettricità dei nastri riscaldanti sono da calcolare separatamente.</t>
  </si>
  <si>
    <t xml:space="preserve">Riscaldamento con PdC senza riscaldamento d'appoggio e senza riscaldamenti elettrici (per il riscaldamento) </t>
  </si>
  <si>
    <t>Riscaldamento con PdC e riscaldamento elettrico d'appoggio</t>
  </si>
  <si>
    <t>Funzionamento bivalente fossile:</t>
  </si>
  <si>
    <t>Riscaldamento con PdC e caldaia d'appoggio a olio o gas per i picchi di potenza.</t>
  </si>
  <si>
    <t>Prendere i valori secondo le pubblicazioni del centro di test delle PdC WPZ, o calcolare con dT utilizzatore= Q / m cp</t>
  </si>
  <si>
    <t>Indica a quanti gradi °C  é caricato l'accumulatore al di sopra della temperatura di mandata</t>
  </si>
  <si>
    <t>W/m²</t>
  </si>
  <si>
    <t>Intex</t>
  </si>
  <si>
    <r>
      <rPr>
        <sz val="10"/>
        <color indexed="8"/>
        <rFont val="Symbol"/>
        <family val="1"/>
        <charset val="2"/>
      </rPr>
      <t>F</t>
    </r>
    <r>
      <rPr>
        <vertAlign val="subscript"/>
        <sz val="10"/>
        <color indexed="8"/>
        <rFont val="Arial"/>
        <family val="2"/>
      </rPr>
      <t>g, ue</t>
    </r>
    <r>
      <rPr>
        <sz val="10"/>
        <color indexed="8"/>
        <rFont val="Arial"/>
        <family val="2"/>
      </rPr>
      <t xml:space="preserve"> Ta h</t>
    </r>
  </si>
  <si>
    <r>
      <rPr>
        <sz val="10"/>
        <color indexed="8"/>
        <rFont val="Symbol"/>
        <family val="1"/>
        <charset val="2"/>
      </rPr>
      <t>F</t>
    </r>
    <r>
      <rPr>
        <vertAlign val="subscript"/>
        <sz val="10"/>
        <color indexed="8"/>
        <rFont val="Arial"/>
        <family val="2"/>
      </rPr>
      <t>g, ue</t>
    </r>
    <r>
      <rPr>
        <sz val="10"/>
        <color indexed="8"/>
        <rFont val="Arial"/>
        <family val="2"/>
      </rPr>
      <t xml:space="preserve"> Ta h Differenz</t>
    </r>
  </si>
  <si>
    <r>
      <rPr>
        <sz val="10"/>
        <color indexed="8"/>
        <rFont val="Symbol"/>
        <family val="1"/>
        <charset val="2"/>
      </rPr>
      <t>F</t>
    </r>
    <r>
      <rPr>
        <vertAlign val="subscript"/>
        <sz val="10"/>
        <color indexed="8"/>
        <rFont val="Arial"/>
        <family val="2"/>
      </rPr>
      <t>g, ue</t>
    </r>
    <r>
      <rPr>
        <sz val="10"/>
        <color indexed="8"/>
        <rFont val="Arial"/>
        <family val="2"/>
      </rPr>
      <t xml:space="preserve"> Ta Tg Differenz</t>
    </r>
  </si>
  <si>
    <t>Großgöttfritz</t>
  </si>
  <si>
    <t>Leonding</t>
  </si>
  <si>
    <t>Lafnitz</t>
  </si>
  <si>
    <t>Sankt Veit in Defereggen</t>
  </si>
  <si>
    <t>Sankt Andrä</t>
  </si>
  <si>
    <t>Großharras</t>
  </si>
  <si>
    <t>Leonstein</t>
  </si>
  <si>
    <t>Lainbach</t>
  </si>
  <si>
    <t>Sautens</t>
  </si>
  <si>
    <t>Sankt Egyden</t>
  </si>
  <si>
    <t>Großheinrichschlag</t>
  </si>
  <si>
    <t>Leopoldschlag Markt</t>
  </si>
  <si>
    <t>Langenwang</t>
  </si>
  <si>
    <t>Scharnitz</t>
  </si>
  <si>
    <t>Sankt Georgen am Längsee</t>
  </si>
  <si>
    <t>Großkrut</t>
  </si>
  <si>
    <t>Liebenau</t>
  </si>
  <si>
    <t>Lannach</t>
  </si>
  <si>
    <t>Schattwald</t>
  </si>
  <si>
    <t>Sankt Georgen im Gailtal</t>
  </si>
  <si>
    <t>Großmeiseldorf</t>
  </si>
  <si>
    <t>Linz</t>
  </si>
  <si>
    <t>Lassing-Kirchdorf</t>
  </si>
  <si>
    <t>Scheffau am Wilden Kaiser</t>
  </si>
  <si>
    <t>Sankt Georgen im Lavanttal</t>
  </si>
  <si>
    <t>Großmugl</t>
  </si>
  <si>
    <t>Linz-Ebelsberg</t>
  </si>
  <si>
    <t>Laßnitzhöhe</t>
  </si>
  <si>
    <t>Schlitters</t>
  </si>
  <si>
    <t>Sankt Gertraud</t>
  </si>
  <si>
    <t>Großpertholz</t>
  </si>
  <si>
    <t>Linz-Gründberg</t>
  </si>
  <si>
    <t>Lebring</t>
  </si>
  <si>
    <t>Température de dimensionnement des sondes (optionnel, calcul externe)</t>
  </si>
  <si>
    <t>valeur proposée:</t>
  </si>
  <si>
    <t>Puissance spécifique soutirée</t>
  </si>
  <si>
    <t>Température de dimensionnement des sondes:</t>
  </si>
  <si>
    <t>COP annuel pour chauffage et ECS (COPa [ch+ECS])</t>
  </si>
  <si>
    <t>Heizleistung Wärmepumpe</t>
  </si>
  <si>
    <t>Weitere Angaben auf Zusatzblatt 'Spez'</t>
  </si>
  <si>
    <t>Voir aussi feuille "Spez"</t>
  </si>
  <si>
    <t>s.u. 'Spez'</t>
  </si>
  <si>
    <t>Puissance de chauffe PAC</t>
  </si>
  <si>
    <t>Potenza termica PdC</t>
  </si>
  <si>
    <t>Puissance de chauffe pour Tdép</t>
  </si>
  <si>
    <t>8.0.6a</t>
  </si>
  <si>
    <t>28a</t>
  </si>
  <si>
    <t>Zelle zum Umsschalten auf kWh ist gesperrt. --&gt; Sperrung aufgehoben</t>
  </si>
  <si>
    <t>MS</t>
  </si>
  <si>
    <t>28b</t>
  </si>
  <si>
    <t>28c</t>
  </si>
  <si>
    <t>Blatt "WP", B4: Fehlermeldung nur deutsch. Formel angepasst und Übersetzung auf "Sprache", Zeile 337</t>
  </si>
  <si>
    <t>28d</t>
  </si>
  <si>
    <t>Blatt "WP", B27-B30: Text bei WW-WP angepasst, neue Übersetzungstext auf "Sprache", Zeilen 335-336</t>
  </si>
  <si>
    <t>Müllendorf</t>
  </si>
  <si>
    <t>Gurk</t>
  </si>
  <si>
    <t>Drasenhofen</t>
  </si>
  <si>
    <t>Feldkirchen bei Mattighofen</t>
  </si>
  <si>
    <t>Michaelbeuern</t>
  </si>
  <si>
    <t>Fürstenfeld</t>
  </si>
  <si>
    <t>Imst</t>
  </si>
  <si>
    <t>Sankt Gallenkirch</t>
  </si>
  <si>
    <t>Neckenmarkt</t>
  </si>
  <si>
    <t>Guttaring</t>
  </si>
  <si>
    <t>Drosendorf Stadt</t>
  </si>
  <si>
    <t>Fornach</t>
  </si>
  <si>
    <t>Mitterberghütten</t>
  </si>
  <si>
    <t>Gabersdorf</t>
  </si>
  <si>
    <t>Innervillgraten</t>
  </si>
  <si>
    <t>Satteins</t>
  </si>
  <si>
    <t>Neudorf bei Parndorf</t>
  </si>
  <si>
    <t>Haimburg</t>
  </si>
  <si>
    <t>Drösing</t>
  </si>
  <si>
    <t>Frankenburg</t>
  </si>
  <si>
    <t>Mittersill</t>
  </si>
  <si>
    <t>Gaishorn</t>
  </si>
  <si>
    <t>Innsbruck</t>
  </si>
  <si>
    <t>Schlins</t>
  </si>
  <si>
    <t>Neudörfl</t>
  </si>
  <si>
    <t>Heiligenblut</t>
  </si>
  <si>
    <t>Dürnkrut</t>
  </si>
  <si>
    <t>Frankenmarkt</t>
  </si>
  <si>
    <t>Mühlbach</t>
  </si>
  <si>
    <t>Gamlitz</t>
  </si>
  <si>
    <t>Innsbruck-Igls</t>
  </si>
  <si>
    <t>Schnepfau</t>
  </si>
  <si>
    <t>Neufeld an der Leitha</t>
  </si>
  <si>
    <t>Hermagor</t>
  </si>
  <si>
    <t>Dürnstein</t>
  </si>
  <si>
    <t>Franking</t>
  </si>
  <si>
    <t>Mühlbach am Hochkönig</t>
  </si>
  <si>
    <t>Gams bei Hieflau</t>
  </si>
  <si>
    <t>Innsbruck-Mühlau</t>
  </si>
  <si>
    <t>Schoppernau</t>
  </si>
  <si>
    <t>Neuhaus am Klausenbach</t>
  </si>
  <si>
    <t>Himmelberg</t>
  </si>
  <si>
    <t>Ebenfurth</t>
  </si>
  <si>
    <t>Freistadt</t>
  </si>
  <si>
    <t>Muhr</t>
  </si>
  <si>
    <t>Gasen</t>
  </si>
  <si>
    <t>Innsbruck-Neuarzl</t>
  </si>
  <si>
    <t>Schröcken</t>
  </si>
  <si>
    <t>Neusiedl am See</t>
  </si>
  <si>
    <t>Hüttenberg</t>
  </si>
  <si>
    <t>Auswahl</t>
  </si>
  <si>
    <t>"Solaranteil:"</t>
  </si>
  <si>
    <t>"Part solaire:"</t>
  </si>
  <si>
    <t>Projekt:</t>
  </si>
  <si>
    <t>Kategorie:</t>
  </si>
  <si>
    <t>Betriebsweise der Wärmepumpen-Anlage:</t>
  </si>
  <si>
    <t>Leistung, Rechenwert -8°</t>
  </si>
  <si>
    <t>WP2: Sondentemp. WW</t>
  </si>
  <si>
    <r>
      <t>e</t>
    </r>
    <r>
      <rPr>
        <vertAlign val="subscript"/>
        <sz val="9"/>
        <rFont val="Arial"/>
        <family val="2"/>
      </rPr>
      <t>EL :</t>
    </r>
  </si>
  <si>
    <t>Bedarf WW [kWh]</t>
  </si>
  <si>
    <t>Heizstunden</t>
  </si>
  <si>
    <t>h/a</t>
  </si>
  <si>
    <t>JAZ</t>
  </si>
  <si>
    <t>Klimakorrektur</t>
  </si>
  <si>
    <t>Warmwasser</t>
  </si>
  <si>
    <t>EtaW2</t>
  </si>
  <si>
    <t>Nutzungsgrad</t>
  </si>
  <si>
    <t>Externe Eingabe WW</t>
  </si>
  <si>
    <t>MJ/m2a</t>
  </si>
  <si>
    <t>Qww Standard</t>
  </si>
  <si>
    <t>muss leer sein, wenn keine extern Eingabe!</t>
  </si>
  <si>
    <t>Qww effektiv</t>
  </si>
  <si>
    <t>Wärmeleitfähigkeit Erde</t>
  </si>
  <si>
    <t>W/mK</t>
  </si>
  <si>
    <t>Klimastationen</t>
  </si>
  <si>
    <t>Temperatur  °C</t>
  </si>
  <si>
    <t>HGT nur HT</t>
  </si>
  <si>
    <t>m.ü.M.</t>
  </si>
  <si>
    <t>mittl. Heizp.</t>
  </si>
  <si>
    <t>Auslegung</t>
  </si>
  <si>
    <t>20/12</t>
  </si>
  <si>
    <t>Handauswahl:</t>
  </si>
  <si>
    <t>&lt;-muss leer sein, wenn keine extern Eingabe!</t>
  </si>
  <si>
    <t>Auswahl:</t>
  </si>
  <si>
    <t xml:space="preserve">max </t>
  </si>
  <si>
    <t>Berechnung des Strombedarfs für einen Elektro-Heizstab:</t>
  </si>
  <si>
    <t>inkl. Bereitschaftsverl.</t>
  </si>
  <si>
    <t>Einsatz:</t>
  </si>
  <si>
    <t>Altdorf</t>
  </si>
  <si>
    <t>Heizwärmeleistung Ta h</t>
  </si>
  <si>
    <t>Heizwärmeleistung Ta Tg</t>
  </si>
  <si>
    <t>kW/K</t>
  </si>
  <si>
    <t>Spez. Leistung Ta h</t>
  </si>
  <si>
    <t>Spez. Leistung Ta Tg</t>
  </si>
  <si>
    <t>Kontrollsumme</t>
  </si>
  <si>
    <t>BIN Verluste Ta h</t>
  </si>
  <si>
    <t>BIN Verluste Ta Tg</t>
  </si>
  <si>
    <t>Verbleibende Heizstunden</t>
  </si>
  <si>
    <t>Modell Solare Wärme</t>
  </si>
  <si>
    <t>Nur BINs Stundewerte</t>
  </si>
  <si>
    <t>Orientierung Kollektor</t>
  </si>
  <si>
    <t>x</t>
  </si>
  <si>
    <t>Strahlungswerte auf Kollektor</t>
  </si>
  <si>
    <t>Kollektordaten</t>
  </si>
  <si>
    <t>Soltop COBRA Evo 2.0V</t>
  </si>
  <si>
    <t>T Bin</t>
  </si>
  <si>
    <t>delta</t>
  </si>
  <si>
    <t>Stunden Ta h</t>
  </si>
  <si>
    <t>y Ta h</t>
  </si>
  <si>
    <t>Stunden Ta Tg</t>
  </si>
  <si>
    <t>y Ta Tg</t>
  </si>
  <si>
    <t>Valeurs typiques par défaut pour habitations:</t>
  </si>
  <si>
    <t>Puissance de chauffage nécessaire:</t>
  </si>
  <si>
    <t>Fonctionnement chauffage monovalent:</t>
  </si>
  <si>
    <t>Chauffage avec PAC sans chauffage d'appoint et sans corps de chauffe électrique (pour le chauffage)</t>
  </si>
  <si>
    <t>avec chauffage électrique d'appoint:</t>
  </si>
  <si>
    <t>8.0.6d</t>
  </si>
  <si>
    <t>28i</t>
  </si>
  <si>
    <t>Deckungsgrad Zusatzheizung WW zu gering. Blatt "WP1", Zelllen AM60-AM127 angepasst (Bezug Y durch W ersetzt)</t>
  </si>
  <si>
    <t>Steinabrückl</t>
  </si>
  <si>
    <t>Steinakirchen am Forst</t>
  </si>
  <si>
    <t>Stetteldorf am Wagram</t>
  </si>
  <si>
    <t>Stillfried</t>
  </si>
  <si>
    <t>Stixneusiedl</t>
  </si>
  <si>
    <t>Stockerau</t>
  </si>
  <si>
    <t>Stockern</t>
  </si>
  <si>
    <t>Stössing</t>
  </si>
  <si>
    <t>Straning</t>
  </si>
  <si>
    <t>Straß im Straßertale</t>
  </si>
  <si>
    <t>Strasshof an der Nordbahn</t>
  </si>
  <si>
    <t>Strengberg</t>
  </si>
  <si>
    <t>Stronsdorf</t>
  </si>
  <si>
    <t>Sulz im Wienerwald</t>
  </si>
  <si>
    <t>Tattendorf</t>
  </si>
  <si>
    <t>Teesdorf</t>
  </si>
  <si>
    <t>Ternitz</t>
  </si>
  <si>
    <t>Texing</t>
  </si>
  <si>
    <t>Thaya</t>
  </si>
  <si>
    <t>Theras</t>
  </si>
  <si>
    <t>Theresienfeld</t>
  </si>
  <si>
    <t>Thernberg</t>
  </si>
  <si>
    <t>Traisen</t>
  </si>
  <si>
    <t>Traiskirchen</t>
  </si>
  <si>
    <t>Traismauer</t>
  </si>
  <si>
    <t>Traunstein</t>
  </si>
  <si>
    <t>Trautmannsdorf an der Leitha</t>
  </si>
  <si>
    <t>Tribuswinkel</t>
  </si>
  <si>
    <t>Trumau</t>
  </si>
  <si>
    <t>Tulbing</t>
  </si>
  <si>
    <t>Tulln</t>
  </si>
  <si>
    <t>Tullnerbach</t>
  </si>
  <si>
    <t>Türnitz</t>
  </si>
  <si>
    <t>Ulmerfeld</t>
  </si>
  <si>
    <t>Ulrichskirchen</t>
  </si>
  <si>
    <t>Unterretzbach</t>
  </si>
  <si>
    <t>Untersiebenbrunn</t>
  </si>
  <si>
    <t>Unterstinkenbrunn</t>
  </si>
  <si>
    <t>Untertullnerbach</t>
  </si>
  <si>
    <t>Unterwaltersdorf</t>
  </si>
  <si>
    <t>Urschendorf</t>
  </si>
  <si>
    <t>Velm-Götzendorf</t>
  </si>
  <si>
    <t>Viehdorf</t>
  </si>
  <si>
    <t>Vitis</t>
  </si>
  <si>
    <t>Vösendorf</t>
  </si>
  <si>
    <t>Waidhofen an der Thaya</t>
  </si>
  <si>
    <t>Waidhofen an der Ybbs</t>
  </si>
  <si>
    <t>Wald</t>
  </si>
  <si>
    <t>Waldegg</t>
  </si>
  <si>
    <t>Waldenstein</t>
  </si>
  <si>
    <t>Waldhausen</t>
  </si>
  <si>
    <t>Waldkirchen an der Thaya</t>
  </si>
  <si>
    <t>Walkenstein</t>
  </si>
  <si>
    <t>Wallsee</t>
  </si>
  <si>
    <t>Gundersheim</t>
  </si>
  <si>
    <t>con riscaldamento elettrico d'appoggio</t>
  </si>
  <si>
    <t>senza accumulatore riscaldamento</t>
  </si>
  <si>
    <t>impossibile</t>
  </si>
  <si>
    <t>CTA AG</t>
  </si>
  <si>
    <t>Weider Wärmepumpen GmbH</t>
  </si>
  <si>
    <t>Buderus</t>
  </si>
  <si>
    <t>Daikin</t>
  </si>
  <si>
    <t>ELCO</t>
  </si>
  <si>
    <t>Vaillant</t>
  </si>
  <si>
    <t>Viessmann</t>
  </si>
  <si>
    <t>Walter Bösch GmbH</t>
  </si>
  <si>
    <t>Waterkotte</t>
  </si>
  <si>
    <t>Dimplex</t>
  </si>
  <si>
    <t xml:space="preserve">Heizleistungsbedarf ohne Warmwasser bei </t>
  </si>
  <si>
    <t xml:space="preserve">Potenza  termica senza acqua calda </t>
  </si>
  <si>
    <t xml:space="preserve">Puissance de chauffage nécessaire sans ECS à </t>
  </si>
  <si>
    <t>Ta,Ausleg.</t>
  </si>
  <si>
    <t>Ebenthal (Weinviertel)</t>
  </si>
  <si>
    <t>Friedburg</t>
  </si>
  <si>
    <t>Neukirchen am Großvenediger</t>
  </si>
  <si>
    <t>Geistthal</t>
  </si>
  <si>
    <t>Inzing</t>
  </si>
  <si>
    <t>Schruns</t>
  </si>
  <si>
    <t>Neutal</t>
  </si>
  <si>
    <t>Irschen</t>
  </si>
  <si>
    <t>Ebergassing</t>
  </si>
  <si>
    <t>Gaflenz</t>
  </si>
  <si>
    <t>Neumarkt am Wallersee</t>
  </si>
  <si>
    <t xml:space="preserve">      Zuschlagstemperatur Auslegung CH:</t>
  </si>
  <si>
    <t>Blatt "Berechnung", Zelle E14, TGrenz um Zuschlag_CH reduziert</t>
  </si>
  <si>
    <t>Température ECS garantie sans appoint électrique :</t>
  </si>
  <si>
    <r>
      <t>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</si>
  <si>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 xml:space="preserve">ug,ev </t>
    </r>
    <r>
      <rPr>
        <sz val="10"/>
        <color indexed="8"/>
        <rFont val="Arial"/>
        <family val="2"/>
      </rPr>
      <t>Ta Tg BINS</t>
    </r>
  </si>
  <si>
    <r>
      <t>Q</t>
    </r>
    <r>
      <rPr>
        <vertAlign val="subscript"/>
        <sz val="10"/>
        <color indexed="8"/>
        <rFont val="Arial"/>
        <family val="2"/>
      </rPr>
      <t xml:space="preserve">ug,ue </t>
    </r>
    <r>
      <rPr>
        <sz val="10"/>
        <color indexed="8"/>
        <rFont val="Arial"/>
        <family val="2"/>
      </rPr>
      <t>Ta h BINs</t>
    </r>
  </si>
  <si>
    <r>
      <t>Q</t>
    </r>
    <r>
      <rPr>
        <vertAlign val="subscript"/>
        <sz val="10"/>
        <color indexed="8"/>
        <rFont val="Arial"/>
        <family val="2"/>
      </rPr>
      <t xml:space="preserve">ug,ue </t>
    </r>
    <r>
      <rPr>
        <sz val="10"/>
        <color indexed="8"/>
        <rFont val="Arial"/>
        <family val="2"/>
      </rPr>
      <t xml:space="preserve">Ta Tg BINs </t>
    </r>
  </si>
  <si>
    <r>
      <t>Q</t>
    </r>
    <r>
      <rPr>
        <vertAlign val="subscript"/>
        <sz val="10"/>
        <color indexed="8"/>
        <rFont val="Arial"/>
        <family val="2"/>
      </rPr>
      <t xml:space="preserve">H </t>
    </r>
    <r>
      <rPr>
        <sz val="10"/>
        <color indexed="8"/>
        <rFont val="Arial"/>
        <family val="2"/>
      </rPr>
      <t>Ta h BINs</t>
    </r>
  </si>
  <si>
    <r>
      <t>Q</t>
    </r>
    <r>
      <rPr>
        <vertAlign val="subscript"/>
        <sz val="10"/>
        <color indexed="8"/>
        <rFont val="Arial"/>
        <family val="2"/>
      </rPr>
      <t xml:space="preserve">H </t>
    </r>
    <r>
      <rPr>
        <sz val="10"/>
        <color indexed="8"/>
        <rFont val="Arial"/>
        <family val="2"/>
      </rPr>
      <t xml:space="preserve">Ta Tg BINs </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</si>
  <si>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</si>
  <si>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Tg BINS</t>
    </r>
  </si>
  <si>
    <r>
      <rPr>
        <sz val="10"/>
        <color indexed="8"/>
        <rFont val="Symbol"/>
        <family val="1"/>
        <charset val="2"/>
      </rPr>
      <t>F</t>
    </r>
    <r>
      <rPr>
        <vertAlign val="subscript"/>
        <sz val="10"/>
        <color indexed="8"/>
        <rFont val="Arial"/>
        <family val="2"/>
      </rPr>
      <t>H</t>
    </r>
    <r>
      <rPr>
        <sz val="10"/>
        <color indexed="8"/>
        <rFont val="Arial"/>
        <family val="2"/>
      </rPr>
      <t xml:space="preserve"> Ta h</t>
    </r>
  </si>
  <si>
    <r>
      <rPr>
        <sz val="10"/>
        <color indexed="8"/>
        <rFont val="Symbol"/>
        <family val="1"/>
        <charset val="2"/>
      </rPr>
      <t>F</t>
    </r>
    <r>
      <rPr>
        <vertAlign val="subscript"/>
        <sz val="10"/>
        <color indexed="8"/>
        <rFont val="Arial"/>
        <family val="2"/>
      </rPr>
      <t>H</t>
    </r>
    <r>
      <rPr>
        <sz val="10"/>
        <color indexed="8"/>
        <rFont val="Arial"/>
        <family val="2"/>
      </rPr>
      <t xml:space="preserve"> Ta Tg</t>
    </r>
  </si>
  <si>
    <r>
      <rPr>
        <sz val="10"/>
        <color indexed="8"/>
        <rFont val="Symbol"/>
        <family val="1"/>
        <charset val="2"/>
      </rPr>
      <t xml:space="preserve">a </t>
    </r>
    <r>
      <rPr>
        <sz val="10"/>
        <color indexed="8"/>
        <rFont val="Arial"/>
        <family val="2"/>
      </rPr>
      <t>Azimut Kollektor</t>
    </r>
  </si>
  <si>
    <r>
      <rPr>
        <sz val="10"/>
        <color indexed="8"/>
        <rFont val="Symbol"/>
        <family val="1"/>
        <charset val="2"/>
      </rPr>
      <t>n</t>
    </r>
    <r>
      <rPr>
        <sz val="10"/>
        <color indexed="8"/>
        <rFont val="Arial"/>
        <family val="2"/>
      </rPr>
      <t xml:space="preserve"> </t>
    </r>
    <r>
      <rPr>
        <sz val="10"/>
        <color indexed="8"/>
        <rFont val="Arial"/>
        <family val="2"/>
      </rPr>
      <t>Neigung Kollektor</t>
    </r>
  </si>
  <si>
    <r>
      <rPr>
        <sz val="10"/>
        <color indexed="8"/>
        <rFont val="Symbol"/>
        <family val="1"/>
        <charset val="2"/>
      </rPr>
      <t>b</t>
    </r>
    <r>
      <rPr>
        <sz val="10"/>
        <color indexed="8"/>
        <rFont val="Arial"/>
        <family val="2"/>
      </rPr>
      <t xml:space="preserve"> Korrektur (Einfluss BIN Bildung)</t>
    </r>
  </si>
  <si>
    <r>
      <t xml:space="preserve">COS </t>
    </r>
    <r>
      <rPr>
        <sz val="10"/>
        <color indexed="8"/>
        <rFont val="Symbol"/>
        <family val="1"/>
        <charset val="2"/>
      </rPr>
      <t>a</t>
    </r>
    <r>
      <rPr>
        <sz val="10"/>
        <color indexed="8"/>
        <rFont val="Arial"/>
        <family val="2"/>
      </rPr>
      <t xml:space="preserve"> (Azimut)</t>
    </r>
  </si>
  <si>
    <r>
      <rPr>
        <sz val="10"/>
        <color indexed="8"/>
        <rFont val="Symbol"/>
        <family val="1"/>
        <charset val="2"/>
      </rPr>
      <t>h</t>
    </r>
    <r>
      <rPr>
        <vertAlign val="subscript"/>
        <sz val="10"/>
        <color indexed="8"/>
        <rFont val="Arial"/>
        <family val="2"/>
      </rPr>
      <t>0</t>
    </r>
    <r>
      <rPr>
        <sz val="10"/>
        <color indexed="8"/>
        <rFont val="Arial"/>
        <family val="2"/>
      </rPr>
      <t xml:space="preserve"> Konversionsfaktor</t>
    </r>
  </si>
  <si>
    <r>
      <t>a</t>
    </r>
    <r>
      <rPr>
        <vertAlign val="subscript"/>
        <sz val="10"/>
        <color indexed="8"/>
        <rFont val="Arial"/>
        <family val="2"/>
      </rPr>
      <t>1</t>
    </r>
    <r>
      <rPr>
        <sz val="10"/>
        <color indexed="8"/>
        <rFont val="Arial"/>
        <family val="2"/>
      </rPr>
      <t xml:space="preserve"> Lin. Verlustbeiwert</t>
    </r>
  </si>
  <si>
    <t>WP2</t>
  </si>
  <si>
    <t>Heizung: Zusätzliche Verteilverluste</t>
  </si>
  <si>
    <t>%</t>
  </si>
  <si>
    <t>Sportbau</t>
  </si>
  <si>
    <t>Leistung bei -7°C</t>
  </si>
  <si>
    <t>Sperrzeiten für Wärmepumpe</t>
  </si>
  <si>
    <t>h/d</t>
  </si>
  <si>
    <t>Hallenbad</t>
  </si>
  <si>
    <t>Leistung bei -2°C</t>
  </si>
  <si>
    <t>kW</t>
  </si>
  <si>
    <t>Fabbisogno di potenza massima [kW]</t>
  </si>
  <si>
    <t>Ore annuali</t>
  </si>
  <si>
    <t>maximale Zu-satzheizung</t>
  </si>
  <si>
    <t>Ungedeckt WW</t>
  </si>
  <si>
    <t>Heizleistung WP 2</t>
  </si>
  <si>
    <r>
      <t>Q</t>
    </r>
    <r>
      <rPr>
        <vertAlign val="subscript"/>
        <sz val="9"/>
        <color indexed="9"/>
        <rFont val="Arial"/>
        <family val="2"/>
      </rPr>
      <t>V</t>
    </r>
    <r>
      <rPr>
        <sz val="9"/>
        <color indexed="9"/>
        <rFont val="Arial"/>
        <family val="2"/>
      </rPr>
      <t>+Q</t>
    </r>
    <r>
      <rPr>
        <vertAlign val="subscript"/>
        <sz val="9"/>
        <color indexed="9"/>
        <rFont val="Arial"/>
        <family val="2"/>
      </rPr>
      <t>L</t>
    </r>
  </si>
  <si>
    <t>Heizperiode</t>
  </si>
  <si>
    <t>Qh</t>
  </si>
  <si>
    <t>Stunden</t>
  </si>
  <si>
    <t>Heizenergie</t>
  </si>
  <si>
    <t>Energie WW</t>
  </si>
  <si>
    <t>Energie</t>
  </si>
  <si>
    <t>Laufzeit</t>
  </si>
  <si>
    <t>nur Heizung</t>
  </si>
  <si>
    <t>kWh</t>
  </si>
  <si>
    <t>h</t>
  </si>
  <si>
    <t>Basel-Binningen</t>
  </si>
  <si>
    <t>Heizung + Warmwasser</t>
  </si>
  <si>
    <t>Solarer Deckungsgrad Heizung</t>
  </si>
  <si>
    <t>Rechenwert</t>
  </si>
  <si>
    <t>Summen-häufigkeit ohne Kollektoren</t>
  </si>
  <si>
    <t>Catégorie d'ouvrage</t>
  </si>
  <si>
    <t>Apport net par m2 d'absorbeur</t>
  </si>
  <si>
    <t>Besoins totaux:</t>
  </si>
  <si>
    <t>Taux couverture PAC (chauf)</t>
  </si>
  <si>
    <t>Taux couverture PAC (ECS)</t>
  </si>
  <si>
    <t>COPA PAC (chauffage)</t>
  </si>
  <si>
    <t>COPA PAC (ECS)</t>
  </si>
  <si>
    <t>P nécessaire ECS</t>
  </si>
  <si>
    <t>Chauffage+ECS</t>
  </si>
  <si>
    <t>fonctionnement chauffage monovalent</t>
  </si>
  <si>
    <t>Pompe à chaleur:</t>
  </si>
  <si>
    <t>Quota di copertura della PdC per l'ACS</t>
  </si>
  <si>
    <t xml:space="preserve">Impianto solare:
</t>
  </si>
  <si>
    <t>1. Nessuna istallazione solare
2. Riscaldamento solare dell' ACS 3. Riscaldamento solare dell'ACS con aiuto al riscaldamento</t>
  </si>
  <si>
    <t xml:space="preserve">Coefficiente di prestazione </t>
  </si>
  <si>
    <t>senza tenere conto del riscaldamento d'appoggio elettrico / senza RC</t>
  </si>
  <si>
    <t>Coefficiente di lavoro annuo CLA della PdC, per il riscaldamento</t>
  </si>
  <si>
    <t>Coefficiente di lavoro annuo CLA della PdC, per l'ACS</t>
  </si>
  <si>
    <t>Scostamento dei collettori in rapporto al Sud. 0=Sud, 90=Est o Ovest. Dati senza [°].</t>
  </si>
  <si>
    <t>Inclinazione:</t>
  </si>
  <si>
    <t>Inclinazione dei collettori. 0= orizzontali, 90=verticali. Dati senza [°].</t>
  </si>
  <si>
    <t>Grafico PdC</t>
  </si>
  <si>
    <t xml:space="preserve">Calcolo della curva di carico </t>
  </si>
  <si>
    <t>Clima e profilo di carico:</t>
  </si>
  <si>
    <t>Periodo di riscaldamento</t>
  </si>
  <si>
    <t>Correzione climatica</t>
  </si>
  <si>
    <t>Fabbisogno termico</t>
  </si>
  <si>
    <t>Apporto termico</t>
  </si>
  <si>
    <t>"Parte solare:"</t>
  </si>
  <si>
    <t>Fabbisogno ACS</t>
  </si>
  <si>
    <t>Pompa di calore</t>
  </si>
  <si>
    <t>Durata di funzionamento PdC</t>
  </si>
  <si>
    <t>Fabbisogno elettrico PdC</t>
  </si>
  <si>
    <t>Fabbisogno d'energia</t>
  </si>
  <si>
    <t>Distribuzione riscaldamento</t>
  </si>
  <si>
    <t>Fabbisogno termico per l'ACS</t>
  </si>
  <si>
    <t>Distribuzione ACS</t>
  </si>
  <si>
    <t>Rosenau am Hengstpaß</t>
  </si>
  <si>
    <t>Sankt Radegund bei Graz</t>
  </si>
  <si>
    <t>Non disponibles</t>
  </si>
  <si>
    <t>PAC</t>
  </si>
  <si>
    <t>Garsten</t>
  </si>
  <si>
    <t>Oberalm Markt</t>
  </si>
  <si>
    <t>Gosdorf</t>
  </si>
  <si>
    <t>Kals am Großglockner</t>
  </si>
  <si>
    <t>Sulz</t>
  </si>
  <si>
    <t>Oberschützen</t>
  </si>
  <si>
    <t>Klagenfurt-Annabichl</t>
  </si>
  <si>
    <t>Eggenburg</t>
  </si>
  <si>
    <t>Gaspoltshofen</t>
  </si>
  <si>
    <t>Oberndorf bei Salzburg</t>
  </si>
  <si>
    <t>Göß</t>
  </si>
  <si>
    <t>Kaltenbach</t>
  </si>
  <si>
    <t>Sulzberg</t>
  </si>
  <si>
    <t>Oberwart</t>
  </si>
  <si>
    <t>Klagenfurt-Viktring</t>
  </si>
  <si>
    <t>Eggendorf (im Steinfeld)</t>
  </si>
  <si>
    <t>Geboltskirchen</t>
  </si>
  <si>
    <t>Obertauern</t>
  </si>
  <si>
    <t>Graden</t>
  </si>
  <si>
    <t>Kappl</t>
  </si>
  <si>
    <t>Thüringen</t>
  </si>
  <si>
    <t>Oggau</t>
  </si>
  <si>
    <t>Klagenfurt-Wölfnitz</t>
  </si>
  <si>
    <t>Eggendorf im Thale</t>
  </si>
  <si>
    <t>Geiersberg</t>
  </si>
  <si>
    <t>Obertrum</t>
  </si>
  <si>
    <t>Grafendorf bei Hartberg</t>
  </si>
  <si>
    <t>Kartitsch</t>
  </si>
  <si>
    <t>Thüringerberg</t>
  </si>
  <si>
    <t>Olbendorf</t>
  </si>
  <si>
    <t>Kleblach</t>
  </si>
  <si>
    <t>Eggern</t>
  </si>
  <si>
    <t>Geinberg</t>
  </si>
  <si>
    <t>Pfarrwerfen</t>
  </si>
  <si>
    <t>Gratkorn</t>
  </si>
  <si>
    <t>Kematen in Tirol</t>
  </si>
  <si>
    <t>Tschagguns</t>
  </si>
  <si>
    <t>Ollersdorf im Burgenland</t>
  </si>
  <si>
    <t>Klein Sankt Paul</t>
  </si>
  <si>
    <t>Eichgraben</t>
  </si>
  <si>
    <t>Geretsberg</t>
  </si>
  <si>
    <t>Piesendorf</t>
  </si>
  <si>
    <t>Gratwein</t>
  </si>
  <si>
    <t>Kirchberg in Tirol</t>
  </si>
  <si>
    <t>Vandans</t>
  </si>
  <si>
    <t>Pama</t>
  </si>
  <si>
    <t>Kleinglödnitz</t>
  </si>
  <si>
    <t>Eisgarn</t>
  </si>
  <si>
    <t>Gilgenberg am Weilhart</t>
  </si>
  <si>
    <t>Puch bei Hallein</t>
  </si>
  <si>
    <t>Graz</t>
  </si>
  <si>
    <t>Kirchbichl</t>
  </si>
  <si>
    <t>Warth</t>
  </si>
  <si>
    <t>Pamhagen</t>
  </si>
  <si>
    <t>Knappenberg</t>
  </si>
  <si>
    <t>Emmersdorf an der Donau</t>
  </si>
  <si>
    <t>Gmunden</t>
  </si>
  <si>
    <t>Radstadt</t>
  </si>
  <si>
    <t>Graz-Andritz</t>
  </si>
  <si>
    <t>Kirchdorf in Tirol</t>
  </si>
  <si>
    <t>Wolfurt</t>
  </si>
  <si>
    <t>Parndorf</t>
  </si>
  <si>
    <t>Kolbnitz an der Tauernbahn</t>
  </si>
  <si>
    <t>Engelhartstetten</t>
  </si>
  <si>
    <t>Gosau</t>
  </si>
  <si>
    <t>Ramingstein</t>
  </si>
  <si>
    <t>Graz-Liebenau</t>
  </si>
  <si>
    <t>Kitzbühel</t>
  </si>
  <si>
    <t>Zürs</t>
  </si>
  <si>
    <t>Pilgersdorf</t>
  </si>
  <si>
    <t>Köstenberg</t>
  </si>
  <si>
    <t>Ennsdorf bei Enns</t>
  </si>
  <si>
    <t>Gosauschmied</t>
  </si>
  <si>
    <t>Rauris</t>
  </si>
  <si>
    <t>Graz-Maria Trost</t>
  </si>
  <si>
    <t>Kolsass</t>
  </si>
  <si>
    <t>Pinkafeld</t>
  </si>
  <si>
    <t>Kötschach</t>
  </si>
  <si>
    <t>Enzersdorf im Thale</t>
  </si>
  <si>
    <t>Gramastetten</t>
  </si>
  <si>
    <t>Rußbach am Paß Gschütt</t>
  </si>
  <si>
    <t>Graz-Puntigam</t>
  </si>
  <si>
    <t>Kössen</t>
  </si>
  <si>
    <t>Podersdorf am See</t>
  </si>
  <si>
    <t>Köttmannsdorf</t>
  </si>
  <si>
    <t>Enzersfeld</t>
  </si>
  <si>
    <t>Grein</t>
  </si>
  <si>
    <t>Saalbach</t>
  </si>
  <si>
    <t>Graz-Sankt Leonhard</t>
  </si>
  <si>
    <t>Kramsach</t>
  </si>
  <si>
    <t>Pöttsching</t>
  </si>
  <si>
    <t>Kraig</t>
  </si>
  <si>
    <t>Enzesfeld</t>
  </si>
  <si>
    <t>Grieskirchen</t>
  </si>
  <si>
    <t>Saalfelden am Steinernen Meer</t>
  </si>
  <si>
    <t>Graz-Straßgang</t>
  </si>
  <si>
    <t>Kufstein</t>
  </si>
  <si>
    <t>Potzneusiedl</t>
  </si>
  <si>
    <t>Kremsbrücke</t>
  </si>
  <si>
    <t>Erlach</t>
  </si>
  <si>
    <t>Großraming</t>
  </si>
  <si>
    <t>Graz-Wagram</t>
  </si>
  <si>
    <t>Kühtai</t>
  </si>
  <si>
    <t>Purbach am Neusiedlersee</t>
  </si>
  <si>
    <t>Kreuth bei Bleiberg</t>
  </si>
  <si>
    <t>Erlauf</t>
  </si>
  <si>
    <t>Grünau im Almtal</t>
  </si>
  <si>
    <t>Salzburg-Bahnhof Aigen</t>
  </si>
  <si>
    <t>Graz-Wetzelsdorf</t>
  </si>
  <si>
    <t>Kundl</t>
  </si>
  <si>
    <t>Rattersdorf</t>
  </si>
  <si>
    <t>Krumpendorf</t>
  </si>
  <si>
    <t>Ernstbrunn</t>
  </si>
  <si>
    <t>Grünbach</t>
  </si>
  <si>
    <t>Salzburg-Flughafen</t>
  </si>
  <si>
    <t>Gröbming</t>
  </si>
  <si>
    <t>Landeck</t>
  </si>
  <si>
    <t>Rechnitz</t>
  </si>
  <si>
    <t>Kühnsdorf</t>
  </si>
  <si>
    <t>Ernsthofen</t>
  </si>
  <si>
    <t>Grünburg</t>
  </si>
  <si>
    <t>Salzburg-Gnigl</t>
  </si>
  <si>
    <t>Groß Sankt Florian</t>
  </si>
  <si>
    <t>Lanersbach</t>
  </si>
  <si>
    <t>Riedlingsdorf</t>
  </si>
  <si>
    <t>Landskron</t>
  </si>
  <si>
    <t>Eschenau</t>
  </si>
  <si>
    <t>Gschwandt</t>
  </si>
  <si>
    <t>Salzburg-Kasern</t>
  </si>
  <si>
    <t>Großklein</t>
  </si>
  <si>
    <t>Längenfeld</t>
  </si>
  <si>
    <t>Ritzing</t>
  </si>
  <si>
    <t>Latschach ober dem Faakersee</t>
  </si>
  <si>
    <t>Etsdorf am Kamp</t>
  </si>
  <si>
    <t>Gunskirchen</t>
  </si>
  <si>
    <t>Salzburg-Liefering</t>
  </si>
  <si>
    <t>Großlobming</t>
  </si>
  <si>
    <t>Lans</t>
  </si>
  <si>
    <t>Rohrbach bei Mattersburg</t>
  </si>
  <si>
    <t>Launsdorf</t>
  </si>
  <si>
    <t>Euratsfeld</t>
  </si>
  <si>
    <t>Gurten</t>
  </si>
  <si>
    <t>Lungötz</t>
  </si>
  <si>
    <t>Fohnsdorf</t>
  </si>
  <si>
    <t>Hochfilzen</t>
  </si>
  <si>
    <t>Partenen</t>
  </si>
  <si>
    <t>Mattersburg</t>
  </si>
  <si>
    <t>Grades</t>
  </si>
  <si>
    <t>Deutsch Brodersdorf</t>
  </si>
  <si>
    <t>Blatt "WP1", Zelle M49: WW-Temperatur mit wöchtentlicher Legionellenschaltung falsch berechnet. Fehler behoben</t>
  </si>
  <si>
    <t>Hochsölden</t>
  </si>
  <si>
    <t>Raggal</t>
  </si>
  <si>
    <t>Minihof-Liebau</t>
  </si>
  <si>
    <t>Grafenstein</t>
  </si>
  <si>
    <t>Deutsch-Wagram</t>
  </si>
  <si>
    <t>Engelhartszell</t>
  </si>
  <si>
    <t>28g</t>
  </si>
  <si>
    <t>Blatt "Spez", C14, L14: T Vorlauf (Warmwasser): Wenn keine Eingabe auf C14, dann wird T Vorlauf (Warmwasser) auf 60°C gesetzt.</t>
  </si>
  <si>
    <t>Umr auf Mittl.Quellent.</t>
  </si>
  <si>
    <t>T Quelle</t>
  </si>
  <si>
    <t>Erweiterung auf weitere Stützpunkte</t>
  </si>
  <si>
    <t>Gültiger Datenpunkt</t>
  </si>
  <si>
    <t>Datenpunkt Nr.</t>
  </si>
  <si>
    <r>
      <t>T</t>
    </r>
    <r>
      <rPr>
        <vertAlign val="subscript"/>
        <sz val="9"/>
        <rFont val="Arial"/>
        <family val="2"/>
      </rPr>
      <t>Quelle</t>
    </r>
    <r>
      <rPr>
        <sz val="9"/>
        <rFont val="Arial"/>
        <family val="2"/>
      </rPr>
      <t xml:space="preserve"> [°C]</t>
    </r>
  </si>
  <si>
    <r>
      <t>T</t>
    </r>
    <r>
      <rPr>
        <vertAlign val="subscript"/>
        <sz val="9"/>
        <rFont val="Arial"/>
        <family val="2"/>
      </rPr>
      <t>V</t>
    </r>
    <r>
      <rPr>
        <sz val="9"/>
        <rFont val="Arial"/>
        <family val="2"/>
      </rPr>
      <t xml:space="preserve"> [°C]</t>
    </r>
  </si>
  <si>
    <r>
      <rPr>
        <sz val="9"/>
        <rFont val="Symbol"/>
        <family val="1"/>
        <charset val="2"/>
      </rPr>
      <t>h</t>
    </r>
    <r>
      <rPr>
        <sz val="9"/>
        <rFont val="Arial"/>
        <family val="2"/>
      </rPr>
      <t xml:space="preserve"> </t>
    </r>
  </si>
  <si>
    <t>Verwendete WP-Daten</t>
  </si>
  <si>
    <t>Flag verwendete Daten</t>
  </si>
  <si>
    <t>(1=Luft/Wasser, 2=Spez)</t>
  </si>
  <si>
    <t>Max Quelle</t>
  </si>
  <si>
    <t>COP a1,v1</t>
  </si>
  <si>
    <t>COP a2,v1</t>
  </si>
  <si>
    <t>COP a1,v2</t>
  </si>
  <si>
    <t>COP a2,v2</t>
  </si>
  <si>
    <t>COP a0,v1</t>
  </si>
  <si>
    <t>COP a0,v2</t>
  </si>
  <si>
    <r>
      <rPr>
        <sz val="10"/>
        <rFont val="Symbol"/>
        <family val="1"/>
        <charset val="2"/>
      </rPr>
      <t>h</t>
    </r>
    <r>
      <rPr>
        <sz val="10"/>
        <rFont val="Arial"/>
        <family val="2"/>
      </rPr>
      <t xml:space="preserve"> a0,v1</t>
    </r>
  </si>
  <si>
    <r>
      <rPr>
        <sz val="10"/>
        <rFont val="Symbol"/>
        <family val="1"/>
        <charset val="2"/>
      </rPr>
      <t>h</t>
    </r>
    <r>
      <rPr>
        <sz val="10"/>
        <rFont val="Arial"/>
        <family val="2"/>
      </rPr>
      <t xml:space="preserve"> a0,v2</t>
    </r>
  </si>
  <si>
    <t>St. Gallen</t>
  </si>
  <si>
    <t>Zermatt</t>
  </si>
  <si>
    <t>Zürich SMA</t>
  </si>
  <si>
    <t>Offerte Unternehmer:</t>
  </si>
  <si>
    <t>Berechnung Lastkurve</t>
  </si>
  <si>
    <t>Heizleistung WP Qww</t>
  </si>
  <si>
    <t>Perdite per trasmissione secondo SIA 380/1</t>
  </si>
  <si>
    <t>Perdite termiche per ventilazione secondo SIA 380/1</t>
  </si>
  <si>
    <t>Sistemi di pompe di calore</t>
  </si>
  <si>
    <t>Utilizzazione (riscaldamento o acqua calda)</t>
  </si>
  <si>
    <t>Impianto solare</t>
  </si>
  <si>
    <t>Risultati</t>
  </si>
  <si>
    <t>Aumento della temperatura nella PdC alle condizioni normalizzate</t>
  </si>
  <si>
    <t>Wert z. B. aus  Publikation des Wärmepumpen-Testzentrums WPZ entnehmen oder berechnen mit dT Nutzer = Q / m cp</t>
  </si>
  <si>
    <t>Kollektoren</t>
  </si>
  <si>
    <t>WP ohne
Zusatzheiz</t>
  </si>
  <si>
    <t>WP mit
Zusatzheiz</t>
  </si>
  <si>
    <t>ausblenden:</t>
  </si>
  <si>
    <t>Schema 23</t>
  </si>
  <si>
    <t>Schema 24</t>
  </si>
  <si>
    <t>Austria Email AG</t>
  </si>
  <si>
    <t>Bauer Wärmepumpensysteme</t>
  </si>
  <si>
    <t>1</t>
  </si>
  <si>
    <t>2</t>
  </si>
  <si>
    <t>drexel und weiss</t>
  </si>
  <si>
    <t>Heliotherm</t>
  </si>
  <si>
    <t>Panasonic</t>
  </si>
  <si>
    <t>Robert Bosch AG</t>
  </si>
  <si>
    <t>Thermic Energy</t>
  </si>
  <si>
    <t>4</t>
  </si>
  <si>
    <t>Mettersdorf am Saßbach</t>
  </si>
  <si>
    <t>Stans</t>
  </si>
  <si>
    <t>Sattendorf</t>
  </si>
  <si>
    <t>Hadersdorf am Kamp</t>
  </si>
  <si>
    <t>Meggenhofen</t>
  </si>
  <si>
    <t>Mitterdorf im Mürztal</t>
  </si>
  <si>
    <t>Warmwasser?</t>
  </si>
  <si>
    <t>Heizung?</t>
  </si>
  <si>
    <t>HeizSpeicher?</t>
  </si>
  <si>
    <t>Speicherladung</t>
  </si>
  <si>
    <t>Resultate</t>
  </si>
  <si>
    <t>Chur</t>
  </si>
  <si>
    <t>Davos</t>
  </si>
  <si>
    <t>Verluste im Heizbetrieb (Anfahren, Speicher, etc.)</t>
  </si>
  <si>
    <t xml:space="preserve">Etah = </t>
  </si>
  <si>
    <t>Verluste im WW-Betrieb (Anfahren, Speicher, etc.)</t>
  </si>
  <si>
    <t xml:space="preserve">Etaw = </t>
  </si>
  <si>
    <t>Disentis</t>
  </si>
  <si>
    <t>Laufzeit der Wärmepumpe</t>
  </si>
  <si>
    <t>h / a</t>
  </si>
  <si>
    <t>WW-Zusatzheiz</t>
  </si>
  <si>
    <t>WP-Anteil (von max):</t>
  </si>
  <si>
    <t>Anteil und JAZ der Wärmepumpe für die Heizung</t>
  </si>
  <si>
    <r>
      <t>JAZ</t>
    </r>
    <r>
      <rPr>
        <b/>
        <vertAlign val="subscript"/>
        <sz val="9"/>
        <rFont val="Arial"/>
        <family val="2"/>
      </rPr>
      <t>h</t>
    </r>
    <r>
      <rPr>
        <b/>
        <sz val="9"/>
        <rFont val="Arial"/>
        <family val="2"/>
      </rPr>
      <t xml:space="preserve"> =  </t>
    </r>
  </si>
  <si>
    <t>Engelberg</t>
  </si>
  <si>
    <t>ungenügende Leistung der Wärmepumpe</t>
  </si>
  <si>
    <t>Anteil und JAZ der Wärmepumpe für Warmwasser</t>
  </si>
  <si>
    <r>
      <t>JAZ</t>
    </r>
    <r>
      <rPr>
        <b/>
        <vertAlign val="subscript"/>
        <sz val="9"/>
        <rFont val="Arial"/>
        <family val="2"/>
      </rPr>
      <t>ww</t>
    </r>
    <r>
      <rPr>
        <b/>
        <sz val="9"/>
        <rFont val="Arial"/>
        <family val="2"/>
      </rPr>
      <t xml:space="preserve"> =  </t>
    </r>
  </si>
  <si>
    <t>7-20 °C</t>
  </si>
  <si>
    <t>über 20°</t>
  </si>
  <si>
    <t>Total:</t>
  </si>
  <si>
    <t>Glarus</t>
  </si>
  <si>
    <t>1 - eff. Solar</t>
  </si>
  <si>
    <t>Heizperiode [h/a]</t>
  </si>
  <si>
    <t>Heizstunden:</t>
  </si>
  <si>
    <t>total Zusatzheizung Heizung und WW (ohne Bereitschaftsverluste):</t>
  </si>
  <si>
    <t>Bedarf:</t>
  </si>
  <si>
    <t>Zusatzheizung inkl. Bereitschaftsverluste:</t>
  </si>
  <si>
    <t>Waxenberg</t>
  </si>
  <si>
    <t>Oberndorf an der Melk</t>
  </si>
  <si>
    <t>Weibern</t>
  </si>
  <si>
    <t>Oberrohrbach</t>
  </si>
  <si>
    <t>Weilbach</t>
  </si>
  <si>
    <t>Obersiebenbrunn</t>
  </si>
  <si>
    <t>Weißenbach am Attersee</t>
  </si>
  <si>
    <t>Obersulz</t>
  </si>
  <si>
    <t>Weißkirchen</t>
  </si>
  <si>
    <t>Oberwaltersdorf</t>
  </si>
  <si>
    <t>Weitersfelden</t>
  </si>
  <si>
    <t>Oberweiden</t>
  </si>
  <si>
    <t>Wels</t>
  </si>
  <si>
    <t>Oberwölbling</t>
  </si>
  <si>
    <t>Wendling</t>
  </si>
  <si>
    <t>8.1.3</t>
  </si>
  <si>
    <t>28k</t>
  </si>
  <si>
    <t>28l</t>
  </si>
  <si>
    <t>Blatt "WP_Daten, Zelle AJ38: Bereich erweitert  bis AI239 für mehr Lieferanten</t>
  </si>
  <si>
    <t>Daikin - Rotex - Domotec</t>
  </si>
  <si>
    <t>LWP 5 ECO</t>
  </si>
  <si>
    <t>LWP 6 ECO</t>
  </si>
  <si>
    <t>LWPK  6 ECO</t>
  </si>
  <si>
    <t>LWPK 5 ECO</t>
  </si>
  <si>
    <t>LWP 8 ECO</t>
  </si>
  <si>
    <t>LWPK  8 ECO</t>
  </si>
  <si>
    <t>LWP 16 HT ECO</t>
  </si>
  <si>
    <t>LWP 11 HT ECO</t>
  </si>
  <si>
    <t>LWP 14 HT ECO</t>
  </si>
  <si>
    <t>LWPK 11 HT ECO</t>
  </si>
  <si>
    <t>LWPK 14 HT ECO</t>
  </si>
  <si>
    <t>LWPK 16 HT ECO</t>
  </si>
  <si>
    <t>EA 406 AA 3x400</t>
  </si>
  <si>
    <t>PUHZ-SW50VHA</t>
  </si>
  <si>
    <t>EA 408 AA 3x400</t>
  </si>
  <si>
    <t>PUHZ-SW75VHA</t>
  </si>
  <si>
    <t>Ultra Calor Zubadan SHW80VHA</t>
  </si>
  <si>
    <t>EA 410 AA 3x400</t>
  </si>
  <si>
    <t>PUHZ-SW100YHA</t>
  </si>
  <si>
    <t>Ultra Calor Zubadan SHW112YHA</t>
  </si>
  <si>
    <t>EA 415 AA 3x400</t>
  </si>
  <si>
    <t>PUHZ-SW120YHA</t>
  </si>
  <si>
    <t>Ultra Calor Zubadan SHW140YHA</t>
  </si>
  <si>
    <t>EA 420 AA 3x400</t>
  </si>
  <si>
    <t>EcoPart 406</t>
  </si>
  <si>
    <t>Gsi 12</t>
  </si>
  <si>
    <t>EcoHeat 408</t>
  </si>
  <si>
    <t>EcoPart 408</t>
  </si>
  <si>
    <t>EcoHeat 410</t>
  </si>
  <si>
    <t>EcoPart 410</t>
  </si>
  <si>
    <t>EcoHeat 412</t>
  </si>
  <si>
    <t>EcoPart 412</t>
  </si>
  <si>
    <t>EcoPart 414</t>
  </si>
  <si>
    <t>EcoPart 417</t>
  </si>
  <si>
    <t>EcoPart i425 Pro</t>
  </si>
  <si>
    <t>EcoPart i430 Pro</t>
  </si>
  <si>
    <t>EcoPart i435 Pro</t>
  </si>
  <si>
    <t>Aeroheat Innen AH CS 1-14i</t>
  </si>
  <si>
    <t>Aeroheat Innen AH CS 1-18i</t>
  </si>
  <si>
    <t>Aeroheat Innen AH CS 1-25i</t>
  </si>
  <si>
    <t>Aeroheat Aussen AH CS 1-14a</t>
  </si>
  <si>
    <t>Aeroheat Aussen AH CS 1-18a</t>
  </si>
  <si>
    <t>Aeroheat Aussen AH CS 1-25a</t>
  </si>
  <si>
    <t>Aeroheat Aussen AH CN 5a</t>
  </si>
  <si>
    <t>Aeroheat Aussen AH CN 7a</t>
  </si>
  <si>
    <t>Aeroheat Aussen AH CN 9a</t>
  </si>
  <si>
    <t>Optiheat OH 1-5es</t>
  </si>
  <si>
    <t>Optiheat OH 1-6es</t>
  </si>
  <si>
    <t>Optiheat OH 1-8es</t>
  </si>
  <si>
    <t>Optiheat OH 1-11es</t>
  </si>
  <si>
    <t>Optiheat OH 1-14es</t>
  </si>
  <si>
    <t>Optiheat OH 1-18es</t>
  </si>
  <si>
    <t>Optiheat OH 1-22e</t>
  </si>
  <si>
    <t>Optiheat OH 1-25e</t>
  </si>
  <si>
    <t>Optiheat OH 1-29e</t>
  </si>
  <si>
    <t>Optiheat OH 1-33e</t>
  </si>
  <si>
    <t>Optiheat OH 22e DUO HT</t>
  </si>
  <si>
    <t>Optiheat OH 28e DUO HT</t>
  </si>
  <si>
    <t>Optiheat OH 34e DUO HT</t>
  </si>
  <si>
    <t>Optiheat Duo OH 1-44e</t>
  </si>
  <si>
    <t>Optiheat Duo OH 1-50e</t>
  </si>
  <si>
    <t>Optiheat Duo OH 1-58e</t>
  </si>
  <si>
    <t>Optiheat Duo OH 1-65e</t>
  </si>
  <si>
    <t>Optiheat Duo OH 1-72e</t>
  </si>
  <si>
    <t>Optiheat Duo OH 1-85e</t>
  </si>
  <si>
    <t>Optipro 100ed</t>
  </si>
  <si>
    <t>Optipro 110ed</t>
  </si>
  <si>
    <t>Optipro 130ed</t>
  </si>
  <si>
    <t>Optipro 140ed</t>
  </si>
  <si>
    <t>Optipro 160ed</t>
  </si>
  <si>
    <t>Optipro 180ed</t>
  </si>
  <si>
    <t>Optipro 210ed</t>
  </si>
  <si>
    <t>Optipro 230ed</t>
  </si>
  <si>
    <t>EHBH08C* + ERLQ006CAV3</t>
  </si>
  <si>
    <t>EHBX08C* + ERLQ006CAV3</t>
  </si>
  <si>
    <t>EHVH08S* + ERLQ006CAV3</t>
  </si>
  <si>
    <t>EHVX08S* + ERLQ006CAV3</t>
  </si>
  <si>
    <t>EHBH08C* + ERLQ008CAV3</t>
  </si>
  <si>
    <t>EHBX08C* + ERLQ008CAV3</t>
  </si>
  <si>
    <t>EHVH08S* + ERLQ008CAV3</t>
  </si>
  <si>
    <t>EHVX08S* + ERLQ008CAV3</t>
  </si>
  <si>
    <t>EHBH16C* + ERLQ011CAV3/W1</t>
  </si>
  <si>
    <t>EHBX16C* + ERLQ011CAV3/W1</t>
  </si>
  <si>
    <t>EHVH16S* + ERLQ011CAV3/W1</t>
  </si>
  <si>
    <t>EHBH16C* + ERLQ014CAV3/W1</t>
  </si>
  <si>
    <t>EHBX16C* + ERLQ014CAV3/W1</t>
  </si>
  <si>
    <t>EHVH16S* + ERLQ014CAV3/W1</t>
  </si>
  <si>
    <t>EHVX16S* + ERLQ014CAV3/W1</t>
  </si>
  <si>
    <t>EHBH16C* + ERLQ016CAW1</t>
  </si>
  <si>
    <t>EHBX16C* + ERLQ016CAW1</t>
  </si>
  <si>
    <t>EHVH16S* + ERLQ016CAW1</t>
  </si>
  <si>
    <t>EHVX16S* + ERLQ016CAV3/W1</t>
  </si>
  <si>
    <t>HPSU compact 304 (H/C) BIV / RRLQ004CAV3</t>
  </si>
  <si>
    <t>HPSU compact 308 (H/C) BIV / RRLQ006CAV3</t>
  </si>
  <si>
    <t>HPSU compact 508 (H/C) BIV / RRLQ006CAV3</t>
  </si>
  <si>
    <t>HPSU compact 308 (H/C) BIV / RRLQ008CAV3</t>
  </si>
  <si>
    <t>HPSU compact 508 (H/C) BIV / RRLQ008CAV3</t>
  </si>
  <si>
    <t>HPSU compact 516 (H/C) BIV / RRLQ011CAW1</t>
  </si>
  <si>
    <t>HPSU compact 516 (H/C) BIV / RRLQ014CAW1</t>
  </si>
  <si>
    <t>HPSU compact 516 (H/C) BIV / RRLQ016CAW1</t>
  </si>
  <si>
    <t>LAK 6IMR</t>
  </si>
  <si>
    <t>LAW 6IMR</t>
  </si>
  <si>
    <t>LA 6TU</t>
  </si>
  <si>
    <t>LAK 9IMR</t>
  </si>
  <si>
    <t>LAW 9IMR</t>
  </si>
  <si>
    <t>LI 9TES</t>
  </si>
  <si>
    <t>LIK 8TES</t>
  </si>
  <si>
    <t>LI 9TU</t>
  </si>
  <si>
    <t>HPL 9S-TUW</t>
  </si>
  <si>
    <t>LA 9S-TU</t>
  </si>
  <si>
    <t>LA 18S-TU</t>
  </si>
  <si>
    <t>LA 9TU</t>
  </si>
  <si>
    <t>LI 11TES</t>
  </si>
  <si>
    <t>LA 11TAS</t>
  </si>
  <si>
    <t>LA 12 TU</t>
  </si>
  <si>
    <t>LI 12TU</t>
  </si>
  <si>
    <t>LA 12S-TU</t>
  </si>
  <si>
    <t>LAK 14ITR</t>
  </si>
  <si>
    <t>LAW 14ITR</t>
  </si>
  <si>
    <t>LA 16TAS</t>
  </si>
  <si>
    <t>LI 16TES</t>
  </si>
  <si>
    <t>LA 17PS</t>
  </si>
  <si>
    <t>LA 22TBS</t>
  </si>
  <si>
    <t>LA 17TU</t>
  </si>
  <si>
    <t>LI 20TES</t>
  </si>
  <si>
    <t>LA 25TU</t>
  </si>
  <si>
    <t>LI 24TES</t>
  </si>
  <si>
    <t>LA 28TBS</t>
  </si>
  <si>
    <t>LI 28TES</t>
  </si>
  <si>
    <t>LA 40 TU</t>
  </si>
  <si>
    <t>SIK 6TES</t>
  </si>
  <si>
    <t>SIW 6TES</t>
  </si>
  <si>
    <t>SI 6TU</t>
  </si>
  <si>
    <t>SIH 6TE</t>
  </si>
  <si>
    <t>SIK 8TES</t>
  </si>
  <si>
    <t>SIW 8TES</t>
  </si>
  <si>
    <t>SI 8TU</t>
  </si>
  <si>
    <t>SIH 9TE</t>
  </si>
  <si>
    <t>SIK 11TES</t>
  </si>
  <si>
    <t>SIW 11TES</t>
  </si>
  <si>
    <t>SI 11TU</t>
  </si>
  <si>
    <t>SIH 11TE</t>
  </si>
  <si>
    <t>SIK 14TES</t>
  </si>
  <si>
    <t>SI 14TU</t>
  </si>
  <si>
    <t>SI 18TU</t>
  </si>
  <si>
    <t>SIH 20TE</t>
  </si>
  <si>
    <t>SI 26TU</t>
  </si>
  <si>
    <t>SI 35TU</t>
  </si>
  <si>
    <t>SI 50TU</t>
  </si>
  <si>
    <t>SI 75TU</t>
  </si>
  <si>
    <t>WI 10TU</t>
  </si>
  <si>
    <t>WI 14TU</t>
  </si>
  <si>
    <t>WI 18TU</t>
  </si>
  <si>
    <t>WI 22TU</t>
  </si>
  <si>
    <t>WI 35TU</t>
  </si>
  <si>
    <t>WI 45TU</t>
  </si>
  <si>
    <t>WI 50TU</t>
  </si>
  <si>
    <t>WI 65TU</t>
  </si>
  <si>
    <t>WI 95TU</t>
  </si>
  <si>
    <t>AEROTOP T 20</t>
  </si>
  <si>
    <t>AEROTOP T 26</t>
  </si>
  <si>
    <t>AEROTOP T 32</t>
  </si>
  <si>
    <t>AEROTOP T 35</t>
  </si>
  <si>
    <t>AQUATOP T 22H</t>
  </si>
  <si>
    <t>AQUATOP T 28H</t>
  </si>
  <si>
    <t>AQUATOP T 35H</t>
  </si>
  <si>
    <t>AQUATOP T 43H</t>
  </si>
  <si>
    <t>HP08L-K-BC</t>
  </si>
  <si>
    <t>HP10L-K-BC</t>
  </si>
  <si>
    <t>HP12L-M-BC</t>
  </si>
  <si>
    <t>HP12L-M-WEB</t>
  </si>
  <si>
    <t>HP08L-M-BC</t>
  </si>
  <si>
    <t>HP08L-M-WEB</t>
  </si>
  <si>
    <t>HP12L-K-BC</t>
  </si>
  <si>
    <t>HP20L-M-WEB</t>
  </si>
  <si>
    <t>HP05S07W-WEB</t>
  </si>
  <si>
    <t>HP07S08W-WEB</t>
  </si>
  <si>
    <t>HP06S08W-K-BC</t>
  </si>
  <si>
    <t>HP08S10W-WEB</t>
  </si>
  <si>
    <t>HP08S10W-K-BC</t>
  </si>
  <si>
    <t>HP10S12W-K-BC</t>
  </si>
  <si>
    <t>HP12S16W-WEB</t>
  </si>
  <si>
    <t>HP16S18W-WEB</t>
  </si>
  <si>
    <t>HP12S16W-M-WEB</t>
  </si>
  <si>
    <t>HP08S10W-M-WEB</t>
  </si>
  <si>
    <t>HP10S12W-WEB</t>
  </si>
  <si>
    <t>Belaria twin I (20)</t>
  </si>
  <si>
    <t>Belaria twin IR (20)</t>
  </si>
  <si>
    <t>Belaria twin I (25)</t>
  </si>
  <si>
    <t>Belaria twin AR (24)</t>
  </si>
  <si>
    <t>Belaria twin I (30)</t>
  </si>
  <si>
    <t>Belaria twin A (32)</t>
  </si>
  <si>
    <t>Belaria twin AR (32)</t>
  </si>
  <si>
    <t>Belaria twin A (24)</t>
  </si>
  <si>
    <t>Thermalia comfort (6)</t>
  </si>
  <si>
    <t>Thermalia comfort (8)</t>
  </si>
  <si>
    <t>Thermalia comfort (13)</t>
  </si>
  <si>
    <t>Thermalia comfort (17)</t>
  </si>
  <si>
    <t>Thermalia twin (20)</t>
  </si>
  <si>
    <t>Thermalia twin (26)</t>
  </si>
  <si>
    <t>Thermalia twin (36)</t>
  </si>
  <si>
    <t>Thermalia twin (42)</t>
  </si>
  <si>
    <t>Thermalia comfort H (10)</t>
  </si>
  <si>
    <t>TERRA IL 7 Complete (HGL)</t>
  </si>
  <si>
    <t>TERRA ML 8-13 Complete (HGL)</t>
  </si>
  <si>
    <t>TERRA IL 9 Complete (HGL)</t>
  </si>
  <si>
    <t>TERRA IL 11 Complete (HGL)</t>
  </si>
  <si>
    <t>TERRA ML 11-18 (Complete HGL)</t>
  </si>
  <si>
    <t>TERRA SW 6</t>
  </si>
  <si>
    <t>TERRA SW 8</t>
  </si>
  <si>
    <t>TERRA SW 8 (Complete HGL)</t>
  </si>
  <si>
    <t>TERRA SW 10</t>
  </si>
  <si>
    <t>TERRA SW 10 (Complete HGL)</t>
  </si>
  <si>
    <t>TERRA SW 13</t>
  </si>
  <si>
    <t>TERRA SW 13 (Complete HGL)</t>
  </si>
  <si>
    <t>TERRA SW 17</t>
  </si>
  <si>
    <t>TERRA SW 17 (Complete HGL)</t>
  </si>
  <si>
    <t>TERRA SW 20 Twin (HGL)</t>
  </si>
  <si>
    <t>TERRA SW 26 Twin (HGL)</t>
  </si>
  <si>
    <t>TERRA SW 35 Twin (HGL)</t>
  </si>
  <si>
    <t>TERRA SW 42 Twin (HGL)</t>
  </si>
  <si>
    <t>SPLIT AMS10-8</t>
  </si>
  <si>
    <t>Topline 2030-7</t>
  </si>
  <si>
    <t>2040 - 08</t>
  </si>
  <si>
    <t>2040 - 12</t>
  </si>
  <si>
    <t>SPLIT AMS10-12</t>
  </si>
  <si>
    <t>Topline 2030-9</t>
  </si>
  <si>
    <t>LWSE-08</t>
  </si>
  <si>
    <t>LWSE-09</t>
  </si>
  <si>
    <t>2040 - 16</t>
  </si>
  <si>
    <t>LWSE-10</t>
  </si>
  <si>
    <t>SPLIT AMS10-16</t>
  </si>
  <si>
    <t>LWSE-12</t>
  </si>
  <si>
    <t>Topline 2300-14</t>
  </si>
  <si>
    <t>LWSE-13</t>
  </si>
  <si>
    <t>Topline 2300-20</t>
  </si>
  <si>
    <t>LWSE-14</t>
  </si>
  <si>
    <t>LWSE-18</t>
  </si>
  <si>
    <t>LWSE19</t>
  </si>
  <si>
    <t>LWSE-30</t>
  </si>
  <si>
    <t>LWSE-24</t>
  </si>
  <si>
    <t>LWSE-33</t>
  </si>
  <si>
    <t>LWSE-36</t>
  </si>
  <si>
    <t>1155 - 06</t>
  </si>
  <si>
    <t>1255 - 06</t>
  </si>
  <si>
    <t>1145 - 05</t>
  </si>
  <si>
    <t>1245 - 05</t>
  </si>
  <si>
    <t>1145 - 06</t>
  </si>
  <si>
    <t>1245 - 06</t>
  </si>
  <si>
    <t>1145 - 08</t>
  </si>
  <si>
    <t>1245 - 08</t>
  </si>
  <si>
    <t>1155 - 16</t>
  </si>
  <si>
    <t>1255 - 16</t>
  </si>
  <si>
    <t>1145 - 10</t>
  </si>
  <si>
    <t>1245 - 10</t>
  </si>
  <si>
    <t>1145 - 12</t>
  </si>
  <si>
    <t>1245 - 12</t>
  </si>
  <si>
    <t>1145 - 15</t>
  </si>
  <si>
    <t>1145 - 17</t>
  </si>
  <si>
    <t>WH-ADC0309G3E5 / WH-UD03EE5</t>
  </si>
  <si>
    <t>WH-ADC0309G3E5 / WH-UD05EE5</t>
  </si>
  <si>
    <t>WH-MDC05F3E5</t>
  </si>
  <si>
    <t>WH-ADC0309G3E5 / WH-UD07FE5</t>
  </si>
  <si>
    <t>WH-SDC07F3E5</t>
  </si>
  <si>
    <t>WH-ADC0309G3E5 / WH-UD09FE5</t>
  </si>
  <si>
    <t>WH-SDC09F3E5</t>
  </si>
  <si>
    <t>WH-SHF09F3E8 / WH-UH09FE8</t>
  </si>
  <si>
    <t>WH-SXC09F3E8</t>
  </si>
  <si>
    <t>WH-SXC12F9E8</t>
  </si>
  <si>
    <t>WH-SHF12F9E8 / WH-UH12FE8</t>
  </si>
  <si>
    <t>WH-SXC16F9E8</t>
  </si>
  <si>
    <t>SAO-60-2 ACE/ACB/ACM/ACMsolar</t>
  </si>
  <si>
    <t>SAS 4-2 ASE/ASB/ASM/ASMS</t>
  </si>
  <si>
    <t>SAS 6-2 ASE/ASB/ASM/ASMS</t>
  </si>
  <si>
    <t>SAO-80-2 ACE/ACB/ACM/ACMsolar</t>
  </si>
  <si>
    <t>SAS 8-2 ASE/ASB/ASM/ASMS</t>
  </si>
  <si>
    <t>SAO-110-2 ACE/ACB/ACM/ACMsolar</t>
  </si>
  <si>
    <t>SAO-140-2 ACE/ACB/ACM/ACMsolar</t>
  </si>
  <si>
    <t>SAS 11-2 ASE/ASB/ASM/ASMS</t>
  </si>
  <si>
    <t>SAS 13-2 ASE/ASB/ASM/ASMS</t>
  </si>
  <si>
    <t>SAS 15-2 ASE/ASB/ASM/ASMS</t>
  </si>
  <si>
    <t>STM 60-1</t>
  </si>
  <si>
    <t>STE 60-1</t>
  </si>
  <si>
    <t>STE 80-1</t>
  </si>
  <si>
    <t>STM 80-1</t>
  </si>
  <si>
    <t>STE 100-1</t>
  </si>
  <si>
    <t>STM 100-1</t>
  </si>
  <si>
    <t>STE 130-1</t>
  </si>
  <si>
    <t>STE 170-1</t>
  </si>
  <si>
    <t>Supraeco T220-1</t>
  </si>
  <si>
    <t>Supraeco T 330-2</t>
  </si>
  <si>
    <t>WPS 6-1</t>
  </si>
  <si>
    <t>WPS 6K-1</t>
  </si>
  <si>
    <t>WPS 8-1</t>
  </si>
  <si>
    <t>WPS 8K-1</t>
  </si>
  <si>
    <t>WPS 10-1</t>
  </si>
  <si>
    <t>WPS 10K-1</t>
  </si>
  <si>
    <t>WPS 13-1</t>
  </si>
  <si>
    <t>WPS 17-1</t>
  </si>
  <si>
    <t>flexoTHERM VWF 57/4 LW exclusive</t>
  </si>
  <si>
    <t>flexoTHERM VWF 87/4 LW exclusive</t>
  </si>
  <si>
    <t>flexoTHERM VWF 117/4 LW exclusive</t>
  </si>
  <si>
    <t>flexoTHERM VWF 157/4 LW exclusive</t>
  </si>
  <si>
    <t>flexoTHERM VWF 197/4 LW exclusive</t>
  </si>
  <si>
    <t>flexoTHERM VWF 57/4 SW exclusive</t>
  </si>
  <si>
    <t>flexoTHERM VWF 87/4 SW exclusive</t>
  </si>
  <si>
    <t>flexoTHERM VWF 117/4 SW exclusive</t>
  </si>
  <si>
    <t>flexoTHERM VWF 157/4 SW exclusive</t>
  </si>
  <si>
    <t>flexoTHERM VWF 197/4 SW exclusive</t>
  </si>
  <si>
    <t>flexoTHERM VWF 87/4 WW exclusive</t>
  </si>
  <si>
    <t>flexoTHERM  VWF 117/4 WW exclusive</t>
  </si>
  <si>
    <t>flexoTHERM VWF 157/4 WW exclusive</t>
  </si>
  <si>
    <t>flexoTHERM VWF 197/4 WW exclusive</t>
  </si>
  <si>
    <t>BW 301.A21 / BWS 301.A21</t>
  </si>
  <si>
    <t>BW 301.A29 / BWS 301.A29</t>
  </si>
  <si>
    <t>BW 301.A45 / BWS 301.A45</t>
  </si>
  <si>
    <t>SLS6</t>
  </si>
  <si>
    <t>LA6TU</t>
  </si>
  <si>
    <t>WWP L 6AD</t>
  </si>
  <si>
    <t>LIK8TES</t>
  </si>
  <si>
    <t>WWP L 8IK-2</t>
  </si>
  <si>
    <t>LI9TU</t>
  </si>
  <si>
    <t>WWP L 9ID</t>
  </si>
  <si>
    <t>SLS10</t>
  </si>
  <si>
    <t>LA9TU</t>
  </si>
  <si>
    <t>WWP L 9A</t>
  </si>
  <si>
    <t>SLS12</t>
  </si>
  <si>
    <t>LA12TU</t>
  </si>
  <si>
    <t>LI12TU</t>
  </si>
  <si>
    <t>WWP L 12A</t>
  </si>
  <si>
    <t>WWP L 12ID</t>
  </si>
  <si>
    <t>SLS14</t>
  </si>
  <si>
    <t>SLS16</t>
  </si>
  <si>
    <t>LA17TU</t>
  </si>
  <si>
    <t>WWP L 17A</t>
  </si>
  <si>
    <t>LA25TU</t>
  </si>
  <si>
    <t>WWP L 25A</t>
  </si>
  <si>
    <t>LA40TU</t>
  </si>
  <si>
    <t>WWP L 40A</t>
  </si>
  <si>
    <t>SI6TU</t>
  </si>
  <si>
    <t>SIW6TU</t>
  </si>
  <si>
    <t>WWP S 6ID</t>
  </si>
  <si>
    <t>WWP S 6IDT</t>
  </si>
  <si>
    <t>SIH6TE</t>
  </si>
  <si>
    <t>WWP S 6IH</t>
  </si>
  <si>
    <t>SI8TU</t>
  </si>
  <si>
    <t>SIW8TU</t>
  </si>
  <si>
    <t>WWP S 8ID</t>
  </si>
  <si>
    <t>WWP S 8IDT</t>
  </si>
  <si>
    <t>SIH9TE</t>
  </si>
  <si>
    <t>WWP S 9IH</t>
  </si>
  <si>
    <t>SI11TU</t>
  </si>
  <si>
    <t>SIH11TE</t>
  </si>
  <si>
    <t>SIW11TU</t>
  </si>
  <si>
    <t>WWP S 11ID</t>
  </si>
  <si>
    <t>WWP S 11IDT</t>
  </si>
  <si>
    <t>WWP S 11IH</t>
  </si>
  <si>
    <t>SI14TU</t>
  </si>
  <si>
    <t>WWP S 14ID</t>
  </si>
  <si>
    <t>SI18TU</t>
  </si>
  <si>
    <t>WWP S 18ID</t>
  </si>
  <si>
    <t>SIH20TE</t>
  </si>
  <si>
    <t>WWP S 20IH</t>
  </si>
  <si>
    <t>SI26TU</t>
  </si>
  <si>
    <t>WWP S 26ID</t>
  </si>
  <si>
    <t>SI30TE</t>
  </si>
  <si>
    <t>WWP S 30I</t>
  </si>
  <si>
    <t>SIH40TE</t>
  </si>
  <si>
    <t>WWP S 40IH</t>
  </si>
  <si>
    <t>SI35TU</t>
  </si>
  <si>
    <t>WWP S 35ID</t>
  </si>
  <si>
    <t>SI37TE</t>
  </si>
  <si>
    <t>SI50TE</t>
  </si>
  <si>
    <t>WWP S 50I</t>
  </si>
  <si>
    <t>SI50TU</t>
  </si>
  <si>
    <t>WWP S 50ID</t>
  </si>
  <si>
    <t>SI75TU</t>
  </si>
  <si>
    <t>WWP S 75ID</t>
  </si>
  <si>
    <t>SI100TE</t>
  </si>
  <si>
    <t>WWP S 100I</t>
  </si>
  <si>
    <t>WI10TU</t>
  </si>
  <si>
    <t>WWP W 10ID</t>
  </si>
  <si>
    <t>WI14TU</t>
  </si>
  <si>
    <t>WWP W 14ID</t>
  </si>
  <si>
    <t>WI18TU</t>
  </si>
  <si>
    <t>WWP W 18ID</t>
  </si>
  <si>
    <t>WI22TU</t>
  </si>
  <si>
    <t>WWP W 22ID</t>
  </si>
  <si>
    <t>WI35TU</t>
  </si>
  <si>
    <t>WWP W 35ID</t>
  </si>
  <si>
    <t>WI45TU</t>
  </si>
  <si>
    <t>WWP W 45ID</t>
  </si>
  <si>
    <t>WI50TU</t>
  </si>
  <si>
    <t>WWP W 50ID</t>
  </si>
  <si>
    <t>WI65TU</t>
  </si>
  <si>
    <t>WWP W 65ID</t>
  </si>
  <si>
    <t>WI95TU</t>
  </si>
  <si>
    <t>WWP W 95ID</t>
  </si>
  <si>
    <t>Oertli LINK 8TES</t>
  </si>
  <si>
    <t>Oertli LIN 9TU</t>
  </si>
  <si>
    <t>Oertli LIN 11TES</t>
  </si>
  <si>
    <t>Oertli LIN 12TU</t>
  </si>
  <si>
    <t>Oertli LIN 16TES</t>
  </si>
  <si>
    <t>Oertli LIN 20TES</t>
  </si>
  <si>
    <t>Oertli LIN 24TES</t>
  </si>
  <si>
    <t>Oertli LIN 28TES</t>
  </si>
  <si>
    <t>Oertli SINK 6TES</t>
  </si>
  <si>
    <t>Oertli SIN 6TU</t>
  </si>
  <si>
    <t>Oertli SINK 8TES</t>
  </si>
  <si>
    <t>Oertli SIN 8TU</t>
  </si>
  <si>
    <t>Oertli SINK 11TES</t>
  </si>
  <si>
    <t>Oertli SIN 11TU</t>
  </si>
  <si>
    <t>Oertli SINK 14TES</t>
  </si>
  <si>
    <t>Oertli SIN 14TU</t>
  </si>
  <si>
    <t>Oertli SIN 18TU</t>
  </si>
  <si>
    <t>Oertli SINH 20TE</t>
  </si>
  <si>
    <t>Oertli SIN 22TU</t>
  </si>
  <si>
    <t>Oertli SIN 26TU</t>
  </si>
  <si>
    <t>Oertli SIN 35TU</t>
  </si>
  <si>
    <t>Oertli SIN 50TU</t>
  </si>
  <si>
    <t>Oertli SIN 75TU</t>
  </si>
  <si>
    <t>Basic Line Ai1 Air 5010.5A</t>
  </si>
  <si>
    <t>Basic Line BS 7010</t>
  </si>
  <si>
    <t>Ai1QL 5008.5</t>
  </si>
  <si>
    <t>7Ai2QL 5008.5</t>
  </si>
  <si>
    <t>EcoTouch Ai1 Air / DA 5018.5</t>
  </si>
  <si>
    <t>WPQL 5008.5</t>
  </si>
  <si>
    <t>WPQL 5011.5</t>
  </si>
  <si>
    <t>WPQL 5014.5</t>
  </si>
  <si>
    <t>DS 5008.5 Ai</t>
  </si>
  <si>
    <t>DS 5008.5 Ai NC</t>
  </si>
  <si>
    <t>EcoTouch Ai1 Geo 5006.5</t>
  </si>
  <si>
    <t>EcoTouch Compact DS 5008.5Ai</t>
  </si>
  <si>
    <t>DS 5010.5 Ai</t>
  </si>
  <si>
    <t>DS 5010.5 Ai NC</t>
  </si>
  <si>
    <t>EcoTouch Ai1 Geo 5008.5</t>
  </si>
  <si>
    <t>EcoTouch Compact DS 5011.5Ai</t>
  </si>
  <si>
    <t>DS 5012.5 Ai</t>
  </si>
  <si>
    <t>DS 5012.5 Ai NC</t>
  </si>
  <si>
    <t>DS 5014.5 Ai</t>
  </si>
  <si>
    <t>DS 5014.5 Ai NC</t>
  </si>
  <si>
    <t>EcoTouch Ai1 Geo 5010.5</t>
  </si>
  <si>
    <t>EcoTouch Compact DS 5014.5Ai</t>
  </si>
  <si>
    <t>DS 5017.5 Ai NC</t>
  </si>
  <si>
    <t>EcoTouch Ai1 Geo 5013.5</t>
  </si>
  <si>
    <t>EcoTouch Compact DS 5018.5Ai</t>
  </si>
  <si>
    <t>DS 5020.5 Ai</t>
  </si>
  <si>
    <t>DS 5020.5 Ai NC</t>
  </si>
  <si>
    <t>DS 5023.5 Ai</t>
  </si>
  <si>
    <t>DS 5023.5 Ai NC</t>
  </si>
  <si>
    <t>DS 5027.5 Ai</t>
  </si>
  <si>
    <t>DS 5027.5 Ai NC</t>
  </si>
  <si>
    <t>LW 90</t>
  </si>
  <si>
    <t>LW 140</t>
  </si>
  <si>
    <t>LW 200</t>
  </si>
  <si>
    <t>SW 90 eso</t>
  </si>
  <si>
    <t>SW 90 egw</t>
  </si>
  <si>
    <t>8.1.5</t>
  </si>
  <si>
    <t>28m</t>
  </si>
  <si>
    <t>Blatt "WP_Daten, Zelle AH25: Bereich erweitert  bis AN239 für mehr Produkte / Neue WP-Daten</t>
  </si>
  <si>
    <t>EcoAir 406</t>
  </si>
  <si>
    <t>EcoAir 408</t>
  </si>
  <si>
    <t>EcoAir 410</t>
  </si>
  <si>
    <t>EcoAir 415</t>
  </si>
  <si>
    <t>EcoAir 420</t>
  </si>
  <si>
    <t>EcoHeat 406</t>
  </si>
  <si>
    <t>Aeroheat Aussen AH FS 1-5ar</t>
  </si>
  <si>
    <t>Aeroheat Aussen AH FS 1-6ar</t>
  </si>
  <si>
    <t>Aeroheat Aussen AH FS 1-8ar</t>
  </si>
  <si>
    <t>Aeroheat Aussen AH FS 1-10ar</t>
  </si>
  <si>
    <t>Aeroheat Aussen AH FS 1-11ar</t>
  </si>
  <si>
    <t>Aeroheat Aussen AH FS 1-16ar</t>
  </si>
  <si>
    <t>Optiheat Inverta TWW OH I 4esr (60 Hz)</t>
  </si>
  <si>
    <t>Optiheat Inverta Economy OH I 9e (60 Hz)</t>
  </si>
  <si>
    <t>Optiheat Inverta Economy OH I 17e (60 Hz)</t>
  </si>
  <si>
    <t>Kompaktlüftungsgerät x2 A9</t>
  </si>
  <si>
    <t>Kompaktlüftungsgerät x2 S3</t>
  </si>
  <si>
    <t>Kompaktlüftungsgerät x2 S5</t>
  </si>
  <si>
    <t>Kompaktlüftungsgerät x2 S7</t>
  </si>
  <si>
    <t>Kompaktlüftungsgerät x2 S9</t>
  </si>
  <si>
    <t>8.2.8</t>
  </si>
  <si>
    <t>28n</t>
  </si>
  <si>
    <t>Blatt "Spez", Hilfsenergie falsch einbezogen bei LW-WP. Zellen X9-AB9 / X13-AB13, Formel/Bezug angepasst.</t>
  </si>
  <si>
    <t>8.3.8</t>
  </si>
  <si>
    <t>28o</t>
  </si>
  <si>
    <t>max Heizleistung:</t>
  </si>
  <si>
    <t>max Heizleistung WW:</t>
  </si>
  <si>
    <t>Blatt "Spez", Hilfsenergie falsch einbezogen, Formeln Zellen N28 - R51  / N4-N5 angepasst.</t>
  </si>
  <si>
    <t>28p</t>
  </si>
  <si>
    <t>Blatt "WP_BIN", Fehler in Offsetberechnung korrigiert.  T37-CG37, T40+CG40, T46-CG46, T53-CG53 angepasst.</t>
  </si>
  <si>
    <t>F2120-8</t>
  </si>
  <si>
    <t>F2120-12</t>
  </si>
  <si>
    <t>F2120-16</t>
  </si>
  <si>
    <t>F2120-20</t>
  </si>
  <si>
    <t xml:space="preserve"> LI 14</t>
  </si>
  <si>
    <t xml:space="preserve"> LI 18</t>
  </si>
  <si>
    <t>F1145-6 (PC)</t>
  </si>
  <si>
    <t>F1145-8 (PC)</t>
  </si>
  <si>
    <t>F1145-10 (PC)</t>
  </si>
  <si>
    <t>F1145-12</t>
  </si>
  <si>
    <t>F1145-15</t>
  </si>
  <si>
    <t>F1145-17</t>
  </si>
  <si>
    <t>F1345-24</t>
  </si>
  <si>
    <t>F1345-30</t>
  </si>
  <si>
    <t>F1345-40</t>
  </si>
  <si>
    <t>F1345-60</t>
  </si>
  <si>
    <t>F750</t>
  </si>
  <si>
    <t>8.2.2</t>
  </si>
  <si>
    <t>8.2.1</t>
  </si>
  <si>
    <t>AH/CG</t>
  </si>
  <si>
    <t>Versionsnummerierung angepasst: X.Y.Z wobei X = Hauptversion, Y = wichtige unterversion, anpassen bei Änderung mit Einfluss auf Resultat, Z = andere Anpassung, z.B. Gerätedaten. Für Y und Z gleich 0 bei Testversionen einsetzen (0, 0a, 0b, 0c …)</t>
  </si>
  <si>
    <t>CG</t>
  </si>
  <si>
    <t>Neue Gerätedaten gem. FWS 1.2.2018 aktuell seit 31.7.17. WP_Daten Zelle C334 korrigiert. Alle Zellen auf Blatt Sprache geschützt. Gültigkeitsdatum angepasst auf 31.12.18</t>
  </si>
  <si>
    <t>Aeropro Aussen AP 45a</t>
  </si>
  <si>
    <t>Optiheat Inverta TWW OH I 4esr (30 Hz)</t>
  </si>
  <si>
    <t>Optiheat Inverta TWW OH I 4esr (40 Hz)</t>
  </si>
  <si>
    <t>Optiheat Inverta TWW OH I 4esr (50 Hz)</t>
  </si>
  <si>
    <t>Optiheat Inverta TWW OH I 4esr (70 Hz)</t>
  </si>
  <si>
    <t>Optiheat Inverta TWW OH I 4esr (80 Hz)</t>
  </si>
  <si>
    <t>Optiheat Inverta TWW OH I 4esr (90 Hz)</t>
  </si>
  <si>
    <t>Optiheat Inverta TWW OH I 4esr (100 Hz)</t>
  </si>
  <si>
    <t>Optiheat Inverta Economy OH I 9e (30 Hz)</t>
  </si>
  <si>
    <t>Optiheat Inverta Economy OH I 9e (40 Hz)</t>
  </si>
  <si>
    <t>Optiheat Inverta Economy OH I 9e (50 Hz)</t>
  </si>
  <si>
    <t>Optiheat Inverta Economy OH I 9e (70 Hz)</t>
  </si>
  <si>
    <t>Optiheat Inverta Economy OH I 9e (80 Hz)</t>
  </si>
  <si>
    <t>Optiheat Inverta Economy OH I 9e (90 Hz)</t>
  </si>
  <si>
    <t>Optiheat Inverta Economy OH I 9e (100 Hz)</t>
  </si>
  <si>
    <t>Optiheat Inverta Economy OH I 17e (30 Hz)</t>
  </si>
  <si>
    <t>Optiheat Inverta Economy OH I 17e (40 Hz)</t>
  </si>
  <si>
    <t>Optiheat Inverta Economy OH I 17e (50 Hz)</t>
  </si>
  <si>
    <t>Optiheat Inverta Economy OH I 17e (70 Hz)</t>
  </si>
  <si>
    <t>Optiheat Inverta Economy OH I 17e (80 Hz)</t>
  </si>
  <si>
    <t>Optiheat Inverta Economy OH I 17e (90 Hz)</t>
  </si>
  <si>
    <t>Optiheat Inverta Economy OH I 17e (100 Hz)</t>
  </si>
  <si>
    <t>LWCV 82R1/3</t>
  </si>
  <si>
    <t>LWV 82R1/3</t>
  </si>
  <si>
    <t>LWV 122R3</t>
  </si>
  <si>
    <t>LWAV 82R1/3</t>
  </si>
  <si>
    <t>LWAV 122R3</t>
  </si>
  <si>
    <t>LWP 450</t>
  </si>
  <si>
    <t>NP-AW 20-08</t>
  </si>
  <si>
    <t>NP-AW 20-12</t>
  </si>
  <si>
    <t>NP-AW 20-16</t>
  </si>
  <si>
    <t>NP-AW 20-20</t>
  </si>
  <si>
    <t>13,9</t>
  </si>
  <si>
    <t>WZSV 92H(K)3</t>
  </si>
  <si>
    <t>EcoAir 610M</t>
  </si>
  <si>
    <t>EcoAir 614M</t>
  </si>
  <si>
    <t>EcoAir 622M</t>
  </si>
  <si>
    <t>8.2.5</t>
  </si>
  <si>
    <t>Meier Tobler AG</t>
  </si>
  <si>
    <t>HM-HP12L-M-BC</t>
  </si>
  <si>
    <t>HM-HP20L-M-BC</t>
  </si>
  <si>
    <t>HM-S30L-M-Solid</t>
  </si>
  <si>
    <t>HM-S40L-M-Solid</t>
  </si>
  <si>
    <t>HM-S55L-M-Solid</t>
  </si>
  <si>
    <t>HM-S08L-M-CC</t>
  </si>
  <si>
    <t>HM-S12L-M-CC</t>
  </si>
  <si>
    <t>HM-S18L-M-CC</t>
  </si>
  <si>
    <t>HM-HP08S10W-M-BC</t>
  </si>
  <si>
    <t>HM-HP12S16W-M-BC</t>
  </si>
  <si>
    <t>HM-HP20S25W-M-BC</t>
  </si>
  <si>
    <t>Neue Gerätedaten gem. FWS Juni 2018. Alle Blätter: Blattschutz neu gesetzt.</t>
  </si>
  <si>
    <t>8.2.3</t>
  </si>
  <si>
    <t xml:space="preserve">Neue Gerätedaten gem. FWS 3.12.2018. Gültigkeitsdatum angepasst auf 31.12.2019. Es gibt keine V8.2.4 </t>
  </si>
  <si>
    <t>Blatt "WP1": Minimaltemperatur ohne Eingabe des Bivalenzpunktes von -20 auf -30 reduziert.</t>
  </si>
  <si>
    <t>Blatt "WP_Daten": Ergänzung Datenbank bis 1991 WPs möglich</t>
  </si>
  <si>
    <t>Rechenwert ohne Verdampfer</t>
  </si>
  <si>
    <t>Valeurs de calcul sans évaporateur</t>
  </si>
  <si>
    <t>Valore di calcolo senza evaporatore</t>
  </si>
  <si>
    <t>Blatt "WP1": X20,Z20,AB20 angepasst. Strom Pumpe Verdampfer = 4% Kompressor, schon in COP, Sondenteil &gt;= 0</t>
  </si>
  <si>
    <t>Kibernetik AG</t>
  </si>
  <si>
    <t>SAO60-2</t>
  </si>
  <si>
    <t>SAO80-2</t>
  </si>
  <si>
    <t>SAO110-2</t>
  </si>
  <si>
    <t>SAO140-2</t>
  </si>
  <si>
    <t>STE60-1</t>
  </si>
  <si>
    <t>STE80-1</t>
  </si>
  <si>
    <t>STE100-1</t>
  </si>
  <si>
    <t>STE130-1</t>
  </si>
  <si>
    <t>STE170-1</t>
  </si>
  <si>
    <t>T220-2</t>
  </si>
  <si>
    <t>T280-2</t>
  </si>
  <si>
    <t>T380-2</t>
  </si>
  <si>
    <t>T480-2</t>
  </si>
  <si>
    <t>T540-2</t>
  </si>
  <si>
    <t>T640-2</t>
  </si>
  <si>
    <t>T720-2</t>
  </si>
  <si>
    <t>T800-2</t>
  </si>
  <si>
    <t>AQUATOP S06</t>
  </si>
  <si>
    <t>AQUATOP S08</t>
  </si>
  <si>
    <t>AQUATOP S11</t>
  </si>
  <si>
    <t>AQUATOP S14</t>
  </si>
  <si>
    <t>AQUATOP S17</t>
  </si>
  <si>
    <t>8.3.1</t>
  </si>
  <si>
    <t>Daten der WP's von FWS erneuert. Publikation als Version 8.3.1</t>
  </si>
  <si>
    <t xml:space="preserve">valable jusqu'à </t>
  </si>
  <si>
    <t xml:space="preserve">valido fino a </t>
  </si>
  <si>
    <t>aroTHERM VWL 105/5 AS</t>
  </si>
  <si>
    <t>aroTHERM VWL 125/5 AS</t>
  </si>
  <si>
    <t xml:space="preserve">versoTHERM VWL 57/5 </t>
  </si>
  <si>
    <t xml:space="preserve">versoTHERM VWL 77/5 </t>
  </si>
  <si>
    <t>Vaillant-SAPAC</t>
  </si>
  <si>
    <t>Erset Mistral C 7</t>
  </si>
  <si>
    <t>Erset Mistral C 11</t>
  </si>
  <si>
    <t>Erset Mistral C 14</t>
  </si>
  <si>
    <t>Erset Mistral C 18</t>
  </si>
  <si>
    <t>8.3.3</t>
  </si>
  <si>
    <t>02,62 kW WPL 09 IKCS classic</t>
  </si>
  <si>
    <t>02,64 kW WPL 09 ICS classic</t>
  </si>
  <si>
    <t>04,95 kW WPL 17 IKCS classic</t>
  </si>
  <si>
    <t>05,02 kW WPL 17 ICS classic</t>
  </si>
  <si>
    <t>05,73 kW WPL 17 ACS classic</t>
  </si>
  <si>
    <t>Daten der WP's von FWS erneuert. Publikation als Version 8.3.2</t>
  </si>
  <si>
    <t>8.3.2</t>
  </si>
  <si>
    <t>Bei Datenerneuerung wurden Felder H18, F21, F22 und F23 vorausgefüllt. Bereinigt</t>
  </si>
  <si>
    <t>8.3.6</t>
  </si>
  <si>
    <t>Daten der WP's von FWS erneuert. Publikation als Version 8.3.3</t>
  </si>
  <si>
    <t>8.3.7</t>
  </si>
  <si>
    <t>FWS</t>
  </si>
  <si>
    <t>SGe/CG</t>
  </si>
  <si>
    <t>Bei Datenerneuerung wurden Felder H18, F21, F22 und F23 vorausgefüllt. Bereinigt. Gültigkeit 31.12.2020</t>
  </si>
  <si>
    <t>Blatt "WP_Daten": Anpassung Feld AH7, Bereich neu von AJ40:AJ239</t>
  </si>
  <si>
    <t>Faivre Energie SA</t>
  </si>
  <si>
    <t>Dimplex LIK 8TES</t>
  </si>
  <si>
    <t>Dimplex LI 12TU</t>
  </si>
  <si>
    <t>Dimplex SI 6TU</t>
  </si>
  <si>
    <t>Dimplex SIK 8TES</t>
  </si>
  <si>
    <t>Dimplex SI 8TU</t>
  </si>
  <si>
    <t>Dimplex SIK 11TES</t>
  </si>
  <si>
    <t>Dimplex SI 11TU</t>
  </si>
  <si>
    <t>Dimplex SI 14TU</t>
  </si>
  <si>
    <t>Dimplex SI 18TU</t>
  </si>
  <si>
    <t>Dimplex SIH 20TE</t>
  </si>
  <si>
    <t>Dimplex SI 22TU</t>
  </si>
  <si>
    <t>Dimplex SI 26TU</t>
  </si>
  <si>
    <t>Dimplex SI 35TU</t>
  </si>
  <si>
    <t>Dimplex SI 50TU</t>
  </si>
  <si>
    <t>Dimplex SI 75TU</t>
  </si>
  <si>
    <t>AWCI-AC 201.A10</t>
  </si>
  <si>
    <t xml:space="preserve"> 200-S AWB-M-E-AC 201.D04</t>
  </si>
  <si>
    <t xml:space="preserve"> 200-S AWB-M-E-AC 201.D06</t>
  </si>
  <si>
    <t xml:space="preserve"> 200-S AWB-M-E-AC 201.D08</t>
  </si>
  <si>
    <t xml:space="preserve"> 200-S AWB-E-AC 201.D10</t>
  </si>
  <si>
    <t xml:space="preserve"> 200-S AWB-E-AC 201.D13</t>
  </si>
  <si>
    <t xml:space="preserve"> 200-S AWB-E-AC 201.D16</t>
  </si>
  <si>
    <t xml:space="preserve"> 222-S AWBT-M-E-AC 221.C04</t>
  </si>
  <si>
    <t xml:space="preserve"> 222-S AWBT-M-E-AC 221.C06</t>
  </si>
  <si>
    <t xml:space="preserve"> 222-S AWBT-M-E-AC 221.C08</t>
  </si>
  <si>
    <t xml:space="preserve"> 222-S AWBT-E-AC 221.C10</t>
  </si>
  <si>
    <t xml:space="preserve"> 222-S AWBT-E-AC 221.C13</t>
  </si>
  <si>
    <t xml:space="preserve"> 222-S AWBT-E-AC 221.C16</t>
  </si>
  <si>
    <t>BW 351.B20 / BWS 351.B20</t>
  </si>
  <si>
    <t>BW 351.B27 / BWS 351.B27</t>
  </si>
  <si>
    <t>BW 351.B33 / BWS 351.B33</t>
  </si>
  <si>
    <t>BW 351.B42 / BWS 351.B42</t>
  </si>
  <si>
    <t>BWT 331.C06</t>
  </si>
  <si>
    <t>BWT 331.C12</t>
  </si>
  <si>
    <t>8.3.11</t>
  </si>
  <si>
    <t>UltraSource B comfort C (8)</t>
  </si>
  <si>
    <t>UltraSource B comfort C (11)</t>
  </si>
  <si>
    <t>UltraSource B comfort C (17)</t>
  </si>
  <si>
    <t>UltraSource B compact C (8/200)</t>
  </si>
  <si>
    <t>UltraSource B compact C (11/200)</t>
  </si>
  <si>
    <t>Belaria comfort ICM (8)</t>
  </si>
  <si>
    <t>Belaria comfort ICM (13)</t>
  </si>
  <si>
    <t>Belaria twin IR (25)</t>
  </si>
  <si>
    <t>Belaria twin IR (30)</t>
  </si>
  <si>
    <t>Belaria dual AR (60)</t>
  </si>
  <si>
    <t>UltraSource T comfort (8)</t>
  </si>
  <si>
    <t>UltraSource T comfort (13)</t>
  </si>
  <si>
    <t>UltraSource T comfort (17)</t>
  </si>
  <si>
    <t>UltraSource T compact (8/200)</t>
  </si>
  <si>
    <t>UltraSource T compact (13/200)</t>
  </si>
  <si>
    <t>Thermalia comfort (10)</t>
  </si>
  <si>
    <t>Thermalia comfort H (7)</t>
  </si>
  <si>
    <t>Thermalia twin H (13)</t>
  </si>
  <si>
    <t>Thermalia twin H (19)</t>
  </si>
  <si>
    <t>Thermalia twin H (22)</t>
  </si>
  <si>
    <t>Thermalia dual (55)</t>
  </si>
  <si>
    <t>Thermalia dual (70)</t>
  </si>
  <si>
    <t>Thermalia dual (85)</t>
  </si>
  <si>
    <t>Thermalia dual (110)</t>
  </si>
  <si>
    <t>Thermalia dual (140)</t>
  </si>
  <si>
    <t>Thermalia dual H (35)</t>
  </si>
  <si>
    <t>Thermalia dual H (50)</t>
  </si>
  <si>
    <t>Thermalia dual H (70)</t>
  </si>
  <si>
    <t>Thermalia dual H (90)</t>
  </si>
  <si>
    <t>WP-Daten von Faivre und Viessmann erneuert</t>
  </si>
  <si>
    <t>8.3.9</t>
  </si>
  <si>
    <t>WP-Daten Vaillant erneuert</t>
  </si>
  <si>
    <t>8.3.10</t>
  </si>
  <si>
    <t>WP-Daten Hoval + Faivre erneuert</t>
  </si>
  <si>
    <t>Weishaupt</t>
  </si>
  <si>
    <t>WWP L 18 AD</t>
  </si>
  <si>
    <t>WWP L 12 ID</t>
  </si>
  <si>
    <t>WWP L 40 A-2</t>
  </si>
  <si>
    <t>WWP S 18 ID</t>
  </si>
  <si>
    <t>WWP S 26 ID</t>
  </si>
  <si>
    <t>WWP S 35 ID</t>
  </si>
  <si>
    <t>WWP S 50 ID</t>
  </si>
  <si>
    <t>WWP S 75 ID</t>
  </si>
  <si>
    <t>WWP S 90 ID</t>
  </si>
  <si>
    <t>WWP S 90 IDH</t>
  </si>
  <si>
    <t>WWP S 130 ID</t>
  </si>
  <si>
    <t>WWP W 10 ID</t>
  </si>
  <si>
    <t>WWP W 14 ID</t>
  </si>
  <si>
    <t>WWP W 18 ID</t>
  </si>
  <si>
    <t>WWP W 22 ID</t>
  </si>
  <si>
    <t>WWP W 35 ID</t>
  </si>
  <si>
    <t>WWP W 45 ID</t>
  </si>
  <si>
    <t>WWP W 65 ID</t>
  </si>
  <si>
    <t>WWP W 95 ID</t>
  </si>
  <si>
    <t>Oertli LINK12TU</t>
  </si>
  <si>
    <t>Oertli LSI 80SHW</t>
  </si>
  <si>
    <t>Oertli LSI 112SHW</t>
  </si>
  <si>
    <t>Oertli LSI 140SHW</t>
  </si>
  <si>
    <t>Oertli LSI 230SHW</t>
  </si>
  <si>
    <t>Panasonic LT 5</t>
  </si>
  <si>
    <t>Oertli SIN 90TU</t>
  </si>
  <si>
    <t>Oertli SIN 130TU</t>
  </si>
  <si>
    <t>Oertli SINH 90TU</t>
  </si>
  <si>
    <t>8.3.12</t>
  </si>
  <si>
    <t>WP-Daten Vaillant + Meier-Tobler + Weishaupt erneuert</t>
  </si>
  <si>
    <t>8.3.13</t>
  </si>
  <si>
    <t>LICV 8.2R1/3</t>
  </si>
  <si>
    <t>LICV 12.2R3</t>
  </si>
  <si>
    <t>LIV 8.2R1/3</t>
  </si>
  <si>
    <t>LIV 12.2R3</t>
  </si>
  <si>
    <t>S1155-12</t>
  </si>
  <si>
    <t>S1155-16</t>
  </si>
  <si>
    <t>S1255-12</t>
  </si>
  <si>
    <t>S1255-16</t>
  </si>
  <si>
    <t>WP-Daten erneuert (Datum = Eingang Daten AWEL)</t>
  </si>
  <si>
    <t>BWC 201.B06</t>
  </si>
  <si>
    <t>BWC 201.B08</t>
  </si>
  <si>
    <t>BWC 201.B10</t>
  </si>
  <si>
    <t>BWC 201.B13</t>
  </si>
  <si>
    <t>BWC 201.B17</t>
  </si>
  <si>
    <t>BWC 301.C06</t>
  </si>
  <si>
    <t>BWC 301.C12</t>
  </si>
  <si>
    <t>BWC 301.C16</t>
  </si>
  <si>
    <t>Heim AG</t>
  </si>
  <si>
    <t>LWsp 2-30 HT</t>
  </si>
  <si>
    <t>LWsp 2-42 HT</t>
  </si>
  <si>
    <t>LWsp 2-54 HT</t>
  </si>
  <si>
    <t>LWasp 2-30 HT</t>
  </si>
  <si>
    <t>LWasp 2-42 HT</t>
  </si>
  <si>
    <t>LWasp 2-54 HT</t>
  </si>
  <si>
    <t>LIA 3IM</t>
  </si>
  <si>
    <t>LIA 5IM</t>
  </si>
  <si>
    <t>LIA 9IM</t>
  </si>
  <si>
    <t>AQUAREA T-CAP 9 SQ</t>
  </si>
  <si>
    <t>AQUAREA T-CAP 12 SQ</t>
  </si>
  <si>
    <t>AQUAREA T-CAP 16 SQ</t>
  </si>
  <si>
    <t>8 AW I</t>
  </si>
  <si>
    <t>16 AW I</t>
  </si>
  <si>
    <t>ac 8 AW I</t>
  </si>
  <si>
    <t>ac 16 AW I</t>
  </si>
  <si>
    <t>LIK12TU</t>
  </si>
  <si>
    <t>LIK8TES(L)</t>
  </si>
  <si>
    <t>LI20TES(L)</t>
  </si>
  <si>
    <t>LI24TES(L)</t>
  </si>
  <si>
    <t>8 AW E</t>
  </si>
  <si>
    <t>16 AW E</t>
  </si>
  <si>
    <t>ac 8 AW E</t>
  </si>
  <si>
    <t>ac 16 AW E</t>
  </si>
  <si>
    <t>LA25TU-2</t>
  </si>
  <si>
    <t>LA40TU-2</t>
  </si>
  <si>
    <t>LA60TU-2</t>
  </si>
  <si>
    <t>LA9S-TU</t>
  </si>
  <si>
    <t>LA12S-TU</t>
  </si>
  <si>
    <t>LA9S-TUR</t>
  </si>
  <si>
    <t>LA12S-TUR</t>
  </si>
  <si>
    <t>SWe 1-6</t>
  </si>
  <si>
    <t>SWe 1-8</t>
  </si>
  <si>
    <t>SWe 1-10</t>
  </si>
  <si>
    <t>SWe 1-13</t>
  </si>
  <si>
    <t>SWe 1-17</t>
  </si>
  <si>
    <t>SWe 1-21</t>
  </si>
  <si>
    <t>SWHi 1-5</t>
  </si>
  <si>
    <t>SWHi 1-10</t>
  </si>
  <si>
    <t>SWHi 1-13</t>
  </si>
  <si>
    <t>SWHi 1-18</t>
  </si>
  <si>
    <t>SWHi 2-27</t>
  </si>
  <si>
    <t>SWHi 2-34</t>
  </si>
  <si>
    <t>SWHi 2-45</t>
  </si>
  <si>
    <t>SWHi 2-55</t>
  </si>
  <si>
    <t>Dynamic terra 7 BW I</t>
  </si>
  <si>
    <t>Dynamic terra 12 BW I</t>
  </si>
  <si>
    <t>Dynamic terra 18 BW I</t>
  </si>
  <si>
    <t>Dynamic terra pc 7 BW I</t>
  </si>
  <si>
    <t>Dynamic terra pc 12 BW I</t>
  </si>
  <si>
    <t>Dynamic terra pc 18 BW I</t>
  </si>
  <si>
    <t>SI 22TU</t>
  </si>
  <si>
    <t>SI 90TU</t>
  </si>
  <si>
    <t>SI 130TU</t>
  </si>
  <si>
    <t>SIH 90TU</t>
  </si>
  <si>
    <t>SI 35TUR</t>
  </si>
  <si>
    <t>SI 50TUR</t>
  </si>
  <si>
    <t>SI 70TUR</t>
  </si>
  <si>
    <t>WI 120TU</t>
  </si>
  <si>
    <t>AEROTOP S05.2</t>
  </si>
  <si>
    <t>AEROTOP S07.2</t>
  </si>
  <si>
    <t>AEROTOP S09.2</t>
  </si>
  <si>
    <t>AEROTOP S12.2</t>
  </si>
  <si>
    <t>AEROTOP S15.2</t>
  </si>
  <si>
    <t>Dimplex LA 35TBS</t>
  </si>
  <si>
    <t>Dimplex LIK 12TU</t>
  </si>
  <si>
    <t>Dimplex SI 90TU</t>
  </si>
  <si>
    <t>Dimplex SI 130TU</t>
  </si>
  <si>
    <t>Dimplex SIW 6TES</t>
  </si>
  <si>
    <t>Dimplex SIW 8TES</t>
  </si>
  <si>
    <t>Dimplex SIW 11TES</t>
  </si>
  <si>
    <t>Dimplex SIH 90TU</t>
  </si>
  <si>
    <t>Dimplex SI 35TUR</t>
  </si>
  <si>
    <t>Dimplex SI 50TUR</t>
  </si>
  <si>
    <t>Dimplex SI 70TUR</t>
  </si>
  <si>
    <t>Dimplex WI 10TU</t>
  </si>
  <si>
    <t>Dimplex WI 14TU</t>
  </si>
  <si>
    <t>Dimplex WI 18TU</t>
  </si>
  <si>
    <t>Dimplex WI 22TU</t>
  </si>
  <si>
    <t>Dimplex WI 35TU</t>
  </si>
  <si>
    <t>Dimplex WI 45TU</t>
  </si>
  <si>
    <t>Dimplex WI 65TU</t>
  </si>
  <si>
    <t>Dimplex WI 95TU</t>
  </si>
  <si>
    <t>Dimplex WI 120TU</t>
  </si>
  <si>
    <t>Dimplex WI 180TU</t>
  </si>
  <si>
    <t>LI 16I-TUR</t>
  </si>
  <si>
    <t>LA 35TBS</t>
  </si>
  <si>
    <t>LA 60S-TU</t>
  </si>
  <si>
    <t>LA 60S-TUR</t>
  </si>
  <si>
    <t>M-Flex0609</t>
  </si>
  <si>
    <t>M-Flex0916</t>
  </si>
  <si>
    <t>Aeroheat Innen AH CI 8is  (Qh: 100% redu.)</t>
  </si>
  <si>
    <t>Aeroheat Innen AH CI 8is  (Qh: 70% redu.)</t>
  </si>
  <si>
    <t>Aeroheat Innen AH CI 12is  (Qh: 100% redu.)</t>
  </si>
  <si>
    <t>Aeroheat Innen AH CI 12is  (Qh: 70% redu.)</t>
  </si>
  <si>
    <t>Aeroheat Innen AH CI 8i  (Qh: 100% redu.)</t>
  </si>
  <si>
    <t>Aeroheat Innen AH CI 8i  (Qh: 70% redu.)</t>
  </si>
  <si>
    <t>Aeroheat Innen AH CI 12i  (Qh: 100% redu.)</t>
  </si>
  <si>
    <t>Aeroheat Innen AH CI 12i  (Qh: 70% redu.)</t>
  </si>
  <si>
    <t>Aeroheat Innen AH CI 1-16i  (Qh: 100% redu.)</t>
  </si>
  <si>
    <t>Aeroheat Innen AH CI 1-16i  (Qh: 70% redu.)</t>
  </si>
  <si>
    <t>Aeroheat Innen AH CI 1-16i-L  (Qh: 100% redu.)</t>
  </si>
  <si>
    <t>Aeroheat Innen AH CI 1-16i-L  (Qh: 70% redu.)</t>
  </si>
  <si>
    <t>Aeroheat Aussen AH CI 8a  (Qh: 100% redu.)</t>
  </si>
  <si>
    <t>Aeroheat Aussen AH CI 8a  (Qh: 70% redu.)</t>
  </si>
  <si>
    <t>Aeroheat Aussen AH CI 12a  (Qh: 100% redu.)</t>
  </si>
  <si>
    <t>Aeroheat Aussen AH CI 12a  (Qh: 70% redu.)</t>
  </si>
  <si>
    <t>Aeroheat Aussen AH CI 1-16a  (Qh: 100% redu.)</t>
  </si>
  <si>
    <t>Aeroheat Aussen AH CI 1-16a  (Qh: 70% redu.)</t>
  </si>
  <si>
    <t>Aeroheat Aussen AH CNI 9a  (Qh: 100% redu.)</t>
  </si>
  <si>
    <t>Aeroheat Aussen AH CNI 9a  (Qh: 70% redu.)</t>
  </si>
  <si>
    <t>Aeroheat Aussen AH CM 18a  (Qh: 100% redu.)</t>
  </si>
  <si>
    <t>Aeroheat Aussen AH CM 18a  (Qh: 70% redu.)</t>
  </si>
  <si>
    <t>Aeroheat Innen AH CS 30i</t>
  </si>
  <si>
    <t>Aeroheat Innen AH CS 30i-L</t>
  </si>
  <si>
    <t>Aeroheat Aussen AH CS 30a</t>
  </si>
  <si>
    <t>Aeroheat Inverta AH SCI 25 (Qh: max.)</t>
  </si>
  <si>
    <t>Aeroheat Inverta AH SCI 25 (Qh: 100% redu.)</t>
  </si>
  <si>
    <t>Aeroheat Inverta AH SCI 25 (Qh: 70% redu.)</t>
  </si>
  <si>
    <t>WLW196i 4.2 AR E/B/TP</t>
  </si>
  <si>
    <t>WLW196i 6.2 AR E/B/TP</t>
  </si>
  <si>
    <t>WLW196i 8.2 AR E/B/TP</t>
  </si>
  <si>
    <t>WLW196i 11.2 AR E/B/TP</t>
  </si>
  <si>
    <t>WLW196i 14.2 AR E/B/TP</t>
  </si>
  <si>
    <t>WLW196i 4.2 AR S+ E/B/TP</t>
  </si>
  <si>
    <t>WLW196i 6.2 AR S+ E/B/TP</t>
  </si>
  <si>
    <t>WLW196i 4.2 IR E/B/TP</t>
  </si>
  <si>
    <t>WLW196i 6.2 IR E/B/TP</t>
  </si>
  <si>
    <t>WLW196i 8.2 IR E/B/TP</t>
  </si>
  <si>
    <t>WLW196i 11.2 IR E/B/TP</t>
  </si>
  <si>
    <t>WLW196i 14.2 IR E/B/TP</t>
  </si>
  <si>
    <t>WPLS6.2</t>
  </si>
  <si>
    <t>WPLS8.2</t>
  </si>
  <si>
    <t>WPLS11.2</t>
  </si>
  <si>
    <t>WPLS13.2</t>
  </si>
  <si>
    <t>WPLS15.2</t>
  </si>
  <si>
    <t>WSW196i.2 2-6</t>
  </si>
  <si>
    <t>WSW196i.2 2-8</t>
  </si>
  <si>
    <t>WSW196i.2 3-12</t>
  </si>
  <si>
    <t>WSW196i.2 4-16</t>
  </si>
  <si>
    <t>WPS 22.2 HT</t>
  </si>
  <si>
    <t>WPS 28.2 HT</t>
  </si>
  <si>
    <t>WPS 38.2 HT</t>
  </si>
  <si>
    <t>WPS 48.2 HT</t>
  </si>
  <si>
    <t>WPS 54.2 HT</t>
  </si>
  <si>
    <t>WPS 64.2 HT</t>
  </si>
  <si>
    <t>WPS 72.2 HT</t>
  </si>
  <si>
    <t>WPS 80.2 HT</t>
  </si>
  <si>
    <t>LA 6S-TU</t>
  </si>
  <si>
    <t>LA 6S-TUR</t>
  </si>
  <si>
    <t>LIK 12TU</t>
  </si>
  <si>
    <t>LA 9S-TUR</t>
  </si>
  <si>
    <t>LA 18S-TUR</t>
  </si>
  <si>
    <t>LA 12S-TUR</t>
  </si>
  <si>
    <t>LA 25 TU-2</t>
  </si>
  <si>
    <t>LA 40 TU-2</t>
  </si>
  <si>
    <t>Regli Energy Systems</t>
  </si>
  <si>
    <t>NovaAir 8</t>
  </si>
  <si>
    <t>NovaAir 12</t>
  </si>
  <si>
    <t>NovaAir 16</t>
  </si>
  <si>
    <t>NovaAqua 8</t>
  </si>
  <si>
    <t>NovaAqua 12</t>
  </si>
  <si>
    <t>NovaAqua 16</t>
  </si>
  <si>
    <t>8.3.17</t>
  </si>
  <si>
    <t>8.3.14</t>
  </si>
  <si>
    <t>Solewasser WP AIT geändert</t>
  </si>
  <si>
    <t>8.3.15</t>
  </si>
  <si>
    <t>WP-Daten erneuert (CTA,Buderus, Dimplex, Meier Tobler, Elcothem, Faivre)</t>
  </si>
  <si>
    <t>WP-Daten erneuert (Meier Tobler)</t>
  </si>
  <si>
    <t>8.3.16</t>
  </si>
  <si>
    <t>FDS Distribution</t>
  </si>
  <si>
    <t>GeniaAir split 5</t>
  </si>
  <si>
    <t>GeniaAir split 7</t>
  </si>
  <si>
    <t>GeniaAir split 10</t>
  </si>
  <si>
    <t>GeniaAir split 10 TRI</t>
  </si>
  <si>
    <t>GeniaAir split 12</t>
  </si>
  <si>
    <t>GeniaAir split 12 TRI</t>
  </si>
  <si>
    <t>GeniaAir Max4</t>
  </si>
  <si>
    <t>GeniaAir Max5</t>
  </si>
  <si>
    <t>GeniaAir Max8</t>
  </si>
  <si>
    <t>GeniaAir Max12</t>
  </si>
  <si>
    <t>GeniaAir Max12 TRI</t>
  </si>
  <si>
    <t>GeniaAir Max15</t>
  </si>
  <si>
    <t>GeniaAir Max15 TRI</t>
  </si>
  <si>
    <t>geoTHERM perform VWS 260/3</t>
  </si>
  <si>
    <t>geoTHERM perform VWS 400/3</t>
  </si>
  <si>
    <t>geoTHERM perform VWS 780/3</t>
  </si>
  <si>
    <t>Daikin ERGA04* + EH(B/V)(H/X)04*</t>
  </si>
  <si>
    <t>Daikin ERGA06* + EH(B/V)(H/X)08*</t>
  </si>
  <si>
    <t>Daikin ERGA08* + EH(B/V)(H/X)08*</t>
  </si>
  <si>
    <t>Daikin EPRA14* + ET(B/V)(H/X)16*</t>
  </si>
  <si>
    <t>Daikin EPRA16* + ET(B/V)(H/X)16*</t>
  </si>
  <si>
    <t>Daikin EPRA18* + ET(B/V)(H/X)16*</t>
  </si>
  <si>
    <t>Dimplex SI 85TUR</t>
  </si>
  <si>
    <t>Dimplex SI 130TUR+</t>
  </si>
  <si>
    <t>WWP LI 16-A R</t>
  </si>
  <si>
    <t>Samsung</t>
  </si>
  <si>
    <t xml:space="preserve">WPLW-Hub Mono-5-200  </t>
  </si>
  <si>
    <t xml:space="preserve">WPLW-Hub Mono-8-200  </t>
  </si>
  <si>
    <t xml:space="preserve">WPLW-Hub Mono-8-260  </t>
  </si>
  <si>
    <t xml:space="preserve">WPLW-Hub Mono-12-200  </t>
  </si>
  <si>
    <t xml:space="preserve">WPLW-Hub Mono-12-260  </t>
  </si>
  <si>
    <t xml:space="preserve">WPLW-Hub Mono-16-200  </t>
  </si>
  <si>
    <t xml:space="preserve">WPLW-Hub Mono-16-260  </t>
  </si>
  <si>
    <t xml:space="preserve">WPLW-Hub Mono-8-260-3  </t>
  </si>
  <si>
    <t xml:space="preserve">WPLW-Hub Mono-12-260-3  </t>
  </si>
  <si>
    <t xml:space="preserve">WPLW-Hub Mono-16-260-3  </t>
  </si>
  <si>
    <t xml:space="preserve">WPLW-Mono-5-RE </t>
  </si>
  <si>
    <t xml:space="preserve">WPLW-Mono-8-RE  </t>
  </si>
  <si>
    <t xml:space="preserve">WPLW-Mono-12-RE  </t>
  </si>
  <si>
    <t xml:space="preserve">WPLW-Mono-16-RE  </t>
  </si>
  <si>
    <t xml:space="preserve">WPLW-Mono-8-RE-3  </t>
  </si>
  <si>
    <t xml:space="preserve">WPLW-Mono-12-RE-3 </t>
  </si>
  <si>
    <t xml:space="preserve">WPLW-Mono-16-RE-3 </t>
  </si>
  <si>
    <t xml:space="preserve">WPLW-Hub Split-4-200  </t>
  </si>
  <si>
    <t xml:space="preserve">WPLW-Hub Split-4-260 </t>
  </si>
  <si>
    <t xml:space="preserve">WPLW-Hub Split-6-200  </t>
  </si>
  <si>
    <t xml:space="preserve">WPLW-Hub Split-6-260  </t>
  </si>
  <si>
    <t xml:space="preserve">WPLW-Hub Split-9-200 </t>
  </si>
  <si>
    <t xml:space="preserve">WPLW-Hub Split-9-260  </t>
  </si>
  <si>
    <t xml:space="preserve">WPLW-Split-9-WT-3  </t>
  </si>
  <si>
    <t xml:space="preserve">WPLW-Split-4-WT  </t>
  </si>
  <si>
    <t xml:space="preserve">WPLW-Split-6-WT  </t>
  </si>
  <si>
    <t xml:space="preserve">WPLW-Split-9-WT  </t>
  </si>
  <si>
    <t xml:space="preserve">WPLW-Split-12-WT  </t>
  </si>
  <si>
    <t xml:space="preserve">WPLW-Split-12-WT-3  </t>
  </si>
  <si>
    <t xml:space="preserve">WPLW-Split-16-WT  </t>
  </si>
  <si>
    <t xml:space="preserve">WPLW-Split-16-WT-3  </t>
  </si>
  <si>
    <t xml:space="preserve">WPLW-HUB TDM 4,4-200 </t>
  </si>
  <si>
    <t xml:space="preserve">WPLW-HUB TDM 4,4-260 </t>
  </si>
  <si>
    <t xml:space="preserve">WPLW-HUB TDM 6,6-200  </t>
  </si>
  <si>
    <t xml:space="preserve">WPLW-HUB TDM 6,6-260  </t>
  </si>
  <si>
    <t xml:space="preserve">WPLW-HUB TDM 9-200  </t>
  </si>
  <si>
    <t xml:space="preserve">WPLW-HUB TDM 9-260  </t>
  </si>
  <si>
    <t xml:space="preserve">WPLW-HUB TDM 12-260  </t>
  </si>
  <si>
    <t xml:space="preserve">WPLW-HUB TDM 16-260  </t>
  </si>
  <si>
    <t xml:space="preserve">WPLW-HUB TDM 9-200-3  </t>
  </si>
  <si>
    <t xml:space="preserve">WPLW-HUB TDM 9-260-3 </t>
  </si>
  <si>
    <t xml:space="preserve">WPLW-HUB TDM 12-260-3 </t>
  </si>
  <si>
    <t xml:space="preserve">WPLW-HUB TDM 16-260-3 </t>
  </si>
  <si>
    <t xml:space="preserve">WPLW-TDM Split-4,4-WT </t>
  </si>
  <si>
    <t xml:space="preserve">WPLW-TDM Split-6,6-WT  </t>
  </si>
  <si>
    <t xml:space="preserve">WPLW-TDM Split-9-WT  </t>
  </si>
  <si>
    <t xml:space="preserve">WPLW-TDM Split-12-WT  </t>
  </si>
  <si>
    <t xml:space="preserve">WPLW-TDM Split-16-WT  </t>
  </si>
  <si>
    <t xml:space="preserve">WPLW-TDM Split-9-WT-3  </t>
  </si>
  <si>
    <t xml:space="preserve">WPLW-TDM Split-12-WT-3 </t>
  </si>
  <si>
    <t xml:space="preserve">WPLW-TDM Split-16-WT-3 </t>
  </si>
  <si>
    <t xml:space="preserve">neu FDS-Distribution und Samsung; Änderungen:Vaillant, Faivre, Weishaupt
</t>
  </si>
  <si>
    <t>8.3.19</t>
  </si>
  <si>
    <t>LWDV 91</t>
  </si>
  <si>
    <t>LWAV+ 82R1/3</t>
  </si>
  <si>
    <t>LWAV+ 122R3</t>
  </si>
  <si>
    <t>F1355-28</t>
  </si>
  <si>
    <t>LWCV 122R3</t>
  </si>
  <si>
    <t xml:space="preserve"> LW 161H/V</t>
  </si>
  <si>
    <t xml:space="preserve"> LW 180</t>
  </si>
  <si>
    <t xml:space="preserve"> LW 251</t>
  </si>
  <si>
    <t xml:space="preserve"> LW 300</t>
  </si>
  <si>
    <t xml:space="preserve"> LWD 50A</t>
  </si>
  <si>
    <t xml:space="preserve"> LWD 70A</t>
  </si>
  <si>
    <t xml:space="preserve"> LWD 90A</t>
  </si>
  <si>
    <t xml:space="preserve"> LWD 50A (RX)</t>
  </si>
  <si>
    <t xml:space="preserve"> LWD 70A (RX)</t>
  </si>
  <si>
    <t xml:space="preserve"> LW 101A</t>
  </si>
  <si>
    <t xml:space="preserve"> LW 121A</t>
  </si>
  <si>
    <t xml:space="preserve"> LW 140A</t>
  </si>
  <si>
    <t xml:space="preserve"> LW 161HA-V</t>
  </si>
  <si>
    <t xml:space="preserve"> LW 180A</t>
  </si>
  <si>
    <t xml:space="preserve"> LW 251A</t>
  </si>
  <si>
    <t xml:space="preserve"> LW 300A</t>
  </si>
  <si>
    <t xml:space="preserve"> LWSE-V-06</t>
  </si>
  <si>
    <t xml:space="preserve"> LWSE-V-09</t>
  </si>
  <si>
    <t xml:space="preserve"> LWSE-V-13</t>
  </si>
  <si>
    <t xml:space="preserve"> LWSE-V-19</t>
  </si>
  <si>
    <t xml:space="preserve"> LWSE-V-24</t>
  </si>
  <si>
    <t xml:space="preserve"> LWSE-V-33</t>
  </si>
  <si>
    <t xml:space="preserve"> SWCV 62H(K)3</t>
  </si>
  <si>
    <t xml:space="preserve"> SWCV 92H(K)3</t>
  </si>
  <si>
    <t xml:space="preserve"> SWCV 122H(K)3</t>
  </si>
  <si>
    <t xml:space="preserve"> SWCV 162H(K)3</t>
  </si>
  <si>
    <t xml:space="preserve"> SWC 42H(K)3</t>
  </si>
  <si>
    <t xml:space="preserve"> SWC 82H(K)3</t>
  </si>
  <si>
    <t xml:space="preserve"> SWC 102H(K)3</t>
  </si>
  <si>
    <t xml:space="preserve"> SWC 122H(K)3</t>
  </si>
  <si>
    <t xml:space="preserve"> SWC 142H(K)3</t>
  </si>
  <si>
    <t xml:space="preserve"> SWC 172H(K)3</t>
  </si>
  <si>
    <t xml:space="preserve"> SWC 192H(K)3</t>
  </si>
  <si>
    <t xml:space="preserve"> WZSV 62H(K)3</t>
  </si>
  <si>
    <t xml:space="preserve"> WZSV 122H(K)3</t>
  </si>
  <si>
    <t xml:space="preserve"> SW 42H3</t>
  </si>
  <si>
    <t xml:space="preserve"> SW 82H3</t>
  </si>
  <si>
    <t xml:space="preserve"> SW 102H3</t>
  </si>
  <si>
    <t xml:space="preserve"> SW 122H3</t>
  </si>
  <si>
    <t xml:space="preserve"> SW 142H3</t>
  </si>
  <si>
    <t xml:space="preserve"> SW 172H3</t>
  </si>
  <si>
    <t xml:space="preserve"> SW 192H3</t>
  </si>
  <si>
    <t xml:space="preserve"> SW 232H3</t>
  </si>
  <si>
    <t xml:space="preserve"> SW 262H3</t>
  </si>
  <si>
    <t xml:space="preserve"> SW 302H3 </t>
  </si>
  <si>
    <t xml:space="preserve"> SWP 291H</t>
  </si>
  <si>
    <t xml:space="preserve"> SWP 371</t>
  </si>
  <si>
    <t xml:space="preserve"> SWP 451</t>
  </si>
  <si>
    <t xml:space="preserve"> SWP 561H</t>
  </si>
  <si>
    <t xml:space="preserve"> SWP 581</t>
  </si>
  <si>
    <t xml:space="preserve"> SWP 691</t>
  </si>
  <si>
    <t xml:space="preserve"> SWP 850H</t>
  </si>
  <si>
    <t xml:space="preserve"> F1355-28</t>
  </si>
  <si>
    <t xml:space="preserve"> NP-BW60-24</t>
  </si>
  <si>
    <t xml:space="preserve"> NP-BW60-30</t>
  </si>
  <si>
    <t xml:space="preserve"> NP-BW60-40</t>
  </si>
  <si>
    <t xml:space="preserve"> NP-BW60-60</t>
  </si>
  <si>
    <t>NP-BWV 28</t>
  </si>
  <si>
    <t>NP-BWV 43</t>
  </si>
  <si>
    <t xml:space="preserve"> LI 25</t>
  </si>
  <si>
    <t xml:space="preserve"> LI 30</t>
  </si>
  <si>
    <t>LAV 8.2R1/3</t>
  </si>
  <si>
    <t>LAV 12.2R3</t>
  </si>
  <si>
    <t>LAVS 8.2R1/3</t>
  </si>
  <si>
    <t>LAVS 12.2R3</t>
  </si>
  <si>
    <t xml:space="preserve"> LA 30</t>
  </si>
  <si>
    <t>S1155-6 (PC)</t>
  </si>
  <si>
    <t>S1155-25</t>
  </si>
  <si>
    <t>S1255-6 (PC)</t>
  </si>
  <si>
    <t>F1355-43</t>
  </si>
  <si>
    <t>FDS Distribution-Templari</t>
  </si>
  <si>
    <t xml:space="preserve">Kita Si </t>
  </si>
  <si>
    <t xml:space="preserve">Kita Si Cold </t>
  </si>
  <si>
    <t xml:space="preserve">Kita Si Plus </t>
  </si>
  <si>
    <t xml:space="preserve">Kita Si Plus Cold </t>
  </si>
  <si>
    <t>Kita Mi</t>
  </si>
  <si>
    <t xml:space="preserve">Kita Mi Cold </t>
  </si>
  <si>
    <t xml:space="preserve">Kita Mi Plus </t>
  </si>
  <si>
    <t xml:space="preserve">Kita Mi Plus Cold </t>
  </si>
  <si>
    <t>Kita L33</t>
  </si>
  <si>
    <t>Kita L42</t>
  </si>
  <si>
    <t>Kita L66</t>
  </si>
  <si>
    <t>Kita L Cold</t>
  </si>
  <si>
    <t xml:space="preserve">Kita Li Plus </t>
  </si>
  <si>
    <t>Kita Si Split</t>
  </si>
  <si>
    <t>Kita Si Cold Split</t>
  </si>
  <si>
    <t>Kita Si Plus Split</t>
  </si>
  <si>
    <t>Kita Si Plus Cold Split</t>
  </si>
  <si>
    <t xml:space="preserve">Kita Mi Split  Split </t>
  </si>
  <si>
    <t xml:space="preserve">Kita Mi Cold  Split </t>
  </si>
  <si>
    <t xml:space="preserve">Kita Mi Plus  Split </t>
  </si>
  <si>
    <t>Kita Mi Plus Cold Split</t>
  </si>
  <si>
    <t>Kita L33 Split</t>
  </si>
  <si>
    <t xml:space="preserve">Kita L42 Split </t>
  </si>
  <si>
    <t xml:space="preserve">Kita L66  Split </t>
  </si>
  <si>
    <t xml:space="preserve">Kita L Cold  Split </t>
  </si>
  <si>
    <t xml:space="preserve">Kita Li Plus  Split </t>
  </si>
  <si>
    <t>8.3.18</t>
  </si>
  <si>
    <t>8.3.20</t>
  </si>
  <si>
    <t>8.3.21</t>
  </si>
  <si>
    <t>8.3.22</t>
  </si>
  <si>
    <t>8.3.23</t>
  </si>
  <si>
    <t>8.3.24</t>
  </si>
  <si>
    <t>8.3.25</t>
  </si>
  <si>
    <t>8.3.26</t>
  </si>
  <si>
    <t>8.3.27</t>
  </si>
  <si>
    <t>8.3.28</t>
  </si>
  <si>
    <t>8.3.29</t>
  </si>
  <si>
    <t>8.3.30</t>
  </si>
  <si>
    <t>8.3.31</t>
  </si>
  <si>
    <t>WP-Daten erneuert (AIT, Nibe)</t>
  </si>
  <si>
    <t>Hoval</t>
  </si>
  <si>
    <t>Belaria pro comfort (8)</t>
  </si>
  <si>
    <t>Belaria pro comfort (13)</t>
  </si>
  <si>
    <t>Belaria pro comfort (15)</t>
  </si>
  <si>
    <t>Belaria pro comfort (8/100/300)</t>
  </si>
  <si>
    <t>Belaria pro comfort (13/100/300)</t>
  </si>
  <si>
    <t>Belaria pro (24)</t>
  </si>
  <si>
    <t>Bosch CS7000iAW 13 IRE</t>
  </si>
  <si>
    <t>Bosch CS7000iAW 13 IRMB</t>
  </si>
  <si>
    <t>Bosch CS7000iAW 17 IRE</t>
  </si>
  <si>
    <t>Bosch CS7000iAW 17 IRMB</t>
  </si>
  <si>
    <t>Bosch CS7000iAW 7 IRE</t>
  </si>
  <si>
    <t>Bosch CS7000iAW 7 IRMB</t>
  </si>
  <si>
    <t>Bosch CS7000iAW 9 IRE</t>
  </si>
  <si>
    <t>Bosch CS7000iAW 9 IRMB</t>
  </si>
  <si>
    <t>Bosch CS7001iAW 13 ORE</t>
  </si>
  <si>
    <t>Bosch CS7001iAW 13 ORMB</t>
  </si>
  <si>
    <t>Bosch CS7001iAW 17 ORE</t>
  </si>
  <si>
    <t>Bosch CS7001iAW 17 ORMB</t>
  </si>
  <si>
    <t>Bosch CS7001iAW 9 ORE</t>
  </si>
  <si>
    <t>Bosch CS7001iAW 9 ORMB</t>
  </si>
  <si>
    <t>Bosch CS7400iAW 5 ORE</t>
  </si>
  <si>
    <t>Bosch CS7400iAW 5 ORMB</t>
  </si>
  <si>
    <t>Bosch CS7400iAW 7 ORE</t>
  </si>
  <si>
    <t>Bosch CS7400iAW 7 ORMB</t>
  </si>
  <si>
    <t>Bosch CS7800i 12 LW</t>
  </si>
  <si>
    <t>Bosch CS7800i 12 LWMB</t>
  </si>
  <si>
    <t>Bosch CS7800i 16 LW</t>
  </si>
  <si>
    <t>Bosch CS7800i 16 LWMB</t>
  </si>
  <si>
    <t>Bosch CS7800i 6 LW</t>
  </si>
  <si>
    <t>Bosch CS7800i 6 LWMB</t>
  </si>
  <si>
    <t>Bosch CS7800i 8 LW</t>
  </si>
  <si>
    <t>Bosch CS7800i 8 LWMB</t>
  </si>
  <si>
    <t>Mitsubishi Ecodan PUD-SHWM100YAA</t>
  </si>
  <si>
    <t>Mitsubishi Ecodan PUD-SHWM120YAA</t>
  </si>
  <si>
    <t>Mitsubishi Ecodan PUD-SHWM140YAA</t>
  </si>
  <si>
    <t>Mitsubishi Ecodan PUD-SHWM60VAA</t>
  </si>
  <si>
    <t>Mitsubishi Ecodan PUD-SHWM80YAA</t>
  </si>
  <si>
    <t>Mitsubishi Ecodan PUZ-WM112YAA</t>
  </si>
  <si>
    <t>Mitsubishi Ecodan PUZ-WM60VAA</t>
  </si>
  <si>
    <t>Mitsubishi Ecodan PUZ-WM85YAA</t>
  </si>
  <si>
    <t>Oertli LAN 12S-TUR</t>
  </si>
  <si>
    <t>Oertli LAN 18S-TUR</t>
  </si>
  <si>
    <t>Oertli LAN 9S-TUR</t>
  </si>
  <si>
    <t>Oertli SI-GEO 12-40 SQ</t>
  </si>
  <si>
    <t>Oertli SI-GEO 15-70 SQ</t>
  </si>
  <si>
    <t>Oertli SI-GEO 1-9 SQ</t>
  </si>
  <si>
    <t>Oertli SI-GEO 25-100 SQ</t>
  </si>
  <si>
    <t>Oertli SI-GEO 3-12 SQ</t>
  </si>
  <si>
    <t>Oertli SI-GEO 5-22 SQ</t>
  </si>
  <si>
    <t>Oertli LAN25TU-2</t>
  </si>
  <si>
    <t>Oertli LAN40TU-2</t>
  </si>
  <si>
    <t>Oertli LAN60TU-2</t>
  </si>
  <si>
    <t>250-A AWO-E-AC(-AF) 251.A10 (2C)</t>
  </si>
  <si>
    <t>250-A AWO-E-AC(-AF) 251.A13 (2C)</t>
  </si>
  <si>
    <t>252-A AWOT-E-AC-(AF) 251.A10 (2C)</t>
  </si>
  <si>
    <t>252-A AWOT-E-AC-(AF) 251.A13 (2C)</t>
  </si>
  <si>
    <t>neue FDS-Distribution, Viessmann, Dimplex, Hoval</t>
  </si>
  <si>
    <t>neue FDS-Distrubution, CTA, Buderus, Viessmann</t>
  </si>
  <si>
    <t>S2125-8</t>
  </si>
  <si>
    <t>S2125-12</t>
  </si>
  <si>
    <t>HM-HP08L-M-BC</t>
  </si>
  <si>
    <t>EPRA08</t>
  </si>
  <si>
    <t>EPRA10</t>
  </si>
  <si>
    <t>EPRA12</t>
  </si>
  <si>
    <t>EPRA14</t>
  </si>
  <si>
    <t>EPRA16</t>
  </si>
  <si>
    <t>EPRA18</t>
  </si>
  <si>
    <t>neue FDS-Distrubution, TCA, Buderus, Alpha Innotec</t>
  </si>
  <si>
    <t>AEROTOP SG10</t>
  </si>
  <si>
    <t>AEROTOP SG12</t>
  </si>
  <si>
    <t>AEROTOP SG14</t>
  </si>
  <si>
    <t>AEROTOP Split 04.2M-RX</t>
  </si>
  <si>
    <t>AEROTOP Split 05.2M-RX</t>
  </si>
  <si>
    <t>AEROTOP Split 08.2M-R</t>
  </si>
  <si>
    <t xml:space="preserve">Verbessung der Daten der Version </t>
  </si>
  <si>
    <t>AEROTOP SX7</t>
  </si>
  <si>
    <t>AEROTOP SX10</t>
  </si>
  <si>
    <t>LA 33TPR</t>
  </si>
  <si>
    <t>LA 60P-TUR</t>
  </si>
  <si>
    <t>Oertli LAN 60P-TUR</t>
  </si>
  <si>
    <t>Oertli LAN 60S-TUR</t>
  </si>
  <si>
    <t>Oertli LAN 60S-TU</t>
  </si>
  <si>
    <t>Oertli LAN 35TBS</t>
  </si>
  <si>
    <t>Oertli LAN 33TPR</t>
  </si>
  <si>
    <t>Oertli ECO LC9-16</t>
  </si>
  <si>
    <t>Firmen Elcotherm und Meier Tobler/Dimplex</t>
  </si>
  <si>
    <t>SWMe 1-45</t>
  </si>
  <si>
    <t>SWMe 1-55</t>
  </si>
  <si>
    <t>SWMe 1-65</t>
  </si>
  <si>
    <t>SWMe 1-85</t>
  </si>
  <si>
    <t>SWMe 1-110</t>
  </si>
  <si>
    <t>SWMe 1-135</t>
  </si>
  <si>
    <t>SWMe 1-160</t>
  </si>
  <si>
    <t>SWHMe 1-25</t>
  </si>
  <si>
    <t>SWHMe 1-35</t>
  </si>
  <si>
    <t>SWHMe 1-50</t>
  </si>
  <si>
    <t>SWHMe 1-65</t>
  </si>
  <si>
    <t>SWHMe 1-90</t>
  </si>
  <si>
    <t>SWHMe 1-100</t>
  </si>
  <si>
    <t>SWHMe 1-120</t>
  </si>
  <si>
    <t>SWHMe 1-140</t>
  </si>
  <si>
    <t>SWHMe 1-160</t>
  </si>
  <si>
    <t>SWHMe 1-190</t>
  </si>
  <si>
    <t>LWKMi 1-30</t>
  </si>
  <si>
    <t>LWMi 1-30</t>
  </si>
  <si>
    <t>LWKMsp 1-30</t>
  </si>
  <si>
    <t>LWKMsp 1-35</t>
  </si>
  <si>
    <t>LWKMsp 1-40</t>
  </si>
  <si>
    <t>LWKMsp 1-45</t>
  </si>
  <si>
    <t>LWKMsp 1-55</t>
  </si>
  <si>
    <t>LWKMsp 1-75</t>
  </si>
  <si>
    <t>LWMsp 1-30</t>
  </si>
  <si>
    <t>LWMsp 1-35</t>
  </si>
  <si>
    <t>LWMsp 1-40</t>
  </si>
  <si>
    <t>LWMsp 1-45</t>
  </si>
  <si>
    <t>LWMsp 1-55</t>
  </si>
  <si>
    <t>LWMsp 1-75</t>
  </si>
  <si>
    <t>LWKMasp 1-30</t>
  </si>
  <si>
    <t>LWKMasp 1-35</t>
  </si>
  <si>
    <t>LWKMasp 1-40</t>
  </si>
  <si>
    <t>LWKMasp 1-45</t>
  </si>
  <si>
    <t>LWKMasp 1-55</t>
  </si>
  <si>
    <t>LWKMasp 1-75</t>
  </si>
  <si>
    <t>LWMasp 1-30</t>
  </si>
  <si>
    <t>LWMasp 1-35</t>
  </si>
  <si>
    <t>LWMasp 1-40</t>
  </si>
  <si>
    <t>LWMasp 1-45</t>
  </si>
  <si>
    <t>LWMasp 1-55</t>
  </si>
  <si>
    <t>LWMasp 1-75</t>
  </si>
  <si>
    <t>200-A AWO-M-E-AC 201.A04</t>
  </si>
  <si>
    <t>200-A AWO-M-E-AC 201.A06</t>
  </si>
  <si>
    <t>200-A AWO-M-E-AC 201.A08</t>
  </si>
  <si>
    <t>200-A AWO-E-AC 201.A09</t>
  </si>
  <si>
    <t>200-A AWO-E-AC 201.A10</t>
  </si>
  <si>
    <t>200-A AWO-E-AC 201.A13</t>
  </si>
  <si>
    <t>200-A AWO-E-AC 201.A16</t>
  </si>
  <si>
    <t>222-A AWOT-M-E-AC 221.A04</t>
  </si>
  <si>
    <t>222-A AWOT-M-E-AC 221.A06</t>
  </si>
  <si>
    <t>222-A AWOT-M-E-AC 221.A08</t>
  </si>
  <si>
    <t>222-A AWOT-E-AC 221.A09</t>
  </si>
  <si>
    <t>222-A AWOT-E-AC 221.A10</t>
  </si>
  <si>
    <t>222-A AWOT-E-AC 221.A13</t>
  </si>
  <si>
    <t>222-A AWOT-E-AC 221.A16</t>
  </si>
  <si>
    <t>350-A AWHI 351.A10</t>
  </si>
  <si>
    <t>350-A AWHI 351.A20</t>
  </si>
  <si>
    <t>350-A AWHO 351.A10</t>
  </si>
  <si>
    <t>350-A AWHO 351.A14</t>
  </si>
  <si>
    <t>350-A AWHO 351.A20</t>
  </si>
  <si>
    <t>200-S AWB-M-E-AC-(AF) 201.E06 (2C)</t>
  </si>
  <si>
    <t>200-S AWB-M-E-AC-(AF) 201.E08(2C)</t>
  </si>
  <si>
    <t xml:space="preserve"> 200-S AWB-E-AC 201.D9</t>
  </si>
  <si>
    <t>222-S AWBT-M-E-AC-(AF) 221.E06 (2C)</t>
  </si>
  <si>
    <t>222-S AWBT-M-E-AC-(AF) 221.E08 (2C)</t>
  </si>
  <si>
    <t xml:space="preserve"> 222-S AWBT-E-AC 221.C9</t>
  </si>
  <si>
    <t>TP Energietechnik GmbH</t>
  </si>
  <si>
    <t>Kita Si</t>
  </si>
  <si>
    <t>Kita Si Plus</t>
  </si>
  <si>
    <t>Kita Si Cold</t>
  </si>
  <si>
    <t>Kita Si Plus Cold</t>
  </si>
  <si>
    <t>Kita Mi Plus</t>
  </si>
  <si>
    <t>Kita Mi Cold</t>
  </si>
  <si>
    <t>Kita Mi Plus Cold</t>
  </si>
  <si>
    <t>Kita Li Plus</t>
  </si>
  <si>
    <t>neue FDS-Distribution, COP korrigiert, Heim alte gelöscht, Viessmann div. ergänzt.</t>
  </si>
  <si>
    <t>AEROTOP SX14</t>
  </si>
  <si>
    <t>AEROTOP SX20</t>
  </si>
  <si>
    <t>AEROTOP Mono 04.2M-RX</t>
  </si>
  <si>
    <t>AEROTOP Mono 05.2M-RX</t>
  </si>
  <si>
    <t>AEROTOP Mono 08.2M-R</t>
  </si>
  <si>
    <t>AEROTOP Mono 12.2M-R</t>
  </si>
  <si>
    <t>AEROTOP Mono 15.2M-R</t>
  </si>
  <si>
    <t>AEROTOP Split 12.2M-R</t>
  </si>
  <si>
    <t>AEROTOP Split 15.2M-R</t>
  </si>
  <si>
    <t>Heliotherm-TCA</t>
  </si>
  <si>
    <t>Daikin - TCA</t>
  </si>
  <si>
    <t>Korrekturen bei Elcotherm, TCA. TCA-Produkte wie bei Daikin-Hoval.</t>
  </si>
  <si>
    <t>CTC AG</t>
  </si>
  <si>
    <t>EcoPart 425</t>
  </si>
  <si>
    <t>EcoPart 430</t>
  </si>
  <si>
    <t>EcoPart 435</t>
  </si>
  <si>
    <t>GSi 608</t>
  </si>
  <si>
    <t>GSi 612</t>
  </si>
  <si>
    <t>GSi 616</t>
  </si>
  <si>
    <t>EcoPart 612M</t>
  </si>
  <si>
    <t>EcoPart 616M</t>
  </si>
  <si>
    <t>EcoPart i608M</t>
  </si>
  <si>
    <t>EcoPart i612M</t>
  </si>
  <si>
    <t>EcoPart i616 M</t>
  </si>
  <si>
    <t>EcoTouch 520</t>
  </si>
  <si>
    <t>EcoTouch 525</t>
  </si>
  <si>
    <t>EcoTouch 534</t>
  </si>
  <si>
    <t>EcoTouch 542</t>
  </si>
  <si>
    <t>EcoTouch 550 DT</t>
  </si>
  <si>
    <t>EcoTouch 570 DT</t>
  </si>
  <si>
    <t>EcoTouch 585 DT</t>
  </si>
  <si>
    <t>EcoSplit LWSE-V-06</t>
  </si>
  <si>
    <t>EcoSplit LWSE-V-09</t>
  </si>
  <si>
    <t>EcoSplit LWSE-V-13</t>
  </si>
  <si>
    <t>EcoSplit LWSE-V-19</t>
  </si>
  <si>
    <t>EcoSplit LWSE-V-24</t>
  </si>
  <si>
    <t>EcoSplit LWSE-V-33</t>
  </si>
  <si>
    <t>LA18S-TU</t>
  </si>
  <si>
    <t>neue Daten von CTC, Heim, Vaillant und FDS.</t>
  </si>
  <si>
    <t>AEROTOP SX13</t>
  </si>
  <si>
    <t>LA 3860</t>
  </si>
  <si>
    <t>Dimplex LA 1118C</t>
  </si>
  <si>
    <t>Dimplex LA 0712C</t>
  </si>
  <si>
    <t>Dimplex LI 1422C</t>
  </si>
  <si>
    <t>Dimplex LI 1826C</t>
  </si>
  <si>
    <t>LA 1118C</t>
  </si>
  <si>
    <t>LA 0712C</t>
  </si>
  <si>
    <t>LI 1422C</t>
  </si>
  <si>
    <t>LI 1826C</t>
  </si>
  <si>
    <t>LA 1118CP</t>
  </si>
  <si>
    <t>LA 1422C</t>
  </si>
  <si>
    <t>Oertli M-Flex6SR</t>
  </si>
  <si>
    <t>Oertli M-Flex 9SRT</t>
  </si>
  <si>
    <t>Oertli LIN 1422C</t>
  </si>
  <si>
    <t>Oertli LIN 1826C</t>
  </si>
  <si>
    <t>Oertli LAN 1118CP</t>
  </si>
  <si>
    <t>Oertli LAN 1422C</t>
  </si>
  <si>
    <t>SWM pro 2-13</t>
  </si>
  <si>
    <t>SWM pro 3-19</t>
  </si>
  <si>
    <t>SWM pro 6-30</t>
  </si>
  <si>
    <t>Bosch CS6800i AW 7 OR E/MB</t>
  </si>
  <si>
    <t>Bosch CS6800i AW 10 OR E/MB</t>
  </si>
  <si>
    <t>Bosch CS6800i AW 12 OR E/MB</t>
  </si>
  <si>
    <t>Dimplex LA 33 TPR</t>
  </si>
  <si>
    <t xml:space="preserve">Änderungen von Elco, Dimplex, Meier Tobler, Kibernetik und Faivre </t>
  </si>
  <si>
    <t>Daikin ERLA11* + EB(B/V)11</t>
  </si>
  <si>
    <t>Daikin ERLA14* + EB(B/V)16</t>
  </si>
  <si>
    <t>Daikin ERLA16* + EB(B/V)16</t>
  </si>
  <si>
    <t>Dimplex LA3860</t>
  </si>
  <si>
    <t>LG-Solexis</t>
  </si>
  <si>
    <t>HM051MR.U44</t>
  </si>
  <si>
    <t>HM071MR.U44</t>
  </si>
  <si>
    <t>HM091MR.U44</t>
  </si>
  <si>
    <t>HM093MR.U44</t>
  </si>
  <si>
    <t>HM123MR.U34</t>
  </si>
  <si>
    <t>HM143MR.U34</t>
  </si>
  <si>
    <t>HM163MR.U34</t>
  </si>
  <si>
    <t>HU123MRB.U30 + HN1600MB.NK0</t>
  </si>
  <si>
    <t>HU143MRB.U30 + HN1600MB.NK0</t>
  </si>
  <si>
    <t>HU163MRB.U30 + HN1600MB.NK0</t>
  </si>
  <si>
    <t>alpha innotec</t>
  </si>
  <si>
    <t>Hybrox 5</t>
  </si>
  <si>
    <t>Hybrox 8</t>
  </si>
  <si>
    <t>LI 16.1</t>
  </si>
  <si>
    <t>252-A AWOT-M-E-AC-(AF) 251.A06 (2C)</t>
  </si>
  <si>
    <t>252-A AWOT-M-E-AC-(AF) 251.A08 (2C)</t>
  </si>
  <si>
    <t>250-A AWOT-E-AC(-AF) 251.A16 (2C)</t>
  </si>
  <si>
    <t>250-A AWOT-E-AC(-AF) 251.A19 (2C)</t>
  </si>
  <si>
    <t>350-A AWHI 351.A14</t>
  </si>
  <si>
    <t>200-S AWB-M-E-AC-(AF) 201.E10(2C)</t>
  </si>
  <si>
    <t>222-S AWBT-M-E-AC-(AF) 221.E10 (2C)</t>
  </si>
  <si>
    <t>250-A AWO-M-E-AC(-AF) 251.A04(2C)</t>
  </si>
  <si>
    <t>250-A AWO-M-E-AC(-AF) 251.A06(2C)</t>
  </si>
  <si>
    <t>250-A AWO-M-E-AC(-AF) 251.A08(2C)</t>
  </si>
  <si>
    <t>250-A AWO-E-AC(-AF) 251.A16 (2C)</t>
  </si>
  <si>
    <t>250-A AWO-E-AC(-AF) 251.A19 (2C)</t>
  </si>
  <si>
    <t>252-A AWOT-M-E-AC-(AF) 251.A04 (2C)</t>
  </si>
  <si>
    <t>Korrekturen AIT, Viessmann und Faivre sowie neue LG Solexis</t>
  </si>
  <si>
    <t>WLW166i-6 SP AR E/B</t>
  </si>
  <si>
    <t>WLW166i-8 SP AR E/B</t>
  </si>
  <si>
    <t>WLW166i-10 SP AR P3 E/B</t>
  </si>
  <si>
    <t>WLW166i-12 SP AR P3 E/B</t>
  </si>
  <si>
    <t>WLW166i-14 SP AR P3 E/B</t>
  </si>
  <si>
    <t>WLW176i-5 AR TP70/E</t>
  </si>
  <si>
    <t>WLW176i-7 AR TP70/E</t>
  </si>
  <si>
    <t>WLW176i-10 AR TP70/E</t>
  </si>
  <si>
    <t>WLW176i-12 AR TP70/E</t>
  </si>
  <si>
    <t>WLW186i-5 AR TP70/E</t>
  </si>
  <si>
    <t>WLW186i-7 AR TP70/E</t>
  </si>
  <si>
    <t>WLW186i-10 AR TP70/E</t>
  </si>
  <si>
    <t>WLW186i-12 AR TP70/E</t>
  </si>
  <si>
    <t>Aeroheat Aussen AH CL 5a  (Qh: 100% redu.)</t>
  </si>
  <si>
    <t>Aeroheat Aussen AH CL 8a  (Qh: 100% redu.)</t>
  </si>
  <si>
    <t>Daikin Altherma 3 H HT (14)</t>
  </si>
  <si>
    <t>Daikin Altherma 3 H HT (18)</t>
  </si>
  <si>
    <t>HSB</t>
  </si>
  <si>
    <t>LI 12 TU</t>
  </si>
  <si>
    <t>LIA 1316HXCF</t>
  </si>
  <si>
    <t>M Flex 0916HBC</t>
  </si>
  <si>
    <t>LA 9STUR</t>
  </si>
  <si>
    <t>SI 8 TU</t>
  </si>
  <si>
    <t>SI 90 TU</t>
  </si>
  <si>
    <t>SIH 90 TU</t>
  </si>
  <si>
    <t>WBB 12-B-RMD-AI</t>
  </si>
  <si>
    <t>WBB 20-B-RMD-AI</t>
  </si>
  <si>
    <t>WSB 6-A-RME-AI</t>
  </si>
  <si>
    <t>WSB 8-A-RME-AI</t>
  </si>
  <si>
    <t>WSB 10-A-RME-AI</t>
  </si>
  <si>
    <t>WSB 12-A-RMD-AI</t>
  </si>
  <si>
    <t>WSB 15-A-RMD-AI</t>
  </si>
  <si>
    <t>WSB 18-A-RMD-AI</t>
  </si>
  <si>
    <t>WWP LA 60-A R</t>
  </si>
  <si>
    <t>WGB 8-A-MD-I</t>
  </si>
  <si>
    <t>WGB 14-A-MD-I</t>
  </si>
  <si>
    <t>OVUM</t>
  </si>
  <si>
    <t>AirCube08</t>
  </si>
  <si>
    <t>AirCube12</t>
  </si>
  <si>
    <t>AirCube16</t>
  </si>
  <si>
    <t>AirCube208</t>
  </si>
  <si>
    <t>AirCube312</t>
  </si>
  <si>
    <t>AirCube417</t>
  </si>
  <si>
    <t>AirCube520</t>
  </si>
  <si>
    <t>NHWP06S+</t>
  </si>
  <si>
    <t>NHWP12S+</t>
  </si>
  <si>
    <t>STIEBEL ELTRON</t>
  </si>
  <si>
    <t>Bosch-Buderus, CTA, Hoval, HSB und MHG-Schweiz</t>
  </si>
  <si>
    <t>8.3.32</t>
  </si>
  <si>
    <t>9,29</t>
  </si>
  <si>
    <t>250-A PRO AWO-AC-AF 251.A40</t>
  </si>
  <si>
    <t>AEROTOP SPK7</t>
  </si>
  <si>
    <t>AEROTOP SPK10</t>
  </si>
  <si>
    <t>Atlantic Suisse AG</t>
  </si>
  <si>
    <t>Alféa Excellia 11 TRI</t>
  </si>
  <si>
    <t>Alféa Excellia DUO 11 TRI</t>
  </si>
  <si>
    <t>Alféa Excellia 14 TRI</t>
  </si>
  <si>
    <t>Alféa Excellia DUO 14 TRI</t>
  </si>
  <si>
    <t>Alféa Excellia 16 TRI</t>
  </si>
  <si>
    <t>Alféa Excellia DUO 16 TRI</t>
  </si>
  <si>
    <t>Alféa Excellia A.I. 11 TRI</t>
  </si>
  <si>
    <t>Alféa Excellia A.I. DUO 11 TRI</t>
  </si>
  <si>
    <t>Alféa Excellia A.I. 14 TRI</t>
  </si>
  <si>
    <t>Alféa Excellia A.I. DUO 14 TRI</t>
  </si>
  <si>
    <t>Alféa Excellia A.I. 16 TRI</t>
  </si>
  <si>
    <t>Alféa Excellia A.I. DUO 16 TRI</t>
  </si>
  <si>
    <t>Alféa Extensa A.I. 5 R32</t>
  </si>
  <si>
    <t>Aféa Extensa A.I. DUO 5 R32</t>
  </si>
  <si>
    <t>Alféa Extensa A.I. 6 R32</t>
  </si>
  <si>
    <t>Aféa Extensa A.I. DUO 6 R32</t>
  </si>
  <si>
    <t>Alféa Extensa A.I. 8 R32</t>
  </si>
  <si>
    <t>Aféa Extensa A.I. DUO 8 R32</t>
  </si>
  <si>
    <t>Alféa Excellia HP A.I. 15</t>
  </si>
  <si>
    <t>Alféa Excellia HP DUO A.I. 15</t>
  </si>
  <si>
    <t>Alféa Excellia HP A.I. 17</t>
  </si>
  <si>
    <t>Alféa Excellia HP DUO A.I. 17</t>
  </si>
  <si>
    <t>IXTRA M 12 Tri</t>
  </si>
  <si>
    <t>IXTRA M 15 Tri</t>
  </si>
  <si>
    <t>IXTRA M 17 Tri</t>
  </si>
  <si>
    <t xml:space="preserve">Austria Email </t>
  </si>
  <si>
    <t>LWPM 8</t>
  </si>
  <si>
    <t>LWPM 11</t>
  </si>
  <si>
    <t>LWPM 14</t>
  </si>
  <si>
    <t>LWPM 16</t>
  </si>
  <si>
    <t>SWe 2-25</t>
  </si>
  <si>
    <t>SWe 2-35</t>
  </si>
  <si>
    <t>Iseli Energie AG</t>
  </si>
  <si>
    <t>GeniaAir Max 5</t>
  </si>
  <si>
    <t>GeniaAir Max 8</t>
  </si>
  <si>
    <t>GeniaAir Max 12 TRI</t>
  </si>
  <si>
    <t>GeniaAir Max 15 TRI</t>
  </si>
  <si>
    <t>02.59 kW WPL 09 ACS classic</t>
  </si>
  <si>
    <t>03,19 kW WPL-A 05 HK 230 Premium</t>
  </si>
  <si>
    <t>04,30 kW WPL-A 07 HK 230 Premium</t>
  </si>
  <si>
    <t>04,30 kW WPL 13 ACS classic</t>
  </si>
  <si>
    <t>08,09 kW WPL 13 E</t>
  </si>
  <si>
    <t>08,10 kW WPL 13 Cool</t>
  </si>
  <si>
    <t>09,04 kW WPL 24 I / IK / A</t>
  </si>
  <si>
    <t>11,30 kW WPL 18 cool</t>
  </si>
  <si>
    <t>14,14 kW WPL 23 cool</t>
  </si>
  <si>
    <t xml:space="preserve">4,20 kW WPE-I 04 H(K) 230 Premium </t>
  </si>
  <si>
    <t>4,20 kW WPE-I 04 H(K)W 230 Premium</t>
  </si>
  <si>
    <t>6,60 kW WPE-I 06 H(K) 230 Premium</t>
  </si>
  <si>
    <t>6,60 kW WPE-I 06 H(K)W 230 Premium</t>
  </si>
  <si>
    <t>7,60 kW WPE-I 08 H(K) 230 Premium</t>
  </si>
  <si>
    <t>7,60 kW WPE-I 08 H(K)W 230 Premium</t>
  </si>
  <si>
    <t xml:space="preserve">12,05 kW WPE-I 12 H(K) 230 Premium </t>
  </si>
  <si>
    <t>12,05 kW WPE-I 12 H(K)W 230 Premium</t>
  </si>
  <si>
    <t>13,50 kW WPE-I 15 H(K) 230 Premium</t>
  </si>
  <si>
    <t>13,50 kW WPE-I 15 H(K)W 230 Premium</t>
  </si>
  <si>
    <t>neue Daten von Viessmann, Elco, Stiebel Eltron und Heim</t>
  </si>
  <si>
    <t>Ochsner Wärmepumpen</t>
  </si>
  <si>
    <t>AIR 18</t>
  </si>
  <si>
    <t>AIR 23</t>
  </si>
  <si>
    <t>AIR 29</t>
  </si>
  <si>
    <t>AIR 41</t>
  </si>
  <si>
    <t>AIR 85</t>
  </si>
  <si>
    <t>AIR FALCON 212</t>
  </si>
  <si>
    <t>AIR HAWK 208</t>
  </si>
  <si>
    <t>AIR HAWK 518</t>
  </si>
  <si>
    <t>AIR HAWK 726</t>
  </si>
  <si>
    <t>AIR HAWK 1850</t>
  </si>
  <si>
    <t>TERRA 8</t>
  </si>
  <si>
    <t>TERRA 11</t>
  </si>
  <si>
    <t>TERRA 14</t>
  </si>
  <si>
    <t>TERRA 18</t>
  </si>
  <si>
    <t>TERRA 27</t>
  </si>
  <si>
    <t>TERRA 40</t>
  </si>
  <si>
    <t>TERRA 76</t>
  </si>
  <si>
    <t>TERRA FOX 208 HPLA S200</t>
  </si>
  <si>
    <t>TERRA FOX 312 HPLA S200</t>
  </si>
  <si>
    <t>TERRA FOX 416 HPLA S200</t>
  </si>
  <si>
    <t>AQUA 11</t>
  </si>
  <si>
    <t>AQUA 14</t>
  </si>
  <si>
    <t>AQUA 17</t>
  </si>
  <si>
    <t>AQUA 22</t>
  </si>
  <si>
    <t>AQUA 36</t>
  </si>
  <si>
    <t>AQUA 54</t>
  </si>
  <si>
    <t>AQUA 97</t>
  </si>
  <si>
    <t>Hybrox 11</t>
  </si>
  <si>
    <t>Hybrox 16</t>
  </si>
  <si>
    <t>NIBE Wärmetechnik</t>
  </si>
  <si>
    <t>S1156-8</t>
  </si>
  <si>
    <t>S1156-13</t>
  </si>
  <si>
    <t>S1156-18</t>
  </si>
  <si>
    <t>S1256-8</t>
  </si>
  <si>
    <t>S1256-13</t>
  </si>
  <si>
    <t>S1256-18</t>
  </si>
  <si>
    <t>LWsp 2-30 *</t>
  </si>
  <si>
    <t>LWsp 2-36 *</t>
  </si>
  <si>
    <t>LWsp 2-45 *</t>
  </si>
  <si>
    <t>LWsp 2-56 *</t>
  </si>
  <si>
    <t>LWasp 2-30 *</t>
  </si>
  <si>
    <t>LWasp 2-36 *</t>
  </si>
  <si>
    <t>LWasp 2-45 *</t>
  </si>
  <si>
    <t>LWasp 2-56 *</t>
  </si>
  <si>
    <t>LI11TES(L)</t>
  </si>
  <si>
    <t>LI16TES(L)</t>
  </si>
  <si>
    <t>LI28TES(L)</t>
  </si>
  <si>
    <t>LA 35 TBS **</t>
  </si>
  <si>
    <t>LA18S-TU ***</t>
  </si>
  <si>
    <t>LA18S-TUR ****</t>
  </si>
  <si>
    <t>07,41 kW WPL 19 I / IK / A</t>
  </si>
  <si>
    <t>HM093HFX.UB60</t>
  </si>
  <si>
    <t>HM123HFX.UB60</t>
  </si>
  <si>
    <t>HM143HFX.UB60</t>
  </si>
  <si>
    <t>HM163HFX.UB60</t>
  </si>
  <si>
    <t>dynamic pro ac 10 AW E</t>
  </si>
  <si>
    <t>dynamic pro ac 16 AW E</t>
  </si>
  <si>
    <t>8.3.33</t>
  </si>
  <si>
    <t>Korrigierte Daten von Ochsner, AIT, Strieble Eltron, Iseli, Buderus und Heim</t>
  </si>
  <si>
    <t>8.3.34</t>
  </si>
  <si>
    <t>8.3.35</t>
  </si>
  <si>
    <t>8.3.36</t>
  </si>
  <si>
    <t>8.3.37</t>
  </si>
  <si>
    <t>8.3.38</t>
  </si>
  <si>
    <t>8.3.39</t>
  </si>
  <si>
    <t>8.3.40</t>
  </si>
  <si>
    <t>8.3.41</t>
  </si>
  <si>
    <t>8.3.42</t>
  </si>
  <si>
    <t>8.3.43</t>
  </si>
  <si>
    <t>8.3.44</t>
  </si>
  <si>
    <t>8.3.45</t>
  </si>
  <si>
    <t>8.3.46</t>
  </si>
  <si>
    <t>8.3.47</t>
  </si>
  <si>
    <t>Fischerkälte-Mitsubishi Electric</t>
  </si>
  <si>
    <t>PUZ-SWM60VAA</t>
  </si>
  <si>
    <t>PUZ-SWM80YAA</t>
  </si>
  <si>
    <t>PUZ-SWM100YAA</t>
  </si>
  <si>
    <t>PUZ-SWM120YAA</t>
  </si>
  <si>
    <t>PUZ-SWM140YAA</t>
  </si>
  <si>
    <t>PUZ-SHWM60VAA</t>
  </si>
  <si>
    <t>PUZ-SHWM80YAA</t>
  </si>
  <si>
    <t>PUZ-SHWM100YAA</t>
  </si>
  <si>
    <t>PUZ-SHWM120YAA</t>
  </si>
  <si>
    <t>PUZ-SHWM140YAA</t>
  </si>
  <si>
    <t>Bosch CS5800i AW 5 OR E/MB</t>
  </si>
  <si>
    <t>Bosch CS5800i AW 7 OR E/MB</t>
  </si>
  <si>
    <t>Bosch CS5800i AW 10 OR E/MB</t>
  </si>
  <si>
    <t>Bosch CS5800i AW 12 OR E/MB</t>
  </si>
  <si>
    <t>Bosch CS6800i AW 5 OR E/MB</t>
  </si>
  <si>
    <t>Mitsubishi Ecodan PUZ-SHWM60VAA</t>
  </si>
  <si>
    <t>Mitsubishi Ecodan PUZ-SHWM80YAA</t>
  </si>
  <si>
    <t>Mitsubishi Ecodan PUZ-SHWM100YAA</t>
  </si>
  <si>
    <t>Mitsubishi Ecodan PUZ-SHWM120YAA</t>
  </si>
  <si>
    <t>Mitsubishi Ecodan PUZ-SHWM140YAA</t>
  </si>
  <si>
    <t>Oertli M-Flex 6SR</t>
  </si>
  <si>
    <t>Oertli M-Flex 9SR</t>
  </si>
  <si>
    <t>Oertli ECOLC 9-16</t>
  </si>
  <si>
    <t>150-A AWO-M-E-AC(-AF)151.A04</t>
  </si>
  <si>
    <t>150-A AWO-M-E-AC(-AF)151.A06</t>
  </si>
  <si>
    <t>150-A AWO-M-E-AC(-AF)151.A08</t>
  </si>
  <si>
    <t>150-A AWO-E-AC(-AF)151.A10</t>
  </si>
  <si>
    <t>150-A AWO-E-AC(-AF)151.A13</t>
  </si>
  <si>
    <t>150-A AWO-E-AC(-AF)151.A16</t>
  </si>
  <si>
    <t>151-A AWOT-M-E-AC(-AF)151.A04</t>
  </si>
  <si>
    <t>151-A AWOT-M-E-AC(-AF)151.A06</t>
  </si>
  <si>
    <t>151-A AWOT-M-E-AC(-AF)151.A08</t>
  </si>
  <si>
    <t>151-A AWOT-E-AC(-AF)151.A10</t>
  </si>
  <si>
    <t>151-A AWOT-E-AC(-AF)151.A13</t>
  </si>
  <si>
    <t>151-A AWOT-E-AC(-AF)151.A16</t>
  </si>
  <si>
    <t>Daten geändert von Viessmann und Meier Tobler AG</t>
  </si>
  <si>
    <t>Oertli SI-GEO+ 2-10 Pro</t>
  </si>
  <si>
    <t>Oertli SI-GEO+ 4-16 Pro</t>
  </si>
  <si>
    <t>Panasonic M-Serie 9</t>
  </si>
  <si>
    <t>Panasonic M-Serie 12</t>
  </si>
  <si>
    <t>Panasonic M-Serie 16</t>
  </si>
  <si>
    <t>Panasonic M-Serie 20</t>
  </si>
  <si>
    <t>Panasonic M-Serie 25</t>
  </si>
  <si>
    <t>Panasonic M-Serie 30</t>
  </si>
  <si>
    <t>Oertli SI-GEO 12-45 HP</t>
  </si>
  <si>
    <t>Oertli SI-GEO 15-60 HP</t>
  </si>
  <si>
    <t>Oertli SI-GEO 20-85 HP</t>
  </si>
  <si>
    <t>WAB 8-A-RME-A</t>
  </si>
  <si>
    <t>WAB 11-A-RME-A</t>
  </si>
  <si>
    <t>WAB 14-A-RME-A</t>
  </si>
  <si>
    <t>WWP LI 22-A R</t>
  </si>
  <si>
    <t>WWP LI 26-A R</t>
  </si>
  <si>
    <t>WGB 20-A-MD(P)-A</t>
  </si>
  <si>
    <t>EcoAir 708M</t>
  </si>
  <si>
    <t>EcoAir 712M</t>
  </si>
  <si>
    <t>EcoAir 720M</t>
  </si>
  <si>
    <t>Templari</t>
  </si>
  <si>
    <t>KITA LP 22</t>
  </si>
  <si>
    <t>KITA LP 28</t>
  </si>
  <si>
    <t>KITA LP Plus 35</t>
  </si>
  <si>
    <t>KITA LP Plus 40</t>
  </si>
  <si>
    <t>Optialtum OAI HT 1-28f  (70 Hz)</t>
  </si>
  <si>
    <t>Optialtum OAI HT 1-33f  (70 Hz)</t>
  </si>
  <si>
    <t>Optialtum OAI HT 1-38f  (70 Hz)</t>
  </si>
  <si>
    <t>Optialtum OAI HT 1-44f  (70 Hz)</t>
  </si>
  <si>
    <t>Optialtum OAI HT 2-55f  (70 Hz)</t>
  </si>
  <si>
    <t>Optialtum OAI HT 2-66f  (70 Hz)</t>
  </si>
  <si>
    <t>Optialtum OAI HT 2-76f  (70 Hz)</t>
  </si>
  <si>
    <t>Optialtum OAI HT 2-88f  (70 Hz)</t>
  </si>
  <si>
    <t>Aeroheat Aussen AH CL 11a  (Qh: 100% redu.)</t>
  </si>
  <si>
    <t>Aeroheat Aussen AH CL 16a  (Qh: 100% redu.)</t>
  </si>
  <si>
    <t>AEROTOP SPK16</t>
  </si>
  <si>
    <t>AEROTOP SPK20</t>
  </si>
  <si>
    <t>aroTHERM plus VWL 55/8.1</t>
  </si>
  <si>
    <t>aroTHERM plus VWL 75/8.1</t>
  </si>
  <si>
    <t>aroTHERM plus VWL 105/8.1</t>
  </si>
  <si>
    <t>aroTHERM plus VWL 125/8.1</t>
  </si>
  <si>
    <t>Belaria pro (40)</t>
  </si>
  <si>
    <t>Belaria pro (50)</t>
  </si>
  <si>
    <t>neue Geräte, Namensanpassung, Datenanpassung: CTC, CTA, Elco, Vaillant und Hoval</t>
  </si>
  <si>
    <t>neue Geräte, Namensanpassung, Datenanpassung: andere WP Firmen</t>
  </si>
  <si>
    <t>Hybrox 21</t>
  </si>
  <si>
    <t xml:space="preserve"> LW 140</t>
  </si>
  <si>
    <t>Daikin EPSK08* + EP(B/V)X10*</t>
  </si>
  <si>
    <t>Daikin EPSK10* + EP(B/V)X10*</t>
  </si>
  <si>
    <t>Daikin EPSK12* + EP(B/V)X14*</t>
  </si>
  <si>
    <t>Daikin EPSK14* + EP(B/V)X14*</t>
  </si>
  <si>
    <t>Dimplex LA 9S-TUR</t>
  </si>
  <si>
    <t>Dimplex LA 1422C</t>
  </si>
  <si>
    <t>Dimplex LA 1525CP</t>
  </si>
  <si>
    <t>Dimplex LA 3860</t>
  </si>
  <si>
    <t>Dimplex LA 60S-TU</t>
  </si>
  <si>
    <t>Dimplex LA 60S-TUR</t>
  </si>
  <si>
    <t>Dimplex LA2030CP</t>
  </si>
  <si>
    <t>Dimplex LA3040CP</t>
  </si>
  <si>
    <t>LA 1525 CP</t>
  </si>
  <si>
    <t>LA 2030 CP</t>
  </si>
  <si>
    <t>LA 4060 CP</t>
  </si>
  <si>
    <t>S2125-16</t>
  </si>
  <si>
    <t>S2125-20</t>
  </si>
  <si>
    <t>Helox 21</t>
  </si>
  <si>
    <t>Philippe Marechal /ES Energy Save</t>
  </si>
  <si>
    <t>ES M8 R290</t>
  </si>
  <si>
    <t>ES M12 R290</t>
  </si>
  <si>
    <t>ES M15 R290</t>
  </si>
  <si>
    <t>ES M40 R290</t>
  </si>
  <si>
    <t>neue Geräte, Namensanpassung, Datenanpassung</t>
  </si>
  <si>
    <t>Oertli Terra 2-7i</t>
  </si>
  <si>
    <t>Oertli Aero 2-8a</t>
  </si>
  <si>
    <t xml:space="preserve">Oertli Aero 4-12a </t>
  </si>
  <si>
    <t xml:space="preserve">Oertli Aero 6-15a </t>
  </si>
  <si>
    <t>Oertli Aero 2-8a compact</t>
  </si>
  <si>
    <t xml:space="preserve">Oertli Aero 4-12a compact </t>
  </si>
  <si>
    <t>Wolf (Schweiz) AG</t>
  </si>
  <si>
    <t>ADAPT 0312</t>
  </si>
  <si>
    <t>ADAPT 0416</t>
  </si>
  <si>
    <t>ADAPT 0724</t>
  </si>
  <si>
    <t>ADAPT MAX 10035</t>
  </si>
  <si>
    <t>ADAPT MAX 10070</t>
  </si>
  <si>
    <t>ADAPT MAX 10105</t>
  </si>
  <si>
    <t>ADAPT MAX 10140</t>
  </si>
  <si>
    <t>VERSI-I</t>
  </si>
  <si>
    <t>VERSI-O</t>
  </si>
  <si>
    <t>VERSI-X</t>
  </si>
  <si>
    <t>ETERA S</t>
  </si>
  <si>
    <t>ETERA M</t>
  </si>
  <si>
    <t>ETERA L</t>
  </si>
  <si>
    <t>Hybrox SE 5</t>
  </si>
  <si>
    <t>Hybrox SE 8</t>
  </si>
  <si>
    <t>Hybrox SE 11</t>
  </si>
  <si>
    <t>Hybrox SE 14</t>
  </si>
  <si>
    <t>Helox SE 5</t>
  </si>
  <si>
    <t>Helox SE 8</t>
  </si>
  <si>
    <t>Helox SE 11</t>
  </si>
  <si>
    <t>Helox SE 14</t>
  </si>
  <si>
    <t>Aeroheat Aussen AH CL 21a  (Qh: 100% redu.)</t>
  </si>
  <si>
    <t>Aeroheat Aussen AH CV 12a  (Qh: 100% redu.)</t>
  </si>
  <si>
    <t>Aeroheat Aussen AH CV 18a  (Qh: 100% redu.)</t>
  </si>
  <si>
    <t>Optiheat Terra OH CT 6s (Qh: max. )</t>
  </si>
  <si>
    <t>Optiheat Terra OH CT 9s (Qh: max. )</t>
  </si>
  <si>
    <t>Optiheat Terra OH CT 12s (Qh: max. )</t>
  </si>
  <si>
    <t>Optiheat Terra OH CT 18s (Qh: max. )</t>
  </si>
  <si>
    <t>Optiheat Terra OH CT 6s (Qh: 60 Hz. )</t>
  </si>
  <si>
    <t>Optiheat Terra OH CT 9s (Qh: 60 Hz. )</t>
  </si>
  <si>
    <t>Optiheat Terra OH CT 12s (Qh: 60 Hz. )</t>
  </si>
  <si>
    <t>Optiheat Terra OH CT 18s (Qh: 60 Hz. )</t>
  </si>
  <si>
    <t>3.98</t>
  </si>
  <si>
    <t>2.71</t>
  </si>
  <si>
    <t>4.29</t>
  </si>
  <si>
    <t>03,98 kW LWZ 07.1 Premium HKL 230</t>
  </si>
  <si>
    <t>03,98 kW LWZ 07.1 Premium HKWL 230</t>
  </si>
  <si>
    <t>05,31 kW WPL-A 05.2 (W) Plus HK 230</t>
  </si>
  <si>
    <t>06,76 kW WPL-A 07.2 Trend HK 230</t>
  </si>
  <si>
    <t>06,96 kW WPL-A 07.2 (W) Plus HK 230</t>
  </si>
  <si>
    <t>09,23 kW WPL-A 10.2 Trend HK 230</t>
  </si>
  <si>
    <t>09,84 kW WPL-A 10.2 (W) Plus HK 400</t>
  </si>
  <si>
    <t>11,99 kW WPL-A 13.2 Trend HK 400</t>
  </si>
  <si>
    <t>13,04 kW WPL-A 13.2 (W) Plus HK 400</t>
  </si>
  <si>
    <t>17,93 kW WPL-A 17.2 Trend HK 400</t>
  </si>
  <si>
    <t>3,36 kW WPE-I 07.1 Plus H(W) 400</t>
  </si>
  <si>
    <t>6,20 kW  WPE-I 12.1 Plus H(W) 400</t>
  </si>
  <si>
    <t>07,82 kW WPL-A 10 HK 400 Premium</t>
  </si>
  <si>
    <t>07,82 kW WPL-A 13 HK 400 Premium</t>
  </si>
  <si>
    <t>07,82 kW WPL-A 13 HK dB 400 Premium</t>
  </si>
  <si>
    <t>08,33 kW WPL 20 A / AC</t>
  </si>
  <si>
    <t>08,33 kW WPL 25 A / AC</t>
  </si>
  <si>
    <t>16,69 kW WPE-I 17 H 400 Plus</t>
  </si>
  <si>
    <t xml:space="preserve">Oertli Aero 10-24a </t>
  </si>
  <si>
    <t xml:space="preserve">Oertli Aero 10-50a </t>
  </si>
  <si>
    <t>2,81</t>
  </si>
  <si>
    <t>60,40</t>
  </si>
  <si>
    <t xml:space="preserve"> SWCV 63(H)(K)1/3</t>
  </si>
  <si>
    <t xml:space="preserve"> WZSV 63(H)(K)1/3</t>
  </si>
  <si>
    <t>SICV 6.3(H)(K)1/3</t>
  </si>
  <si>
    <t>WSV 6.3(H)(K)1/3</t>
  </si>
  <si>
    <t>LA 2030CP</t>
  </si>
  <si>
    <t>LA 4060CP</t>
  </si>
  <si>
    <t>LA 0712CP M</t>
  </si>
  <si>
    <t>LA 1525CP</t>
  </si>
  <si>
    <t xml:space="preserve">Oertli Aero 8-18a </t>
  </si>
  <si>
    <t>33.30 kW WPE-I 33 H 400 Premium</t>
  </si>
  <si>
    <t>43.80 kW WPE-I 44 H 400 Premium</t>
  </si>
  <si>
    <t>58.60 kW WPE-I 59 H 400 Premium</t>
  </si>
  <si>
    <t>87.80 kW WPE-I 87 H 400 Premium</t>
  </si>
  <si>
    <t>aroTHERM perform VWL 205/8.1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</si>
</sst>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quot;Fr.&quot;\ * #,##0.00_ ;_ &quot;Fr.&quot;\ * \-#,##0.00_ ;_ &quot;Fr.&quot;\ * &quot;-&quot;??_ ;_ @_ "/>
    <numFmt numFmtId="165" formatCode="#,##0_ ;[Red]\-#,##0\ "/>
    <numFmt numFmtId="166" formatCode="0.0"/>
    <numFmt numFmtId="167" formatCode="0.0%"/>
    <numFmt numFmtId="168" formatCode="#,##0.0_ ;[Red]\-#,##0.0\ "/>
    <numFmt numFmtId="169" formatCode="#,##0.00_ ;[Red]\-#,##0.00\ "/>
    <numFmt numFmtId="170" formatCode="#,##0.0"/>
    <numFmt numFmtId="171" formatCode="0.000"/>
    <numFmt numFmtId="172" formatCode="0.00000"/>
    <numFmt numFmtId="173" formatCode="0.0000"/>
    <numFmt numFmtId="174" formatCode="General\ &quot;°&quot;"/>
    <numFmt numFmtId="175" formatCode="_ * #,##0.0_ ;_ * \-#,##0.0_ ;_ * &quot;-&quot;??_ ;_ @_ "/>
    <numFmt numFmtId="176" formatCode="h:mm"/>
    <numFmt numFmtId="177" formatCode="d/\ mmmm\ yyyy"/>
  </numFmts>
  <fonts count="125"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9"/>
      <name val="Arial"/>
      <family val="2"/>
    </font>
    <font>
      <b/>
      <sz val="11"/>
      <name val="Arial"/>
      <family val="2"/>
    </font>
    <font>
      <b/>
      <sz val="11"/>
      <color indexed="10"/>
      <name val="Arial"/>
      <family val="2"/>
    </font>
    <font>
      <sz val="7"/>
      <name val="Arial"/>
      <family val="2"/>
    </font>
    <font>
      <b/>
      <sz val="9"/>
      <color indexed="9"/>
      <name val="Arial"/>
      <family val="2"/>
    </font>
    <font>
      <b/>
      <sz val="9"/>
      <name val="Arial"/>
      <family val="2"/>
    </font>
    <font>
      <sz val="9"/>
      <color indexed="9"/>
      <name val="Arial"/>
      <family val="2"/>
    </font>
    <font>
      <vertAlign val="subscript"/>
      <sz val="9"/>
      <name val="Arial"/>
      <family val="2"/>
    </font>
    <font>
      <sz val="9"/>
      <name val="Symbol"/>
      <family val="1"/>
      <charset val="2"/>
    </font>
    <font>
      <b/>
      <sz val="9"/>
      <color indexed="10"/>
      <name val="Arial"/>
      <family val="2"/>
    </font>
    <font>
      <vertAlign val="superscript"/>
      <sz val="9"/>
      <name val="Arial"/>
      <family val="2"/>
    </font>
    <font>
      <sz val="8"/>
      <name val="Arial"/>
      <family val="2"/>
    </font>
    <font>
      <b/>
      <sz val="8"/>
      <color indexed="9"/>
      <name val="Arial"/>
      <family val="2"/>
    </font>
    <font>
      <b/>
      <sz val="9"/>
      <color indexed="9"/>
      <name val="Symbol"/>
      <family val="1"/>
      <charset val="2"/>
    </font>
    <font>
      <b/>
      <vertAlign val="subscript"/>
      <sz val="9"/>
      <color indexed="9"/>
      <name val="Arial"/>
      <family val="2"/>
    </font>
    <font>
      <vertAlign val="subscript"/>
      <sz val="9"/>
      <color indexed="9"/>
      <name val="Arial"/>
      <family val="2"/>
    </font>
    <font>
      <sz val="11"/>
      <name val="Symbol"/>
      <family val="1"/>
      <charset val="2"/>
    </font>
    <font>
      <sz val="9"/>
      <color indexed="10"/>
      <name val="Arial"/>
      <family val="2"/>
    </font>
    <font>
      <b/>
      <i/>
      <sz val="8"/>
      <color indexed="9"/>
      <name val="Arial"/>
      <family val="2"/>
    </font>
    <font>
      <b/>
      <i/>
      <sz val="9"/>
      <name val="Arial"/>
      <family val="2"/>
    </font>
    <font>
      <b/>
      <sz val="11"/>
      <name val="Symbol"/>
      <family val="1"/>
      <charset val="2"/>
    </font>
    <font>
      <sz val="6"/>
      <color indexed="9"/>
      <name val="Arial"/>
      <family val="2"/>
    </font>
    <font>
      <b/>
      <vertAlign val="subscript"/>
      <sz val="9"/>
      <name val="Arial"/>
      <family val="2"/>
    </font>
    <font>
      <b/>
      <u/>
      <sz val="12"/>
      <name val="Arial"/>
      <family val="2"/>
    </font>
    <font>
      <b/>
      <i/>
      <sz val="10"/>
      <name val="Arial"/>
      <family val="2"/>
    </font>
    <font>
      <sz val="10"/>
      <color indexed="9"/>
      <name val="Arial"/>
      <family val="2"/>
    </font>
    <font>
      <sz val="9"/>
      <color indexed="12"/>
      <name val="Arial"/>
      <family val="2"/>
    </font>
    <font>
      <sz val="10"/>
      <name val="Arial"/>
      <family val="2"/>
    </font>
    <font>
      <i/>
      <sz val="9"/>
      <name val="Arial"/>
      <family val="2"/>
    </font>
    <font>
      <b/>
      <sz val="8"/>
      <color indexed="81"/>
      <name val="Tahoma"/>
      <family val="2"/>
    </font>
    <font>
      <sz val="8"/>
      <color indexed="81"/>
      <name val="Tahoma"/>
      <family val="2"/>
    </font>
    <font>
      <b/>
      <i/>
      <sz val="9"/>
      <color indexed="9"/>
      <name val="Arial"/>
      <family val="2"/>
    </font>
    <font>
      <b/>
      <sz val="10"/>
      <name val="Arial"/>
      <family val="2"/>
    </font>
    <font>
      <vertAlign val="superscript"/>
      <sz val="9"/>
      <color indexed="9"/>
      <name val="Arial"/>
      <family val="2"/>
    </font>
    <font>
      <b/>
      <sz val="10"/>
      <color indexed="9"/>
      <name val="Arial"/>
      <family val="2"/>
    </font>
    <font>
      <sz val="10"/>
      <color indexed="18"/>
      <name val="Arial"/>
      <family val="2"/>
    </font>
    <font>
      <b/>
      <sz val="12"/>
      <name val="Arial"/>
      <family val="2"/>
    </font>
    <font>
      <b/>
      <sz val="12"/>
      <color indexed="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8"/>
      <name val="Arial"/>
      <family val="2"/>
    </font>
    <font>
      <sz val="8"/>
      <color indexed="9"/>
      <name val="Arial"/>
      <family val="2"/>
    </font>
    <font>
      <sz val="9"/>
      <color indexed="9"/>
      <name val="Symbol"/>
      <family val="1"/>
      <charset val="2"/>
    </font>
    <font>
      <sz val="9"/>
      <color indexed="52"/>
      <name val="Arial"/>
      <family val="2"/>
    </font>
    <font>
      <i/>
      <sz val="8"/>
      <name val="Arial"/>
      <family val="2"/>
    </font>
    <font>
      <sz val="10"/>
      <color indexed="8"/>
      <name val="Arial"/>
      <family val="2"/>
    </font>
    <font>
      <b/>
      <sz val="10"/>
      <color indexed="63"/>
      <name val="Arial"/>
      <family val="2"/>
    </font>
    <font>
      <b/>
      <sz val="10"/>
      <color indexed="52"/>
      <name val="Arial"/>
      <family val="2"/>
    </font>
    <font>
      <sz val="10"/>
      <color indexed="62"/>
      <name val="Arial"/>
      <family val="2"/>
    </font>
    <font>
      <b/>
      <sz val="10"/>
      <color indexed="8"/>
      <name val="Arial"/>
      <family val="2"/>
    </font>
    <font>
      <i/>
      <sz val="10"/>
      <color indexed="23"/>
      <name val="Arial"/>
      <family val="2"/>
    </font>
    <font>
      <sz val="10"/>
      <color indexed="17"/>
      <name val="Arial"/>
      <family val="2"/>
    </font>
    <font>
      <sz val="10"/>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sz val="8"/>
      <color indexed="8"/>
      <name val="Arial"/>
      <family val="2"/>
    </font>
    <font>
      <vertAlign val="subscript"/>
      <sz val="10"/>
      <color indexed="8"/>
      <name val="Arial"/>
      <family val="2"/>
    </font>
    <font>
      <sz val="10"/>
      <color indexed="8"/>
      <name val="Symbol"/>
      <family val="1"/>
      <charset val="2"/>
    </font>
    <font>
      <vertAlign val="superscript"/>
      <sz val="10"/>
      <color indexed="8"/>
      <name val="Arial"/>
      <family val="2"/>
    </font>
    <font>
      <vertAlign val="subscript"/>
      <sz val="10"/>
      <color indexed="8"/>
      <name val="Symbol"/>
      <family val="1"/>
      <charset val="2"/>
    </font>
    <font>
      <vertAlign val="superscript"/>
      <sz val="10"/>
      <color indexed="8"/>
      <name val="Symbol"/>
      <family val="1"/>
      <charset val="2"/>
    </font>
    <font>
      <b/>
      <i/>
      <sz val="10"/>
      <color indexed="10"/>
      <name val="Arial"/>
      <family val="2"/>
    </font>
    <font>
      <b/>
      <i/>
      <sz val="9"/>
      <color indexed="10"/>
      <name val="Arial"/>
      <family val="2"/>
    </font>
    <font>
      <sz val="9"/>
      <color indexed="81"/>
      <name val="Tahoma"/>
      <family val="2"/>
    </font>
    <font>
      <b/>
      <sz val="9"/>
      <color indexed="81"/>
      <name val="Tahoma"/>
      <family val="2"/>
    </font>
    <font>
      <vertAlign val="subscript"/>
      <sz val="8"/>
      <name val="Arial"/>
      <family val="2"/>
    </font>
    <font>
      <vertAlign val="subscript"/>
      <sz val="10"/>
      <name val="Arial"/>
      <family val="2"/>
    </font>
    <font>
      <sz val="10"/>
      <name val="Symbol"/>
      <family val="1"/>
      <charset val="2"/>
    </font>
    <font>
      <i/>
      <sz val="10"/>
      <name val="Arial"/>
      <family val="2"/>
    </font>
    <font>
      <b/>
      <sz val="16"/>
      <name val="Arial"/>
      <family val="2"/>
    </font>
    <font>
      <b/>
      <i/>
      <sz val="8"/>
      <name val="Arial"/>
      <family val="2"/>
    </font>
    <font>
      <b/>
      <sz val="8"/>
      <color indexed="81"/>
      <name val="Arial"/>
      <family val="2"/>
    </font>
    <font>
      <sz val="8"/>
      <color indexed="81"/>
      <name val="Arial"/>
      <family val="2"/>
    </font>
    <font>
      <b/>
      <i/>
      <sz val="8"/>
      <color indexed="81"/>
      <name val="Arial"/>
      <family val="2"/>
    </font>
    <font>
      <b/>
      <sz val="8"/>
      <color indexed="10"/>
      <name val="Arial"/>
      <family val="2"/>
    </font>
    <font>
      <b/>
      <sz val="10"/>
      <color indexed="51"/>
      <name val="Arial"/>
      <family val="2"/>
    </font>
    <font>
      <b/>
      <sz val="10"/>
      <color indexed="11"/>
      <name val="Arial"/>
      <family val="2"/>
    </font>
    <font>
      <b/>
      <sz val="10"/>
      <color indexed="12"/>
      <name val="Arial"/>
      <family val="2"/>
    </font>
    <font>
      <b/>
      <sz val="10"/>
      <color indexed="10"/>
      <name val="Arial"/>
      <family val="2"/>
    </font>
    <font>
      <sz val="6"/>
      <name val="Arial"/>
      <family val="2"/>
    </font>
    <font>
      <b/>
      <sz val="14"/>
      <name val="Arial"/>
      <family val="2"/>
    </font>
    <font>
      <b/>
      <sz val="18"/>
      <name val="Arial"/>
      <family val="2"/>
    </font>
    <font>
      <i/>
      <sz val="7"/>
      <name val="Arial"/>
      <family val="2"/>
    </font>
    <font>
      <sz val="7"/>
      <color indexed="9"/>
      <name val="Arial"/>
      <family val="2"/>
    </font>
    <font>
      <vertAlign val="superscript"/>
      <sz val="8"/>
      <name val="Arial"/>
      <family val="2"/>
    </font>
    <font>
      <u/>
      <sz val="8"/>
      <color indexed="81"/>
      <name val="Tahoma"/>
      <family val="2"/>
    </font>
    <font>
      <b/>
      <sz val="17"/>
      <name val="Trebuchet MS"/>
      <family val="2"/>
    </font>
    <font>
      <sz val="10"/>
      <name val="Trebuchet MS"/>
      <family val="2"/>
    </font>
    <font>
      <b/>
      <sz val="10"/>
      <name val="Trebuchet MS"/>
      <family val="2"/>
    </font>
    <font>
      <b/>
      <u/>
      <sz val="10"/>
      <name val="Trebuchet MS"/>
      <family val="2"/>
    </font>
    <font>
      <u/>
      <sz val="10"/>
      <name val="Trebuchet MS"/>
      <family val="2"/>
    </font>
    <font>
      <i/>
      <sz val="10"/>
      <name val="Trebuchet MS"/>
      <family val="2"/>
    </font>
    <font>
      <vertAlign val="subscript"/>
      <sz val="10"/>
      <name val="Trebuchet MS"/>
      <family val="2"/>
    </font>
    <font>
      <sz val="4"/>
      <name val="Trebuchet MS"/>
      <family val="2"/>
    </font>
    <font>
      <sz val="8"/>
      <name val="Trebuchet MS"/>
      <family val="2"/>
    </font>
    <font>
      <u/>
      <sz val="10"/>
      <name val="Arial"/>
      <family val="2"/>
    </font>
    <font>
      <i/>
      <sz val="8"/>
      <color indexed="9"/>
      <name val="Arial"/>
      <family val="2"/>
    </font>
    <font>
      <sz val="5"/>
      <name val="Arial"/>
      <family val="2"/>
    </font>
    <font>
      <sz val="8"/>
      <color indexed="8"/>
      <name val="Arial"/>
      <family val="2"/>
    </font>
    <font>
      <b/>
      <sz val="8"/>
      <color indexed="50"/>
      <name val="Arial"/>
      <family val="2"/>
    </font>
    <font>
      <b/>
      <sz val="12"/>
      <color indexed="10"/>
      <name val="Arial"/>
      <family val="2"/>
    </font>
    <font>
      <b/>
      <sz val="14"/>
      <color indexed="10"/>
      <name val="Arial"/>
      <family val="2"/>
    </font>
  </fonts>
  <fills count="3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62"/>
      </patternFill>
    </fill>
    <fill>
      <patternFill patternType="solid">
        <fgColor indexed="57"/>
      </patternFill>
    </fill>
    <fill>
      <patternFill patternType="solid">
        <fgColor indexed="36"/>
      </patternFill>
    </fill>
    <fill>
      <patternFill patternType="solid">
        <fgColor indexed="22"/>
      </patternFill>
    </fill>
    <fill>
      <patternFill patternType="solid">
        <fgColor indexed="46"/>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50"/>
        <bgColor indexed="64"/>
      </patternFill>
    </fill>
    <fill>
      <patternFill patternType="solid">
        <fgColor indexed="17"/>
        <bgColor indexed="64"/>
      </patternFill>
    </fill>
    <fill>
      <patternFill patternType="solid">
        <fgColor indexed="14"/>
        <bgColor indexed="64"/>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12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double">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medium">
        <color indexed="64"/>
      </left>
      <right style="thin">
        <color indexed="9"/>
      </right>
      <top style="medium">
        <color indexed="64"/>
      </top>
      <bottom style="thin">
        <color indexed="9"/>
      </bottom>
      <diagonal/>
    </border>
    <border>
      <left style="thin">
        <color indexed="9"/>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
        <color indexed="64"/>
      </right>
      <top style="thin">
        <color indexed="9"/>
      </top>
      <bottom style="thin">
        <color indexed="9"/>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medium">
        <color indexed="64"/>
      </right>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hair">
        <color indexed="64"/>
      </left>
      <right style="hair">
        <color indexed="64"/>
      </right>
      <top/>
      <bottom style="double">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medium">
        <color indexed="64"/>
      </right>
      <top style="thin">
        <color indexed="9"/>
      </top>
      <bottom/>
      <diagonal/>
    </border>
  </borders>
  <cellStyleXfs count="240">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11"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65" fillId="18" borderId="1" applyNumberFormat="0" applyAlignment="0" applyProtection="0"/>
    <xf numFmtId="0" fontId="65" fillId="18" borderId="1" applyNumberFormat="0" applyAlignment="0" applyProtection="0"/>
    <xf numFmtId="0" fontId="54" fillId="0" borderId="0" applyNumberFormat="0" applyFill="0" applyBorder="0" applyAlignment="0" applyProtection="0"/>
    <xf numFmtId="0" fontId="45" fillId="19" borderId="0" applyNumberFormat="0" applyBorder="0" applyAlignment="0" applyProtection="0"/>
    <xf numFmtId="0" fontId="66" fillId="18" borderId="2" applyNumberFormat="0" applyAlignment="0" applyProtection="0"/>
    <xf numFmtId="0" fontId="66" fillId="18" borderId="2" applyNumberFormat="0" applyAlignment="0" applyProtection="0"/>
    <xf numFmtId="0" fontId="46" fillId="20" borderId="2" applyNumberFormat="0" applyAlignment="0" applyProtection="0"/>
    <xf numFmtId="0" fontId="46" fillId="20" borderId="2" applyNumberFormat="0" applyAlignment="0" applyProtection="0"/>
    <xf numFmtId="0" fontId="54" fillId="0" borderId="3" applyNumberFormat="0" applyFill="0" applyAlignment="0" applyProtection="0"/>
    <xf numFmtId="0" fontId="47" fillId="21" borderId="4" applyNumberFormat="0" applyAlignment="0" applyProtection="0"/>
    <xf numFmtId="0" fontId="4" fillId="4" borderId="5" applyNumberFormat="0" applyFont="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0" fontId="67" fillId="5" borderId="2" applyNumberFormat="0" applyAlignment="0" applyProtection="0"/>
    <xf numFmtId="0" fontId="67" fillId="5" borderId="2" applyNumberFormat="0" applyAlignment="0" applyProtection="0"/>
    <xf numFmtId="0" fontId="53" fillId="7" borderId="2" applyNumberFormat="0" applyAlignment="0" applyProtection="0"/>
    <xf numFmtId="0" fontId="68" fillId="0" borderId="6" applyNumberFormat="0" applyFill="0" applyAlignment="0" applyProtection="0"/>
    <xf numFmtId="0" fontId="68" fillId="0" borderId="6"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48" fillId="0" borderId="0" applyNumberFormat="0" applyFill="0" applyBorder="0" applyAlignment="0" applyProtection="0"/>
    <xf numFmtId="0" fontId="49" fillId="6"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3" fillId="7" borderId="2" applyNumberFormat="0" applyAlignment="0" applyProtection="0"/>
    <xf numFmtId="0" fontId="45" fillId="19"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4" fillId="0" borderId="3" applyNumberFormat="0" applyFill="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4" borderId="5" applyNumberFormat="0" applyFont="0" applyAlignment="0" applyProtection="0"/>
    <xf numFmtId="0" fontId="4" fillId="4" borderId="5" applyNumberFormat="0" applyFont="0" applyAlignment="0" applyProtection="0"/>
    <xf numFmtId="0" fontId="64" fillId="4" borderId="5" applyNumberFormat="0" applyFont="0" applyAlignment="0" applyProtection="0"/>
    <xf numFmtId="0" fontId="64" fillId="4" borderId="5" applyNumberFormat="0" applyFont="0" applyAlignment="0" applyProtection="0"/>
    <xf numFmtId="0" fontId="56" fillId="20" borderId="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9" fillId="6" borderId="0" applyNumberFormat="0" applyBorder="0" applyAlignment="0" applyProtection="0"/>
    <xf numFmtId="0" fontId="71" fillId="8" borderId="0" applyNumberFormat="0" applyBorder="0" applyAlignment="0" applyProtection="0"/>
    <xf numFmtId="0" fontId="71" fillId="8" borderId="0" applyNumberFormat="0" applyBorder="0" applyAlignment="0" applyProtection="0"/>
    <xf numFmtId="0" fontId="56" fillId="20" borderId="1" applyNumberFormat="0" applyAlignment="0" applyProtection="0"/>
    <xf numFmtId="0" fontId="4" fillId="0" borderId="0"/>
    <xf numFmtId="0" fontId="3" fillId="0" borderId="0"/>
    <xf numFmtId="0" fontId="64" fillId="0" borderId="0"/>
    <xf numFmtId="0" fontId="4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8" fillId="0" borderId="10" applyNumberFormat="0" applyFill="0" applyAlignment="0" applyProtection="0"/>
    <xf numFmtId="0" fontId="72" fillId="0" borderId="0" applyNumberFormat="0" applyFill="0" applyBorder="0" applyAlignment="0" applyProtection="0"/>
    <xf numFmtId="0" fontId="73" fillId="0" borderId="11" applyNumberFormat="0" applyFill="0" applyAlignment="0" applyProtection="0"/>
    <xf numFmtId="0" fontId="73" fillId="0" borderId="11" applyNumberFormat="0" applyFill="0" applyAlignment="0" applyProtection="0"/>
    <xf numFmtId="0" fontId="74" fillId="0" borderId="12" applyNumberFormat="0" applyFill="0" applyAlignment="0" applyProtection="0"/>
    <xf numFmtId="0" fontId="74" fillId="0" borderId="12" applyNumberFormat="0" applyFill="0" applyAlignment="0" applyProtection="0"/>
    <xf numFmtId="0" fontId="75" fillId="0" borderId="13" applyNumberFormat="0" applyFill="0" applyAlignment="0" applyProtection="0"/>
    <xf numFmtId="0" fontId="75" fillId="0" borderId="13"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2" fillId="0" borderId="0" applyNumberFormat="0" applyFill="0" applyBorder="0" applyAlignment="0" applyProtection="0"/>
    <xf numFmtId="0" fontId="47" fillId="21" borderId="4" applyNumberFormat="0" applyAlignment="0" applyProtection="0"/>
    <xf numFmtId="0" fontId="76" fillId="0" borderId="14" applyNumberFormat="0" applyFill="0" applyAlignment="0" applyProtection="0"/>
    <xf numFmtId="0" fontId="76" fillId="0" borderId="14"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4" fillId="0" borderId="0" applyNumberFormat="0" applyFill="0" applyBorder="0" applyAlignment="0" applyProtection="0"/>
    <xf numFmtId="0" fontId="39" fillId="21" borderId="4" applyNumberFormat="0" applyAlignment="0" applyProtection="0"/>
    <xf numFmtId="0" fontId="39" fillId="21" borderId="4" applyNumberFormat="0" applyAlignment="0" applyProtection="0"/>
    <xf numFmtId="0" fontId="2" fillId="0" borderId="0"/>
    <xf numFmtId="0" fontId="1" fillId="0" borderId="0"/>
  </cellStyleXfs>
  <cellXfs count="1345">
    <xf numFmtId="0" fontId="0" fillId="0" borderId="0" xfId="0"/>
    <xf numFmtId="0" fontId="5" fillId="23" borderId="0" xfId="0" applyFont="1" applyFill="1" applyAlignment="1">
      <alignment horizontal="center" vertical="center"/>
    </xf>
    <xf numFmtId="0" fontId="6" fillId="23" borderId="0" xfId="0" applyFont="1" applyFill="1" applyAlignment="1">
      <alignment vertical="center"/>
    </xf>
    <xf numFmtId="0" fontId="7" fillId="23" borderId="0" xfId="0" applyFont="1" applyFill="1" applyAlignment="1">
      <alignment vertical="center"/>
    </xf>
    <xf numFmtId="0" fontId="5" fillId="23" borderId="0" xfId="0" applyFont="1" applyFill="1" applyAlignment="1">
      <alignment vertical="center"/>
    </xf>
    <xf numFmtId="0" fontId="5" fillId="23" borderId="0" xfId="0" applyFont="1" applyFill="1"/>
    <xf numFmtId="0" fontId="9" fillId="24" borderId="15" xfId="0" applyFont="1" applyFill="1" applyBorder="1"/>
    <xf numFmtId="0" fontId="9" fillId="24" borderId="16" xfId="0" applyFont="1" applyFill="1" applyBorder="1" applyAlignment="1" applyProtection="1">
      <alignment horizontal="center"/>
      <protection locked="0"/>
    </xf>
    <xf numFmtId="0" fontId="9" fillId="24" borderId="17" xfId="0" applyFont="1" applyFill="1" applyBorder="1" applyAlignment="1" applyProtection="1">
      <alignment horizontal="center"/>
      <protection locked="0"/>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0" xfId="0" applyFont="1" applyFill="1" applyAlignment="1">
      <alignment horizontal="center"/>
    </xf>
    <xf numFmtId="0" fontId="5" fillId="25" borderId="18" xfId="0" applyFont="1" applyFill="1" applyBorder="1" applyAlignment="1">
      <alignment horizontal="center"/>
    </xf>
    <xf numFmtId="2" fontId="5" fillId="25" borderId="18" xfId="0" applyNumberFormat="1" applyFont="1" applyFill="1" applyBorder="1" applyAlignment="1">
      <alignment horizontal="center"/>
    </xf>
    <xf numFmtId="0" fontId="10" fillId="25" borderId="18" xfId="0" applyFont="1" applyFill="1" applyBorder="1" applyAlignment="1">
      <alignment horizontal="center"/>
    </xf>
    <xf numFmtId="0" fontId="5" fillId="0" borderId="0" xfId="0" applyFont="1"/>
    <xf numFmtId="0" fontId="5" fillId="23" borderId="19" xfId="0" applyFont="1" applyFill="1" applyBorder="1"/>
    <xf numFmtId="0" fontId="5" fillId="23" borderId="20" xfId="0" applyFont="1" applyFill="1" applyBorder="1" applyAlignment="1">
      <alignment horizontal="center"/>
    </xf>
    <xf numFmtId="0" fontId="13" fillId="23" borderId="21" xfId="0" applyFont="1" applyFill="1" applyBorder="1" applyAlignment="1">
      <alignment horizontal="center"/>
    </xf>
    <xf numFmtId="0" fontId="5" fillId="23" borderId="0" xfId="0" applyFont="1" applyFill="1" applyAlignment="1">
      <alignment horizontal="center"/>
    </xf>
    <xf numFmtId="0" fontId="5" fillId="23" borderId="22" xfId="0" applyFont="1" applyFill="1" applyBorder="1"/>
    <xf numFmtId="0" fontId="5" fillId="23" borderId="23" xfId="0" applyFont="1" applyFill="1" applyBorder="1"/>
    <xf numFmtId="0" fontId="5" fillId="23" borderId="24" xfId="0" applyFont="1" applyFill="1" applyBorder="1"/>
    <xf numFmtId="0" fontId="5" fillId="23" borderId="21" xfId="0" applyFont="1" applyFill="1" applyBorder="1"/>
    <xf numFmtId="0" fontId="5" fillId="23" borderId="24" xfId="0" applyFont="1" applyFill="1" applyBorder="1" applyAlignment="1">
      <alignment horizontal="center"/>
    </xf>
    <xf numFmtId="0" fontId="5" fillId="23" borderId="25" xfId="0" applyFont="1" applyFill="1" applyBorder="1"/>
    <xf numFmtId="0" fontId="5" fillId="23" borderId="26" xfId="0" applyFont="1" applyFill="1" applyBorder="1"/>
    <xf numFmtId="0" fontId="5" fillId="23" borderId="27" xfId="0" applyFont="1" applyFill="1" applyBorder="1"/>
    <xf numFmtId="0" fontId="5" fillId="23" borderId="23" xfId="0" quotePrefix="1" applyFont="1" applyFill="1" applyBorder="1"/>
    <xf numFmtId="0" fontId="5" fillId="23" borderId="23" xfId="0" applyFont="1" applyFill="1" applyBorder="1" applyAlignment="1">
      <alignment horizontal="center"/>
    </xf>
    <xf numFmtId="0" fontId="5" fillId="23" borderId="28" xfId="0" applyFont="1" applyFill="1" applyBorder="1" applyAlignment="1">
      <alignment horizontal="center"/>
    </xf>
    <xf numFmtId="0" fontId="14" fillId="23" borderId="0" xfId="0" applyFont="1" applyFill="1" applyAlignment="1">
      <alignment vertical="center"/>
    </xf>
    <xf numFmtId="0" fontId="6" fillId="23" borderId="15" xfId="0" applyFont="1" applyFill="1" applyBorder="1" applyAlignment="1">
      <alignment vertical="center"/>
    </xf>
    <xf numFmtId="0" fontId="7" fillId="23" borderId="16" xfId="0" applyFont="1" applyFill="1" applyBorder="1" applyAlignment="1">
      <alignment vertical="center"/>
    </xf>
    <xf numFmtId="0" fontId="5" fillId="23" borderId="16" xfId="0" applyFont="1" applyFill="1" applyBorder="1" applyAlignment="1">
      <alignment vertical="center"/>
    </xf>
    <xf numFmtId="0" fontId="5" fillId="23" borderId="17" xfId="0" applyFont="1" applyFill="1" applyBorder="1"/>
    <xf numFmtId="0" fontId="5" fillId="23" borderId="22" xfId="0" applyFont="1" applyFill="1" applyBorder="1" applyAlignment="1">
      <alignment vertical="center"/>
    </xf>
    <xf numFmtId="0" fontId="14" fillId="23" borderId="0" xfId="0" applyFont="1" applyFill="1" applyAlignment="1">
      <alignment horizontal="right" vertical="center"/>
    </xf>
    <xf numFmtId="0" fontId="5" fillId="23" borderId="29" xfId="0" applyFont="1" applyFill="1" applyBorder="1" applyAlignment="1">
      <alignment vertical="center"/>
    </xf>
    <xf numFmtId="0" fontId="14" fillId="23" borderId="30" xfId="0" applyFont="1" applyFill="1" applyBorder="1" applyAlignment="1">
      <alignment vertical="center"/>
    </xf>
    <xf numFmtId="0" fontId="5" fillId="23" borderId="30" xfId="0" applyFont="1" applyFill="1" applyBorder="1" applyAlignment="1">
      <alignment vertical="center"/>
    </xf>
    <xf numFmtId="0" fontId="14" fillId="23" borderId="31" xfId="0" applyFont="1" applyFill="1" applyBorder="1" applyAlignment="1">
      <alignment horizontal="right" vertical="center"/>
    </xf>
    <xf numFmtId="0" fontId="5" fillId="23" borderId="32" xfId="0" applyFont="1" applyFill="1" applyBorder="1" applyAlignment="1">
      <alignment horizontal="center" vertical="center"/>
    </xf>
    <xf numFmtId="165" fontId="5" fillId="25" borderId="33" xfId="0" applyNumberFormat="1" applyFont="1" applyFill="1" applyBorder="1" applyAlignment="1" applyProtection="1">
      <alignment horizontal="center" vertical="center"/>
      <protection locked="0"/>
    </xf>
    <xf numFmtId="0" fontId="5" fillId="23" borderId="34" xfId="0" applyFont="1" applyFill="1" applyBorder="1"/>
    <xf numFmtId="0" fontId="5" fillId="23" borderId="34" xfId="0" applyFont="1" applyFill="1" applyBorder="1" applyAlignment="1">
      <alignment horizontal="center"/>
    </xf>
    <xf numFmtId="1" fontId="5" fillId="23" borderId="0" xfId="0" applyNumberFormat="1" applyFont="1" applyFill="1"/>
    <xf numFmtId="0" fontId="14" fillId="23" borderId="30" xfId="0" applyFont="1" applyFill="1" applyBorder="1" applyAlignment="1">
      <alignment horizontal="right" vertical="center"/>
    </xf>
    <xf numFmtId="0" fontId="16" fillId="25" borderId="15" xfId="0" applyFont="1" applyFill="1" applyBorder="1" applyAlignment="1">
      <alignment horizontal="left"/>
    </xf>
    <xf numFmtId="0" fontId="16" fillId="25" borderId="16" xfId="0" applyFont="1" applyFill="1" applyBorder="1" applyAlignment="1">
      <alignment horizontal="left"/>
    </xf>
    <xf numFmtId="0" fontId="16" fillId="25" borderId="18" xfId="0" applyFont="1" applyFill="1" applyBorder="1" applyAlignment="1">
      <alignment horizontal="left"/>
    </xf>
    <xf numFmtId="0" fontId="5" fillId="24" borderId="19" xfId="0" applyFont="1" applyFill="1" applyBorder="1"/>
    <xf numFmtId="0" fontId="5" fillId="24" borderId="21" xfId="0" applyFont="1" applyFill="1" applyBorder="1"/>
    <xf numFmtId="0" fontId="5" fillId="24" borderId="24" xfId="0" applyFont="1" applyFill="1" applyBorder="1"/>
    <xf numFmtId="0" fontId="11" fillId="24" borderId="22" xfId="0" applyFont="1" applyFill="1" applyBorder="1"/>
    <xf numFmtId="0" fontId="11" fillId="24" borderId="0" xfId="0" applyFont="1" applyFill="1"/>
    <xf numFmtId="0" fontId="11" fillId="24" borderId="23" xfId="0" applyFont="1" applyFill="1" applyBorder="1"/>
    <xf numFmtId="9" fontId="5" fillId="25" borderId="33" xfId="203" applyFont="1" applyFill="1" applyBorder="1" applyAlignment="1" applyProtection="1">
      <alignment horizontal="center" vertical="center"/>
      <protection locked="0"/>
    </xf>
    <xf numFmtId="0" fontId="5" fillId="23" borderId="35" xfId="0" applyFont="1" applyFill="1" applyBorder="1"/>
    <xf numFmtId="2" fontId="5" fillId="23" borderId="36" xfId="0" applyNumberFormat="1" applyFont="1" applyFill="1" applyBorder="1" applyAlignment="1">
      <alignment horizontal="center"/>
    </xf>
    <xf numFmtId="0" fontId="5" fillId="23" borderId="36" xfId="0" applyFont="1" applyFill="1" applyBorder="1" applyAlignment="1">
      <alignment horizontal="center"/>
    </xf>
    <xf numFmtId="166" fontId="5" fillId="23" borderId="36" xfId="0" applyNumberFormat="1" applyFont="1" applyFill="1" applyBorder="1" applyAlignment="1">
      <alignment horizontal="center"/>
    </xf>
    <xf numFmtId="166" fontId="5" fillId="25" borderId="20" xfId="0" applyNumberFormat="1" applyFont="1" applyFill="1" applyBorder="1" applyAlignment="1">
      <alignment horizontal="center"/>
    </xf>
    <xf numFmtId="0" fontId="5" fillId="23" borderId="37" xfId="0" applyFont="1" applyFill="1" applyBorder="1" applyAlignment="1">
      <alignment horizontal="center" vertical="center"/>
    </xf>
    <xf numFmtId="3" fontId="5" fillId="25" borderId="33" xfId="203" applyNumberFormat="1" applyFont="1" applyFill="1" applyBorder="1" applyAlignment="1" applyProtection="1">
      <alignment horizontal="center" vertical="center"/>
      <protection locked="0"/>
    </xf>
    <xf numFmtId="0" fontId="5" fillId="23" borderId="26" xfId="0" applyFont="1" applyFill="1" applyBorder="1" applyAlignment="1">
      <alignment horizontal="center"/>
    </xf>
    <xf numFmtId="0" fontId="5" fillId="23" borderId="38" xfId="0" applyFont="1" applyFill="1" applyBorder="1"/>
    <xf numFmtId="2" fontId="5" fillId="23" borderId="39" xfId="0" applyNumberFormat="1" applyFont="1" applyFill="1" applyBorder="1" applyAlignment="1">
      <alignment horizontal="center"/>
    </xf>
    <xf numFmtId="166" fontId="5" fillId="23" borderId="39" xfId="0" applyNumberFormat="1" applyFont="1" applyFill="1" applyBorder="1" applyAlignment="1">
      <alignment horizontal="center"/>
    </xf>
    <xf numFmtId="166" fontId="5" fillId="25" borderId="28" xfId="0" applyNumberFormat="1" applyFont="1" applyFill="1" applyBorder="1" applyAlignment="1">
      <alignment horizontal="center"/>
    </xf>
    <xf numFmtId="0" fontId="16" fillId="23" borderId="30" xfId="0" applyFont="1" applyFill="1" applyBorder="1" applyAlignment="1">
      <alignment horizontal="right" vertical="center"/>
    </xf>
    <xf numFmtId="166" fontId="5" fillId="23" borderId="32" xfId="0" applyNumberFormat="1" applyFont="1" applyFill="1" applyBorder="1" applyAlignment="1">
      <alignment horizontal="center" vertical="center"/>
    </xf>
    <xf numFmtId="0" fontId="17" fillId="24" borderId="15" xfId="0" applyFont="1" applyFill="1" applyBorder="1"/>
    <xf numFmtId="0" fontId="11" fillId="24" borderId="16" xfId="0" applyFont="1" applyFill="1" applyBorder="1" applyAlignment="1">
      <alignment horizontal="center"/>
    </xf>
    <xf numFmtId="0" fontId="5" fillId="25" borderId="15" xfId="0" applyFont="1" applyFill="1" applyBorder="1" applyAlignment="1" applyProtection="1">
      <alignment horizontal="center"/>
      <protection locked="0"/>
    </xf>
    <xf numFmtId="0" fontId="5" fillId="25" borderId="17" xfId="0" applyFont="1" applyFill="1" applyBorder="1"/>
    <xf numFmtId="1" fontId="5" fillId="23" borderId="39" xfId="0" applyNumberFormat="1" applyFont="1" applyFill="1" applyBorder="1" applyAlignment="1">
      <alignment horizontal="center"/>
    </xf>
    <xf numFmtId="0" fontId="5" fillId="23" borderId="25" xfId="0" applyFont="1" applyFill="1" applyBorder="1" applyAlignment="1">
      <alignment vertical="center"/>
    </xf>
    <xf numFmtId="0" fontId="14" fillId="23" borderId="27" xfId="0" applyFont="1" applyFill="1" applyBorder="1" applyAlignment="1">
      <alignment vertical="center"/>
    </xf>
    <xf numFmtId="0" fontId="5" fillId="23" borderId="40" xfId="0" applyFont="1" applyFill="1" applyBorder="1" applyAlignment="1">
      <alignment horizontal="center" vertical="center"/>
    </xf>
    <xf numFmtId="0" fontId="5" fillId="23" borderId="39" xfId="0" applyFont="1" applyFill="1" applyBorder="1"/>
    <xf numFmtId="0" fontId="5" fillId="25" borderId="28" xfId="0" applyFont="1" applyFill="1" applyBorder="1" applyAlignment="1">
      <alignment horizontal="center"/>
    </xf>
    <xf numFmtId="0" fontId="18" fillId="24" borderId="15" xfId="0" applyFont="1" applyFill="1" applyBorder="1"/>
    <xf numFmtId="0" fontId="5" fillId="24" borderId="17" xfId="0" applyFont="1" applyFill="1" applyBorder="1" applyAlignment="1">
      <alignment horizontal="center"/>
    </xf>
    <xf numFmtId="0" fontId="5" fillId="25" borderId="15" xfId="0" applyFont="1" applyFill="1" applyBorder="1" applyAlignment="1">
      <alignment horizontal="center"/>
    </xf>
    <xf numFmtId="0" fontId="6" fillId="23" borderId="15" xfId="0" applyFont="1" applyFill="1" applyBorder="1"/>
    <xf numFmtId="0" fontId="7" fillId="23" borderId="16" xfId="0" applyFont="1" applyFill="1" applyBorder="1"/>
    <xf numFmtId="0" fontId="14" fillId="23" borderId="17" xfId="0" applyFont="1" applyFill="1" applyBorder="1" applyAlignment="1">
      <alignment horizontal="right" vertical="center"/>
    </xf>
    <xf numFmtId="0" fontId="11" fillId="24" borderId="17" xfId="0" applyFont="1" applyFill="1" applyBorder="1"/>
    <xf numFmtId="0" fontId="5" fillId="25" borderId="19" xfId="0" applyFont="1" applyFill="1" applyBorder="1" applyAlignment="1">
      <alignment horizontal="center"/>
    </xf>
    <xf numFmtId="0" fontId="5" fillId="25" borderId="24" xfId="0" applyFont="1" applyFill="1" applyBorder="1"/>
    <xf numFmtId="167" fontId="5" fillId="23" borderId="39" xfId="0" applyNumberFormat="1" applyFont="1" applyFill="1" applyBorder="1" applyAlignment="1">
      <alignment horizontal="center"/>
    </xf>
    <xf numFmtId="0" fontId="5" fillId="23" borderId="41" xfId="0" applyFont="1" applyFill="1" applyBorder="1"/>
    <xf numFmtId="0" fontId="14" fillId="23" borderId="42" xfId="0" applyFont="1" applyFill="1" applyBorder="1"/>
    <xf numFmtId="0" fontId="11" fillId="24" borderId="15" xfId="0" applyFont="1" applyFill="1" applyBorder="1"/>
    <xf numFmtId="0" fontId="11" fillId="24" borderId="16" xfId="0" applyFont="1" applyFill="1" applyBorder="1"/>
    <xf numFmtId="165" fontId="5" fillId="25" borderId="15" xfId="0" applyNumberFormat="1" applyFont="1" applyFill="1" applyBorder="1" applyAlignment="1" applyProtection="1">
      <alignment horizontal="center" vertical="center"/>
      <protection locked="0"/>
    </xf>
    <xf numFmtId="0" fontId="14" fillId="23" borderId="31" xfId="0" applyFont="1" applyFill="1" applyBorder="1"/>
    <xf numFmtId="2" fontId="5" fillId="23" borderId="25" xfId="0" applyNumberFormat="1" applyFont="1" applyFill="1" applyBorder="1" applyAlignment="1">
      <alignment horizontal="center" vertical="center"/>
    </xf>
    <xf numFmtId="1" fontId="5" fillId="25" borderId="28" xfId="0" applyNumberFormat="1" applyFont="1" applyFill="1" applyBorder="1" applyAlignment="1">
      <alignment horizontal="center"/>
    </xf>
    <xf numFmtId="0" fontId="5" fillId="23" borderId="29" xfId="0" applyFont="1" applyFill="1" applyBorder="1"/>
    <xf numFmtId="165" fontId="5" fillId="23" borderId="25" xfId="0" applyNumberFormat="1" applyFont="1" applyFill="1" applyBorder="1" applyAlignment="1">
      <alignment horizontal="center"/>
    </xf>
    <xf numFmtId="0" fontId="5" fillId="23" borderId="43" xfId="0" applyFont="1" applyFill="1" applyBorder="1"/>
    <xf numFmtId="0" fontId="5" fillId="23" borderId="30" xfId="0" applyFont="1" applyFill="1" applyBorder="1"/>
    <xf numFmtId="2" fontId="5" fillId="23" borderId="15" xfId="0" applyNumberFormat="1" applyFont="1" applyFill="1" applyBorder="1" applyAlignment="1">
      <alignment horizontal="center"/>
    </xf>
    <xf numFmtId="0" fontId="21" fillId="23" borderId="38" xfId="0" applyFont="1" applyFill="1" applyBorder="1"/>
    <xf numFmtId="2" fontId="5" fillId="23" borderId="0" xfId="0" applyNumberFormat="1" applyFont="1" applyFill="1"/>
    <xf numFmtId="1" fontId="5" fillId="23" borderId="15" xfId="0" applyNumberFormat="1" applyFont="1" applyFill="1" applyBorder="1" applyAlignment="1">
      <alignment horizontal="center"/>
    </xf>
    <xf numFmtId="9" fontId="5" fillId="23" borderId="0" xfId="203" applyFont="1" applyFill="1" applyProtection="1"/>
    <xf numFmtId="0" fontId="5" fillId="23" borderId="44" xfId="0" applyFont="1" applyFill="1" applyBorder="1"/>
    <xf numFmtId="2" fontId="5" fillId="23" borderId="45" xfId="0" applyNumberFormat="1" applyFont="1" applyFill="1" applyBorder="1" applyAlignment="1">
      <alignment horizontal="center"/>
    </xf>
    <xf numFmtId="0" fontId="5" fillId="23" borderId="45" xfId="0" applyFont="1" applyFill="1" applyBorder="1"/>
    <xf numFmtId="2" fontId="5" fillId="23" borderId="20" xfId="0" applyNumberFormat="1" applyFont="1" applyFill="1" applyBorder="1" applyAlignment="1">
      <alignment horizontal="center"/>
    </xf>
    <xf numFmtId="0" fontId="5" fillId="23" borderId="37" xfId="0" applyFont="1" applyFill="1" applyBorder="1"/>
    <xf numFmtId="0" fontId="5" fillId="23" borderId="15" xfId="0" applyFont="1" applyFill="1" applyBorder="1" applyAlignment="1">
      <alignment horizontal="center"/>
    </xf>
    <xf numFmtId="167" fontId="5" fillId="23" borderId="26" xfId="0" applyNumberFormat="1" applyFont="1" applyFill="1" applyBorder="1" applyAlignment="1">
      <alignment horizontal="center"/>
    </xf>
    <xf numFmtId="0" fontId="5" fillId="23" borderId="32" xfId="0" applyFont="1" applyFill="1" applyBorder="1" applyAlignment="1">
      <alignment horizontal="center"/>
    </xf>
    <xf numFmtId="2" fontId="5" fillId="23" borderId="32" xfId="0" quotePrefix="1" applyNumberFormat="1" applyFont="1" applyFill="1" applyBorder="1" applyAlignment="1">
      <alignment horizontal="center"/>
    </xf>
    <xf numFmtId="0" fontId="5" fillId="24" borderId="17" xfId="0" applyFont="1" applyFill="1" applyBorder="1"/>
    <xf numFmtId="168" fontId="5" fillId="25" borderId="15" xfId="0" applyNumberFormat="1" applyFont="1" applyFill="1" applyBorder="1" applyAlignment="1" applyProtection="1">
      <alignment horizontal="center" vertical="center"/>
      <protection locked="0"/>
    </xf>
    <xf numFmtId="0" fontId="5" fillId="23" borderId="17" xfId="0" applyFont="1" applyFill="1" applyBorder="1" applyAlignment="1">
      <alignment horizontal="center" vertical="center"/>
    </xf>
    <xf numFmtId="0" fontId="22" fillId="23" borderId="0" xfId="0" applyFont="1" applyFill="1"/>
    <xf numFmtId="0" fontId="14" fillId="23" borderId="32" xfId="0" applyFont="1" applyFill="1" applyBorder="1" applyAlignment="1">
      <alignment horizontal="center"/>
    </xf>
    <xf numFmtId="0" fontId="11" fillId="24" borderId="19" xfId="0" applyFont="1" applyFill="1" applyBorder="1"/>
    <xf numFmtId="0" fontId="11" fillId="24" borderId="24" xfId="0" applyFont="1" applyFill="1" applyBorder="1"/>
    <xf numFmtId="3" fontId="5" fillId="23" borderId="0" xfId="0" applyNumberFormat="1" applyFont="1" applyFill="1"/>
    <xf numFmtId="169" fontId="5" fillId="25" borderId="15" xfId="0" applyNumberFormat="1" applyFont="1" applyFill="1" applyBorder="1" applyAlignment="1" applyProtection="1">
      <alignment horizontal="center" vertical="center"/>
      <protection locked="0"/>
    </xf>
    <xf numFmtId="0" fontId="5" fillId="23" borderId="32" xfId="0" applyFont="1" applyFill="1" applyBorder="1"/>
    <xf numFmtId="0" fontId="11" fillId="24" borderId="20" xfId="0" applyFont="1" applyFill="1" applyBorder="1" applyAlignment="1">
      <alignment horizontal="center"/>
    </xf>
    <xf numFmtId="1" fontId="5" fillId="23" borderId="0" xfId="0" applyNumberFormat="1" applyFont="1" applyFill="1" applyAlignment="1">
      <alignment horizontal="center"/>
    </xf>
    <xf numFmtId="0" fontId="9" fillId="24" borderId="28" xfId="0" applyFont="1" applyFill="1" applyBorder="1" applyAlignment="1" applyProtection="1">
      <alignment horizontal="center"/>
      <protection locked="0"/>
    </xf>
    <xf numFmtId="0" fontId="11" fillId="24" borderId="28" xfId="0" applyFont="1" applyFill="1" applyBorder="1" applyAlignment="1">
      <alignment horizontal="center"/>
    </xf>
    <xf numFmtId="16" fontId="11" fillId="24" borderId="28" xfId="0" quotePrefix="1" applyNumberFormat="1" applyFont="1" applyFill="1" applyBorder="1" applyAlignment="1">
      <alignment horizontal="center"/>
    </xf>
    <xf numFmtId="0" fontId="5" fillId="25" borderId="17" xfId="0" applyFont="1" applyFill="1" applyBorder="1" applyAlignment="1">
      <alignment horizontal="center"/>
    </xf>
    <xf numFmtId="0" fontId="11" fillId="24" borderId="26" xfId="0" applyFont="1" applyFill="1" applyBorder="1" applyAlignment="1">
      <alignment horizontal="left"/>
    </xf>
    <xf numFmtId="0" fontId="11" fillId="24" borderId="26" xfId="0" applyFont="1" applyFill="1" applyBorder="1" applyAlignment="1">
      <alignment horizontal="center"/>
    </xf>
    <xf numFmtId="0" fontId="11" fillId="24" borderId="17" xfId="0" applyFont="1" applyFill="1" applyBorder="1" applyAlignment="1" applyProtection="1">
      <alignment horizontal="center"/>
      <protection locked="0"/>
    </xf>
    <xf numFmtId="1" fontId="11" fillId="24" borderId="0" xfId="0" applyNumberFormat="1" applyFont="1" applyFill="1" applyAlignment="1">
      <alignment horizontal="center"/>
    </xf>
    <xf numFmtId="1" fontId="11" fillId="24" borderId="24" xfId="0" applyNumberFormat="1" applyFont="1" applyFill="1" applyBorder="1" applyAlignment="1">
      <alignment horizontal="center"/>
    </xf>
    <xf numFmtId="0" fontId="9" fillId="24" borderId="19" xfId="0" applyFont="1" applyFill="1" applyBorder="1"/>
    <xf numFmtId="0" fontId="11" fillId="24" borderId="21" xfId="0" applyFont="1" applyFill="1" applyBorder="1"/>
    <xf numFmtId="0" fontId="11" fillId="24" borderId="19" xfId="0" applyFont="1" applyFill="1" applyBorder="1" applyAlignment="1">
      <alignment horizontal="center"/>
    </xf>
    <xf numFmtId="0" fontId="11" fillId="24" borderId="15" xfId="0" applyFont="1" applyFill="1" applyBorder="1" applyAlignment="1">
      <alignment horizontal="center"/>
    </xf>
    <xf numFmtId="0" fontId="11" fillId="24" borderId="18" xfId="0" applyFont="1" applyFill="1" applyBorder="1" applyAlignment="1">
      <alignment horizontal="right"/>
    </xf>
    <xf numFmtId="1" fontId="5" fillId="23" borderId="46" xfId="0" applyNumberFormat="1" applyFont="1" applyFill="1" applyBorder="1" applyAlignment="1">
      <alignment horizontal="left"/>
    </xf>
    <xf numFmtId="1" fontId="5" fillId="23" borderId="46" xfId="0" applyNumberFormat="1" applyFont="1" applyFill="1" applyBorder="1" applyAlignment="1">
      <alignment horizontal="center"/>
    </xf>
    <xf numFmtId="166" fontId="5" fillId="23" borderId="46" xfId="0" applyNumberFormat="1" applyFont="1" applyFill="1" applyBorder="1" applyAlignment="1">
      <alignment horizontal="center"/>
    </xf>
    <xf numFmtId="1" fontId="11" fillId="24" borderId="23" xfId="0" applyNumberFormat="1" applyFont="1" applyFill="1" applyBorder="1" applyAlignment="1">
      <alignment horizontal="center"/>
    </xf>
    <xf numFmtId="0" fontId="11" fillId="24" borderId="24" xfId="0" applyFont="1" applyFill="1" applyBorder="1" applyAlignment="1">
      <alignment horizontal="center"/>
    </xf>
    <xf numFmtId="0" fontId="11" fillId="24" borderId="34" xfId="0" applyFont="1" applyFill="1" applyBorder="1" applyAlignment="1">
      <alignment horizontal="center"/>
    </xf>
    <xf numFmtId="0" fontId="11" fillId="24" borderId="26" xfId="0" applyFont="1" applyFill="1" applyBorder="1" applyAlignment="1">
      <alignment horizontal="center" vertical="top" wrapText="1"/>
    </xf>
    <xf numFmtId="1" fontId="11" fillId="24" borderId="34" xfId="0" applyNumberFormat="1" applyFont="1" applyFill="1" applyBorder="1" applyAlignment="1">
      <alignment horizontal="center"/>
    </xf>
    <xf numFmtId="0" fontId="11" fillId="24" borderId="34" xfId="0" applyFont="1" applyFill="1" applyBorder="1" applyAlignment="1">
      <alignment horizontal="center" vertical="top" wrapText="1"/>
    </xf>
    <xf numFmtId="0" fontId="9" fillId="24" borderId="34" xfId="0" applyFont="1" applyFill="1" applyBorder="1" applyAlignment="1">
      <alignment horizontal="center" vertical="top" wrapText="1"/>
    </xf>
    <xf numFmtId="0" fontId="5" fillId="23" borderId="47" xfId="0" applyFont="1" applyFill="1" applyBorder="1" applyAlignment="1" applyProtection="1">
      <alignment horizontal="center"/>
      <protection locked="0"/>
    </xf>
    <xf numFmtId="0" fontId="5" fillId="23" borderId="0" xfId="0" quotePrefix="1" applyFont="1" applyFill="1"/>
    <xf numFmtId="167" fontId="5" fillId="23" borderId="26" xfId="203" applyNumberFormat="1" applyFont="1" applyFill="1" applyBorder="1" applyAlignment="1" applyProtection="1">
      <alignment horizontal="center"/>
    </xf>
    <xf numFmtId="3" fontId="5" fillId="23" borderId="18" xfId="0" applyNumberFormat="1" applyFont="1" applyFill="1" applyBorder="1" applyAlignment="1">
      <alignment horizontal="center"/>
    </xf>
    <xf numFmtId="0" fontId="5" fillId="23" borderId="17" xfId="0" applyFont="1" applyFill="1" applyBorder="1" applyAlignment="1">
      <alignment horizontal="center"/>
    </xf>
    <xf numFmtId="0" fontId="5" fillId="23" borderId="26" xfId="0" applyFont="1" applyFill="1" applyBorder="1" applyAlignment="1">
      <alignment horizontal="center" vertical="top" wrapText="1"/>
    </xf>
    <xf numFmtId="3" fontId="5" fillId="23" borderId="34" xfId="0" applyNumberFormat="1" applyFont="1" applyFill="1" applyBorder="1" applyAlignment="1">
      <alignment horizontal="center" vertical="top" wrapText="1"/>
    </xf>
    <xf numFmtId="2" fontId="5" fillId="23" borderId="34" xfId="0" applyNumberFormat="1" applyFont="1" applyFill="1" applyBorder="1" applyAlignment="1">
      <alignment horizontal="center" vertical="top" wrapText="1"/>
    </xf>
    <xf numFmtId="166" fontId="5" fillId="23" borderId="18" xfId="0" applyNumberFormat="1" applyFont="1" applyFill="1" applyBorder="1" applyAlignment="1">
      <alignment horizontal="center"/>
    </xf>
    <xf numFmtId="166" fontId="5" fillId="23" borderId="34" xfId="0" applyNumberFormat="1" applyFont="1" applyFill="1" applyBorder="1" applyAlignment="1">
      <alignment horizontal="center" vertical="top" wrapText="1"/>
    </xf>
    <xf numFmtId="167" fontId="5" fillId="23" borderId="18" xfId="203" applyNumberFormat="1" applyFont="1" applyFill="1" applyBorder="1" applyAlignment="1" applyProtection="1">
      <alignment horizontal="center"/>
    </xf>
    <xf numFmtId="0" fontId="5" fillId="25" borderId="15" xfId="0" applyFont="1" applyFill="1" applyBorder="1"/>
    <xf numFmtId="0" fontId="5" fillId="23" borderId="48" xfId="0" applyFont="1" applyFill="1" applyBorder="1"/>
    <xf numFmtId="0" fontId="14" fillId="23" borderId="49" xfId="0" applyFont="1" applyFill="1" applyBorder="1"/>
    <xf numFmtId="0" fontId="14" fillId="23" borderId="50" xfId="0" applyFont="1" applyFill="1" applyBorder="1" applyAlignment="1">
      <alignment horizontal="center"/>
    </xf>
    <xf numFmtId="0" fontId="5" fillId="23" borderId="50" xfId="0" applyFont="1" applyFill="1" applyBorder="1" applyAlignment="1">
      <alignment horizontal="center"/>
    </xf>
    <xf numFmtId="9" fontId="5" fillId="23" borderId="51" xfId="203" applyFont="1" applyFill="1" applyBorder="1" applyAlignment="1" applyProtection="1">
      <alignment horizontal="center"/>
      <protection locked="0"/>
    </xf>
    <xf numFmtId="170" fontId="5" fillId="23" borderId="51" xfId="203" applyNumberFormat="1" applyFont="1" applyFill="1" applyBorder="1" applyAlignment="1" applyProtection="1">
      <alignment horizontal="center"/>
      <protection locked="0"/>
    </xf>
    <xf numFmtId="0" fontId="9" fillId="24" borderId="24" xfId="0" applyFont="1" applyFill="1" applyBorder="1" applyAlignment="1" applyProtection="1">
      <alignment horizontal="center"/>
      <protection locked="0"/>
    </xf>
    <xf numFmtId="3" fontId="5" fillId="23" borderId="51" xfId="203" applyNumberFormat="1" applyFont="1" applyFill="1" applyBorder="1" applyAlignment="1" applyProtection="1">
      <alignment horizontal="center"/>
      <protection locked="0"/>
    </xf>
    <xf numFmtId="167" fontId="5" fillId="23" borderId="24" xfId="203" applyNumberFormat="1" applyFont="1" applyFill="1" applyBorder="1" applyAlignment="1" applyProtection="1">
      <alignment horizontal="center"/>
    </xf>
    <xf numFmtId="167" fontId="5" fillId="23" borderId="23" xfId="203" applyNumberFormat="1" applyFont="1" applyFill="1" applyBorder="1" applyAlignment="1" applyProtection="1">
      <alignment horizontal="center"/>
    </xf>
    <xf numFmtId="0" fontId="14" fillId="23" borderId="21" xfId="0" applyFont="1" applyFill="1" applyBorder="1"/>
    <xf numFmtId="0" fontId="5" fillId="23" borderId="16" xfId="0" applyFont="1" applyFill="1" applyBorder="1" applyAlignment="1">
      <alignment horizontal="center"/>
    </xf>
    <xf numFmtId="0" fontId="25" fillId="23" borderId="52" xfId="0" applyFont="1" applyFill="1" applyBorder="1" applyAlignment="1">
      <alignment horizontal="right"/>
    </xf>
    <xf numFmtId="167" fontId="10" fillId="26" borderId="53" xfId="203" applyNumberFormat="1" applyFont="1" applyFill="1" applyBorder="1" applyAlignment="1" applyProtection="1">
      <alignment horizontal="center"/>
    </xf>
    <xf numFmtId="0" fontId="5" fillId="23" borderId="53" xfId="0" applyFont="1" applyFill="1" applyBorder="1" applyAlignment="1">
      <alignment horizontal="right"/>
    </xf>
    <xf numFmtId="3" fontId="5" fillId="23" borderId="36" xfId="203" applyNumberFormat="1" applyFont="1" applyFill="1" applyBorder="1" applyAlignment="1" applyProtection="1">
      <alignment horizontal="center"/>
    </xf>
    <xf numFmtId="0" fontId="25" fillId="23" borderId="31" xfId="0" applyFont="1" applyFill="1" applyBorder="1" applyAlignment="1">
      <alignment horizontal="right"/>
    </xf>
    <xf numFmtId="167" fontId="10" fillId="26" borderId="32" xfId="203" applyNumberFormat="1" applyFont="1" applyFill="1" applyBorder="1" applyAlignment="1" applyProtection="1">
      <alignment horizontal="center"/>
    </xf>
    <xf numFmtId="0" fontId="5" fillId="23" borderId="32" xfId="0" applyFont="1" applyFill="1" applyBorder="1" applyAlignment="1">
      <alignment horizontal="right"/>
    </xf>
    <xf numFmtId="3" fontId="5" fillId="23" borderId="33" xfId="203" applyNumberFormat="1" applyFont="1" applyFill="1" applyBorder="1" applyAlignment="1" applyProtection="1">
      <alignment horizontal="center"/>
    </xf>
    <xf numFmtId="167" fontId="5" fillId="23" borderId="34" xfId="203" applyNumberFormat="1" applyFont="1" applyFill="1" applyBorder="1" applyAlignment="1" applyProtection="1">
      <alignment horizontal="center"/>
    </xf>
    <xf numFmtId="9" fontId="5" fillId="23" borderId="32" xfId="203" applyFont="1" applyFill="1" applyBorder="1" applyAlignment="1" applyProtection="1">
      <alignment horizontal="center"/>
    </xf>
    <xf numFmtId="9" fontId="5" fillId="23" borderId="33" xfId="203" applyFont="1" applyFill="1" applyBorder="1" applyAlignment="1" applyProtection="1">
      <alignment horizontal="center"/>
    </xf>
    <xf numFmtId="167" fontId="5" fillId="25" borderId="34" xfId="203" applyNumberFormat="1" applyFont="1" applyFill="1" applyBorder="1" applyAlignment="1" applyProtection="1">
      <alignment horizontal="center"/>
    </xf>
    <xf numFmtId="2" fontId="5" fillId="23" borderId="32" xfId="0" applyNumberFormat="1" applyFont="1" applyFill="1" applyBorder="1" applyAlignment="1">
      <alignment horizontal="center"/>
    </xf>
    <xf numFmtId="3" fontId="5" fillId="23" borderId="33" xfId="0" applyNumberFormat="1" applyFont="1" applyFill="1" applyBorder="1" applyAlignment="1">
      <alignment horizontal="center"/>
    </xf>
    <xf numFmtId="0" fontId="9" fillId="24" borderId="20" xfId="0" applyFont="1" applyFill="1" applyBorder="1"/>
    <xf numFmtId="0" fontId="26" fillId="24" borderId="20" xfId="0" applyFont="1" applyFill="1" applyBorder="1"/>
    <xf numFmtId="0" fontId="10" fillId="23" borderId="32" xfId="0" applyFont="1" applyFill="1" applyBorder="1" applyAlignment="1">
      <alignment horizontal="right"/>
    </xf>
    <xf numFmtId="2" fontId="10" fillId="26" borderId="33" xfId="0" applyNumberFormat="1" applyFont="1" applyFill="1" applyBorder="1" applyAlignment="1">
      <alignment horizontal="center"/>
    </xf>
    <xf numFmtId="2" fontId="10" fillId="26" borderId="33" xfId="0" quotePrefix="1" applyNumberFormat="1" applyFont="1" applyFill="1" applyBorder="1" applyAlignment="1">
      <alignment horizontal="center"/>
    </xf>
    <xf numFmtId="2" fontId="5" fillId="23" borderId="47" xfId="0" applyNumberFormat="1" applyFont="1" applyFill="1" applyBorder="1" applyAlignment="1">
      <alignment horizontal="center"/>
    </xf>
    <xf numFmtId="167" fontId="5" fillId="23" borderId="23" xfId="0" applyNumberFormat="1" applyFont="1" applyFill="1" applyBorder="1" applyAlignment="1">
      <alignment horizontal="center"/>
    </xf>
    <xf numFmtId="1" fontId="5" fillId="23" borderId="28" xfId="0" applyNumberFormat="1" applyFont="1" applyFill="1" applyBorder="1" applyAlignment="1">
      <alignment horizontal="center"/>
    </xf>
    <xf numFmtId="167" fontId="5" fillId="23" borderId="18" xfId="0" applyNumberFormat="1" applyFont="1" applyFill="1" applyBorder="1" applyAlignment="1">
      <alignment horizontal="center"/>
    </xf>
    <xf numFmtId="3" fontId="10" fillId="23" borderId="18" xfId="0" applyNumberFormat="1" applyFont="1" applyFill="1" applyBorder="1" applyAlignment="1">
      <alignment horizontal="center"/>
    </xf>
    <xf numFmtId="3" fontId="10" fillId="23" borderId="17" xfId="0" applyNumberFormat="1" applyFont="1" applyFill="1" applyBorder="1" applyAlignment="1">
      <alignment horizontal="center"/>
    </xf>
    <xf numFmtId="0" fontId="10" fillId="23" borderId="18" xfId="0" applyFont="1" applyFill="1" applyBorder="1" applyAlignment="1">
      <alignment horizontal="center"/>
    </xf>
    <xf numFmtId="1" fontId="10" fillId="23" borderId="18" xfId="0" applyNumberFormat="1" applyFont="1" applyFill="1" applyBorder="1" applyAlignment="1">
      <alignment horizontal="center"/>
    </xf>
    <xf numFmtId="0" fontId="5" fillId="23" borderId="54" xfId="0" applyFont="1" applyFill="1" applyBorder="1"/>
    <xf numFmtId="0" fontId="22" fillId="23" borderId="55" xfId="0" applyFont="1" applyFill="1" applyBorder="1"/>
    <xf numFmtId="0" fontId="5" fillId="23" borderId="40" xfId="0" applyFont="1" applyFill="1" applyBorder="1"/>
    <xf numFmtId="2" fontId="5" fillId="23" borderId="40" xfId="0" applyNumberFormat="1" applyFont="1" applyFill="1" applyBorder="1" applyAlignment="1">
      <alignment horizontal="center"/>
    </xf>
    <xf numFmtId="2" fontId="5" fillId="23" borderId="56" xfId="0" applyNumberFormat="1" applyFont="1" applyFill="1" applyBorder="1" applyAlignment="1">
      <alignment horizontal="center"/>
    </xf>
    <xf numFmtId="1" fontId="5" fillId="25" borderId="20" xfId="0" applyNumberFormat="1" applyFont="1" applyFill="1" applyBorder="1" applyAlignment="1">
      <alignment horizontal="center"/>
    </xf>
    <xf numFmtId="0" fontId="16" fillId="23" borderId="24" xfId="0" applyFont="1" applyFill="1" applyBorder="1"/>
    <xf numFmtId="0" fontId="5" fillId="25" borderId="19" xfId="0" applyFont="1" applyFill="1" applyBorder="1"/>
    <xf numFmtId="1" fontId="5" fillId="25" borderId="24" xfId="0" applyNumberFormat="1" applyFont="1" applyFill="1" applyBorder="1" applyAlignment="1">
      <alignment horizontal="left"/>
    </xf>
    <xf numFmtId="3" fontId="5" fillId="23" borderId="0" xfId="0" applyNumberFormat="1" applyFont="1" applyFill="1" applyAlignment="1">
      <alignment horizontal="center"/>
    </xf>
    <xf numFmtId="0" fontId="10" fillId="23" borderId="0" xfId="0" applyFont="1" applyFill="1" applyAlignment="1">
      <alignment horizontal="right"/>
    </xf>
    <xf numFmtId="3" fontId="10" fillId="25" borderId="18" xfId="0" applyNumberFormat="1" applyFont="1" applyFill="1" applyBorder="1" applyAlignment="1">
      <alignment horizontal="center"/>
    </xf>
    <xf numFmtId="2" fontId="5" fillId="23" borderId="0" xfId="0" applyNumberFormat="1" applyFont="1" applyFill="1" applyAlignment="1">
      <alignment horizontal="center"/>
    </xf>
    <xf numFmtId="167" fontId="5" fillId="25" borderId="26" xfId="203" applyNumberFormat="1" applyFont="1" applyFill="1" applyBorder="1" applyAlignment="1" applyProtection="1">
      <alignment horizontal="center"/>
    </xf>
    <xf numFmtId="3" fontId="10" fillId="23" borderId="26" xfId="0" applyNumberFormat="1" applyFont="1" applyFill="1" applyBorder="1" applyAlignment="1">
      <alignment horizontal="center"/>
    </xf>
    <xf numFmtId="1" fontId="5" fillId="23" borderId="34" xfId="0" applyNumberFormat="1" applyFont="1" applyFill="1" applyBorder="1" applyAlignment="1">
      <alignment horizontal="center"/>
    </xf>
    <xf numFmtId="1" fontId="5" fillId="25" borderId="25" xfId="0" applyNumberFormat="1" applyFont="1" applyFill="1" applyBorder="1" applyAlignment="1">
      <alignment horizontal="right"/>
    </xf>
    <xf numFmtId="165" fontId="5" fillId="23" borderId="0" xfId="0" applyNumberFormat="1" applyFont="1" applyFill="1"/>
    <xf numFmtId="0" fontId="10" fillId="23" borderId="0" xfId="0" applyFont="1" applyFill="1" applyAlignment="1">
      <alignment horizontal="center"/>
    </xf>
    <xf numFmtId="0" fontId="5" fillId="25" borderId="26" xfId="0" applyFont="1" applyFill="1" applyBorder="1" applyAlignment="1" applyProtection="1">
      <alignment horizontal="center"/>
      <protection locked="0"/>
    </xf>
    <xf numFmtId="0" fontId="5" fillId="25" borderId="26" xfId="0" applyFont="1" applyFill="1" applyBorder="1" applyAlignment="1">
      <alignment horizontal="center"/>
    </xf>
    <xf numFmtId="4" fontId="5" fillId="23" borderId="0" xfId="0" applyNumberFormat="1" applyFont="1" applyFill="1"/>
    <xf numFmtId="0" fontId="26" fillId="24" borderId="20" xfId="0" applyFont="1" applyFill="1" applyBorder="1" applyAlignment="1">
      <alignment horizontal="center"/>
    </xf>
    <xf numFmtId="0" fontId="5" fillId="0" borderId="0" xfId="0" applyFont="1" applyAlignment="1">
      <alignment horizontal="center"/>
    </xf>
    <xf numFmtId="0" fontId="11" fillId="24" borderId="24" xfId="0" applyFont="1" applyFill="1" applyBorder="1" applyAlignment="1" applyProtection="1">
      <alignment horizontal="center"/>
      <protection locked="0"/>
    </xf>
    <xf numFmtId="0" fontId="11" fillId="24" borderId="18" xfId="0" applyFont="1" applyFill="1" applyBorder="1"/>
    <xf numFmtId="0" fontId="14" fillId="23" borderId="0" xfId="0" applyFont="1" applyFill="1"/>
    <xf numFmtId="0" fontId="5" fillId="23" borderId="20" xfId="0" applyFont="1" applyFill="1" applyBorder="1"/>
    <xf numFmtId="167" fontId="5" fillId="23" borderId="28" xfId="203" applyNumberFormat="1" applyFont="1" applyFill="1" applyBorder="1" applyAlignment="1" applyProtection="1">
      <alignment horizontal="center"/>
    </xf>
    <xf numFmtId="0" fontId="10" fillId="23" borderId="0" xfId="0" applyFont="1" applyFill="1"/>
    <xf numFmtId="0" fontId="10" fillId="27" borderId="15" xfId="0" applyFont="1" applyFill="1" applyBorder="1"/>
    <xf numFmtId="0" fontId="5" fillId="27" borderId="16" xfId="0" applyFont="1" applyFill="1" applyBorder="1"/>
    <xf numFmtId="0" fontId="5" fillId="27" borderId="17" xfId="0" applyFont="1" applyFill="1" applyBorder="1"/>
    <xf numFmtId="0" fontId="5" fillId="23" borderId="28" xfId="0" applyFont="1" applyFill="1" applyBorder="1"/>
    <xf numFmtId="0" fontId="5" fillId="27" borderId="19" xfId="0" applyFont="1" applyFill="1" applyBorder="1"/>
    <xf numFmtId="0" fontId="5" fillId="27" borderId="21" xfId="0" applyFont="1" applyFill="1" applyBorder="1"/>
    <xf numFmtId="0" fontId="5" fillId="27" borderId="24" xfId="0" applyFont="1" applyFill="1" applyBorder="1"/>
    <xf numFmtId="167" fontId="5" fillId="25" borderId="23" xfId="0" applyNumberFormat="1" applyFont="1" applyFill="1" applyBorder="1" applyAlignment="1">
      <alignment horizontal="center"/>
    </xf>
    <xf numFmtId="9" fontId="5" fillId="23" borderId="0" xfId="203" applyFont="1" applyFill="1" applyAlignment="1" applyProtection="1">
      <alignment horizontal="center"/>
    </xf>
    <xf numFmtId="0" fontId="5" fillId="25" borderId="17" xfId="0" applyFont="1" applyFill="1" applyBorder="1" applyAlignment="1" applyProtection="1">
      <alignment horizontal="center"/>
      <protection locked="0"/>
    </xf>
    <xf numFmtId="167" fontId="5" fillId="25" borderId="17" xfId="203" applyNumberFormat="1" applyFont="1" applyFill="1" applyBorder="1" applyAlignment="1" applyProtection="1">
      <alignment horizontal="center"/>
      <protection locked="0"/>
    </xf>
    <xf numFmtId="167" fontId="5" fillId="23" borderId="0" xfId="203" applyNumberFormat="1" applyFont="1" applyFill="1" applyBorder="1" applyAlignment="1" applyProtection="1">
      <alignment horizontal="center"/>
    </xf>
    <xf numFmtId="167" fontId="5" fillId="25" borderId="34" xfId="0" applyNumberFormat="1" applyFont="1" applyFill="1" applyBorder="1" applyAlignment="1">
      <alignment horizontal="center"/>
    </xf>
    <xf numFmtId="0" fontId="5" fillId="23" borderId="0" xfId="0" applyFont="1" applyFill="1" applyAlignment="1">
      <alignment horizontal="right"/>
    </xf>
    <xf numFmtId="0" fontId="5" fillId="25" borderId="18" xfId="0" applyFont="1" applyFill="1" applyBorder="1" applyAlignment="1">
      <alignment horizontal="left"/>
    </xf>
    <xf numFmtId="0" fontId="5" fillId="23" borderId="57" xfId="0" applyFont="1" applyFill="1" applyBorder="1"/>
    <xf numFmtId="0" fontId="0" fillId="23" borderId="0" xfId="0" applyFill="1"/>
    <xf numFmtId="0" fontId="28" fillId="23" borderId="0" xfId="0" applyFont="1" applyFill="1"/>
    <xf numFmtId="0" fontId="8" fillId="23" borderId="0" xfId="0" applyFont="1" applyFill="1" applyAlignment="1">
      <alignment horizontal="right" wrapText="1"/>
    </xf>
    <xf numFmtId="0" fontId="29" fillId="23" borderId="0" xfId="0" applyFont="1" applyFill="1" applyAlignment="1">
      <alignment horizontal="center"/>
    </xf>
    <xf numFmtId="0" fontId="29" fillId="23" borderId="57" xfId="0" applyFont="1" applyFill="1" applyBorder="1" applyAlignment="1">
      <alignment horizontal="center"/>
    </xf>
    <xf numFmtId="0" fontId="8" fillId="23" borderId="57" xfId="0" applyFont="1" applyFill="1" applyBorder="1" applyAlignment="1">
      <alignment horizontal="right" wrapText="1"/>
    </xf>
    <xf numFmtId="0" fontId="0" fillId="23" borderId="57" xfId="0" applyFill="1" applyBorder="1"/>
    <xf numFmtId="0" fontId="0" fillId="23" borderId="0" xfId="0" applyFill="1" applyAlignment="1">
      <alignment horizontal="center"/>
    </xf>
    <xf numFmtId="0" fontId="24" fillId="23" borderId="0" xfId="0" applyFont="1" applyFill="1" applyAlignment="1">
      <alignment horizontal="left"/>
    </xf>
    <xf numFmtId="3" fontId="24" fillId="23" borderId="0" xfId="0" applyNumberFormat="1" applyFont="1" applyFill="1" applyAlignment="1">
      <alignment horizontal="left"/>
    </xf>
    <xf numFmtId="0" fontId="29" fillId="23" borderId="0" xfId="0" applyFont="1" applyFill="1" applyAlignment="1">
      <alignment horizontal="left"/>
    </xf>
    <xf numFmtId="3" fontId="5" fillId="23" borderId="27" xfId="0" applyNumberFormat="1" applyFont="1" applyFill="1" applyBorder="1" applyAlignment="1">
      <alignment horizontal="center"/>
    </xf>
    <xf numFmtId="167" fontId="5" fillId="23" borderId="0" xfId="203" applyNumberFormat="1" applyFont="1" applyFill="1" applyAlignment="1">
      <alignment horizontal="center"/>
    </xf>
    <xf numFmtId="0" fontId="24" fillId="23" borderId="0" xfId="0" applyFont="1" applyFill="1"/>
    <xf numFmtId="3" fontId="24" fillId="23" borderId="0" xfId="0" applyNumberFormat="1" applyFont="1" applyFill="1" applyAlignment="1">
      <alignment horizontal="center"/>
    </xf>
    <xf numFmtId="166" fontId="5" fillId="23" borderId="0" xfId="0" applyNumberFormat="1" applyFont="1" applyFill="1" applyAlignment="1">
      <alignment horizontal="center"/>
    </xf>
    <xf numFmtId="0" fontId="11" fillId="24" borderId="22" xfId="0" applyFont="1" applyFill="1" applyBorder="1" applyAlignment="1">
      <alignment horizontal="center"/>
    </xf>
    <xf numFmtId="0" fontId="11" fillId="24" borderId="23" xfId="0" applyFont="1" applyFill="1" applyBorder="1" applyAlignment="1">
      <alignment horizontal="center"/>
    </xf>
    <xf numFmtId="0" fontId="11" fillId="24" borderId="28" xfId="0" quotePrefix="1" applyFont="1" applyFill="1" applyBorder="1" applyAlignment="1">
      <alignment horizontal="center"/>
    </xf>
    <xf numFmtId="0" fontId="30" fillId="24" borderId="22" xfId="0" applyFont="1" applyFill="1" applyBorder="1" applyAlignment="1">
      <alignment horizontal="center"/>
    </xf>
    <xf numFmtId="0" fontId="30" fillId="24" borderId="0" xfId="0" applyFont="1" applyFill="1" applyAlignment="1">
      <alignment horizontal="center"/>
    </xf>
    <xf numFmtId="0" fontId="31" fillId="24" borderId="26" xfId="0" applyFont="1" applyFill="1" applyBorder="1"/>
    <xf numFmtId="0" fontId="0" fillId="23" borderId="19" xfId="0" applyFill="1" applyBorder="1" applyAlignment="1">
      <alignment horizontal="center"/>
    </xf>
    <xf numFmtId="1" fontId="0" fillId="23" borderId="19" xfId="0" applyNumberFormat="1" applyFill="1" applyBorder="1" applyAlignment="1">
      <alignment horizontal="center"/>
    </xf>
    <xf numFmtId="166" fontId="0" fillId="23" borderId="20" xfId="0" applyNumberFormat="1" applyFill="1" applyBorder="1" applyAlignment="1">
      <alignment horizontal="center"/>
    </xf>
    <xf numFmtId="0" fontId="0" fillId="23" borderId="22" xfId="0" applyFill="1" applyBorder="1" applyAlignment="1">
      <alignment horizontal="center"/>
    </xf>
    <xf numFmtId="1" fontId="0" fillId="23" borderId="22" xfId="0" applyNumberFormat="1" applyFill="1" applyBorder="1" applyAlignment="1">
      <alignment horizontal="center"/>
    </xf>
    <xf numFmtId="166" fontId="0" fillId="23" borderId="28" xfId="0" applyNumberFormat="1" applyFill="1" applyBorder="1" applyAlignment="1">
      <alignment horizontal="center"/>
    </xf>
    <xf numFmtId="1" fontId="0" fillId="23" borderId="25" xfId="0" applyNumberFormat="1" applyFill="1" applyBorder="1" applyAlignment="1">
      <alignment horizontal="center"/>
    </xf>
    <xf numFmtId="166" fontId="0" fillId="23" borderId="26" xfId="0" applyNumberFormat="1" applyFill="1" applyBorder="1" applyAlignment="1">
      <alignment horizontal="center"/>
    </xf>
    <xf numFmtId="0" fontId="0" fillId="23" borderId="15" xfId="0" applyFill="1" applyBorder="1" applyAlignment="1">
      <alignment horizontal="center"/>
    </xf>
    <xf numFmtId="0" fontId="0" fillId="23" borderId="27" xfId="0" applyFill="1" applyBorder="1"/>
    <xf numFmtId="0" fontId="0" fillId="23" borderId="34" xfId="0" applyFill="1" applyBorder="1"/>
    <xf numFmtId="167" fontId="0" fillId="23" borderId="0" xfId="0" applyNumberFormat="1" applyFill="1" applyAlignment="1">
      <alignment horizontal="center"/>
    </xf>
    <xf numFmtId="1" fontId="0" fillId="23" borderId="0" xfId="0" applyNumberFormat="1" applyFill="1" applyAlignment="1">
      <alignment horizontal="center"/>
    </xf>
    <xf numFmtId="166" fontId="0" fillId="23" borderId="0" xfId="0" applyNumberFormat="1" applyFill="1" applyAlignment="1">
      <alignment horizontal="center"/>
    </xf>
    <xf numFmtId="0" fontId="16" fillId="23" borderId="0" xfId="0" applyFont="1" applyFill="1"/>
    <xf numFmtId="3" fontId="5" fillId="23" borderId="0" xfId="0" applyNumberFormat="1" applyFont="1" applyFill="1" applyAlignment="1">
      <alignment vertical="center"/>
    </xf>
    <xf numFmtId="0" fontId="5" fillId="23" borderId="23" xfId="0" applyFont="1" applyFill="1" applyBorder="1" applyAlignment="1">
      <alignment horizontal="left"/>
    </xf>
    <xf numFmtId="0" fontId="5" fillId="23" borderId="34" xfId="0" applyFont="1" applyFill="1" applyBorder="1" applyAlignment="1">
      <alignment horizontal="left"/>
    </xf>
    <xf numFmtId="0" fontId="10" fillId="23" borderId="28" xfId="0" applyFont="1" applyFill="1" applyBorder="1" applyAlignment="1">
      <alignment horizontal="center"/>
    </xf>
    <xf numFmtId="0" fontId="10" fillId="23" borderId="26" xfId="0" applyFont="1" applyFill="1" applyBorder="1" applyAlignment="1">
      <alignment horizontal="center"/>
    </xf>
    <xf numFmtId="0" fontId="10" fillId="23" borderId="27" xfId="0" applyFont="1" applyFill="1" applyBorder="1" applyAlignment="1">
      <alignment horizontal="center"/>
    </xf>
    <xf numFmtId="1" fontId="5" fillId="25" borderId="15" xfId="0" applyNumberFormat="1" applyFont="1" applyFill="1" applyBorder="1" applyAlignment="1" applyProtection="1">
      <alignment horizontal="center"/>
      <protection locked="0"/>
    </xf>
    <xf numFmtId="9" fontId="5" fillId="23" borderId="0" xfId="203" applyFont="1" applyFill="1" applyAlignment="1">
      <alignment horizontal="center"/>
    </xf>
    <xf numFmtId="0" fontId="29" fillId="23" borderId="0" xfId="0" applyFont="1" applyFill="1"/>
    <xf numFmtId="0" fontId="11" fillId="23" borderId="0" xfId="0" applyFont="1" applyFill="1"/>
    <xf numFmtId="3" fontId="11" fillId="23" borderId="0" xfId="0" applyNumberFormat="1" applyFont="1" applyFill="1" applyAlignment="1">
      <alignment horizontal="center"/>
    </xf>
    <xf numFmtId="0" fontId="36" fillId="23" borderId="0" xfId="0" applyFont="1" applyFill="1"/>
    <xf numFmtId="3" fontId="36" fillId="23" borderId="0" xfId="0" applyNumberFormat="1" applyFont="1" applyFill="1" applyAlignment="1">
      <alignment horizontal="center"/>
    </xf>
    <xf numFmtId="0" fontId="5" fillId="23" borderId="33" xfId="0" applyFont="1" applyFill="1" applyBorder="1" applyAlignment="1" applyProtection="1">
      <alignment horizontal="center"/>
      <protection locked="0"/>
    </xf>
    <xf numFmtId="166" fontId="5" fillId="23" borderId="0" xfId="0" applyNumberFormat="1" applyFont="1" applyFill="1"/>
    <xf numFmtId="0" fontId="37" fillId="23" borderId="0" xfId="0" applyFont="1" applyFill="1"/>
    <xf numFmtId="0" fontId="37" fillId="23" borderId="26" xfId="0" applyFont="1" applyFill="1" applyBorder="1"/>
    <xf numFmtId="0" fontId="37" fillId="23" borderId="26" xfId="0" applyFont="1" applyFill="1" applyBorder="1" applyAlignment="1">
      <alignment horizontal="center"/>
    </xf>
    <xf numFmtId="0" fontId="31" fillId="24" borderId="25" xfId="0" applyFont="1" applyFill="1" applyBorder="1" applyAlignment="1">
      <alignment horizontal="center"/>
    </xf>
    <xf numFmtId="0" fontId="10" fillId="25" borderId="58" xfId="0" applyFont="1" applyFill="1" applyBorder="1" applyAlignment="1">
      <alignment horizontal="center"/>
    </xf>
    <xf numFmtId="0" fontId="5" fillId="25" borderId="16" xfId="0" applyFont="1" applyFill="1" applyBorder="1"/>
    <xf numFmtId="166" fontId="0" fillId="23" borderId="23" xfId="0" applyNumberFormat="1" applyFill="1" applyBorder="1" applyAlignment="1">
      <alignment horizontal="center"/>
    </xf>
    <xf numFmtId="3" fontId="0" fillId="23" borderId="19" xfId="0" applyNumberFormat="1" applyFill="1" applyBorder="1" applyAlignment="1">
      <alignment horizontal="center"/>
    </xf>
    <xf numFmtId="3" fontId="0" fillId="23" borderId="22" xfId="0" applyNumberFormat="1" applyFill="1" applyBorder="1" applyAlignment="1">
      <alignment horizontal="center"/>
    </xf>
    <xf numFmtId="167" fontId="5" fillId="23" borderId="49" xfId="203" applyNumberFormat="1" applyFont="1" applyFill="1" applyBorder="1" applyAlignment="1" applyProtection="1">
      <alignment horizontal="center"/>
    </xf>
    <xf numFmtId="167" fontId="32" fillId="23" borderId="21" xfId="203" applyNumberFormat="1" applyFont="1" applyFill="1" applyBorder="1" applyAlignment="1" applyProtection="1">
      <alignment horizontal="center"/>
    </xf>
    <xf numFmtId="166" fontId="31" fillId="24" borderId="28" xfId="0" applyNumberFormat="1" applyFont="1" applyFill="1" applyBorder="1" applyAlignment="1">
      <alignment horizontal="center"/>
    </xf>
    <xf numFmtId="0" fontId="0" fillId="23" borderId="25" xfId="0" applyFill="1" applyBorder="1"/>
    <xf numFmtId="166" fontId="29" fillId="23" borderId="20" xfId="0" applyNumberFormat="1" applyFont="1" applyFill="1" applyBorder="1" applyAlignment="1">
      <alignment horizontal="center"/>
    </xf>
    <xf numFmtId="166" fontId="32" fillId="23" borderId="28" xfId="0" applyNumberFormat="1" applyFont="1" applyFill="1" applyBorder="1" applyAlignment="1">
      <alignment horizontal="center"/>
    </xf>
    <xf numFmtId="0" fontId="28" fillId="23" borderId="0" xfId="0" applyFont="1" applyFill="1" applyAlignment="1">
      <alignment horizontal="left"/>
    </xf>
    <xf numFmtId="0" fontId="40" fillId="23" borderId="0" xfId="0" applyFont="1" applyFill="1" applyAlignment="1">
      <alignment horizontal="center"/>
    </xf>
    <xf numFmtId="0" fontId="41" fillId="23" borderId="0" xfId="0" applyFont="1" applyFill="1" applyAlignment="1">
      <alignment horizontal="left"/>
    </xf>
    <xf numFmtId="0" fontId="39" fillId="24" borderId="19" xfId="0" applyFont="1" applyFill="1" applyBorder="1" applyAlignment="1">
      <alignment horizontal="left"/>
    </xf>
    <xf numFmtId="0" fontId="42" fillId="24" borderId="21" xfId="0" applyFont="1" applyFill="1" applyBorder="1" applyAlignment="1">
      <alignment horizontal="left"/>
    </xf>
    <xf numFmtId="0" fontId="42" fillId="24" borderId="24" xfId="0" applyFont="1" applyFill="1" applyBorder="1" applyAlignment="1">
      <alignment horizontal="left"/>
    </xf>
    <xf numFmtId="0" fontId="39" fillId="24" borderId="0" xfId="0" applyFont="1" applyFill="1" applyAlignment="1">
      <alignment horizontal="center"/>
    </xf>
    <xf numFmtId="0" fontId="39" fillId="24" borderId="23" xfId="0" applyFont="1" applyFill="1" applyBorder="1" applyAlignment="1">
      <alignment horizontal="center"/>
    </xf>
    <xf numFmtId="0" fontId="39" fillId="24" borderId="22" xfId="0" applyFont="1" applyFill="1" applyBorder="1" applyAlignment="1">
      <alignment horizontal="center"/>
    </xf>
    <xf numFmtId="9" fontId="4" fillId="23" borderId="0" xfId="203" applyFill="1" applyBorder="1" applyAlignment="1">
      <alignment horizontal="center"/>
    </xf>
    <xf numFmtId="9" fontId="4" fillId="23" borderId="23" xfId="203" applyFill="1" applyBorder="1" applyAlignment="1">
      <alignment horizontal="center"/>
    </xf>
    <xf numFmtId="0" fontId="0" fillId="23" borderId="23" xfId="0" applyFill="1" applyBorder="1" applyAlignment="1">
      <alignment horizontal="center"/>
    </xf>
    <xf numFmtId="0" fontId="37" fillId="23" borderId="25" xfId="0" applyFont="1" applyFill="1" applyBorder="1" applyAlignment="1">
      <alignment horizontal="center"/>
    </xf>
    <xf numFmtId="0" fontId="37" fillId="23" borderId="27" xfId="0" applyFont="1" applyFill="1" applyBorder="1" applyAlignment="1">
      <alignment horizontal="center"/>
    </xf>
    <xf numFmtId="167" fontId="37" fillId="25" borderId="27" xfId="0" applyNumberFormat="1" applyFont="1" applyFill="1" applyBorder="1" applyAlignment="1">
      <alignment horizontal="center"/>
    </xf>
    <xf numFmtId="0" fontId="0" fillId="23" borderId="27" xfId="0" applyFill="1" applyBorder="1" applyAlignment="1">
      <alignment horizontal="center"/>
    </xf>
    <xf numFmtId="0" fontId="0" fillId="23" borderId="34" xfId="0" applyFill="1" applyBorder="1" applyAlignment="1">
      <alignment horizontal="center"/>
    </xf>
    <xf numFmtId="0" fontId="0" fillId="23" borderId="22" xfId="0" applyFill="1" applyBorder="1"/>
    <xf numFmtId="0" fontId="41" fillId="23" borderId="23" xfId="0" applyFont="1" applyFill="1" applyBorder="1" applyAlignment="1">
      <alignment horizontal="left"/>
    </xf>
    <xf numFmtId="0" fontId="41" fillId="23" borderId="27" xfId="0" applyFont="1" applyFill="1" applyBorder="1" applyAlignment="1">
      <alignment horizontal="left"/>
    </xf>
    <xf numFmtId="0" fontId="41" fillId="23" borderId="34" xfId="0" applyFont="1" applyFill="1" applyBorder="1" applyAlignment="1">
      <alignment horizontal="left"/>
    </xf>
    <xf numFmtId="0" fontId="30" fillId="24" borderId="21" xfId="0" applyFont="1" applyFill="1" applyBorder="1" applyAlignment="1">
      <alignment horizontal="left"/>
    </xf>
    <xf numFmtId="0" fontId="30" fillId="24" borderId="21" xfId="0" applyFont="1" applyFill="1" applyBorder="1" applyAlignment="1">
      <alignment horizontal="right"/>
    </xf>
    <xf numFmtId="0" fontId="30" fillId="24" borderId="0" xfId="0" applyFont="1" applyFill="1" applyAlignment="1">
      <alignment horizontal="right"/>
    </xf>
    <xf numFmtId="0" fontId="30" fillId="24" borderId="0" xfId="0" applyFont="1" applyFill="1" applyAlignment="1">
      <alignment horizontal="left"/>
    </xf>
    <xf numFmtId="3" fontId="5" fillId="23" borderId="32" xfId="203" applyNumberFormat="1" applyFont="1" applyFill="1" applyBorder="1" applyAlignment="1" applyProtection="1">
      <alignment horizontal="center"/>
      <protection locked="0"/>
    </xf>
    <xf numFmtId="0" fontId="41" fillId="25" borderId="15" xfId="0" applyFont="1" applyFill="1" applyBorder="1" applyAlignment="1">
      <alignment horizontal="left"/>
    </xf>
    <xf numFmtId="2" fontId="41" fillId="25" borderId="17" xfId="0" applyNumberFormat="1" applyFont="1" applyFill="1" applyBorder="1" applyAlignment="1">
      <alignment horizontal="left"/>
    </xf>
    <xf numFmtId="0" fontId="14" fillId="23" borderId="59" xfId="0" applyFont="1" applyFill="1" applyBorder="1"/>
    <xf numFmtId="0" fontId="14" fillId="23" borderId="31" xfId="0" applyFont="1" applyFill="1" applyBorder="1" applyAlignment="1">
      <alignment horizontal="right"/>
    </xf>
    <xf numFmtId="0" fontId="11" fillId="24" borderId="19" xfId="0" applyFont="1" applyFill="1" applyBorder="1" applyAlignment="1">
      <alignment horizontal="center" wrapText="1"/>
    </xf>
    <xf numFmtId="0" fontId="11" fillId="24" borderId="20" xfId="0" applyFont="1" applyFill="1" applyBorder="1" applyAlignment="1">
      <alignment horizontal="center" wrapText="1"/>
    </xf>
    <xf numFmtId="0" fontId="11" fillId="24" borderId="21" xfId="0" applyFont="1" applyFill="1" applyBorder="1" applyAlignment="1">
      <alignment horizontal="center" wrapText="1"/>
    </xf>
    <xf numFmtId="0" fontId="11" fillId="24" borderId="24" xfId="0" applyFont="1" applyFill="1" applyBorder="1" applyAlignment="1">
      <alignment horizontal="center" wrapText="1"/>
    </xf>
    <xf numFmtId="3" fontId="5" fillId="23" borderId="0" xfId="0" applyNumberFormat="1" applyFont="1" applyFill="1" applyAlignment="1">
      <alignment horizontal="center" wrapText="1"/>
    </xf>
    <xf numFmtId="0" fontId="5" fillId="23" borderId="0" xfId="0" applyFont="1" applyFill="1" applyAlignment="1">
      <alignment horizontal="center" wrapText="1"/>
    </xf>
    <xf numFmtId="0" fontId="8" fillId="23" borderId="0" xfId="0" applyFont="1" applyFill="1" applyAlignment="1">
      <alignment horizontal="right"/>
    </xf>
    <xf numFmtId="0" fontId="11" fillId="24" borderId="16" xfId="0" applyFont="1" applyFill="1" applyBorder="1" applyAlignment="1">
      <alignment horizontal="right"/>
    </xf>
    <xf numFmtId="2" fontId="5" fillId="25" borderId="15" xfId="0" applyNumberFormat="1" applyFont="1" applyFill="1" applyBorder="1" applyAlignment="1">
      <alignment horizontal="center"/>
    </xf>
    <xf numFmtId="0" fontId="11" fillId="24" borderId="25" xfId="0" applyFont="1" applyFill="1" applyBorder="1" applyAlignment="1">
      <alignment horizontal="left"/>
    </xf>
    <xf numFmtId="0" fontId="11" fillId="24" borderId="27" xfId="0" applyFont="1" applyFill="1" applyBorder="1" applyAlignment="1">
      <alignment horizontal="right"/>
    </xf>
    <xf numFmtId="2" fontId="5" fillId="25" borderId="25" xfId="0" applyNumberFormat="1" applyFont="1" applyFill="1" applyBorder="1" applyAlignment="1">
      <alignment horizontal="center"/>
    </xf>
    <xf numFmtId="0" fontId="5" fillId="25" borderId="34" xfId="0" applyFont="1" applyFill="1" applyBorder="1"/>
    <xf numFmtId="0" fontId="5" fillId="25" borderId="18" xfId="0" applyFont="1" applyFill="1" applyBorder="1"/>
    <xf numFmtId="0" fontId="60" fillId="23" borderId="0" xfId="0" applyFont="1" applyFill="1" applyAlignment="1">
      <alignment horizontal="left"/>
    </xf>
    <xf numFmtId="0" fontId="60" fillId="23" borderId="0" xfId="0" applyFont="1" applyFill="1"/>
    <xf numFmtId="0" fontId="61" fillId="24" borderId="15" xfId="0" applyFont="1" applyFill="1" applyBorder="1" applyAlignment="1">
      <alignment horizontal="left"/>
    </xf>
    <xf numFmtId="167" fontId="5" fillId="23" borderId="20" xfId="203" applyNumberFormat="1" applyFont="1" applyFill="1" applyBorder="1" applyAlignment="1" applyProtection="1">
      <alignment horizontal="center"/>
    </xf>
    <xf numFmtId="0" fontId="5" fillId="25" borderId="23" xfId="0" applyFont="1" applyFill="1" applyBorder="1"/>
    <xf numFmtId="0" fontId="22" fillId="23" borderId="22" xfId="0" applyFont="1" applyFill="1" applyBorder="1"/>
    <xf numFmtId="0" fontId="22" fillId="23" borderId="20" xfId="0" applyFont="1" applyFill="1" applyBorder="1" applyAlignment="1">
      <alignment horizontal="center"/>
    </xf>
    <xf numFmtId="0" fontId="22" fillId="23" borderId="28" xfId="0" applyFont="1" applyFill="1" applyBorder="1"/>
    <xf numFmtId="167" fontId="22" fillId="25" borderId="23" xfId="0" applyNumberFormat="1" applyFont="1" applyFill="1" applyBorder="1" applyAlignment="1">
      <alignment horizontal="center"/>
    </xf>
    <xf numFmtId="9" fontId="22" fillId="23" borderId="0" xfId="203" applyFont="1" applyFill="1" applyAlignment="1" applyProtection="1">
      <alignment horizontal="center"/>
    </xf>
    <xf numFmtId="0" fontId="39" fillId="24" borderId="21" xfId="0" applyFont="1" applyFill="1" applyBorder="1" applyAlignment="1">
      <alignment horizontal="left"/>
    </xf>
    <xf numFmtId="1" fontId="9" fillId="24" borderId="20" xfId="0" applyNumberFormat="1" applyFont="1" applyFill="1" applyBorder="1" applyAlignment="1">
      <alignment horizontal="center"/>
    </xf>
    <xf numFmtId="1" fontId="62" fillId="23" borderId="28" xfId="0" applyNumberFormat="1" applyFont="1" applyFill="1" applyBorder="1" applyAlignment="1">
      <alignment horizontal="center"/>
    </xf>
    <xf numFmtId="1" fontId="22" fillId="23" borderId="28" xfId="0" applyNumberFormat="1" applyFont="1" applyFill="1" applyBorder="1" applyAlignment="1">
      <alignment horizontal="left"/>
    </xf>
    <xf numFmtId="1" fontId="22" fillId="23" borderId="26" xfId="0" applyNumberFormat="1" applyFont="1" applyFill="1" applyBorder="1" applyAlignment="1">
      <alignment horizontal="left"/>
    </xf>
    <xf numFmtId="0" fontId="5" fillId="23" borderId="0" xfId="0" applyFont="1" applyFill="1" applyAlignment="1">
      <alignment horizontal="left"/>
    </xf>
    <xf numFmtId="0" fontId="9" fillId="24" borderId="24" xfId="0" applyFont="1" applyFill="1" applyBorder="1" applyAlignment="1">
      <alignment horizontal="center"/>
    </xf>
    <xf numFmtId="0" fontId="0" fillId="28" borderId="0" xfId="0" applyFill="1" applyProtection="1">
      <protection locked="0"/>
    </xf>
    <xf numFmtId="0" fontId="0" fillId="0" borderId="19" xfId="0" applyBorder="1"/>
    <xf numFmtId="0" fontId="0" fillId="0" borderId="24" xfId="0" applyBorder="1"/>
    <xf numFmtId="0" fontId="0" fillId="0" borderId="22" xfId="0" applyBorder="1"/>
    <xf numFmtId="0" fontId="0" fillId="0" borderId="23" xfId="0" applyBorder="1"/>
    <xf numFmtId="0" fontId="0" fillId="0" borderId="18" xfId="0" applyBorder="1"/>
    <xf numFmtId="0" fontId="0" fillId="0" borderId="58" xfId="0" applyBorder="1"/>
    <xf numFmtId="0" fontId="0" fillId="0" borderId="46" xfId="0" applyBorder="1"/>
    <xf numFmtId="166" fontId="0" fillId="0" borderId="46" xfId="0" applyNumberFormat="1" applyBorder="1"/>
    <xf numFmtId="0" fontId="0" fillId="0" borderId="61" xfId="0" applyBorder="1"/>
    <xf numFmtId="166" fontId="0" fillId="0" borderId="61" xfId="0" applyNumberFormat="1" applyBorder="1"/>
    <xf numFmtId="0" fontId="64" fillId="0" borderId="0" xfId="211"/>
    <xf numFmtId="0" fontId="64" fillId="0" borderId="0" xfId="211" applyProtection="1">
      <protection locked="0"/>
    </xf>
    <xf numFmtId="0" fontId="64" fillId="0" borderId="19" xfId="211" applyBorder="1"/>
    <xf numFmtId="0" fontId="64" fillId="0" borderId="24" xfId="211" applyBorder="1"/>
    <xf numFmtId="0" fontId="64" fillId="0" borderId="22" xfId="211" applyBorder="1"/>
    <xf numFmtId="0" fontId="64" fillId="0" borderId="23" xfId="211" applyBorder="1"/>
    <xf numFmtId="0" fontId="64" fillId="0" borderId="18" xfId="211" applyBorder="1"/>
    <xf numFmtId="0" fontId="64" fillId="0" borderId="58" xfId="211" applyBorder="1"/>
    <xf numFmtId="0" fontId="64" fillId="0" borderId="46" xfId="211" applyBorder="1"/>
    <xf numFmtId="166" fontId="64" fillId="0" borderId="46" xfId="211" applyNumberFormat="1" applyBorder="1"/>
    <xf numFmtId="0" fontId="64" fillId="0" borderId="61" xfId="211" applyBorder="1"/>
    <xf numFmtId="166" fontId="64" fillId="0" borderId="61" xfId="211" applyNumberFormat="1" applyBorder="1"/>
    <xf numFmtId="1" fontId="64" fillId="0" borderId="0" xfId="211" applyNumberFormat="1"/>
    <xf numFmtId="1" fontId="78" fillId="0" borderId="0" xfId="211" applyNumberFormat="1" applyFont="1"/>
    <xf numFmtId="0" fontId="78" fillId="0" borderId="0" xfId="211" applyFont="1"/>
    <xf numFmtId="3" fontId="64" fillId="0" borderId="0" xfId="211" applyNumberFormat="1"/>
    <xf numFmtId="10" fontId="64" fillId="0" borderId="0" xfId="203" applyNumberFormat="1" applyFont="1"/>
    <xf numFmtId="166" fontId="64" fillId="0" borderId="0" xfId="211" applyNumberFormat="1"/>
    <xf numFmtId="167" fontId="64" fillId="0" borderId="0" xfId="203" applyNumberFormat="1" applyFont="1"/>
    <xf numFmtId="171" fontId="64" fillId="0" borderId="0" xfId="211" applyNumberFormat="1"/>
    <xf numFmtId="0" fontId="68" fillId="0" borderId="0" xfId="211" applyFont="1"/>
    <xf numFmtId="2" fontId="64" fillId="0" borderId="0" xfId="211" applyNumberFormat="1"/>
    <xf numFmtId="0" fontId="64" fillId="0" borderId="0" xfId="211" applyAlignment="1">
      <alignment textRotation="90"/>
    </xf>
    <xf numFmtId="1" fontId="5" fillId="23" borderId="60" xfId="0" applyNumberFormat="1" applyFont="1" applyFill="1" applyBorder="1" applyAlignment="1">
      <alignment horizontal="left"/>
    </xf>
    <xf numFmtId="1" fontId="5" fillId="23" borderId="60" xfId="0" applyNumberFormat="1" applyFont="1" applyFill="1" applyBorder="1" applyAlignment="1">
      <alignment horizontal="center"/>
    </xf>
    <xf numFmtId="0" fontId="5" fillId="23" borderId="17" xfId="0" applyFont="1" applyFill="1" applyBorder="1" applyAlignment="1">
      <alignment vertical="center"/>
    </xf>
    <xf numFmtId="0" fontId="64" fillId="25" borderId="0" xfId="211" applyFill="1"/>
    <xf numFmtId="0" fontId="78" fillId="25" borderId="0" xfId="211" applyFont="1" applyFill="1"/>
    <xf numFmtId="0" fontId="9" fillId="24" borderId="15" xfId="0" applyFont="1" applyFill="1" applyBorder="1" applyAlignment="1">
      <alignment horizontal="center"/>
    </xf>
    <xf numFmtId="1" fontId="5" fillId="23" borderId="18" xfId="0" applyNumberFormat="1" applyFont="1" applyFill="1" applyBorder="1" applyAlignment="1">
      <alignment horizontal="center" vertical="center"/>
    </xf>
    <xf numFmtId="167" fontId="5" fillId="23" borderId="26" xfId="203" applyNumberFormat="1" applyFont="1" applyFill="1" applyBorder="1" applyAlignment="1" applyProtection="1">
      <alignment horizontal="center" vertical="center"/>
    </xf>
    <xf numFmtId="3" fontId="5" fillId="23" borderId="18" xfId="0" applyNumberFormat="1" applyFont="1" applyFill="1" applyBorder="1" applyAlignment="1">
      <alignment horizontal="center" vertical="center"/>
    </xf>
    <xf numFmtId="0" fontId="5" fillId="23" borderId="26" xfId="0" applyFont="1" applyFill="1" applyBorder="1" applyAlignment="1">
      <alignment horizontal="center" vertical="center"/>
    </xf>
    <xf numFmtId="3" fontId="5" fillId="23" borderId="34" xfId="0" applyNumberFormat="1" applyFont="1" applyFill="1" applyBorder="1" applyAlignment="1">
      <alignment horizontal="center" vertical="center"/>
    </xf>
    <xf numFmtId="2" fontId="5" fillId="23" borderId="34" xfId="0" applyNumberFormat="1" applyFont="1" applyFill="1" applyBorder="1" applyAlignment="1">
      <alignment horizontal="center" vertical="center"/>
    </xf>
    <xf numFmtId="170" fontId="10" fillId="23" borderId="34" xfId="0" applyNumberFormat="1" applyFont="1" applyFill="1" applyBorder="1" applyAlignment="1">
      <alignment horizontal="center" vertical="center"/>
    </xf>
    <xf numFmtId="166" fontId="5" fillId="23" borderId="18" xfId="0" applyNumberFormat="1" applyFont="1" applyFill="1" applyBorder="1" applyAlignment="1">
      <alignment horizontal="center" vertical="center"/>
    </xf>
    <xf numFmtId="166" fontId="5" fillId="23" borderId="34" xfId="0" applyNumberFormat="1" applyFont="1" applyFill="1" applyBorder="1" applyAlignment="1">
      <alignment horizontal="center" vertical="center"/>
    </xf>
    <xf numFmtId="1" fontId="5" fillId="28" borderId="18" xfId="0" applyNumberFormat="1" applyFont="1" applyFill="1" applyBorder="1" applyAlignment="1">
      <alignment horizontal="center" vertical="center"/>
    </xf>
    <xf numFmtId="167" fontId="5" fillId="28" borderId="26" xfId="203" applyNumberFormat="1" applyFont="1" applyFill="1" applyBorder="1" applyAlignment="1" applyProtection="1">
      <alignment horizontal="center" vertical="center"/>
    </xf>
    <xf numFmtId="3" fontId="5" fillId="28" borderId="18" xfId="0" applyNumberFormat="1" applyFont="1" applyFill="1" applyBorder="1" applyAlignment="1">
      <alignment horizontal="center" vertical="center"/>
    </xf>
    <xf numFmtId="3" fontId="5" fillId="28" borderId="34" xfId="0" applyNumberFormat="1" applyFont="1" applyFill="1" applyBorder="1" applyAlignment="1">
      <alignment horizontal="center" vertical="center"/>
    </xf>
    <xf numFmtId="2" fontId="24" fillId="28" borderId="34" xfId="0" applyNumberFormat="1" applyFont="1" applyFill="1" applyBorder="1" applyAlignment="1">
      <alignment horizontal="center" vertical="center"/>
    </xf>
    <xf numFmtId="2" fontId="5" fillId="28" borderId="34" xfId="0" applyNumberFormat="1" applyFont="1" applyFill="1" applyBorder="1" applyAlignment="1">
      <alignment horizontal="center" vertical="center"/>
    </xf>
    <xf numFmtId="166" fontId="5" fillId="28" borderId="18" xfId="0" applyNumberFormat="1" applyFont="1" applyFill="1" applyBorder="1" applyAlignment="1">
      <alignment horizontal="center" vertical="center"/>
    </xf>
    <xf numFmtId="166" fontId="5" fillId="28" borderId="34" xfId="0" applyNumberFormat="1" applyFont="1" applyFill="1" applyBorder="1" applyAlignment="1">
      <alignment horizontal="center" vertical="center"/>
    </xf>
    <xf numFmtId="1" fontId="5" fillId="28" borderId="18" xfId="0" applyNumberFormat="1" applyFont="1" applyFill="1" applyBorder="1" applyAlignment="1">
      <alignment horizontal="center"/>
    </xf>
    <xf numFmtId="167" fontId="5" fillId="28" borderId="18" xfId="203" applyNumberFormat="1" applyFont="1" applyFill="1" applyBorder="1" applyAlignment="1" applyProtection="1">
      <alignment horizontal="center"/>
    </xf>
    <xf numFmtId="3" fontId="5" fillId="28" borderId="18" xfId="0" applyNumberFormat="1" applyFont="1" applyFill="1" applyBorder="1" applyAlignment="1">
      <alignment horizontal="center"/>
    </xf>
    <xf numFmtId="0" fontId="5" fillId="28" borderId="26" xfId="0" applyFont="1" applyFill="1" applyBorder="1" applyAlignment="1">
      <alignment horizontal="center" vertical="top" wrapText="1"/>
    </xf>
    <xf numFmtId="3" fontId="5" fillId="28" borderId="34" xfId="0" applyNumberFormat="1" applyFont="1" applyFill="1" applyBorder="1" applyAlignment="1">
      <alignment horizontal="center" vertical="top" wrapText="1"/>
    </xf>
    <xf numFmtId="2" fontId="5" fillId="28" borderId="34" xfId="0" applyNumberFormat="1" applyFont="1" applyFill="1" applyBorder="1" applyAlignment="1">
      <alignment horizontal="center" vertical="top" wrapText="1"/>
    </xf>
    <xf numFmtId="2" fontId="24" fillId="28" borderId="34" xfId="0" applyNumberFormat="1" applyFont="1" applyFill="1" applyBorder="1" applyAlignment="1">
      <alignment horizontal="center" vertical="top" wrapText="1"/>
    </xf>
    <xf numFmtId="170" fontId="10" fillId="28" borderId="34" xfId="0" applyNumberFormat="1" applyFont="1" applyFill="1" applyBorder="1" applyAlignment="1">
      <alignment horizontal="center" vertical="top" wrapText="1"/>
    </xf>
    <xf numFmtId="166" fontId="5" fillId="28" borderId="18" xfId="0" applyNumberFormat="1" applyFont="1" applyFill="1" applyBorder="1" applyAlignment="1">
      <alignment horizontal="center"/>
    </xf>
    <xf numFmtId="166" fontId="5" fillId="28" borderId="34" xfId="0" applyNumberFormat="1" applyFont="1" applyFill="1" applyBorder="1" applyAlignment="1">
      <alignment horizontal="center" vertical="top" wrapText="1"/>
    </xf>
    <xf numFmtId="0" fontId="5" fillId="28" borderId="18" xfId="0" applyFont="1" applyFill="1" applyBorder="1" applyAlignment="1">
      <alignment horizontal="center"/>
    </xf>
    <xf numFmtId="1" fontId="5" fillId="28" borderId="20" xfId="0" applyNumberFormat="1" applyFont="1" applyFill="1" applyBorder="1" applyAlignment="1">
      <alignment horizontal="center"/>
    </xf>
    <xf numFmtId="0" fontId="5" fillId="28" borderId="18" xfId="0" applyFont="1" applyFill="1" applyBorder="1"/>
    <xf numFmtId="3" fontId="5" fillId="28" borderId="17" xfId="0" applyNumberFormat="1" applyFont="1" applyFill="1" applyBorder="1" applyAlignment="1">
      <alignment horizontal="center"/>
    </xf>
    <xf numFmtId="1" fontId="32" fillId="23" borderId="28" xfId="0" applyNumberFormat="1" applyFont="1" applyFill="1" applyBorder="1" applyAlignment="1">
      <alignment horizontal="center"/>
    </xf>
    <xf numFmtId="1" fontId="32" fillId="23" borderId="26" xfId="0" applyNumberFormat="1" applyFont="1" applyFill="1" applyBorder="1" applyAlignment="1">
      <alignment horizontal="center"/>
    </xf>
    <xf numFmtId="0" fontId="9" fillId="24" borderId="16" xfId="0" applyFont="1" applyFill="1" applyBorder="1" applyAlignment="1">
      <alignment horizontal="center"/>
    </xf>
    <xf numFmtId="170" fontId="84" fillId="30" borderId="0" xfId="211" applyNumberFormat="1" applyFont="1" applyFill="1"/>
    <xf numFmtId="3" fontId="84" fillId="30" borderId="0" xfId="211" applyNumberFormat="1" applyFont="1" applyFill="1"/>
    <xf numFmtId="0" fontId="39" fillId="24" borderId="19" xfId="0" applyFont="1" applyFill="1" applyBorder="1"/>
    <xf numFmtId="0" fontId="30" fillId="24" borderId="27" xfId="0" applyFont="1" applyFill="1" applyBorder="1"/>
    <xf numFmtId="0" fontId="11" fillId="24" borderId="27" xfId="0" applyFont="1" applyFill="1" applyBorder="1"/>
    <xf numFmtId="0" fontId="39" fillId="24" borderId="20" xfId="0" applyFont="1" applyFill="1" applyBorder="1" applyAlignment="1">
      <alignment horizontal="center"/>
    </xf>
    <xf numFmtId="0" fontId="11" fillId="24" borderId="26" xfId="0" applyFont="1" applyFill="1" applyBorder="1"/>
    <xf numFmtId="0" fontId="9" fillId="24" borderId="20" xfId="0" applyFont="1" applyFill="1" applyBorder="1" applyAlignment="1">
      <alignment horizontal="center"/>
    </xf>
    <xf numFmtId="0" fontId="14" fillId="23" borderId="19" xfId="0" applyFont="1" applyFill="1" applyBorder="1"/>
    <xf numFmtId="0" fontId="9" fillId="24" borderId="28" xfId="0" applyFont="1" applyFill="1" applyBorder="1" applyAlignment="1">
      <alignment horizontal="center"/>
    </xf>
    <xf numFmtId="166" fontId="32" fillId="23" borderId="26" xfId="0" applyNumberFormat="1" applyFont="1" applyFill="1" applyBorder="1" applyAlignment="1">
      <alignment horizontal="center"/>
    </xf>
    <xf numFmtId="0" fontId="30" fillId="24" borderId="26" xfId="0" applyFont="1" applyFill="1" applyBorder="1" applyAlignment="1">
      <alignment horizontal="center"/>
    </xf>
    <xf numFmtId="3" fontId="84" fillId="30" borderId="0" xfId="211" applyNumberFormat="1" applyFont="1" applyFill="1" applyAlignment="1">
      <alignment horizontal="right"/>
    </xf>
    <xf numFmtId="0" fontId="85" fillId="30" borderId="0" xfId="211" applyFont="1" applyFill="1" applyAlignment="1">
      <alignment horizontal="right"/>
    </xf>
    <xf numFmtId="3" fontId="85" fillId="30" borderId="0" xfId="211" applyNumberFormat="1" applyFont="1" applyFill="1" applyAlignment="1">
      <alignment horizontal="right"/>
    </xf>
    <xf numFmtId="2" fontId="84" fillId="30" borderId="0" xfId="211" applyNumberFormat="1" applyFont="1" applyFill="1"/>
    <xf numFmtId="0" fontId="5" fillId="23" borderId="15" xfId="0" applyFont="1" applyFill="1" applyBorder="1"/>
    <xf numFmtId="0" fontId="5" fillId="25" borderId="25" xfId="0" applyFont="1" applyFill="1" applyBorder="1"/>
    <xf numFmtId="0" fontId="9" fillId="31" borderId="23" xfId="0" applyFont="1" applyFill="1" applyBorder="1" applyAlignment="1">
      <alignment horizontal="center"/>
    </xf>
    <xf numFmtId="0" fontId="9" fillId="31" borderId="34" xfId="0" applyFont="1" applyFill="1" applyBorder="1" applyAlignment="1">
      <alignment horizontal="center"/>
    </xf>
    <xf numFmtId="0" fontId="9" fillId="31" borderId="28" xfId="0" applyFont="1" applyFill="1" applyBorder="1" applyAlignment="1">
      <alignment horizontal="center"/>
    </xf>
    <xf numFmtId="0" fontId="9" fillId="31" borderId="26" xfId="0" applyFont="1" applyFill="1" applyBorder="1" applyAlignment="1">
      <alignment horizontal="center"/>
    </xf>
    <xf numFmtId="0" fontId="5" fillId="23" borderId="16" xfId="0" applyFont="1" applyFill="1" applyBorder="1" applyAlignment="1" applyProtection="1">
      <alignment horizontal="center"/>
      <protection locked="0"/>
    </xf>
    <xf numFmtId="0" fontId="11" fillId="24" borderId="25" xfId="0" applyFont="1" applyFill="1" applyBorder="1"/>
    <xf numFmtId="166" fontId="5" fillId="23" borderId="24" xfId="0" applyNumberFormat="1" applyFont="1" applyFill="1" applyBorder="1" applyAlignment="1">
      <alignment horizontal="center"/>
    </xf>
    <xf numFmtId="0" fontId="22" fillId="25" borderId="19" xfId="0" applyFont="1" applyFill="1" applyBorder="1" applyAlignment="1" applyProtection="1">
      <alignment horizontal="center"/>
      <protection locked="0"/>
    </xf>
    <xf numFmtId="0" fontId="5" fillId="25" borderId="25" xfId="0" applyFont="1" applyFill="1" applyBorder="1" applyAlignment="1">
      <alignment horizontal="center"/>
    </xf>
    <xf numFmtId="2" fontId="5" fillId="23" borderId="18" xfId="0" applyNumberFormat="1" applyFont="1" applyFill="1" applyBorder="1" applyAlignment="1">
      <alignment horizontal="center"/>
    </xf>
    <xf numFmtId="0" fontId="9" fillId="31" borderId="20" xfId="0" applyFont="1" applyFill="1" applyBorder="1" applyAlignment="1">
      <alignment horizontal="center"/>
    </xf>
    <xf numFmtId="2" fontId="10" fillId="23" borderId="0" xfId="0" applyNumberFormat="1" applyFont="1" applyFill="1" applyAlignment="1">
      <alignment horizontal="center"/>
    </xf>
    <xf numFmtId="0" fontId="5" fillId="23" borderId="18" xfId="0" applyFont="1" applyFill="1" applyBorder="1"/>
    <xf numFmtId="0" fontId="5" fillId="32" borderId="18" xfId="0" applyFont="1" applyFill="1" applyBorder="1"/>
    <xf numFmtId="0" fontId="9" fillId="32" borderId="18" xfId="0" applyFont="1" applyFill="1" applyBorder="1"/>
    <xf numFmtId="2" fontId="5" fillId="23" borderId="18" xfId="0" applyNumberFormat="1" applyFont="1" applyFill="1" applyBorder="1"/>
    <xf numFmtId="0" fontId="9" fillId="24" borderId="25" xfId="0" applyFont="1" applyFill="1" applyBorder="1" applyAlignment="1">
      <alignment horizontal="center"/>
    </xf>
    <xf numFmtId="0" fontId="9" fillId="24" borderId="34" xfId="0" applyFont="1" applyFill="1" applyBorder="1" applyAlignment="1">
      <alignment horizontal="center"/>
    </xf>
    <xf numFmtId="3" fontId="64" fillId="33" borderId="0" xfId="211" applyNumberFormat="1" applyFill="1"/>
    <xf numFmtId="0" fontId="16" fillId="0" borderId="0" xfId="0" applyFont="1"/>
    <xf numFmtId="1" fontId="16" fillId="0" borderId="0" xfId="0" applyNumberFormat="1" applyFont="1"/>
    <xf numFmtId="1" fontId="16" fillId="25" borderId="0" xfId="0" applyNumberFormat="1" applyFont="1" applyFill="1"/>
    <xf numFmtId="0" fontId="16" fillId="25" borderId="0" xfId="0" applyFont="1" applyFill="1"/>
    <xf numFmtId="0" fontId="63" fillId="23" borderId="16" xfId="0" applyFont="1" applyFill="1" applyBorder="1" applyAlignment="1">
      <alignment vertical="center"/>
    </xf>
    <xf numFmtId="0" fontId="6" fillId="23" borderId="16" xfId="0" applyFont="1" applyFill="1" applyBorder="1"/>
    <xf numFmtId="0" fontId="5" fillId="0" borderId="62" xfId="0" applyFont="1" applyBorder="1" applyAlignment="1">
      <alignment horizontal="center"/>
    </xf>
    <xf numFmtId="0" fontId="5" fillId="23" borderId="43" xfId="0" applyFont="1" applyFill="1" applyBorder="1" applyAlignment="1">
      <alignment horizontal="right"/>
    </xf>
    <xf numFmtId="0" fontId="5" fillId="23" borderId="30" xfId="0" applyFont="1" applyFill="1" applyBorder="1" applyAlignment="1">
      <alignment horizontal="right"/>
    </xf>
    <xf numFmtId="0" fontId="5" fillId="23" borderId="63" xfId="0" applyFont="1" applyFill="1" applyBorder="1"/>
    <xf numFmtId="0" fontId="5" fillId="23" borderId="64" xfId="0" applyFont="1" applyFill="1" applyBorder="1"/>
    <xf numFmtId="0" fontId="5" fillId="23" borderId="42" xfId="0" applyFont="1" applyFill="1" applyBorder="1"/>
    <xf numFmtId="0" fontId="5" fillId="23" borderId="65" xfId="0" applyFont="1" applyFill="1" applyBorder="1"/>
    <xf numFmtId="0" fontId="16" fillId="23" borderId="18" xfId="0" applyFont="1" applyFill="1" applyBorder="1" applyAlignment="1">
      <alignment horizontal="center"/>
    </xf>
    <xf numFmtId="0" fontId="5" fillId="23" borderId="18" xfId="0" applyFont="1" applyFill="1" applyBorder="1" applyAlignment="1">
      <alignment horizontal="center"/>
    </xf>
    <xf numFmtId="0" fontId="5" fillId="0" borderId="15" xfId="0" applyFont="1" applyBorder="1"/>
    <xf numFmtId="0" fontId="14" fillId="23" borderId="57" xfId="0" applyFont="1" applyFill="1" applyBorder="1" applyAlignment="1">
      <alignment horizontal="right"/>
    </xf>
    <xf numFmtId="0" fontId="5" fillId="23" borderId="57" xfId="0" applyFont="1" applyFill="1" applyBorder="1" applyAlignment="1">
      <alignment vertical="center"/>
    </xf>
    <xf numFmtId="0" fontId="5" fillId="23" borderId="66" xfId="0" applyFont="1" applyFill="1" applyBorder="1" applyAlignment="1">
      <alignment horizontal="right" vertical="center"/>
    </xf>
    <xf numFmtId="0" fontId="5" fillId="23" borderId="67" xfId="0" applyFont="1" applyFill="1" applyBorder="1"/>
    <xf numFmtId="0" fontId="5" fillId="0" borderId="18" xfId="0" applyFont="1" applyBorder="1"/>
    <xf numFmtId="0" fontId="14" fillId="23" borderId="30" xfId="0" applyFont="1" applyFill="1" applyBorder="1"/>
    <xf numFmtId="0" fontId="5" fillId="23" borderId="68" xfId="0" applyFont="1" applyFill="1" applyBorder="1" applyAlignment="1">
      <alignment horizontal="right"/>
    </xf>
    <xf numFmtId="0" fontId="5" fillId="23" borderId="69" xfId="0" applyFont="1" applyFill="1" applyBorder="1" applyAlignment="1">
      <alignment horizontal="right"/>
    </xf>
    <xf numFmtId="0" fontId="14" fillId="23" borderId="70" xfId="0" applyFont="1" applyFill="1" applyBorder="1"/>
    <xf numFmtId="0" fontId="5" fillId="23" borderId="71" xfId="0" applyFont="1" applyFill="1" applyBorder="1"/>
    <xf numFmtId="0" fontId="5" fillId="23" borderId="71" xfId="0" applyFont="1" applyFill="1" applyBorder="1" applyAlignment="1">
      <alignment horizontal="center"/>
    </xf>
    <xf numFmtId="0" fontId="5" fillId="23" borderId="69" xfId="0" applyFont="1" applyFill="1" applyBorder="1"/>
    <xf numFmtId="0" fontId="14" fillId="23" borderId="69" xfId="0" applyFont="1" applyFill="1" applyBorder="1"/>
    <xf numFmtId="0" fontId="14" fillId="23" borderId="55" xfId="0" applyFont="1" applyFill="1" applyBorder="1"/>
    <xf numFmtId="0" fontId="5" fillId="23" borderId="40" xfId="0" applyFont="1" applyFill="1" applyBorder="1" applyAlignment="1">
      <alignment horizontal="center"/>
    </xf>
    <xf numFmtId="0" fontId="37" fillId="0" borderId="0" xfId="0" applyFont="1"/>
    <xf numFmtId="0" fontId="5" fillId="28" borderId="0" xfId="0" applyFont="1" applyFill="1"/>
    <xf numFmtId="0" fontId="5" fillId="0" borderId="32" xfId="0" applyFont="1" applyBorder="1"/>
    <xf numFmtId="0" fontId="16" fillId="23" borderId="0" xfId="0" applyFont="1" applyFill="1" applyAlignment="1">
      <alignment horizontal="center"/>
    </xf>
    <xf numFmtId="9" fontId="5" fillId="23" borderId="23" xfId="203" applyFont="1" applyFill="1" applyBorder="1" applyAlignment="1" applyProtection="1">
      <alignment horizontal="center"/>
    </xf>
    <xf numFmtId="0" fontId="16" fillId="26" borderId="18" xfId="0" applyFont="1" applyFill="1" applyBorder="1"/>
    <xf numFmtId="0" fontId="85" fillId="23" borderId="0" xfId="0" applyFont="1" applyFill="1" applyAlignment="1">
      <alignment vertical="center"/>
    </xf>
    <xf numFmtId="0" fontId="10" fillId="23" borderId="72" xfId="0" applyFont="1" applyFill="1" applyBorder="1"/>
    <xf numFmtId="0" fontId="5" fillId="25" borderId="32" xfId="0" applyFont="1" applyFill="1" applyBorder="1" applyAlignment="1" applyProtection="1">
      <alignment horizontal="center"/>
      <protection locked="0"/>
    </xf>
    <xf numFmtId="0" fontId="5" fillId="25" borderId="33" xfId="0" applyFont="1" applyFill="1" applyBorder="1" applyAlignment="1" applyProtection="1">
      <alignment horizontal="center"/>
      <protection locked="0"/>
    </xf>
    <xf numFmtId="0" fontId="5" fillId="25" borderId="40" xfId="0" applyFont="1" applyFill="1" applyBorder="1" applyAlignment="1" applyProtection="1">
      <alignment horizontal="center"/>
      <protection locked="0"/>
    </xf>
    <xf numFmtId="0" fontId="5" fillId="25" borderId="73" xfId="0" applyFont="1" applyFill="1" applyBorder="1" applyAlignment="1" applyProtection="1">
      <alignment horizontal="center"/>
      <protection locked="0"/>
    </xf>
    <xf numFmtId="0" fontId="6" fillId="23" borderId="16" xfId="0" applyFont="1" applyFill="1" applyBorder="1" applyAlignment="1">
      <alignment vertical="center"/>
    </xf>
    <xf numFmtId="0" fontId="5" fillId="23" borderId="27" xfId="0" applyFont="1" applyFill="1" applyBorder="1" applyAlignment="1">
      <alignment vertical="center"/>
    </xf>
    <xf numFmtId="0" fontId="5" fillId="25" borderId="43" xfId="0" applyFont="1" applyFill="1" applyBorder="1" applyAlignment="1" applyProtection="1">
      <alignment horizontal="center"/>
      <protection locked="0"/>
    </xf>
    <xf numFmtId="0" fontId="5" fillId="23" borderId="74" xfId="0" applyFont="1" applyFill="1" applyBorder="1"/>
    <xf numFmtId="166" fontId="33" fillId="23" borderId="31" xfId="0" applyNumberFormat="1" applyFont="1" applyFill="1" applyBorder="1" applyAlignment="1">
      <alignment horizontal="center"/>
    </xf>
    <xf numFmtId="0" fontId="14" fillId="23" borderId="49" xfId="0" applyFont="1" applyFill="1" applyBorder="1" applyAlignment="1">
      <alignment horizontal="right"/>
    </xf>
    <xf numFmtId="0" fontId="5" fillId="23" borderId="75" xfId="0" applyFont="1" applyFill="1" applyBorder="1"/>
    <xf numFmtId="0" fontId="5" fillId="23" borderId="76" xfId="0" applyFont="1" applyFill="1" applyBorder="1"/>
    <xf numFmtId="0" fontId="5" fillId="23" borderId="37" xfId="0" applyFont="1" applyFill="1" applyBorder="1" applyAlignment="1">
      <alignment horizontal="center"/>
    </xf>
    <xf numFmtId="0" fontId="5" fillId="23" borderId="77" xfId="0" applyFont="1" applyFill="1" applyBorder="1" applyAlignment="1">
      <alignment horizontal="center"/>
    </xf>
    <xf numFmtId="0" fontId="5" fillId="23" borderId="78" xfId="0" applyFont="1" applyFill="1" applyBorder="1" applyAlignment="1">
      <alignment horizontal="center"/>
    </xf>
    <xf numFmtId="0" fontId="5" fillId="25" borderId="79" xfId="0" applyFont="1" applyFill="1" applyBorder="1" applyAlignment="1" applyProtection="1">
      <alignment horizontal="center"/>
      <protection locked="0"/>
    </xf>
    <xf numFmtId="0" fontId="14" fillId="23" borderId="80" xfId="0" applyFont="1" applyFill="1" applyBorder="1"/>
    <xf numFmtId="0" fontId="14" fillId="23" borderId="62" xfId="0" applyFont="1" applyFill="1" applyBorder="1" applyAlignment="1">
      <alignment horizontal="center"/>
    </xf>
    <xf numFmtId="0" fontId="5" fillId="23" borderId="62" xfId="0" applyFont="1" applyFill="1" applyBorder="1" applyAlignment="1">
      <alignment horizontal="center"/>
    </xf>
    <xf numFmtId="9" fontId="5" fillId="23" borderId="39" xfId="203" applyFont="1" applyFill="1" applyBorder="1" applyAlignment="1" applyProtection="1">
      <alignment horizontal="center"/>
      <protection locked="0"/>
    </xf>
    <xf numFmtId="0" fontId="14" fillId="23" borderId="40" xfId="0" applyFont="1" applyFill="1" applyBorder="1" applyAlignment="1">
      <alignment horizontal="center"/>
    </xf>
    <xf numFmtId="0" fontId="5" fillId="23" borderId="81" xfId="0" applyFont="1" applyFill="1" applyBorder="1" applyAlignment="1" applyProtection="1">
      <alignment horizontal="center"/>
      <protection locked="0"/>
    </xf>
    <xf numFmtId="0" fontId="5" fillId="23" borderId="16" xfId="0" applyFont="1" applyFill="1" applyBorder="1"/>
    <xf numFmtId="0" fontId="32" fillId="0" borderId="0" xfId="0" applyFont="1"/>
    <xf numFmtId="0" fontId="0" fillId="25" borderId="0" xfId="0" applyFill="1" applyProtection="1">
      <protection locked="0"/>
    </xf>
    <xf numFmtId="0" fontId="0" fillId="25" borderId="0" xfId="0" applyFill="1"/>
    <xf numFmtId="0" fontId="0" fillId="0" borderId="21" xfId="0" applyBorder="1"/>
    <xf numFmtId="166" fontId="0" fillId="0" borderId="0" xfId="0" applyNumberFormat="1"/>
    <xf numFmtId="0" fontId="0" fillId="0" borderId="25" xfId="0" applyBorder="1"/>
    <xf numFmtId="0" fontId="0" fillId="0" borderId="34" xfId="0" applyBorder="1"/>
    <xf numFmtId="0" fontId="0" fillId="0" borderId="76" xfId="0" applyBorder="1" applyAlignment="1">
      <alignment horizontal="center"/>
    </xf>
    <xf numFmtId="0" fontId="0" fillId="0" borderId="40" xfId="0" applyBorder="1" applyAlignment="1">
      <alignment horizontal="center"/>
    </xf>
    <xf numFmtId="0" fontId="0" fillId="0" borderId="73" xfId="0" applyBorder="1" applyAlignment="1">
      <alignment horizontal="center"/>
    </xf>
    <xf numFmtId="0" fontId="0" fillId="0" borderId="0" xfId="0" applyAlignment="1">
      <alignment horizontal="center"/>
    </xf>
    <xf numFmtId="0" fontId="32" fillId="0" borderId="77" xfId="0" applyFont="1" applyBorder="1"/>
    <xf numFmtId="0" fontId="0" fillId="25" borderId="75" xfId="0" applyFill="1" applyBorder="1" applyProtection="1">
      <protection locked="0"/>
    </xf>
    <xf numFmtId="0" fontId="0" fillId="25" borderId="71" xfId="0" applyFill="1" applyBorder="1" applyProtection="1">
      <protection locked="0"/>
    </xf>
    <xf numFmtId="0" fontId="0" fillId="0" borderId="71" xfId="0" applyBorder="1"/>
    <xf numFmtId="0" fontId="0" fillId="0" borderId="77" xfId="0" applyBorder="1"/>
    <xf numFmtId="0" fontId="0" fillId="0" borderId="73" xfId="0" applyBorder="1"/>
    <xf numFmtId="0" fontId="0" fillId="25" borderId="76" xfId="0" applyFill="1" applyBorder="1" applyProtection="1">
      <protection locked="0"/>
    </xf>
    <xf numFmtId="0" fontId="0" fillId="25" borderId="40" xfId="0" applyFill="1" applyBorder="1" applyProtection="1">
      <protection locked="0"/>
    </xf>
    <xf numFmtId="0" fontId="0" fillId="0" borderId="40" xfId="0" applyBorder="1"/>
    <xf numFmtId="0" fontId="0" fillId="0" borderId="75" xfId="0" applyBorder="1"/>
    <xf numFmtId="2" fontId="0" fillId="0" borderId="0" xfId="0" applyNumberFormat="1"/>
    <xf numFmtId="0" fontId="0" fillId="0" borderId="76" xfId="0" applyBorder="1"/>
    <xf numFmtId="0" fontId="0" fillId="0" borderId="82" xfId="0" applyBorder="1"/>
    <xf numFmtId="0" fontId="0" fillId="0" borderId="83" xfId="0" applyBorder="1" applyAlignment="1">
      <alignment horizontal="center"/>
    </xf>
    <xf numFmtId="0" fontId="0" fillId="0" borderId="84" xfId="0" applyBorder="1" applyAlignment="1">
      <alignment horizontal="center"/>
    </xf>
    <xf numFmtId="166" fontId="0" fillId="0" borderId="71" xfId="0" applyNumberFormat="1" applyBorder="1"/>
    <xf numFmtId="172" fontId="0" fillId="0" borderId="0" xfId="0" applyNumberFormat="1" applyAlignment="1">
      <alignment horizontal="left"/>
    </xf>
    <xf numFmtId="166" fontId="0" fillId="0" borderId="40" xfId="0" applyNumberFormat="1" applyBorder="1"/>
    <xf numFmtId="0" fontId="0" fillId="0" borderId="15" xfId="0" applyBorder="1"/>
    <xf numFmtId="2" fontId="0" fillId="0" borderId="83" xfId="0" applyNumberFormat="1" applyBorder="1"/>
    <xf numFmtId="0" fontId="0" fillId="28" borderId="0" xfId="0" applyFill="1"/>
    <xf numFmtId="0" fontId="0" fillId="29" borderId="0" xfId="0" applyFill="1"/>
    <xf numFmtId="166" fontId="0" fillId="34" borderId="71" xfId="0" applyNumberFormat="1" applyFill="1" applyBorder="1"/>
    <xf numFmtId="166" fontId="0" fillId="34" borderId="40" xfId="0" applyNumberFormat="1" applyFill="1" applyBorder="1"/>
    <xf numFmtId="2" fontId="0" fillId="34" borderId="83" xfId="0" applyNumberFormat="1" applyFill="1" applyBorder="1"/>
    <xf numFmtId="2" fontId="0" fillId="34" borderId="84" xfId="0" applyNumberFormat="1" applyFill="1" applyBorder="1"/>
    <xf numFmtId="166" fontId="0" fillId="34" borderId="77" xfId="0" applyNumberFormat="1" applyFill="1" applyBorder="1"/>
    <xf numFmtId="166" fontId="0" fillId="34" borderId="73" xfId="0" applyNumberFormat="1" applyFill="1" applyBorder="1"/>
    <xf numFmtId="0" fontId="0" fillId="0" borderId="16" xfId="0" applyBorder="1"/>
    <xf numFmtId="0" fontId="0" fillId="0" borderId="17" xfId="0" applyBorder="1"/>
    <xf numFmtId="2" fontId="0" fillId="0" borderId="15" xfId="0" applyNumberFormat="1" applyBorder="1"/>
    <xf numFmtId="0" fontId="0" fillId="0" borderId="17" xfId="0" quotePrefix="1" applyBorder="1"/>
    <xf numFmtId="0" fontId="91" fillId="0" borderId="0" xfId="0" applyFont="1"/>
    <xf numFmtId="166" fontId="0" fillId="29" borderId="0" xfId="0" applyNumberFormat="1" applyFill="1"/>
    <xf numFmtId="0" fontId="41" fillId="0" borderId="0" xfId="0" applyFont="1"/>
    <xf numFmtId="0" fontId="37" fillId="0" borderId="0" xfId="0" quotePrefix="1" applyFont="1"/>
    <xf numFmtId="0" fontId="32" fillId="0" borderId="15" xfId="0" applyFont="1" applyBorder="1"/>
    <xf numFmtId="0" fontId="33" fillId="23" borderId="15" xfId="0" applyFont="1" applyFill="1" applyBorder="1"/>
    <xf numFmtId="0" fontId="33" fillId="23" borderId="16" xfId="0" applyFont="1" applyFill="1" applyBorder="1"/>
    <xf numFmtId="2" fontId="0" fillId="34" borderId="85" xfId="0" applyNumberFormat="1" applyFill="1" applyBorder="1"/>
    <xf numFmtId="0" fontId="32" fillId="0" borderId="17" xfId="0" applyFont="1" applyBorder="1"/>
    <xf numFmtId="0" fontId="32" fillId="0" borderId="86" xfId="0" applyFont="1" applyBorder="1"/>
    <xf numFmtId="0" fontId="0" fillId="0" borderId="81" xfId="0" applyBorder="1"/>
    <xf numFmtId="0" fontId="0" fillId="0" borderId="20" xfId="0" applyBorder="1"/>
    <xf numFmtId="0" fontId="0" fillId="0" borderId="28" xfId="0" applyBorder="1"/>
    <xf numFmtId="0" fontId="0" fillId="0" borderId="26" xfId="0" applyBorder="1"/>
    <xf numFmtId="0" fontId="5" fillId="23" borderId="82" xfId="0" applyFont="1" applyFill="1" applyBorder="1"/>
    <xf numFmtId="0" fontId="5" fillId="23" borderId="83" xfId="0" applyFont="1" applyFill="1" applyBorder="1"/>
    <xf numFmtId="0" fontId="5" fillId="23" borderId="84" xfId="0" applyFont="1" applyFill="1" applyBorder="1"/>
    <xf numFmtId="0" fontId="5" fillId="23" borderId="77" xfId="0" applyFont="1" applyFill="1" applyBorder="1"/>
    <xf numFmtId="0" fontId="5" fillId="23" borderId="73" xfId="0" applyFont="1" applyFill="1" applyBorder="1"/>
    <xf numFmtId="2" fontId="5" fillId="23" borderId="82" xfId="0" applyNumberFormat="1" applyFont="1" applyFill="1" applyBorder="1"/>
    <xf numFmtId="0" fontId="5" fillId="0" borderId="19" xfId="0" applyFont="1" applyBorder="1"/>
    <xf numFmtId="0" fontId="5" fillId="0" borderId="24" xfId="0" applyFont="1" applyBorder="1"/>
    <xf numFmtId="0" fontId="5" fillId="0" borderId="16" xfId="0" applyFont="1" applyBorder="1"/>
    <xf numFmtId="0" fontId="5" fillId="0" borderId="17" xfId="0" applyFont="1" applyBorder="1"/>
    <xf numFmtId="0" fontId="5" fillId="0" borderId="22" xfId="0" applyFont="1" applyBorder="1"/>
    <xf numFmtId="0" fontId="5" fillId="0" borderId="34" xfId="0" applyFont="1" applyBorder="1"/>
    <xf numFmtId="0" fontId="5" fillId="0" borderId="20" xfId="0" applyFont="1" applyBorder="1"/>
    <xf numFmtId="0" fontId="5" fillId="0" borderId="86" xfId="0" applyFont="1" applyBorder="1"/>
    <xf numFmtId="0" fontId="5" fillId="0" borderId="28" xfId="0" applyFont="1" applyBorder="1"/>
    <xf numFmtId="0" fontId="5" fillId="0" borderId="81" xfId="0" applyFont="1" applyBorder="1"/>
    <xf numFmtId="0" fontId="5" fillId="0" borderId="26" xfId="0" applyFont="1" applyBorder="1"/>
    <xf numFmtId="2" fontId="5" fillId="0" borderId="83" xfId="0" applyNumberFormat="1" applyFont="1" applyBorder="1"/>
    <xf numFmtId="2" fontId="5" fillId="0" borderId="84" xfId="0" applyNumberFormat="1" applyFont="1" applyBorder="1"/>
    <xf numFmtId="0" fontId="5" fillId="0" borderId="77" xfId="0" applyFont="1" applyBorder="1"/>
    <xf numFmtId="0" fontId="5" fillId="0" borderId="73" xfId="0" applyFont="1" applyBorder="1"/>
    <xf numFmtId="166" fontId="5" fillId="23" borderId="76" xfId="0" applyNumberFormat="1" applyFont="1" applyFill="1" applyBorder="1"/>
    <xf numFmtId="166" fontId="5" fillId="23" borderId="40" xfId="0" applyNumberFormat="1" applyFont="1" applyFill="1" applyBorder="1"/>
    <xf numFmtId="166" fontId="5" fillId="23" borderId="73" xfId="0" applyNumberFormat="1" applyFont="1" applyFill="1" applyBorder="1"/>
    <xf numFmtId="166" fontId="0" fillId="23" borderId="71" xfId="0" applyNumberFormat="1" applyFill="1" applyBorder="1"/>
    <xf numFmtId="166" fontId="0" fillId="23" borderId="77" xfId="0" applyNumberFormat="1" applyFill="1" applyBorder="1"/>
    <xf numFmtId="166" fontId="0" fillId="23" borderId="40" xfId="0" applyNumberFormat="1" applyFill="1" applyBorder="1"/>
    <xf numFmtId="166" fontId="0" fillId="23" borderId="73" xfId="0" applyNumberFormat="1" applyFill="1" applyBorder="1"/>
    <xf numFmtId="2" fontId="0" fillId="23" borderId="85" xfId="0" applyNumberFormat="1" applyFill="1" applyBorder="1"/>
    <xf numFmtId="2" fontId="0" fillId="23" borderId="83" xfId="0" applyNumberFormat="1" applyFill="1" applyBorder="1"/>
    <xf numFmtId="2" fontId="0" fillId="23" borderId="84" xfId="0" applyNumberFormat="1" applyFill="1" applyBorder="1"/>
    <xf numFmtId="0" fontId="5" fillId="23" borderId="33" xfId="0" applyFont="1" applyFill="1" applyBorder="1" applyAlignment="1">
      <alignment horizontal="center"/>
    </xf>
    <xf numFmtId="0" fontId="32" fillId="0" borderId="22" xfId="0" applyFont="1" applyBorder="1"/>
    <xf numFmtId="2" fontId="0" fillId="0" borderId="23" xfId="0" applyNumberFormat="1" applyBorder="1"/>
    <xf numFmtId="0" fontId="32" fillId="0" borderId="25" xfId="0" applyFont="1" applyBorder="1"/>
    <xf numFmtId="0" fontId="0" fillId="0" borderId="27" xfId="0" applyBorder="1"/>
    <xf numFmtId="0" fontId="0" fillId="29" borderId="27" xfId="0" applyFill="1" applyBorder="1"/>
    <xf numFmtId="0" fontId="0" fillId="29" borderId="34" xfId="0" applyFill="1" applyBorder="1"/>
    <xf numFmtId="166" fontId="0" fillId="23" borderId="0" xfId="0" applyNumberFormat="1" applyFill="1"/>
    <xf numFmtId="0" fontId="0" fillId="25" borderId="23" xfId="0" applyFill="1" applyBorder="1"/>
    <xf numFmtId="0" fontId="0" fillId="28" borderId="71" xfId="0" applyFill="1" applyBorder="1"/>
    <xf numFmtId="0" fontId="0" fillId="28" borderId="40" xfId="0" applyFill="1" applyBorder="1"/>
    <xf numFmtId="0" fontId="0" fillId="25" borderId="0" xfId="0" applyFill="1" applyAlignment="1">
      <alignment horizontal="center"/>
    </xf>
    <xf numFmtId="0" fontId="0" fillId="25" borderId="15" xfId="0" applyFill="1" applyBorder="1"/>
    <xf numFmtId="0" fontId="0" fillId="25" borderId="16" xfId="0" applyFill="1" applyBorder="1"/>
    <xf numFmtId="0" fontId="0" fillId="25" borderId="18" xfId="0" applyFill="1" applyBorder="1"/>
    <xf numFmtId="0" fontId="0" fillId="25" borderId="15" xfId="0" applyFill="1" applyBorder="1" applyAlignment="1">
      <alignment horizontal="center"/>
    </xf>
    <xf numFmtId="0" fontId="0" fillId="25" borderId="16" xfId="0" applyFill="1" applyBorder="1" applyAlignment="1">
      <alignment horizontal="center"/>
    </xf>
    <xf numFmtId="0" fontId="0" fillId="25" borderId="17" xfId="0" applyFill="1" applyBorder="1" applyAlignment="1">
      <alignment horizontal="center"/>
    </xf>
    <xf numFmtId="0" fontId="93" fillId="28" borderId="0" xfId="0" applyFont="1" applyFill="1" applyAlignment="1">
      <alignment horizontal="center"/>
    </xf>
    <xf numFmtId="0" fontId="93" fillId="28" borderId="0" xfId="0" applyFont="1" applyFill="1"/>
    <xf numFmtId="0" fontId="93" fillId="28" borderId="0" xfId="0" applyFont="1" applyFill="1" applyAlignment="1">
      <alignment horizontal="left"/>
    </xf>
    <xf numFmtId="0" fontId="93" fillId="0" borderId="0" xfId="0" applyFont="1"/>
    <xf numFmtId="0" fontId="92" fillId="23" borderId="0" xfId="0" applyFont="1" applyFill="1"/>
    <xf numFmtId="0" fontId="93" fillId="23" borderId="0" xfId="0" applyFont="1" applyFill="1"/>
    <xf numFmtId="0" fontId="0" fillId="23" borderId="23" xfId="0" applyFill="1" applyBorder="1"/>
    <xf numFmtId="0" fontId="93" fillId="28" borderId="23" xfId="0" applyFont="1" applyFill="1" applyBorder="1"/>
    <xf numFmtId="0" fontId="17" fillId="23" borderId="16" xfId="0" applyFont="1" applyFill="1" applyBorder="1" applyAlignment="1">
      <alignment horizontal="right" vertical="center"/>
    </xf>
    <xf numFmtId="166" fontId="0" fillId="28" borderId="0" xfId="0" applyNumberFormat="1" applyFill="1"/>
    <xf numFmtId="0" fontId="16" fillId="0" borderId="0" xfId="0" applyFont="1" applyAlignment="1">
      <alignment horizontal="center"/>
    </xf>
    <xf numFmtId="2" fontId="5" fillId="25" borderId="34" xfId="0" applyNumberFormat="1" applyFont="1" applyFill="1" applyBorder="1" applyAlignment="1">
      <alignment horizontal="center" vertical="center"/>
    </xf>
    <xf numFmtId="166" fontId="0" fillId="0" borderId="15" xfId="0" applyNumberFormat="1" applyBorder="1"/>
    <xf numFmtId="1" fontId="5" fillId="23" borderId="30" xfId="0" applyNumberFormat="1" applyFont="1" applyFill="1" applyBorder="1"/>
    <xf numFmtId="49" fontId="64" fillId="0" borderId="0" xfId="211" applyNumberFormat="1"/>
    <xf numFmtId="49" fontId="64" fillId="25" borderId="0" xfId="211" applyNumberFormat="1" applyFill="1"/>
    <xf numFmtId="174" fontId="64" fillId="25" borderId="0" xfId="211" applyNumberFormat="1" applyFill="1"/>
    <xf numFmtId="49" fontId="68" fillId="0" borderId="0" xfId="211" applyNumberFormat="1" applyFont="1"/>
    <xf numFmtId="49" fontId="68" fillId="0" borderId="0" xfId="211" quotePrefix="1" applyNumberFormat="1" applyFont="1"/>
    <xf numFmtId="1" fontId="64" fillId="25" borderId="0" xfId="211" applyNumberFormat="1" applyFill="1"/>
    <xf numFmtId="0" fontId="5" fillId="24" borderId="34" xfId="0" applyFont="1" applyFill="1" applyBorder="1"/>
    <xf numFmtId="0" fontId="16" fillId="23" borderId="23" xfId="0" applyFont="1" applyFill="1" applyBorder="1"/>
    <xf numFmtId="0" fontId="16" fillId="23" borderId="21" xfId="0" applyFont="1" applyFill="1" applyBorder="1"/>
    <xf numFmtId="0" fontId="16" fillId="23" borderId="27" xfId="0" applyFont="1" applyFill="1" applyBorder="1"/>
    <xf numFmtId="3" fontId="9" fillId="24" borderId="16" xfId="203" applyNumberFormat="1" applyFont="1" applyFill="1" applyBorder="1" applyAlignment="1" applyProtection="1">
      <alignment horizontal="center"/>
      <protection locked="0"/>
    </xf>
    <xf numFmtId="0" fontId="16" fillId="23" borderId="28" xfId="0" applyFont="1" applyFill="1" applyBorder="1"/>
    <xf numFmtId="0" fontId="16" fillId="23" borderId="20" xfId="0" applyFont="1" applyFill="1" applyBorder="1"/>
    <xf numFmtId="0" fontId="9" fillId="24" borderId="22" xfId="0" applyFont="1" applyFill="1" applyBorder="1"/>
    <xf numFmtId="0" fontId="9" fillId="24" borderId="27" xfId="0" applyFont="1" applyFill="1" applyBorder="1" applyAlignment="1">
      <alignment horizontal="center"/>
    </xf>
    <xf numFmtId="0" fontId="60" fillId="24" borderId="20" xfId="0" applyFont="1" applyFill="1" applyBorder="1" applyAlignment="1">
      <alignment horizontal="center"/>
    </xf>
    <xf numFmtId="0" fontId="60" fillId="24" borderId="19" xfId="0" applyFont="1" applyFill="1" applyBorder="1" applyAlignment="1">
      <alignment horizontal="center"/>
    </xf>
    <xf numFmtId="0" fontId="63" fillId="23" borderId="30" xfId="0" applyFont="1" applyFill="1" applyBorder="1" applyAlignment="1">
      <alignment horizontal="right" vertical="center"/>
    </xf>
    <xf numFmtId="166" fontId="33" fillId="23" borderId="32" xfId="0" applyNumberFormat="1" applyFont="1" applyFill="1" applyBorder="1" applyAlignment="1">
      <alignment horizontal="center"/>
    </xf>
    <xf numFmtId="0" fontId="5" fillId="23" borderId="30" xfId="0" applyFont="1" applyFill="1" applyBorder="1" applyAlignment="1" applyProtection="1">
      <alignment horizontal="center"/>
      <protection locked="0"/>
    </xf>
    <xf numFmtId="0" fontId="5" fillId="23" borderId="30" xfId="0" applyFont="1" applyFill="1" applyBorder="1" applyAlignment="1">
      <alignment horizontal="center"/>
    </xf>
    <xf numFmtId="0" fontId="5" fillId="29" borderId="77" xfId="0" applyFont="1" applyFill="1" applyBorder="1" applyAlignment="1" applyProtection="1">
      <alignment horizontal="center" vertical="center"/>
      <protection locked="0"/>
    </xf>
    <xf numFmtId="0" fontId="13" fillId="23" borderId="30" xfId="0" applyFont="1" applyFill="1" applyBorder="1" applyAlignment="1">
      <alignment horizontal="center"/>
    </xf>
    <xf numFmtId="167" fontId="10" fillId="26" borderId="51" xfId="203" applyNumberFormat="1" applyFont="1" applyFill="1" applyBorder="1" applyAlignment="1" applyProtection="1">
      <alignment horizontal="center"/>
    </xf>
    <xf numFmtId="167" fontId="10" fillId="26" borderId="73" xfId="203" applyNumberFormat="1" applyFont="1" applyFill="1" applyBorder="1" applyAlignment="1" applyProtection="1">
      <alignment horizontal="center"/>
    </xf>
    <xf numFmtId="166" fontId="5" fillId="23" borderId="20" xfId="0" applyNumberFormat="1" applyFont="1" applyFill="1" applyBorder="1" applyAlignment="1">
      <alignment horizontal="center"/>
    </xf>
    <xf numFmtId="170" fontId="5" fillId="23" borderId="24" xfId="203" applyNumberFormat="1" applyFont="1" applyFill="1" applyBorder="1" applyAlignment="1" applyProtection="1">
      <alignment horizontal="center"/>
    </xf>
    <xf numFmtId="0" fontId="16" fillId="25" borderId="20" xfId="0" applyFont="1" applyFill="1" applyBorder="1"/>
    <xf numFmtId="167" fontId="5" fillId="25" borderId="25" xfId="0" applyNumberFormat="1" applyFont="1" applyFill="1" applyBorder="1" applyAlignment="1">
      <alignment horizontal="center"/>
    </xf>
    <xf numFmtId="0" fontId="16" fillId="25" borderId="26" xfId="0" applyFont="1" applyFill="1" applyBorder="1"/>
    <xf numFmtId="167" fontId="5" fillId="25" borderId="21" xfId="0" applyNumberFormat="1" applyFont="1" applyFill="1" applyBorder="1" applyAlignment="1">
      <alignment horizontal="center"/>
    </xf>
    <xf numFmtId="9" fontId="5" fillId="25" borderId="27" xfId="0" applyNumberFormat="1" applyFont="1" applyFill="1" applyBorder="1" applyAlignment="1">
      <alignment horizontal="center"/>
    </xf>
    <xf numFmtId="0" fontId="60" fillId="24" borderId="22" xfId="0" applyFont="1" applyFill="1" applyBorder="1"/>
    <xf numFmtId="0" fontId="60" fillId="24" borderId="28" xfId="0" applyFont="1" applyFill="1" applyBorder="1" applyAlignment="1">
      <alignment horizontal="center"/>
    </xf>
    <xf numFmtId="9" fontId="5" fillId="23" borderId="23" xfId="0" applyNumberFormat="1" applyFont="1" applyFill="1" applyBorder="1" applyAlignment="1">
      <alignment horizontal="center"/>
    </xf>
    <xf numFmtId="2" fontId="5" fillId="23" borderId="28" xfId="0" applyNumberFormat="1" applyFont="1" applyFill="1" applyBorder="1" applyAlignment="1">
      <alignment horizontal="center"/>
    </xf>
    <xf numFmtId="170" fontId="5" fillId="23" borderId="28" xfId="0" applyNumberFormat="1" applyFont="1" applyFill="1" applyBorder="1" applyAlignment="1">
      <alignment horizontal="center"/>
    </xf>
    <xf numFmtId="170" fontId="5" fillId="23" borderId="20" xfId="0" applyNumberFormat="1" applyFont="1" applyFill="1" applyBorder="1" applyAlignment="1">
      <alignment horizontal="center"/>
    </xf>
    <xf numFmtId="0" fontId="16" fillId="23" borderId="26" xfId="0" applyFont="1" applyFill="1" applyBorder="1" applyAlignment="1">
      <alignment horizontal="center"/>
    </xf>
    <xf numFmtId="166" fontId="16" fillId="23" borderId="28" xfId="0" applyNumberFormat="1" applyFont="1" applyFill="1" applyBorder="1" applyAlignment="1">
      <alignment horizontal="center"/>
    </xf>
    <xf numFmtId="1" fontId="5" fillId="23" borderId="23" xfId="0" applyNumberFormat="1" applyFont="1" applyFill="1" applyBorder="1" applyAlignment="1">
      <alignment horizontal="center"/>
    </xf>
    <xf numFmtId="0" fontId="11" fillId="24" borderId="87" xfId="0" applyFont="1" applyFill="1" applyBorder="1" applyAlignment="1">
      <alignment horizontal="center"/>
    </xf>
    <xf numFmtId="0" fontId="5" fillId="24" borderId="88" xfId="0" applyFont="1" applyFill="1" applyBorder="1"/>
    <xf numFmtId="0" fontId="16" fillId="23" borderId="89" xfId="0" applyFont="1" applyFill="1" applyBorder="1"/>
    <xf numFmtId="0" fontId="16" fillId="23" borderId="87" xfId="0" applyFont="1" applyFill="1" applyBorder="1"/>
    <xf numFmtId="0" fontId="5" fillId="23" borderId="89" xfId="0" applyFont="1" applyFill="1" applyBorder="1"/>
    <xf numFmtId="0" fontId="16" fillId="23" borderId="90" xfId="0" applyFont="1" applyFill="1" applyBorder="1"/>
    <xf numFmtId="0" fontId="5" fillId="24" borderId="91" xfId="0" applyFont="1" applyFill="1" applyBorder="1"/>
    <xf numFmtId="166" fontId="5" fillId="23" borderId="15" xfId="0" applyNumberFormat="1" applyFont="1" applyFill="1" applyBorder="1" applyAlignment="1">
      <alignment horizontal="center"/>
    </xf>
    <xf numFmtId="170" fontId="5" fillId="23" borderId="73" xfId="203" applyNumberFormat="1" applyFont="1" applyFill="1" applyBorder="1" applyAlignment="1" applyProtection="1">
      <alignment horizontal="center"/>
      <protection locked="0"/>
    </xf>
    <xf numFmtId="0" fontId="5" fillId="23" borderId="0" xfId="0" quotePrefix="1" applyFont="1" applyFill="1" applyAlignment="1">
      <alignment horizontal="left"/>
    </xf>
    <xf numFmtId="0" fontId="9" fillId="24" borderId="24" xfId="0" applyFont="1" applyFill="1" applyBorder="1"/>
    <xf numFmtId="0" fontId="16" fillId="29" borderId="40" xfId="0" applyFont="1" applyFill="1" applyBorder="1" applyAlignment="1" applyProtection="1">
      <alignment horizontal="center"/>
      <protection locked="0"/>
    </xf>
    <xf numFmtId="167" fontId="5" fillId="23" borderId="16" xfId="203" applyNumberFormat="1" applyFont="1" applyFill="1" applyBorder="1" applyAlignment="1" applyProtection="1">
      <alignment horizontal="center"/>
    </xf>
    <xf numFmtId="0" fontId="5" fillId="23" borderId="49" xfId="0" applyFont="1" applyFill="1" applyBorder="1" applyAlignment="1">
      <alignment horizontal="center"/>
    </xf>
    <xf numFmtId="0" fontId="5" fillId="23" borderId="49" xfId="0" applyFont="1" applyFill="1" applyBorder="1" applyAlignment="1">
      <alignment horizontal="right"/>
    </xf>
    <xf numFmtId="9" fontId="5" fillId="23" borderId="0" xfId="0" applyNumberFormat="1" applyFont="1" applyFill="1" applyAlignment="1" applyProtection="1">
      <alignment horizontal="center" vertical="center"/>
      <protection locked="0"/>
    </xf>
    <xf numFmtId="9" fontId="5" fillId="25" borderId="73" xfId="203" applyFont="1" applyFill="1" applyBorder="1" applyAlignment="1" applyProtection="1">
      <alignment horizontal="center"/>
      <protection locked="0"/>
    </xf>
    <xf numFmtId="170" fontId="5" fillId="23" borderId="39" xfId="203" applyNumberFormat="1" applyFont="1" applyFill="1" applyBorder="1" applyAlignment="1" applyProtection="1">
      <alignment horizontal="center"/>
      <protection locked="0"/>
    </xf>
    <xf numFmtId="0" fontId="14" fillId="23" borderId="92" xfId="0" applyFont="1" applyFill="1" applyBorder="1"/>
    <xf numFmtId="0" fontId="21" fillId="23" borderId="22" xfId="0" applyFont="1" applyFill="1" applyBorder="1"/>
    <xf numFmtId="0" fontId="5" fillId="23" borderId="52" xfId="0" applyFont="1" applyFill="1" applyBorder="1"/>
    <xf numFmtId="0" fontId="5" fillId="23" borderId="80" xfId="0" applyFont="1" applyFill="1" applyBorder="1"/>
    <xf numFmtId="0" fontId="21" fillId="23" borderId="80" xfId="0" applyFont="1" applyFill="1" applyBorder="1"/>
    <xf numFmtId="0" fontId="5" fillId="23" borderId="92" xfId="0" applyFont="1" applyFill="1" applyBorder="1"/>
    <xf numFmtId="0" fontId="5" fillId="23" borderId="39" xfId="0" applyFont="1" applyFill="1" applyBorder="1" applyAlignment="1">
      <alignment horizontal="center"/>
    </xf>
    <xf numFmtId="167" fontId="5" fillId="23" borderId="39" xfId="203" applyNumberFormat="1" applyFont="1" applyFill="1" applyBorder="1" applyAlignment="1" applyProtection="1">
      <alignment horizontal="center"/>
    </xf>
    <xf numFmtId="1" fontId="68" fillId="0" borderId="0" xfId="211" applyNumberFormat="1" applyFont="1"/>
    <xf numFmtId="0" fontId="11" fillId="24" borderId="17" xfId="0" applyFont="1" applyFill="1" applyBorder="1" applyAlignment="1">
      <alignment horizontal="center"/>
    </xf>
    <xf numFmtId="173" fontId="64" fillId="26" borderId="0" xfId="211" applyNumberFormat="1" applyFill="1"/>
    <xf numFmtId="171" fontId="5" fillId="23" borderId="32" xfId="0" applyNumberFormat="1" applyFont="1" applyFill="1" applyBorder="1" applyAlignment="1" applyProtection="1">
      <alignment horizontal="center"/>
      <protection locked="0"/>
    </xf>
    <xf numFmtId="174" fontId="64" fillId="0" borderId="0" xfId="211" applyNumberFormat="1"/>
    <xf numFmtId="167" fontId="5" fillId="25" borderId="19" xfId="0" applyNumberFormat="1" applyFont="1" applyFill="1" applyBorder="1" applyAlignment="1">
      <alignment horizontal="center"/>
    </xf>
    <xf numFmtId="166" fontId="64" fillId="26" borderId="0" xfId="211" applyNumberFormat="1" applyFill="1"/>
    <xf numFmtId="0" fontId="5" fillId="23" borderId="51" xfId="203" applyNumberFormat="1" applyFont="1" applyFill="1" applyBorder="1" applyAlignment="1" applyProtection="1">
      <alignment horizontal="center"/>
      <protection locked="0"/>
    </xf>
    <xf numFmtId="0" fontId="9" fillId="24" borderId="17" xfId="0" applyFont="1" applyFill="1" applyBorder="1"/>
    <xf numFmtId="0" fontId="5" fillId="0" borderId="64" xfId="0" applyFont="1" applyBorder="1"/>
    <xf numFmtId="0" fontId="5" fillId="24" borderId="0" xfId="0" applyFont="1" applyFill="1"/>
    <xf numFmtId="0" fontId="11" fillId="24" borderId="28" xfId="0" applyFont="1" applyFill="1" applyBorder="1" applyAlignment="1">
      <alignment horizontal="right"/>
    </xf>
    <xf numFmtId="0" fontId="11" fillId="24" borderId="26" xfId="0" applyFont="1" applyFill="1" applyBorder="1" applyAlignment="1">
      <alignment horizontal="right"/>
    </xf>
    <xf numFmtId="0" fontId="60" fillId="24" borderId="20" xfId="0" applyFont="1" applyFill="1" applyBorder="1"/>
    <xf numFmtId="0" fontId="10" fillId="25" borderId="18" xfId="0" applyFont="1" applyFill="1" applyBorder="1"/>
    <xf numFmtId="0" fontId="11" fillId="24" borderId="17" xfId="0" applyFont="1" applyFill="1" applyBorder="1" applyAlignment="1">
      <alignment horizontal="left"/>
    </xf>
    <xf numFmtId="0" fontId="11" fillId="24" borderId="15" xfId="0" applyFont="1" applyFill="1" applyBorder="1" applyAlignment="1">
      <alignment horizontal="right"/>
    </xf>
    <xf numFmtId="3" fontId="5" fillId="23" borderId="28" xfId="0" applyNumberFormat="1" applyFont="1" applyFill="1" applyBorder="1" applyAlignment="1">
      <alignment horizontal="center"/>
    </xf>
    <xf numFmtId="0" fontId="63" fillId="23" borderId="31" xfId="0" applyFont="1" applyFill="1" applyBorder="1" applyAlignment="1">
      <alignment horizontal="right"/>
    </xf>
    <xf numFmtId="2" fontId="63" fillId="23" borderId="43" xfId="0" applyNumberFormat="1" applyFont="1" applyFill="1" applyBorder="1" applyAlignment="1">
      <alignment horizontal="center"/>
    </xf>
    <xf numFmtId="0" fontId="5" fillId="25" borderId="47" xfId="0" applyFont="1" applyFill="1" applyBorder="1" applyAlignment="1" applyProtection="1">
      <alignment horizontal="center"/>
      <protection locked="0"/>
    </xf>
    <xf numFmtId="3" fontId="63" fillId="23" borderId="32" xfId="0" applyNumberFormat="1" applyFont="1" applyFill="1" applyBorder="1" applyAlignment="1">
      <alignment horizontal="center"/>
    </xf>
    <xf numFmtId="0" fontId="5" fillId="29" borderId="37" xfId="0" applyFont="1" applyFill="1" applyBorder="1" applyAlignment="1" applyProtection="1">
      <alignment horizontal="center"/>
      <protection locked="0"/>
    </xf>
    <xf numFmtId="0" fontId="5" fillId="29" borderId="93" xfId="0" applyFont="1" applyFill="1" applyBorder="1" applyAlignment="1" applyProtection="1">
      <alignment horizontal="center"/>
      <protection locked="0"/>
    </xf>
    <xf numFmtId="0" fontId="5" fillId="29" borderId="32" xfId="0" applyFont="1" applyFill="1" applyBorder="1" applyAlignment="1" applyProtection="1">
      <alignment horizontal="center"/>
      <protection locked="0"/>
    </xf>
    <xf numFmtId="0" fontId="5" fillId="29" borderId="33" xfId="0" applyFont="1" applyFill="1" applyBorder="1" applyAlignment="1" applyProtection="1">
      <alignment horizontal="center"/>
      <protection locked="0"/>
    </xf>
    <xf numFmtId="170" fontId="63" fillId="23" borderId="32" xfId="0" applyNumberFormat="1" applyFont="1" applyFill="1" applyBorder="1" applyAlignment="1">
      <alignment horizontal="center"/>
    </xf>
    <xf numFmtId="3" fontId="5" fillId="23" borderId="26" xfId="0" applyNumberFormat="1" applyFont="1" applyFill="1" applyBorder="1" applyAlignment="1">
      <alignment horizontal="center"/>
    </xf>
    <xf numFmtId="2" fontId="5" fillId="23" borderId="0" xfId="0" applyNumberFormat="1" applyFont="1" applyFill="1" applyAlignment="1">
      <alignment horizontal="center" vertical="center"/>
    </xf>
    <xf numFmtId="3" fontId="5" fillId="25" borderId="18" xfId="0" applyNumberFormat="1" applyFont="1" applyFill="1" applyBorder="1" applyAlignment="1">
      <alignment horizontal="center"/>
    </xf>
    <xf numFmtId="0" fontId="11" fillId="24" borderId="0" xfId="0" applyFont="1" applyFill="1" applyAlignment="1">
      <alignment vertical="center"/>
    </xf>
    <xf numFmtId="0" fontId="64" fillId="0" borderId="20" xfId="211" applyBorder="1" applyAlignment="1">
      <alignment horizontal="center"/>
    </xf>
    <xf numFmtId="0" fontId="10" fillId="23" borderId="48" xfId="0" applyFont="1" applyFill="1" applyBorder="1"/>
    <xf numFmtId="0" fontId="11" fillId="24" borderId="16" xfId="0" applyFont="1" applyFill="1" applyBorder="1" applyAlignment="1">
      <alignment vertical="center"/>
    </xf>
    <xf numFmtId="0" fontId="9" fillId="24" borderId="15" xfId="0" applyFont="1" applyFill="1" applyBorder="1" applyAlignment="1">
      <alignment vertical="center"/>
    </xf>
    <xf numFmtId="0" fontId="5" fillId="23" borderId="75" xfId="0" applyFont="1" applyFill="1" applyBorder="1" applyAlignment="1">
      <alignment horizontal="right" vertical="center"/>
    </xf>
    <xf numFmtId="0" fontId="5" fillId="23" borderId="74" xfId="0" applyFont="1" applyFill="1" applyBorder="1" applyAlignment="1">
      <alignment horizontal="right"/>
    </xf>
    <xf numFmtId="0" fontId="5" fillId="23" borderId="74" xfId="0" applyFont="1" applyFill="1" applyBorder="1" applyAlignment="1">
      <alignment horizontal="right" vertical="center"/>
    </xf>
    <xf numFmtId="0" fontId="5" fillId="23" borderId="76" xfId="0" applyFont="1" applyFill="1" applyBorder="1" applyAlignment="1">
      <alignment horizontal="right"/>
    </xf>
    <xf numFmtId="0" fontId="5" fillId="23" borderId="73" xfId="0" applyFont="1" applyFill="1" applyBorder="1" applyAlignment="1">
      <alignment horizontal="center"/>
    </xf>
    <xf numFmtId="0" fontId="97" fillId="23" borderId="16" xfId="0" applyFont="1" applyFill="1" applyBorder="1" applyAlignment="1">
      <alignment horizontal="left"/>
    </xf>
    <xf numFmtId="0" fontId="9" fillId="24" borderId="0" xfId="0" applyFont="1" applyFill="1"/>
    <xf numFmtId="0" fontId="16" fillId="23" borderId="0" xfId="0" applyFont="1" applyFill="1" applyAlignment="1">
      <alignment horizontal="right"/>
    </xf>
    <xf numFmtId="0" fontId="5" fillId="25" borderId="18" xfId="0" applyFont="1" applyFill="1" applyBorder="1" applyAlignment="1">
      <alignment horizontal="right"/>
    </xf>
    <xf numFmtId="166" fontId="63" fillId="23" borderId="43" xfId="0" applyNumberFormat="1" applyFont="1" applyFill="1" applyBorder="1" applyAlignment="1">
      <alignment horizontal="center"/>
    </xf>
    <xf numFmtId="0" fontId="63" fillId="23" borderId="32" xfId="0" applyFont="1" applyFill="1" applyBorder="1" applyAlignment="1">
      <alignment horizontal="center"/>
    </xf>
    <xf numFmtId="2" fontId="5" fillId="23" borderId="71" xfId="0" applyNumberFormat="1" applyFont="1" applyFill="1" applyBorder="1" applyAlignment="1">
      <alignment horizontal="center"/>
    </xf>
    <xf numFmtId="0" fontId="5" fillId="23" borderId="33" xfId="0" applyFont="1" applyFill="1" applyBorder="1"/>
    <xf numFmtId="2" fontId="5" fillId="23" borderId="32" xfId="0" applyNumberFormat="1" applyFont="1" applyFill="1" applyBorder="1" applyAlignment="1">
      <alignment horizontal="center" vertical="center"/>
    </xf>
    <xf numFmtId="0" fontId="5" fillId="23" borderId="58" xfId="0" applyFont="1" applyFill="1" applyBorder="1" applyAlignment="1">
      <alignment horizontal="right" vertical="center"/>
    </xf>
    <xf numFmtId="0" fontId="5" fillId="23" borderId="46" xfId="0" applyFont="1" applyFill="1" applyBorder="1" applyAlignment="1">
      <alignment horizontal="right"/>
    </xf>
    <xf numFmtId="0" fontId="5" fillId="23" borderId="46" xfId="0" applyFont="1" applyFill="1" applyBorder="1" applyAlignment="1">
      <alignment horizontal="right" vertical="center"/>
    </xf>
    <xf numFmtId="0" fontId="5" fillId="23" borderId="61" xfId="0" applyFont="1" applyFill="1" applyBorder="1" applyAlignment="1">
      <alignment horizontal="right"/>
    </xf>
    <xf numFmtId="0" fontId="5" fillId="23" borderId="75" xfId="0" applyFont="1" applyFill="1" applyBorder="1" applyAlignment="1">
      <alignment horizontal="center"/>
    </xf>
    <xf numFmtId="0" fontId="5" fillId="23" borderId="74" xfId="0" applyFont="1" applyFill="1" applyBorder="1" applyAlignment="1">
      <alignment horizontal="center"/>
    </xf>
    <xf numFmtId="0" fontId="5" fillId="23" borderId="74" xfId="0" applyFont="1" applyFill="1" applyBorder="1" applyAlignment="1">
      <alignment horizontal="center" vertical="center"/>
    </xf>
    <xf numFmtId="0" fontId="5" fillId="23" borderId="33" xfId="0" applyFont="1" applyFill="1" applyBorder="1" applyAlignment="1">
      <alignment horizontal="center" vertical="center"/>
    </xf>
    <xf numFmtId="0" fontId="5" fillId="23" borderId="76" xfId="0" applyFont="1" applyFill="1" applyBorder="1" applyAlignment="1">
      <alignment horizontal="center"/>
    </xf>
    <xf numFmtId="166" fontId="5" fillId="23" borderId="75" xfId="0" applyNumberFormat="1" applyFont="1" applyFill="1" applyBorder="1" applyAlignment="1" applyProtection="1">
      <alignment horizontal="center"/>
      <protection locked="0"/>
    </xf>
    <xf numFmtId="166" fontId="5" fillId="23" borderId="71" xfId="0" applyNumberFormat="1" applyFont="1" applyFill="1" applyBorder="1" applyAlignment="1" applyProtection="1">
      <alignment horizontal="center"/>
      <protection locked="0"/>
    </xf>
    <xf numFmtId="166" fontId="5" fillId="23" borderId="77" xfId="0" applyNumberFormat="1" applyFont="1" applyFill="1" applyBorder="1" applyAlignment="1" applyProtection="1">
      <alignment horizontal="center"/>
      <protection locked="0"/>
    </xf>
    <xf numFmtId="166" fontId="5" fillId="23" borderId="76" xfId="0" applyNumberFormat="1" applyFont="1" applyFill="1" applyBorder="1" applyAlignment="1" applyProtection="1">
      <alignment horizontal="center"/>
      <protection locked="0"/>
    </xf>
    <xf numFmtId="166" fontId="5" fillId="23" borderId="40" xfId="0" applyNumberFormat="1" applyFont="1" applyFill="1" applyBorder="1" applyAlignment="1" applyProtection="1">
      <alignment horizontal="center"/>
      <protection locked="0"/>
    </xf>
    <xf numFmtId="166" fontId="5" fillId="23" borderId="73" xfId="0" applyNumberFormat="1" applyFont="1" applyFill="1" applyBorder="1" applyAlignment="1" applyProtection="1">
      <alignment horizontal="center"/>
      <protection locked="0"/>
    </xf>
    <xf numFmtId="0" fontId="5" fillId="23" borderId="61" xfId="0" applyFont="1" applyFill="1" applyBorder="1" applyAlignment="1">
      <alignment horizontal="right" vertical="center"/>
    </xf>
    <xf numFmtId="166" fontId="5" fillId="23" borderId="40" xfId="0" applyNumberFormat="1" applyFont="1" applyFill="1" applyBorder="1" applyAlignment="1">
      <alignment horizontal="center"/>
    </xf>
    <xf numFmtId="166" fontId="5" fillId="23" borderId="32" xfId="0" applyNumberFormat="1" applyFont="1" applyFill="1" applyBorder="1" applyAlignment="1">
      <alignment horizontal="center"/>
    </xf>
    <xf numFmtId="166" fontId="5" fillId="23" borderId="33" xfId="0" applyNumberFormat="1" applyFont="1" applyFill="1" applyBorder="1" applyAlignment="1">
      <alignment horizontal="center"/>
    </xf>
    <xf numFmtId="166" fontId="5" fillId="25" borderId="18" xfId="0" applyNumberFormat="1" applyFont="1" applyFill="1" applyBorder="1" applyAlignment="1">
      <alignment horizontal="center"/>
    </xf>
    <xf numFmtId="166" fontId="5" fillId="23" borderId="75" xfId="0" applyNumberFormat="1" applyFont="1" applyFill="1" applyBorder="1" applyAlignment="1">
      <alignment horizontal="center"/>
    </xf>
    <xf numFmtId="2" fontId="5" fillId="23" borderId="74" xfId="0" applyNumberFormat="1" applyFont="1" applyFill="1" applyBorder="1" applyAlignment="1" applyProtection="1">
      <alignment horizontal="center"/>
      <protection locked="0"/>
    </xf>
    <xf numFmtId="2" fontId="5" fillId="23" borderId="33" xfId="0" applyNumberFormat="1" applyFont="1" applyFill="1" applyBorder="1" applyAlignment="1">
      <alignment horizontal="center"/>
    </xf>
    <xf numFmtId="2" fontId="5" fillId="23" borderId="74" xfId="0" applyNumberFormat="1" applyFont="1" applyFill="1" applyBorder="1" applyAlignment="1">
      <alignment horizontal="center"/>
    </xf>
    <xf numFmtId="166" fontId="5" fillId="23" borderId="74" xfId="0" applyNumberFormat="1" applyFont="1" applyFill="1" applyBorder="1" applyAlignment="1" applyProtection="1">
      <alignment horizontal="center"/>
      <protection locked="0"/>
    </xf>
    <xf numFmtId="0" fontId="10" fillId="23" borderId="0" xfId="0" applyFont="1" applyFill="1" applyAlignment="1">
      <alignment horizontal="left"/>
    </xf>
    <xf numFmtId="2" fontId="0" fillId="28" borderId="0" xfId="0" applyNumberFormat="1" applyFill="1" applyAlignment="1">
      <alignment horizontal="center"/>
    </xf>
    <xf numFmtId="0" fontId="29" fillId="23" borderId="15" xfId="0" applyFont="1" applyFill="1" applyBorder="1"/>
    <xf numFmtId="0" fontId="29" fillId="23" borderId="16" xfId="0" applyFont="1" applyFill="1" applyBorder="1" applyAlignment="1">
      <alignment horizontal="center"/>
    </xf>
    <xf numFmtId="0" fontId="29" fillId="23" borderId="17" xfId="0" applyFont="1" applyFill="1" applyBorder="1" applyAlignment="1">
      <alignment horizontal="center"/>
    </xf>
    <xf numFmtId="0" fontId="32" fillId="23" borderId="22" xfId="0" applyFont="1" applyFill="1" applyBorder="1"/>
    <xf numFmtId="166" fontId="32" fillId="23" borderId="0" xfId="0" applyNumberFormat="1" applyFont="1" applyFill="1" applyAlignment="1">
      <alignment horizontal="center"/>
    </xf>
    <xf numFmtId="166" fontId="29" fillId="23" borderId="0" xfId="0" applyNumberFormat="1" applyFont="1" applyFill="1" applyAlignment="1">
      <alignment horizontal="center"/>
    </xf>
    <xf numFmtId="166" fontId="32" fillId="23" borderId="24" xfId="0" applyNumberFormat="1" applyFont="1" applyFill="1" applyBorder="1" applyAlignment="1">
      <alignment horizontal="center"/>
    </xf>
    <xf numFmtId="166" fontId="32" fillId="23" borderId="23" xfId="0" applyNumberFormat="1" applyFont="1" applyFill="1" applyBorder="1" applyAlignment="1">
      <alignment horizontal="center"/>
    </xf>
    <xf numFmtId="166" fontId="16" fillId="23" borderId="27" xfId="0" applyNumberFormat="1" applyFont="1" applyFill="1" applyBorder="1" applyAlignment="1">
      <alignment horizontal="center"/>
    </xf>
    <xf numFmtId="166" fontId="16" fillId="23" borderId="34" xfId="0" applyNumberFormat="1" applyFont="1" applyFill="1" applyBorder="1" applyAlignment="1">
      <alignment horizontal="center"/>
    </xf>
    <xf numFmtId="0" fontId="10" fillId="0" borderId="0" xfId="0" applyFont="1" applyAlignment="1">
      <alignment horizontal="left"/>
    </xf>
    <xf numFmtId="0" fontId="5" fillId="23" borderId="68" xfId="0" applyFont="1" applyFill="1" applyBorder="1"/>
    <xf numFmtId="2" fontId="5" fillId="25" borderId="77" xfId="0" applyNumberFormat="1" applyFont="1" applyFill="1" applyBorder="1" applyAlignment="1" applyProtection="1">
      <alignment horizontal="center"/>
      <protection locked="0"/>
    </xf>
    <xf numFmtId="2" fontId="5" fillId="25" borderId="33" xfId="0" applyNumberFormat="1" applyFont="1" applyFill="1" applyBorder="1" applyAlignment="1" applyProtection="1">
      <alignment horizontal="center"/>
      <protection locked="0"/>
    </xf>
    <xf numFmtId="2" fontId="5" fillId="25" borderId="73" xfId="0" applyNumberFormat="1" applyFont="1" applyFill="1" applyBorder="1" applyAlignment="1" applyProtection="1">
      <alignment horizontal="center"/>
      <protection locked="0"/>
    </xf>
    <xf numFmtId="166" fontId="0" fillId="0" borderId="0" xfId="0" applyNumberFormat="1" applyAlignment="1">
      <alignment horizontal="center"/>
    </xf>
    <xf numFmtId="1" fontId="5" fillId="23" borderId="0" xfId="0" applyNumberFormat="1" applyFont="1" applyFill="1" applyAlignment="1">
      <alignment horizontal="left"/>
    </xf>
    <xf numFmtId="1" fontId="5" fillId="23" borderId="22" xfId="0" applyNumberFormat="1" applyFont="1" applyFill="1" applyBorder="1"/>
    <xf numFmtId="1" fontId="5" fillId="0" borderId="22" xfId="0" applyNumberFormat="1" applyFont="1" applyBorder="1"/>
    <xf numFmtId="0" fontId="5" fillId="0" borderId="36" xfId="0" applyFont="1" applyBorder="1"/>
    <xf numFmtId="1" fontId="5" fillId="23" borderId="17" xfId="0" applyNumberFormat="1" applyFont="1" applyFill="1" applyBorder="1"/>
    <xf numFmtId="0" fontId="5" fillId="23" borderId="94" xfId="0" applyFont="1" applyFill="1" applyBorder="1" applyAlignment="1">
      <alignment horizontal="center"/>
    </xf>
    <xf numFmtId="0" fontId="5" fillId="23" borderId="79" xfId="0" applyFont="1" applyFill="1" applyBorder="1" applyAlignment="1">
      <alignment horizontal="center"/>
    </xf>
    <xf numFmtId="0" fontId="60" fillId="24" borderId="15" xfId="0" applyFont="1" applyFill="1" applyBorder="1"/>
    <xf numFmtId="0" fontId="5" fillId="23" borderId="33" xfId="203" applyNumberFormat="1" applyFont="1" applyFill="1" applyBorder="1" applyAlignment="1" applyProtection="1">
      <alignment horizontal="center"/>
      <protection locked="0"/>
    </xf>
    <xf numFmtId="0" fontId="25" fillId="23" borderId="32" xfId="0" applyFont="1" applyFill="1" applyBorder="1" applyAlignment="1">
      <alignment horizontal="center" vertical="center"/>
    </xf>
    <xf numFmtId="0" fontId="32" fillId="23" borderId="22" xfId="0" applyFont="1" applyFill="1" applyBorder="1" applyAlignment="1">
      <alignment horizontal="center"/>
    </xf>
    <xf numFmtId="3" fontId="32" fillId="23" borderId="0" xfId="0" applyNumberFormat="1" applyFont="1" applyFill="1" applyAlignment="1">
      <alignment horizontal="center"/>
    </xf>
    <xf numFmtId="0" fontId="32" fillId="23" borderId="0" xfId="0" applyFont="1" applyFill="1"/>
    <xf numFmtId="1" fontId="32" fillId="23" borderId="25" xfId="0" applyNumberFormat="1" applyFont="1" applyFill="1" applyBorder="1" applyAlignment="1">
      <alignment horizontal="center"/>
    </xf>
    <xf numFmtId="1" fontId="32" fillId="23" borderId="27" xfId="0" applyNumberFormat="1" applyFont="1" applyFill="1" applyBorder="1" applyAlignment="1">
      <alignment horizontal="center"/>
    </xf>
    <xf numFmtId="1" fontId="32" fillId="23" borderId="34" xfId="177" applyNumberFormat="1" applyFont="1" applyFill="1" applyBorder="1" applyAlignment="1">
      <alignment horizontal="center"/>
    </xf>
    <xf numFmtId="166" fontId="32" fillId="23" borderId="34" xfId="0" applyNumberFormat="1" applyFont="1" applyFill="1" applyBorder="1" applyAlignment="1">
      <alignment horizontal="center"/>
    </xf>
    <xf numFmtId="171" fontId="5" fillId="23" borderId="0" xfId="0" applyNumberFormat="1" applyFont="1" applyFill="1"/>
    <xf numFmtId="0" fontId="37" fillId="23" borderId="0" xfId="0" applyFont="1" applyFill="1" applyAlignment="1">
      <alignment horizontal="center"/>
    </xf>
    <xf numFmtId="1" fontId="98" fillId="23" borderId="0" xfId="0" applyNumberFormat="1" applyFont="1" applyFill="1"/>
    <xf numFmtId="0" fontId="98" fillId="23" borderId="0" xfId="0" applyFont="1" applyFill="1"/>
    <xf numFmtId="1" fontId="99" fillId="23" borderId="21" xfId="0" applyNumberFormat="1" applyFont="1" applyFill="1" applyBorder="1" applyAlignment="1">
      <alignment horizontal="center"/>
    </xf>
    <xf numFmtId="1" fontId="99" fillId="23" borderId="0" xfId="0" applyNumberFormat="1" applyFont="1" applyFill="1" applyAlignment="1">
      <alignment horizontal="center"/>
    </xf>
    <xf numFmtId="1" fontId="100" fillId="23" borderId="24" xfId="177" applyNumberFormat="1" applyFont="1" applyFill="1" applyBorder="1" applyAlignment="1">
      <alignment horizontal="center"/>
    </xf>
    <xf numFmtId="1" fontId="100" fillId="23" borderId="23" xfId="177" applyNumberFormat="1" applyFont="1" applyFill="1" applyBorder="1" applyAlignment="1">
      <alignment horizontal="center"/>
    </xf>
    <xf numFmtId="0" fontId="30" fillId="24" borderId="25" xfId="0" applyFont="1" applyFill="1" applyBorder="1" applyAlignment="1">
      <alignment horizontal="center"/>
    </xf>
    <xf numFmtId="0" fontId="30" fillId="24" borderId="27" xfId="0" applyFont="1" applyFill="1" applyBorder="1" applyAlignment="1">
      <alignment horizontal="center"/>
    </xf>
    <xf numFmtId="167" fontId="0" fillId="23" borderId="26" xfId="0" applyNumberFormat="1" applyFill="1" applyBorder="1" applyAlignment="1">
      <alignment horizontal="center"/>
    </xf>
    <xf numFmtId="167" fontId="32" fillId="23" borderId="27" xfId="203" applyNumberFormat="1" applyFont="1" applyFill="1" applyBorder="1" applyAlignment="1" applyProtection="1">
      <alignment horizontal="center"/>
    </xf>
    <xf numFmtId="3" fontId="32" fillId="23" borderId="25" xfId="0" applyNumberFormat="1" applyFont="1" applyFill="1" applyBorder="1" applyAlignment="1">
      <alignment horizontal="center"/>
    </xf>
    <xf numFmtId="166" fontId="100" fillId="23" borderId="0" xfId="0" applyNumberFormat="1" applyFont="1" applyFill="1" applyAlignment="1">
      <alignment horizontal="center"/>
    </xf>
    <xf numFmtId="3" fontId="32" fillId="23" borderId="22" xfId="0" applyNumberFormat="1" applyFont="1" applyFill="1" applyBorder="1" applyAlignment="1">
      <alignment horizontal="center"/>
    </xf>
    <xf numFmtId="0" fontId="0" fillId="23" borderId="15" xfId="0" applyFill="1" applyBorder="1"/>
    <xf numFmtId="1" fontId="32" fillId="23" borderId="15" xfId="0" applyNumberFormat="1" applyFont="1" applyFill="1" applyBorder="1" applyAlignment="1">
      <alignment horizontal="center"/>
    </xf>
    <xf numFmtId="166" fontId="100" fillId="23" borderId="24" xfId="0" applyNumberFormat="1" applyFont="1" applyFill="1" applyBorder="1" applyAlignment="1">
      <alignment horizontal="center"/>
    </xf>
    <xf numFmtId="0" fontId="5" fillId="24" borderId="23" xfId="0" applyFont="1" applyFill="1" applyBorder="1"/>
    <xf numFmtId="3" fontId="98" fillId="23" borderId="0" xfId="0" applyNumberFormat="1" applyFont="1" applyFill="1"/>
    <xf numFmtId="1" fontId="98" fillId="23" borderId="16" xfId="0" applyNumberFormat="1" applyFont="1" applyFill="1" applyBorder="1"/>
    <xf numFmtId="0" fontId="32" fillId="23" borderId="17" xfId="0" applyFont="1" applyFill="1" applyBorder="1"/>
    <xf numFmtId="166" fontId="11" fillId="24" borderId="26" xfId="0" applyNumberFormat="1" applyFont="1" applyFill="1" applyBorder="1" applyAlignment="1">
      <alignment horizontal="center"/>
    </xf>
    <xf numFmtId="166" fontId="84" fillId="23" borderId="28" xfId="0" applyNumberFormat="1" applyFont="1" applyFill="1" applyBorder="1" applyAlignment="1">
      <alignment horizontal="center"/>
    </xf>
    <xf numFmtId="2" fontId="32" fillId="23" borderId="18" xfId="0" applyNumberFormat="1" applyFont="1" applyFill="1" applyBorder="1" applyAlignment="1">
      <alignment horizontal="center"/>
    </xf>
    <xf numFmtId="1" fontId="32" fillId="23" borderId="0" xfId="0" applyNumberFormat="1" applyFont="1" applyFill="1"/>
    <xf numFmtId="0" fontId="102" fillId="23" borderId="0" xfId="0" applyFont="1" applyFill="1" applyAlignment="1">
      <alignment horizontal="left"/>
    </xf>
    <xf numFmtId="0" fontId="102" fillId="23" borderId="0" xfId="0" applyFont="1" applyFill="1" applyAlignment="1">
      <alignment horizontal="right"/>
    </xf>
    <xf numFmtId="166" fontId="98" fillId="23" borderId="23" xfId="0" applyNumberFormat="1" applyFont="1" applyFill="1" applyBorder="1" applyAlignment="1">
      <alignment horizontal="center"/>
    </xf>
    <xf numFmtId="170" fontId="101" fillId="23" borderId="23" xfId="0" applyNumberFormat="1" applyFont="1" applyFill="1" applyBorder="1" applyAlignment="1">
      <alignment horizontal="center"/>
    </xf>
    <xf numFmtId="170" fontId="101" fillId="23" borderId="34" xfId="0" applyNumberFormat="1" applyFont="1" applyFill="1" applyBorder="1" applyAlignment="1">
      <alignment horizontal="center"/>
    </xf>
    <xf numFmtId="170" fontId="32" fillId="23" borderId="23" xfId="0" applyNumberFormat="1" applyFont="1" applyFill="1" applyBorder="1" applyAlignment="1">
      <alignment horizontal="center"/>
    </xf>
    <xf numFmtId="170" fontId="32" fillId="23" borderId="34" xfId="0" applyNumberFormat="1" applyFont="1" applyFill="1" applyBorder="1" applyAlignment="1">
      <alignment horizontal="center"/>
    </xf>
    <xf numFmtId="170" fontId="32" fillId="23" borderId="28" xfId="0" applyNumberFormat="1" applyFont="1" applyFill="1" applyBorder="1" applyAlignment="1">
      <alignment horizontal="center"/>
    </xf>
    <xf numFmtId="170" fontId="32" fillId="23" borderId="26" xfId="0" applyNumberFormat="1" applyFont="1" applyFill="1" applyBorder="1" applyAlignment="1">
      <alignment horizontal="center"/>
    </xf>
    <xf numFmtId="0" fontId="32" fillId="23" borderId="18" xfId="0" applyFont="1" applyFill="1" applyBorder="1"/>
    <xf numFmtId="3" fontId="32" fillId="23" borderId="0" xfId="0" applyNumberFormat="1" applyFont="1" applyFill="1" applyAlignment="1">
      <alignment horizontal="left"/>
    </xf>
    <xf numFmtId="0" fontId="39" fillId="24" borderId="20" xfId="0" applyFont="1" applyFill="1" applyBorder="1"/>
    <xf numFmtId="0" fontId="30" fillId="24" borderId="26" xfId="0" applyFont="1" applyFill="1" applyBorder="1"/>
    <xf numFmtId="167" fontId="5" fillId="23" borderId="0" xfId="0" applyNumberFormat="1" applyFont="1" applyFill="1"/>
    <xf numFmtId="0" fontId="106" fillId="24" borderId="19" xfId="0" applyFont="1" applyFill="1" applyBorder="1"/>
    <xf numFmtId="0" fontId="106" fillId="24" borderId="21" xfId="0" applyFont="1" applyFill="1" applyBorder="1"/>
    <xf numFmtId="0" fontId="5" fillId="24" borderId="20" xfId="0" applyFont="1" applyFill="1" applyBorder="1"/>
    <xf numFmtId="0" fontId="9" fillId="24" borderId="16" xfId="0" applyFont="1" applyFill="1" applyBorder="1"/>
    <xf numFmtId="0" fontId="5" fillId="23" borderId="20" xfId="0" applyFont="1" applyFill="1" applyBorder="1" applyAlignment="1">
      <alignment horizontal="left"/>
    </xf>
    <xf numFmtId="0" fontId="0" fillId="28" borderId="64" xfId="0" applyFill="1" applyBorder="1"/>
    <xf numFmtId="0" fontId="9" fillId="24" borderId="25" xfId="0" applyFont="1" applyFill="1" applyBorder="1"/>
    <xf numFmtId="0" fontId="9" fillId="24" borderId="27" xfId="0" applyFont="1" applyFill="1" applyBorder="1" applyAlignment="1" applyProtection="1">
      <alignment horizontal="center"/>
      <protection locked="0"/>
    </xf>
    <xf numFmtId="0" fontId="5" fillId="24" borderId="26" xfId="0" applyFont="1" applyFill="1" applyBorder="1" applyAlignment="1">
      <alignment horizontal="center"/>
    </xf>
    <xf numFmtId="0" fontId="5" fillId="23" borderId="16" xfId="0" applyFont="1" applyFill="1" applyBorder="1" applyAlignment="1">
      <alignment horizontal="right"/>
    </xf>
    <xf numFmtId="0" fontId="5" fillId="23" borderId="28" xfId="0" applyFont="1" applyFill="1" applyBorder="1" applyAlignment="1">
      <alignment horizontal="left"/>
    </xf>
    <xf numFmtId="0" fontId="0" fillId="28" borderId="29" xfId="0" applyFill="1" applyBorder="1"/>
    <xf numFmtId="0" fontId="16" fillId="23" borderId="22" xfId="0" applyFont="1" applyFill="1" applyBorder="1" applyAlignment="1">
      <alignment horizontal="center"/>
    </xf>
    <xf numFmtId="0" fontId="16" fillId="23" borderId="28" xfId="0" applyFont="1" applyFill="1" applyBorder="1" applyAlignment="1">
      <alignment horizontal="center"/>
    </xf>
    <xf numFmtId="0" fontId="5" fillId="23" borderId="22" xfId="0" applyFont="1" applyFill="1" applyBorder="1" applyAlignment="1">
      <alignment horizontal="center"/>
    </xf>
    <xf numFmtId="166" fontId="5" fillId="23" borderId="0" xfId="0" applyNumberFormat="1" applyFont="1" applyFill="1" applyAlignment="1">
      <alignment horizontal="right"/>
    </xf>
    <xf numFmtId="0" fontId="0" fillId="28" borderId="54" xfId="0" applyFill="1" applyBorder="1"/>
    <xf numFmtId="3" fontId="5" fillId="23" borderId="25" xfId="0" applyNumberFormat="1" applyFont="1" applyFill="1" applyBorder="1" applyAlignment="1">
      <alignment horizontal="center"/>
    </xf>
    <xf numFmtId="0" fontId="5" fillId="23" borderId="19" xfId="0" applyFont="1" applyFill="1" applyBorder="1" applyAlignment="1">
      <alignment horizontal="center"/>
    </xf>
    <xf numFmtId="0" fontId="24" fillId="23" borderId="21" xfId="0" applyFont="1" applyFill="1" applyBorder="1" applyAlignment="1">
      <alignment horizontal="left"/>
    </xf>
    <xf numFmtId="170" fontId="5" fillId="23" borderId="0" xfId="0" applyNumberFormat="1" applyFont="1" applyFill="1" applyAlignment="1">
      <alignment horizontal="right"/>
    </xf>
    <xf numFmtId="0" fontId="5" fillId="23" borderId="25" xfId="0" applyFont="1" applyFill="1" applyBorder="1" applyAlignment="1">
      <alignment horizontal="center"/>
    </xf>
    <xf numFmtId="0" fontId="5" fillId="23" borderId="26" xfId="0" applyFont="1" applyFill="1" applyBorder="1" applyAlignment="1">
      <alignment horizontal="left"/>
    </xf>
    <xf numFmtId="168" fontId="5" fillId="23" borderId="33" xfId="0" applyNumberFormat="1" applyFont="1" applyFill="1" applyBorder="1" applyAlignment="1">
      <alignment horizontal="center" vertical="center"/>
    </xf>
    <xf numFmtId="0" fontId="23" fillId="24" borderId="20" xfId="0" applyFont="1" applyFill="1" applyBorder="1" applyAlignment="1">
      <alignment horizontal="left"/>
    </xf>
    <xf numFmtId="0" fontId="22" fillId="25" borderId="28" xfId="0" applyFont="1" applyFill="1" applyBorder="1" applyAlignment="1">
      <alignment horizontal="center"/>
    </xf>
    <xf numFmtId="1" fontId="5" fillId="23" borderId="58" xfId="0" applyNumberFormat="1" applyFont="1" applyFill="1" applyBorder="1" applyAlignment="1">
      <alignment horizontal="center"/>
    </xf>
    <xf numFmtId="2" fontId="5" fillId="23" borderId="58" xfId="0" applyNumberFormat="1" applyFont="1" applyFill="1" applyBorder="1" applyAlignment="1">
      <alignment horizontal="center"/>
    </xf>
    <xf numFmtId="2" fontId="5" fillId="23" borderId="46" xfId="0" applyNumberFormat="1" applyFont="1" applyFill="1" applyBorder="1" applyAlignment="1">
      <alignment horizontal="center"/>
    </xf>
    <xf numFmtId="2" fontId="5" fillId="23" borderId="60" xfId="0" applyNumberFormat="1" applyFont="1" applyFill="1" applyBorder="1" applyAlignment="1">
      <alignment horizontal="center"/>
    </xf>
    <xf numFmtId="2" fontId="5" fillId="23" borderId="37" xfId="0" applyNumberFormat="1" applyFont="1" applyFill="1" applyBorder="1" applyAlignment="1">
      <alignment horizontal="center"/>
    </xf>
    <xf numFmtId="1" fontId="5" fillId="23" borderId="41" xfId="0" applyNumberFormat="1" applyFont="1" applyFill="1" applyBorder="1" applyAlignment="1">
      <alignment horizontal="center"/>
    </xf>
    <xf numFmtId="1" fontId="5" fillId="23" borderId="29" xfId="0" applyNumberFormat="1" applyFont="1" applyFill="1" applyBorder="1" applyAlignment="1">
      <alignment horizontal="center"/>
    </xf>
    <xf numFmtId="0" fontId="22" fillId="23" borderId="31" xfId="0" applyFont="1" applyFill="1" applyBorder="1"/>
    <xf numFmtId="0" fontId="22" fillId="23" borderId="92" xfId="0" applyFont="1" applyFill="1" applyBorder="1"/>
    <xf numFmtId="0" fontId="5" fillId="23" borderId="93" xfId="0" applyFont="1" applyFill="1" applyBorder="1" applyAlignment="1">
      <alignment horizontal="center"/>
    </xf>
    <xf numFmtId="0" fontId="30" fillId="24" borderId="21" xfId="0" applyFont="1" applyFill="1" applyBorder="1"/>
    <xf numFmtId="0" fontId="30" fillId="24" borderId="24" xfId="0" applyFont="1" applyFill="1" applyBorder="1"/>
    <xf numFmtId="0" fontId="0" fillId="23" borderId="19" xfId="0" applyFill="1" applyBorder="1"/>
    <xf numFmtId="0" fontId="0" fillId="23" borderId="21" xfId="0" applyFill="1" applyBorder="1"/>
    <xf numFmtId="0" fontId="0" fillId="23" borderId="24" xfId="0" applyFill="1" applyBorder="1"/>
    <xf numFmtId="0" fontId="0" fillId="23" borderId="0" xfId="0" applyFill="1" applyAlignment="1">
      <alignment horizontal="right"/>
    </xf>
    <xf numFmtId="176" fontId="0" fillId="25" borderId="0" xfId="0" applyNumberFormat="1" applyFill="1" applyAlignment="1" applyProtection="1">
      <alignment horizontal="center"/>
      <protection locked="0"/>
    </xf>
    <xf numFmtId="0" fontId="0" fillId="23" borderId="23" xfId="0" applyFill="1" applyBorder="1" applyAlignment="1">
      <alignment horizontal="left"/>
    </xf>
    <xf numFmtId="0" fontId="39" fillId="24" borderId="15" xfId="0" applyFont="1" applyFill="1" applyBorder="1"/>
    <xf numFmtId="0" fontId="30" fillId="24" borderId="16" xfId="0" applyFont="1" applyFill="1" applyBorder="1"/>
    <xf numFmtId="0" fontId="30" fillId="24" borderId="17" xfId="0" applyFont="1" applyFill="1" applyBorder="1"/>
    <xf numFmtId="0" fontId="0" fillId="25" borderId="57" xfId="0" applyFill="1" applyBorder="1" applyProtection="1">
      <protection locked="0"/>
    </xf>
    <xf numFmtId="9" fontId="0" fillId="23" borderId="0" xfId="0" applyNumberFormat="1" applyFill="1" applyAlignment="1">
      <alignment horizontal="right"/>
    </xf>
    <xf numFmtId="171" fontId="0" fillId="23" borderId="27" xfId="0" applyNumberFormat="1" applyFill="1" applyBorder="1"/>
    <xf numFmtId="0" fontId="109" fillId="0" borderId="95" xfId="0" applyFont="1" applyBorder="1" applyAlignment="1">
      <alignment vertical="center"/>
    </xf>
    <xf numFmtId="0" fontId="0" fillId="0" borderId="96" xfId="0" applyBorder="1"/>
    <xf numFmtId="0" fontId="0" fillId="0" borderId="97" xfId="0" applyBorder="1"/>
    <xf numFmtId="0" fontId="110" fillId="0" borderId="98" xfId="0" applyFont="1" applyBorder="1" applyAlignment="1">
      <alignment vertical="center"/>
    </xf>
    <xf numFmtId="0" fontId="0" fillId="0" borderId="99" xfId="0" applyBorder="1"/>
    <xf numFmtId="0" fontId="0" fillId="0" borderId="100" xfId="0" applyBorder="1"/>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1" fillId="0" borderId="98" xfId="0" applyFont="1" applyBorder="1" applyAlignment="1">
      <alignment vertical="center"/>
    </xf>
    <xf numFmtId="0" fontId="112" fillId="0" borderId="98" xfId="0" applyFont="1" applyBorder="1" applyAlignment="1">
      <alignment vertical="center"/>
    </xf>
    <xf numFmtId="0" fontId="113" fillId="0" borderId="98" xfId="0" applyFont="1" applyBorder="1" applyAlignment="1">
      <alignment vertical="center"/>
    </xf>
    <xf numFmtId="0" fontId="116" fillId="0" borderId="101" xfId="0" applyFont="1" applyBorder="1" applyAlignment="1">
      <alignment vertical="center"/>
    </xf>
    <xf numFmtId="0" fontId="0" fillId="0" borderId="87" xfId="0" applyBorder="1"/>
    <xf numFmtId="0" fontId="110" fillId="35" borderId="102" xfId="0" applyFont="1" applyFill="1" applyBorder="1" applyAlignment="1">
      <alignment vertical="center" wrapText="1"/>
    </xf>
    <xf numFmtId="0" fontId="110" fillId="35" borderId="103" xfId="0" applyFont="1" applyFill="1" applyBorder="1" applyAlignment="1">
      <alignment horizontal="center" vertical="center" wrapText="1"/>
    </xf>
    <xf numFmtId="0" fontId="110" fillId="35" borderId="104" xfId="0" applyFont="1" applyFill="1" applyBorder="1" applyAlignment="1">
      <alignment vertical="center" wrapText="1"/>
    </xf>
    <xf numFmtId="0" fontId="110" fillId="0" borderId="105" xfId="0" applyFont="1" applyBorder="1" applyAlignment="1">
      <alignment horizontal="center" vertical="center" wrapText="1"/>
    </xf>
    <xf numFmtId="0" fontId="110" fillId="0" borderId="101" xfId="0" applyFont="1" applyBorder="1" applyAlignment="1">
      <alignment vertical="center"/>
    </xf>
    <xf numFmtId="0" fontId="117" fillId="0" borderId="106" xfId="0" applyFont="1" applyBorder="1" applyAlignment="1">
      <alignment vertical="center"/>
    </xf>
    <xf numFmtId="0" fontId="0" fillId="0" borderId="107" xfId="0" applyBorder="1"/>
    <xf numFmtId="0" fontId="0" fillId="0" borderId="108" xfId="0" applyBorder="1"/>
    <xf numFmtId="0" fontId="0" fillId="0" borderId="109" xfId="0" applyBorder="1"/>
    <xf numFmtId="0" fontId="0" fillId="0" borderId="110" xfId="0" applyBorder="1"/>
    <xf numFmtId="0" fontId="0" fillId="0" borderId="111" xfId="0" applyBorder="1"/>
    <xf numFmtId="0" fontId="14" fillId="23" borderId="16" xfId="0" applyFont="1" applyFill="1" applyBorder="1" applyAlignment="1">
      <alignment horizontal="right" vertical="center"/>
    </xf>
    <xf numFmtId="0" fontId="5" fillId="23" borderId="31" xfId="0" applyFont="1" applyFill="1" applyBorder="1"/>
    <xf numFmtId="0" fontId="63" fillId="23" borderId="16" xfId="0" applyFont="1" applyFill="1" applyBorder="1" applyAlignment="1">
      <alignment horizontal="right" vertical="center"/>
    </xf>
    <xf numFmtId="0" fontId="16" fillId="29" borderId="83" xfId="0" applyFont="1" applyFill="1" applyBorder="1" applyAlignment="1" applyProtection="1">
      <alignment horizontal="center" vertical="center"/>
      <protection locked="0"/>
    </xf>
    <xf numFmtId="0" fontId="119" fillId="23" borderId="94" xfId="0" applyFont="1" applyFill="1" applyBorder="1" applyAlignment="1" applyProtection="1">
      <alignment horizontal="right" vertical="center"/>
      <protection locked="0"/>
    </xf>
    <xf numFmtId="0" fontId="119" fillId="23" borderId="70" xfId="0" applyFont="1" applyFill="1" applyBorder="1" applyAlignment="1" applyProtection="1">
      <alignment horizontal="right" vertical="center"/>
      <protection locked="0"/>
    </xf>
    <xf numFmtId="0" fontId="5" fillId="23" borderId="70" xfId="0" applyFont="1" applyFill="1" applyBorder="1"/>
    <xf numFmtId="0" fontId="5" fillId="23" borderId="59" xfId="0" applyFont="1" applyFill="1" applyBorder="1"/>
    <xf numFmtId="0" fontId="5" fillId="23" borderId="55" xfId="0" applyFont="1" applyFill="1" applyBorder="1"/>
    <xf numFmtId="0" fontId="0" fillId="28" borderId="75" xfId="0" applyFill="1" applyBorder="1"/>
    <xf numFmtId="0" fontId="0" fillId="28" borderId="74" xfId="0" applyFill="1" applyBorder="1"/>
    <xf numFmtId="0" fontId="0" fillId="28" borderId="76" xfId="0" applyFill="1" applyBorder="1"/>
    <xf numFmtId="0" fontId="10" fillId="23" borderId="27" xfId="0" applyFont="1" applyFill="1" applyBorder="1"/>
    <xf numFmtId="0" fontId="105" fillId="23" borderId="0" xfId="0" applyFont="1" applyFill="1" applyAlignment="1">
      <alignment horizontal="right" wrapText="1"/>
    </xf>
    <xf numFmtId="0" fontId="5" fillId="23" borderId="0" xfId="0" applyFont="1" applyFill="1" applyProtection="1">
      <protection locked="0"/>
    </xf>
    <xf numFmtId="0" fontId="39" fillId="24" borderId="21" xfId="0" applyFont="1" applyFill="1" applyBorder="1"/>
    <xf numFmtId="0" fontId="39" fillId="24" borderId="24" xfId="0" applyFont="1" applyFill="1" applyBorder="1"/>
    <xf numFmtId="0" fontId="30" fillId="24" borderId="34" xfId="0" applyFont="1" applyFill="1" applyBorder="1"/>
    <xf numFmtId="0" fontId="14" fillId="23" borderId="24" xfId="0" applyFont="1" applyFill="1" applyBorder="1"/>
    <xf numFmtId="0" fontId="5" fillId="23" borderId="24" xfId="0" applyFont="1" applyFill="1" applyBorder="1" applyAlignment="1" applyProtection="1">
      <alignment horizontal="center"/>
      <protection locked="0"/>
    </xf>
    <xf numFmtId="2" fontId="5" fillId="23" borderId="34" xfId="0" applyNumberFormat="1" applyFont="1" applyFill="1" applyBorder="1" applyAlignment="1" applyProtection="1">
      <alignment horizontal="center"/>
      <protection locked="0"/>
    </xf>
    <xf numFmtId="0" fontId="10" fillId="29" borderId="17" xfId="0" applyFont="1" applyFill="1" applyBorder="1" applyAlignment="1">
      <alignment horizontal="center"/>
    </xf>
    <xf numFmtId="0" fontId="6" fillId="23" borderId="85" xfId="0" applyFont="1" applyFill="1" applyBorder="1" applyAlignment="1">
      <alignment vertical="center"/>
    </xf>
    <xf numFmtId="166" fontId="10" fillId="23" borderId="28" xfId="0" applyNumberFormat="1" applyFont="1" applyFill="1" applyBorder="1" applyAlignment="1">
      <alignment horizontal="center"/>
    </xf>
    <xf numFmtId="166" fontId="10" fillId="23" borderId="26" xfId="0" applyNumberFormat="1" applyFont="1" applyFill="1" applyBorder="1" applyAlignment="1">
      <alignment horizontal="center"/>
    </xf>
    <xf numFmtId="1" fontId="9" fillId="24" borderId="19" xfId="0" applyNumberFormat="1" applyFont="1" applyFill="1" applyBorder="1" applyAlignment="1">
      <alignment horizontal="center"/>
    </xf>
    <xf numFmtId="0" fontId="5" fillId="24" borderId="16" xfId="0" applyFont="1" applyFill="1" applyBorder="1"/>
    <xf numFmtId="1" fontId="5" fillId="23" borderId="22" xfId="0" applyNumberFormat="1" applyFont="1" applyFill="1" applyBorder="1" applyAlignment="1">
      <alignment horizontal="center"/>
    </xf>
    <xf numFmtId="1" fontId="5" fillId="23" borderId="22" xfId="0" applyNumberFormat="1" applyFont="1" applyFill="1" applyBorder="1" applyAlignment="1">
      <alignment horizontal="left"/>
    </xf>
    <xf numFmtId="1" fontId="5" fillId="23" borderId="25" xfId="0" applyNumberFormat="1" applyFont="1" applyFill="1" applyBorder="1" applyAlignment="1">
      <alignment horizontal="left"/>
    </xf>
    <xf numFmtId="1" fontId="62" fillId="23" borderId="19" xfId="0" applyNumberFormat="1" applyFont="1" applyFill="1" applyBorder="1" applyAlignment="1">
      <alignment horizontal="center"/>
    </xf>
    <xf numFmtId="1" fontId="9" fillId="24" borderId="18" xfId="0" applyNumberFormat="1" applyFont="1" applyFill="1" applyBorder="1" applyAlignment="1">
      <alignment horizontal="center"/>
    </xf>
    <xf numFmtId="167" fontId="5" fillId="23" borderId="21" xfId="203" applyNumberFormat="1" applyFont="1" applyFill="1" applyBorder="1" applyAlignment="1" applyProtection="1">
      <alignment horizontal="center"/>
    </xf>
    <xf numFmtId="0" fontId="11" fillId="24" borderId="20" xfId="0" applyFont="1" applyFill="1" applyBorder="1"/>
    <xf numFmtId="167" fontId="5" fillId="25" borderId="34" xfId="203" applyNumberFormat="1" applyFont="1" applyFill="1" applyBorder="1" applyAlignment="1" applyProtection="1">
      <alignment horizontal="center"/>
      <protection locked="0"/>
    </xf>
    <xf numFmtId="0" fontId="16" fillId="29" borderId="77" xfId="0" applyFont="1" applyFill="1" applyBorder="1" applyAlignment="1" applyProtection="1">
      <alignment horizontal="center" vertical="center"/>
      <protection locked="0"/>
    </xf>
    <xf numFmtId="0" fontId="16" fillId="29" borderId="33" xfId="0" applyFont="1" applyFill="1" applyBorder="1" applyAlignment="1" applyProtection="1">
      <alignment horizontal="center" vertical="center"/>
      <protection locked="0"/>
    </xf>
    <xf numFmtId="0" fontId="16" fillId="23" borderId="19" xfId="0" applyFont="1" applyFill="1" applyBorder="1"/>
    <xf numFmtId="0" fontId="16" fillId="23" borderId="22" xfId="0" applyFont="1" applyFill="1" applyBorder="1"/>
    <xf numFmtId="0" fontId="16" fillId="23" borderId="25" xfId="0" applyFont="1" applyFill="1" applyBorder="1"/>
    <xf numFmtId="0" fontId="16" fillId="23" borderId="34" xfId="0" applyFont="1" applyFill="1" applyBorder="1"/>
    <xf numFmtId="3" fontId="9" fillId="24" borderId="21" xfId="203" applyNumberFormat="1" applyFont="1" applyFill="1" applyBorder="1" applyAlignment="1" applyProtection="1">
      <alignment horizontal="center"/>
      <protection locked="0"/>
    </xf>
    <xf numFmtId="1" fontId="5" fillId="23" borderId="20" xfId="0" applyNumberFormat="1" applyFont="1" applyFill="1" applyBorder="1" applyAlignment="1">
      <alignment horizontal="center"/>
    </xf>
    <xf numFmtId="1" fontId="5" fillId="23" borderId="26" xfId="0" applyNumberFormat="1" applyFont="1" applyFill="1" applyBorder="1" applyAlignment="1">
      <alignment horizontal="center"/>
    </xf>
    <xf numFmtId="0" fontId="9" fillId="24" borderId="28" xfId="0" applyFont="1" applyFill="1" applyBorder="1" applyAlignment="1" applyProtection="1">
      <alignment horizontal="left"/>
      <protection locked="0"/>
    </xf>
    <xf numFmtId="0" fontId="32" fillId="25" borderId="18" xfId="0" applyFont="1" applyFill="1" applyBorder="1" applyProtection="1">
      <protection locked="0"/>
    </xf>
    <xf numFmtId="0" fontId="32" fillId="25" borderId="18" xfId="0" applyFont="1" applyFill="1" applyBorder="1" applyAlignment="1" applyProtection="1">
      <alignment horizontal="center"/>
      <protection locked="0"/>
    </xf>
    <xf numFmtId="0" fontId="5" fillId="23" borderId="40" xfId="0" quotePrefix="1" applyFont="1" applyFill="1" applyBorder="1" applyAlignment="1">
      <alignment horizontal="center"/>
    </xf>
    <xf numFmtId="0" fontId="5" fillId="25" borderId="68" xfId="0" applyFont="1" applyFill="1" applyBorder="1" applyAlignment="1" applyProtection="1">
      <alignment horizontal="center"/>
      <protection locked="0"/>
    </xf>
    <xf numFmtId="0" fontId="120" fillId="23" borderId="0" xfId="0" applyFont="1" applyFill="1" applyAlignment="1">
      <alignment horizontal="left"/>
    </xf>
    <xf numFmtId="167" fontId="5" fillId="26" borderId="32" xfId="203" applyNumberFormat="1" applyFont="1" applyFill="1" applyBorder="1" applyAlignment="1" applyProtection="1">
      <alignment horizontal="center"/>
    </xf>
    <xf numFmtId="0" fontId="29" fillId="23" borderId="63" xfId="0" applyFont="1" applyFill="1" applyBorder="1" applyAlignment="1">
      <alignment horizontal="center"/>
    </xf>
    <xf numFmtId="0" fontId="8" fillId="23" borderId="63" xfId="0" applyFont="1" applyFill="1" applyBorder="1" applyAlignment="1">
      <alignment horizontal="right" wrapText="1"/>
    </xf>
    <xf numFmtId="0" fontId="0" fillId="23" borderId="63" xfId="0" applyFill="1" applyBorder="1"/>
    <xf numFmtId="3" fontId="10" fillId="23" borderId="0" xfId="0" applyNumberFormat="1" applyFont="1" applyFill="1" applyAlignment="1">
      <alignment horizontal="center"/>
    </xf>
    <xf numFmtId="173" fontId="0" fillId="28" borderId="0" xfId="0" applyNumberFormat="1" applyFill="1" applyProtection="1">
      <protection locked="0"/>
    </xf>
    <xf numFmtId="0" fontId="16" fillId="23" borderId="29" xfId="0" applyFont="1" applyFill="1" applyBorder="1"/>
    <xf numFmtId="0" fontId="102" fillId="23" borderId="0" xfId="0" applyFont="1" applyFill="1" applyAlignment="1" applyProtection="1">
      <alignment horizontal="right" vertical="top"/>
      <protection locked="0"/>
    </xf>
    <xf numFmtId="0" fontId="119" fillId="23" borderId="70" xfId="0" applyFont="1" applyFill="1" applyBorder="1" applyAlignment="1">
      <alignment horizontal="right" vertical="center"/>
    </xf>
    <xf numFmtId="0" fontId="119" fillId="23" borderId="94" xfId="0" applyFont="1" applyFill="1" applyBorder="1" applyAlignment="1">
      <alignment horizontal="right" vertical="center"/>
    </xf>
    <xf numFmtId="0" fontId="32" fillId="0" borderId="19" xfId="0" applyFont="1" applyBorder="1"/>
    <xf numFmtId="0" fontId="59" fillId="0" borderId="0" xfId="0" applyFont="1"/>
    <xf numFmtId="171" fontId="102" fillId="0" borderId="0" xfId="0" applyNumberFormat="1" applyFont="1"/>
    <xf numFmtId="0" fontId="102" fillId="0" borderId="0" xfId="0" applyFont="1"/>
    <xf numFmtId="0" fontId="8" fillId="0" borderId="0" xfId="0" applyFont="1"/>
    <xf numFmtId="0" fontId="121" fillId="0" borderId="0" xfId="0" applyFont="1"/>
    <xf numFmtId="0" fontId="16" fillId="0" borderId="82" xfId="0" applyFont="1" applyBorder="1"/>
    <xf numFmtId="0" fontId="16" fillId="0" borderId="83" xfId="0" applyFont="1" applyBorder="1"/>
    <xf numFmtId="0" fontId="121" fillId="0" borderId="83" xfId="0" applyFont="1" applyBorder="1"/>
    <xf numFmtId="0" fontId="121" fillId="0" borderId="84" xfId="0" applyFont="1" applyBorder="1"/>
    <xf numFmtId="0" fontId="16" fillId="0" borderId="84" xfId="0" applyFont="1" applyBorder="1"/>
    <xf numFmtId="166" fontId="16" fillId="0" borderId="26" xfId="0" applyNumberFormat="1" applyFont="1" applyBorder="1"/>
    <xf numFmtId="0" fontId="121" fillId="0" borderId="60" xfId="0" applyFont="1" applyBorder="1"/>
    <xf numFmtId="0" fontId="121" fillId="0" borderId="61" xfId="0" applyFont="1" applyBorder="1"/>
    <xf numFmtId="0" fontId="32" fillId="0" borderId="20" xfId="0" applyFont="1" applyBorder="1"/>
    <xf numFmtId="0" fontId="32" fillId="0" borderId="26" xfId="0" applyFont="1" applyBorder="1"/>
    <xf numFmtId="0" fontId="37" fillId="25" borderId="0" xfId="0" applyFont="1" applyFill="1"/>
    <xf numFmtId="170" fontId="5" fillId="23" borderId="0" xfId="0" applyNumberFormat="1" applyFont="1" applyFill="1"/>
    <xf numFmtId="1" fontId="5" fillId="23" borderId="28" xfId="0" applyNumberFormat="1" applyFont="1" applyFill="1" applyBorder="1" applyAlignment="1">
      <alignment horizontal="left"/>
    </xf>
    <xf numFmtId="0" fontId="5" fillId="24" borderId="89" xfId="0" applyFont="1" applyFill="1" applyBorder="1"/>
    <xf numFmtId="0" fontId="5" fillId="23" borderId="87" xfId="0" applyFont="1" applyFill="1" applyBorder="1"/>
    <xf numFmtId="0" fontId="14" fillId="23" borderId="59" xfId="0" applyFont="1" applyFill="1" applyBorder="1" applyAlignment="1">
      <alignment horizontal="right"/>
    </xf>
    <xf numFmtId="0" fontId="16" fillId="23" borderId="0" xfId="0" applyFont="1" applyFill="1" applyAlignment="1">
      <alignment horizontal="right" vertical="top"/>
    </xf>
    <xf numFmtId="0" fontId="16" fillId="23" borderId="43" xfId="0" applyFont="1" applyFill="1" applyBorder="1" applyAlignment="1">
      <alignment horizontal="right"/>
    </xf>
    <xf numFmtId="167" fontId="5" fillId="23" borderId="0" xfId="203" applyNumberFormat="1" applyFont="1" applyFill="1" applyProtection="1"/>
    <xf numFmtId="0" fontId="9" fillId="24" borderId="17" xfId="0" applyFont="1" applyFill="1" applyBorder="1" applyAlignment="1">
      <alignment horizontal="center"/>
    </xf>
    <xf numFmtId="0" fontId="5" fillId="23" borderId="21" xfId="0" applyFont="1" applyFill="1" applyBorder="1" applyAlignment="1">
      <alignment horizontal="center"/>
    </xf>
    <xf numFmtId="166" fontId="122" fillId="23" borderId="32" xfId="0" applyNumberFormat="1" applyFont="1" applyFill="1" applyBorder="1" applyAlignment="1">
      <alignment horizontal="right"/>
    </xf>
    <xf numFmtId="165" fontId="5" fillId="28" borderId="33" xfId="0" applyNumberFormat="1" applyFont="1" applyFill="1" applyBorder="1" applyAlignment="1" applyProtection="1">
      <alignment horizontal="center" vertical="center"/>
      <protection locked="0"/>
    </xf>
    <xf numFmtId="0" fontId="5" fillId="24" borderId="15" xfId="0" applyFont="1" applyFill="1" applyBorder="1"/>
    <xf numFmtId="170" fontId="5" fillId="23" borderId="34" xfId="0" applyNumberFormat="1" applyFont="1" applyFill="1" applyBorder="1" applyAlignment="1">
      <alignment horizontal="center" vertical="top" wrapText="1"/>
    </xf>
    <xf numFmtId="170" fontId="5" fillId="23" borderId="34" xfId="0" applyNumberFormat="1" applyFont="1" applyFill="1" applyBorder="1" applyAlignment="1">
      <alignment horizontal="center" vertical="center"/>
    </xf>
    <xf numFmtId="170" fontId="5" fillId="28" borderId="34" xfId="0" applyNumberFormat="1" applyFont="1" applyFill="1" applyBorder="1" applyAlignment="1">
      <alignment horizontal="center" vertical="center"/>
    </xf>
    <xf numFmtId="170" fontId="5" fillId="28" borderId="34" xfId="0" applyNumberFormat="1" applyFont="1" applyFill="1" applyBorder="1" applyAlignment="1">
      <alignment horizontal="center" vertical="top" wrapText="1"/>
    </xf>
    <xf numFmtId="175" fontId="5" fillId="23" borderId="17" xfId="177" applyNumberFormat="1" applyFont="1" applyFill="1" applyBorder="1" applyAlignment="1" applyProtection="1">
      <alignment horizontal="center"/>
    </xf>
    <xf numFmtId="175" fontId="5" fillId="28" borderId="17" xfId="177" applyNumberFormat="1" applyFont="1" applyFill="1" applyBorder="1" applyAlignment="1" applyProtection="1">
      <alignment horizontal="center" vertical="center"/>
    </xf>
    <xf numFmtId="175" fontId="5" fillId="28" borderId="17" xfId="177" applyNumberFormat="1" applyFont="1" applyFill="1" applyBorder="1" applyAlignment="1" applyProtection="1">
      <alignment horizontal="center"/>
    </xf>
    <xf numFmtId="3" fontId="14" fillId="23" borderId="0" xfId="0" applyNumberFormat="1" applyFont="1" applyFill="1" applyAlignment="1">
      <alignment horizontal="center"/>
    </xf>
    <xf numFmtId="167" fontId="32" fillId="23" borderId="0" xfId="0" applyNumberFormat="1" applyFont="1" applyFill="1"/>
    <xf numFmtId="0" fontId="10" fillId="34" borderId="16" xfId="0" applyFont="1" applyFill="1" applyBorder="1" applyAlignment="1">
      <alignment horizontal="center"/>
    </xf>
    <xf numFmtId="0" fontId="5" fillId="23" borderId="27" xfId="0" applyFont="1" applyFill="1" applyBorder="1" applyAlignment="1">
      <alignment horizontal="center"/>
    </xf>
    <xf numFmtId="0" fontId="14" fillId="23" borderId="63" xfId="0" applyFont="1" applyFill="1" applyBorder="1" applyAlignment="1">
      <alignment horizontal="right" vertical="center"/>
    </xf>
    <xf numFmtId="0" fontId="5" fillId="23" borderId="31" xfId="0" applyFont="1" applyFill="1" applyBorder="1" applyAlignment="1">
      <alignment horizontal="right"/>
    </xf>
    <xf numFmtId="0" fontId="16" fillId="29" borderId="32" xfId="0" applyFont="1" applyFill="1" applyBorder="1" applyAlignment="1" applyProtection="1">
      <alignment horizontal="center" vertical="center"/>
      <protection locked="0"/>
    </xf>
    <xf numFmtId="0" fontId="5" fillId="23" borderId="31" xfId="0" applyFont="1" applyFill="1" applyBorder="1" applyAlignment="1">
      <alignment horizontal="center"/>
    </xf>
    <xf numFmtId="0" fontId="97" fillId="23" borderId="21" xfId="0" applyFont="1" applyFill="1" applyBorder="1"/>
    <xf numFmtId="0" fontId="33" fillId="23" borderId="32" xfId="0" applyFont="1" applyFill="1" applyBorder="1" applyAlignment="1">
      <alignment horizontal="center"/>
    </xf>
    <xf numFmtId="0" fontId="59" fillId="23" borderId="16" xfId="0" applyFont="1" applyFill="1" applyBorder="1" applyAlignment="1">
      <alignment horizontal="right"/>
    </xf>
    <xf numFmtId="0" fontId="17" fillId="23" borderId="16" xfId="0" applyFont="1" applyFill="1" applyBorder="1" applyAlignment="1">
      <alignment horizontal="left" vertical="center"/>
    </xf>
    <xf numFmtId="0" fontId="122" fillId="23" borderId="16" xfId="0" applyFont="1" applyFill="1" applyBorder="1"/>
    <xf numFmtId="0" fontId="11" fillId="23" borderId="33" xfId="0" applyFont="1" applyFill="1" applyBorder="1" applyAlignment="1" applyProtection="1">
      <alignment horizontal="center"/>
      <protection locked="0"/>
    </xf>
    <xf numFmtId="2" fontId="5" fillId="25" borderId="33" xfId="0" applyNumberFormat="1" applyFont="1" applyFill="1" applyBorder="1" applyAlignment="1" applyProtection="1">
      <alignment horizontal="center" vertical="center"/>
      <protection locked="0"/>
    </xf>
    <xf numFmtId="166" fontId="5" fillId="25" borderId="33" xfId="0" applyNumberFormat="1" applyFont="1" applyFill="1" applyBorder="1" applyAlignment="1" applyProtection="1">
      <alignment horizontal="center" vertical="center"/>
      <protection locked="0"/>
    </xf>
    <xf numFmtId="4" fontId="5" fillId="23" borderId="0" xfId="0" applyNumberFormat="1" applyFont="1" applyFill="1" applyAlignment="1">
      <alignment horizontal="center"/>
    </xf>
    <xf numFmtId="0" fontId="0" fillId="29" borderId="32" xfId="0" applyFill="1" applyBorder="1"/>
    <xf numFmtId="0" fontId="0" fillId="29" borderId="74" xfId="0" applyFill="1" applyBorder="1" applyAlignment="1">
      <alignment horizontal="center"/>
    </xf>
    <xf numFmtId="0" fontId="0" fillId="29" borderId="32" xfId="0" applyFill="1" applyBorder="1" applyAlignment="1">
      <alignment horizontal="center"/>
    </xf>
    <xf numFmtId="0" fontId="0" fillId="29" borderId="33" xfId="0" applyFill="1" applyBorder="1" applyAlignment="1">
      <alignment horizontal="center"/>
    </xf>
    <xf numFmtId="0" fontId="0" fillId="29" borderId="76" xfId="0" applyFill="1" applyBorder="1" applyAlignment="1">
      <alignment horizontal="center"/>
    </xf>
    <xf numFmtId="0" fontId="0" fillId="29" borderId="40" xfId="0" applyFill="1" applyBorder="1"/>
    <xf numFmtId="0" fontId="0" fillId="29" borderId="40" xfId="0" applyFill="1" applyBorder="1" applyAlignment="1">
      <alignment horizontal="center"/>
    </xf>
    <xf numFmtId="0" fontId="0" fillId="29" borderId="73" xfId="0" applyFill="1" applyBorder="1" applyAlignment="1">
      <alignment horizontal="center"/>
    </xf>
    <xf numFmtId="0" fontId="10" fillId="23" borderId="27" xfId="0" applyFont="1" applyFill="1" applyBorder="1" applyAlignment="1">
      <alignment horizontal="left"/>
    </xf>
    <xf numFmtId="1" fontId="9" fillId="24" borderId="25" xfId="0" applyNumberFormat="1" applyFont="1" applyFill="1" applyBorder="1" applyAlignment="1">
      <alignment horizontal="center"/>
    </xf>
    <xf numFmtId="0" fontId="5" fillId="24" borderId="27" xfId="0" applyFont="1" applyFill="1" applyBorder="1"/>
    <xf numFmtId="0" fontId="16" fillId="23" borderId="64" xfId="0" applyFont="1" applyFill="1" applyBorder="1"/>
    <xf numFmtId="2" fontId="5" fillId="23" borderId="71" xfId="0" quotePrefix="1" applyNumberFormat="1" applyFont="1" applyFill="1" applyBorder="1" applyAlignment="1">
      <alignment horizontal="center"/>
    </xf>
    <xf numFmtId="2" fontId="5" fillId="23" borderId="86" xfId="0" applyNumberFormat="1" applyFont="1" applyFill="1" applyBorder="1" applyAlignment="1">
      <alignment horizontal="center"/>
    </xf>
    <xf numFmtId="0" fontId="16" fillId="23" borderId="54" xfId="0" applyFont="1" applyFill="1" applyBorder="1"/>
    <xf numFmtId="2" fontId="5" fillId="23" borderId="40" xfId="0" quotePrefix="1" applyNumberFormat="1" applyFont="1" applyFill="1" applyBorder="1" applyAlignment="1">
      <alignment horizontal="center"/>
    </xf>
    <xf numFmtId="2" fontId="5" fillId="23" borderId="81" xfId="0" applyNumberFormat="1" applyFont="1" applyFill="1" applyBorder="1" applyAlignment="1">
      <alignment horizontal="center"/>
    </xf>
    <xf numFmtId="0" fontId="13" fillId="23" borderId="0" xfId="0" applyFont="1" applyFill="1"/>
    <xf numFmtId="2" fontId="10" fillId="26" borderId="56" xfId="0" applyNumberFormat="1" applyFont="1" applyFill="1" applyBorder="1" applyAlignment="1">
      <alignment horizontal="center"/>
    </xf>
    <xf numFmtId="0" fontId="104" fillId="23" borderId="0" xfId="0" applyFont="1" applyFill="1" applyAlignment="1">
      <alignment horizontal="left" vertical="center" wrapText="1"/>
    </xf>
    <xf numFmtId="0" fontId="41" fillId="23" borderId="0" xfId="0" applyFont="1" applyFill="1" applyAlignment="1">
      <alignment horizontal="left" wrapText="1"/>
    </xf>
    <xf numFmtId="0" fontId="123" fillId="23" borderId="0" xfId="0" applyFont="1" applyFill="1" applyAlignment="1">
      <alignment horizontal="center"/>
    </xf>
    <xf numFmtId="14" fontId="5" fillId="23" borderId="0" xfId="0" applyNumberFormat="1" applyFont="1" applyFill="1"/>
    <xf numFmtId="0" fontId="16" fillId="23" borderId="15" xfId="0" applyFont="1" applyFill="1" applyBorder="1"/>
    <xf numFmtId="0" fontId="10" fillId="23" borderId="0" xfId="0" applyFont="1" applyFill="1" applyAlignment="1">
      <alignment vertical="center"/>
    </xf>
    <xf numFmtId="0" fontId="41" fillId="23" borderId="0" xfId="0" applyFont="1" applyFill="1" applyAlignment="1">
      <alignment vertical="center"/>
    </xf>
    <xf numFmtId="0" fontId="8" fillId="23" borderId="57" xfId="0" applyFont="1" applyFill="1" applyBorder="1" applyAlignment="1">
      <alignment horizontal="left"/>
    </xf>
    <xf numFmtId="0" fontId="16" fillId="23" borderId="43" xfId="0" applyFont="1" applyFill="1" applyBorder="1" applyAlignment="1">
      <alignment horizontal="right" wrapText="1"/>
    </xf>
    <xf numFmtId="0" fontId="16" fillId="29" borderId="83" xfId="0" applyFont="1" applyFill="1" applyBorder="1" applyAlignment="1" applyProtection="1">
      <alignment horizontal="center" vertical="center" wrapText="1"/>
      <protection locked="0"/>
    </xf>
    <xf numFmtId="0" fontId="16" fillId="29" borderId="39" xfId="0" applyFont="1" applyFill="1" applyBorder="1" applyAlignment="1" applyProtection="1">
      <alignment horizontal="center" vertical="center"/>
      <protection locked="0"/>
    </xf>
    <xf numFmtId="0" fontId="9" fillId="23" borderId="0" xfId="0" applyFont="1" applyFill="1"/>
    <xf numFmtId="167" fontId="5" fillId="25" borderId="27" xfId="203" applyNumberFormat="1" applyFont="1" applyFill="1" applyBorder="1" applyAlignment="1" applyProtection="1">
      <alignment horizontal="left"/>
    </xf>
    <xf numFmtId="171" fontId="68" fillId="34" borderId="0" xfId="211" applyNumberFormat="1" applyFont="1" applyFill="1"/>
    <xf numFmtId="3" fontId="5" fillId="25" borderId="34" xfId="0" applyNumberFormat="1" applyFont="1" applyFill="1" applyBorder="1" applyAlignment="1">
      <alignment horizontal="center" vertical="top" wrapText="1"/>
    </xf>
    <xf numFmtId="166" fontId="5" fillId="23" borderId="0" xfId="203" applyNumberFormat="1" applyFont="1" applyFill="1" applyProtection="1"/>
    <xf numFmtId="0" fontId="9" fillId="24" borderId="17" xfId="0" applyFont="1" applyFill="1" applyBorder="1" applyAlignment="1">
      <alignment horizontal="right"/>
    </xf>
    <xf numFmtId="166" fontId="4" fillId="23" borderId="28" xfId="0" applyNumberFormat="1" applyFont="1" applyFill="1" applyBorder="1" applyAlignment="1">
      <alignment horizontal="center"/>
    </xf>
    <xf numFmtId="167" fontId="4" fillId="23" borderId="0" xfId="203" applyNumberFormat="1" applyFont="1" applyFill="1" applyBorder="1" applyAlignment="1" applyProtection="1">
      <alignment horizontal="center"/>
    </xf>
    <xf numFmtId="3" fontId="4" fillId="23" borderId="22" xfId="0" applyNumberFormat="1" applyFont="1" applyFill="1" applyBorder="1" applyAlignment="1">
      <alignment horizontal="center"/>
    </xf>
    <xf numFmtId="170" fontId="5" fillId="23" borderId="18" xfId="0" applyNumberFormat="1" applyFont="1" applyFill="1" applyBorder="1" applyAlignment="1">
      <alignment horizontal="center"/>
    </xf>
    <xf numFmtId="0" fontId="5" fillId="28" borderId="33" xfId="0" applyFont="1" applyFill="1" applyBorder="1" applyAlignment="1" applyProtection="1">
      <alignment horizontal="center" vertical="center"/>
      <protection locked="0"/>
    </xf>
    <xf numFmtId="0" fontId="16" fillId="23" borderId="32" xfId="0" applyFont="1" applyFill="1" applyBorder="1" applyAlignment="1">
      <alignment horizontal="right"/>
    </xf>
    <xf numFmtId="170" fontId="11" fillId="23" borderId="73" xfId="203" applyNumberFormat="1" applyFont="1" applyFill="1" applyBorder="1" applyAlignment="1" applyProtection="1">
      <alignment horizontal="center"/>
      <protection locked="0"/>
    </xf>
    <xf numFmtId="2" fontId="59" fillId="26" borderId="112" xfId="0" applyNumberFormat="1" applyFont="1" applyFill="1" applyBorder="1" applyAlignment="1">
      <alignment horizontal="right"/>
    </xf>
    <xf numFmtId="0" fontId="5" fillId="29" borderId="32" xfId="0" applyFont="1" applyFill="1" applyBorder="1" applyAlignment="1" applyProtection="1">
      <alignment horizontal="center" vertical="center"/>
      <protection locked="0"/>
    </xf>
    <xf numFmtId="2" fontId="0" fillId="25" borderId="16" xfId="0" applyNumberFormat="1" applyFill="1" applyBorder="1" applyAlignment="1">
      <alignment horizontal="center"/>
    </xf>
    <xf numFmtId="0" fontId="0" fillId="36" borderId="0" xfId="0" applyFill="1"/>
    <xf numFmtId="2" fontId="0" fillId="37" borderId="0" xfId="0" applyNumberFormat="1" applyFill="1"/>
    <xf numFmtId="0" fontId="0" fillId="23" borderId="28" xfId="0" applyFill="1" applyBorder="1" applyAlignment="1">
      <alignment horizontal="center" vertical="top"/>
    </xf>
    <xf numFmtId="0" fontId="16" fillId="23" borderId="28" xfId="0" applyFont="1" applyFill="1" applyBorder="1" applyAlignment="1">
      <alignment vertical="top" wrapText="1"/>
    </xf>
    <xf numFmtId="14" fontId="0" fillId="23" borderId="28" xfId="0" applyNumberFormat="1" applyFill="1" applyBorder="1" applyAlignment="1">
      <alignment horizontal="center" vertical="top"/>
    </xf>
    <xf numFmtId="166" fontId="0" fillId="23" borderId="28" xfId="0" applyNumberFormat="1" applyFill="1" applyBorder="1" applyAlignment="1">
      <alignment horizontal="center" vertical="top"/>
    </xf>
    <xf numFmtId="0" fontId="0" fillId="23" borderId="28" xfId="0" quotePrefix="1" applyFill="1" applyBorder="1" applyAlignment="1">
      <alignment horizontal="center" vertical="top"/>
    </xf>
    <xf numFmtId="0" fontId="4" fillId="23" borderId="28" xfId="0" applyFont="1" applyFill="1" applyBorder="1" applyAlignment="1">
      <alignment horizontal="center" vertical="top"/>
    </xf>
    <xf numFmtId="0" fontId="4" fillId="23" borderId="28" xfId="0" quotePrefix="1" applyFont="1" applyFill="1" applyBorder="1" applyAlignment="1">
      <alignment horizontal="center" vertical="top"/>
    </xf>
    <xf numFmtId="14" fontId="0" fillId="23" borderId="28" xfId="0" quotePrefix="1" applyNumberFormat="1" applyFill="1" applyBorder="1" applyAlignment="1">
      <alignment horizontal="center" vertical="top"/>
    </xf>
    <xf numFmtId="0" fontId="16" fillId="23" borderId="28" xfId="0" applyFont="1" applyFill="1" applyBorder="1" applyAlignment="1">
      <alignment vertical="top"/>
    </xf>
    <xf numFmtId="0" fontId="16" fillId="23" borderId="28" xfId="0" applyFont="1" applyFill="1" applyBorder="1" applyAlignment="1">
      <alignment horizontal="left" vertical="top"/>
    </xf>
    <xf numFmtId="0" fontId="0" fillId="23" borderId="26" xfId="0" applyFill="1" applyBorder="1" applyAlignment="1">
      <alignment horizontal="center" vertical="top"/>
    </xf>
    <xf numFmtId="0" fontId="16" fillId="23" borderId="26" xfId="0" applyFont="1" applyFill="1" applyBorder="1" applyAlignment="1">
      <alignment vertical="top"/>
    </xf>
    <xf numFmtId="14" fontId="0" fillId="23" borderId="26" xfId="0" applyNumberFormat="1" applyFill="1" applyBorder="1" applyAlignment="1">
      <alignment horizontal="center" vertical="top"/>
    </xf>
    <xf numFmtId="166" fontId="0" fillId="23" borderId="26" xfId="0" applyNumberFormat="1" applyFill="1" applyBorder="1" applyAlignment="1">
      <alignment horizontal="center" vertical="top"/>
    </xf>
    <xf numFmtId="0" fontId="16" fillId="23" borderId="28" xfId="0" applyFont="1" applyFill="1" applyBorder="1" applyAlignment="1">
      <alignment horizontal="left" vertical="top" wrapText="1"/>
    </xf>
    <xf numFmtId="0" fontId="5" fillId="0" borderId="0" xfId="0" applyFont="1" applyAlignment="1">
      <alignment wrapText="1"/>
    </xf>
    <xf numFmtId="0" fontId="5" fillId="0" borderId="0" xfId="0" applyFont="1" applyAlignment="1">
      <alignment horizontal="right" wrapText="1"/>
    </xf>
    <xf numFmtId="0" fontId="0" fillId="0" borderId="0" xfId="0" applyAlignment="1">
      <alignment wrapText="1"/>
    </xf>
    <xf numFmtId="0" fontId="37" fillId="0" borderId="0" xfId="0" applyFont="1" applyAlignment="1">
      <alignment horizontal="left" wrapText="1"/>
    </xf>
    <xf numFmtId="0" fontId="5" fillId="25" borderId="0" xfId="0" quotePrefix="1" applyFont="1" applyFill="1" applyAlignment="1">
      <alignment horizontal="left" wrapText="1"/>
    </xf>
    <xf numFmtId="0" fontId="37" fillId="23" borderId="60" xfId="0" applyFont="1" applyFill="1" applyBorder="1" applyAlignment="1">
      <alignment horizontal="left" wrapText="1"/>
    </xf>
    <xf numFmtId="0" fontId="37" fillId="23" borderId="26" xfId="0" applyFont="1" applyFill="1" applyBorder="1" applyAlignment="1">
      <alignment horizontal="left" wrapText="1"/>
    </xf>
    <xf numFmtId="0" fontId="24" fillId="28" borderId="26" xfId="0" applyFont="1" applyFill="1" applyBorder="1" applyAlignment="1">
      <alignment horizontal="left" wrapText="1"/>
    </xf>
    <xf numFmtId="0" fontId="24" fillId="0" borderId="27" xfId="0" applyFont="1" applyBorder="1" applyAlignment="1">
      <alignment horizontal="left" wrapText="1"/>
    </xf>
    <xf numFmtId="0" fontId="24" fillId="29" borderId="26" xfId="0" applyFont="1" applyFill="1" applyBorder="1" applyAlignment="1">
      <alignment horizontal="left" wrapText="1"/>
    </xf>
    <xf numFmtId="0" fontId="37" fillId="23" borderId="46" xfId="0" applyFont="1" applyFill="1" applyBorder="1" applyAlignment="1">
      <alignment horizontal="left" wrapText="1"/>
    </xf>
    <xf numFmtId="0" fontId="5" fillId="28" borderId="60" xfId="0" applyFont="1" applyFill="1" applyBorder="1" applyAlignment="1">
      <alignment wrapText="1"/>
    </xf>
    <xf numFmtId="0" fontId="5" fillId="23" borderId="57" xfId="0" applyFont="1" applyFill="1" applyBorder="1" applyAlignment="1">
      <alignment horizontal="right" wrapText="1"/>
    </xf>
    <xf numFmtId="0" fontId="5" fillId="29" borderId="60" xfId="0" applyFont="1" applyFill="1" applyBorder="1" applyAlignment="1">
      <alignment horizontal="right" wrapText="1"/>
    </xf>
    <xf numFmtId="0" fontId="0" fillId="23" borderId="46" xfId="0" applyFill="1" applyBorder="1" applyAlignment="1">
      <alignment wrapText="1"/>
    </xf>
    <xf numFmtId="0" fontId="41" fillId="23" borderId="46" xfId="0" applyFont="1" applyFill="1" applyBorder="1" applyAlignment="1">
      <alignment wrapText="1"/>
    </xf>
    <xf numFmtId="0" fontId="41" fillId="28" borderId="46" xfId="0" applyFont="1" applyFill="1" applyBorder="1" applyAlignment="1">
      <alignment wrapText="1"/>
    </xf>
    <xf numFmtId="0" fontId="5" fillId="23" borderId="30" xfId="0" applyFont="1" applyFill="1" applyBorder="1" applyAlignment="1">
      <alignment wrapText="1"/>
    </xf>
    <xf numFmtId="0" fontId="5" fillId="29" borderId="46" xfId="0" applyFont="1" applyFill="1" applyBorder="1" applyAlignment="1">
      <alignment wrapText="1"/>
    </xf>
    <xf numFmtId="0" fontId="5" fillId="23" borderId="46" xfId="0" applyFont="1" applyFill="1" applyBorder="1" applyAlignment="1">
      <alignment horizontal="center" wrapText="1"/>
    </xf>
    <xf numFmtId="0" fontId="5" fillId="23" borderId="46" xfId="0" applyFont="1" applyFill="1" applyBorder="1" applyAlignment="1">
      <alignment wrapText="1"/>
    </xf>
    <xf numFmtId="0" fontId="5" fillId="28" borderId="46" xfId="0" applyFont="1" applyFill="1" applyBorder="1" applyAlignment="1">
      <alignment wrapText="1"/>
    </xf>
    <xf numFmtId="0" fontId="5" fillId="23" borderId="30" xfId="0" applyFont="1" applyFill="1" applyBorder="1" applyAlignment="1">
      <alignment horizontal="left" wrapText="1"/>
    </xf>
    <xf numFmtId="0" fontId="5" fillId="28" borderId="46" xfId="0" quotePrefix="1" applyFont="1" applyFill="1" applyBorder="1" applyAlignment="1">
      <alignment wrapText="1"/>
    </xf>
    <xf numFmtId="0" fontId="5" fillId="23" borderId="30" xfId="0" quotePrefix="1" applyFont="1" applyFill="1" applyBorder="1" applyAlignment="1">
      <alignment wrapText="1"/>
    </xf>
    <xf numFmtId="0" fontId="5" fillId="29" borderId="46" xfId="0" quotePrefix="1" applyFont="1" applyFill="1" applyBorder="1" applyAlignment="1">
      <alignment wrapText="1"/>
    </xf>
    <xf numFmtId="0" fontId="10" fillId="28" borderId="46" xfId="0" applyFont="1" applyFill="1" applyBorder="1" applyAlignment="1">
      <alignment wrapText="1"/>
    </xf>
    <xf numFmtId="0" fontId="0" fillId="29" borderId="46" xfId="0" applyFill="1" applyBorder="1" applyAlignment="1">
      <alignment wrapText="1"/>
    </xf>
    <xf numFmtId="0" fontId="5" fillId="29" borderId="30" xfId="0" applyFont="1" applyFill="1" applyBorder="1" applyAlignment="1">
      <alignment wrapText="1"/>
    </xf>
    <xf numFmtId="14" fontId="4" fillId="23" borderId="28" xfId="0" quotePrefix="1" applyNumberFormat="1" applyFont="1" applyFill="1" applyBorder="1" applyAlignment="1">
      <alignment horizontal="center" vertical="top"/>
    </xf>
    <xf numFmtId="0" fontId="0" fillId="23" borderId="0" xfId="0" applyFill="1" applyAlignment="1">
      <alignment horizontal="center" vertical="top"/>
    </xf>
    <xf numFmtId="0" fontId="16" fillId="23" borderId="0" xfId="0" applyFont="1" applyFill="1" applyAlignment="1">
      <alignment vertical="top" wrapText="1"/>
    </xf>
    <xf numFmtId="0" fontId="0" fillId="23" borderId="27" xfId="0" applyFill="1" applyBorder="1" applyAlignment="1">
      <alignment horizontal="center" vertical="top"/>
    </xf>
    <xf numFmtId="0" fontId="16" fillId="23" borderId="27" xfId="0" applyFont="1" applyFill="1" applyBorder="1" applyAlignment="1">
      <alignment vertical="top" wrapText="1"/>
    </xf>
    <xf numFmtId="14" fontId="0" fillId="23" borderId="22" xfId="0" applyNumberFormat="1" applyFill="1" applyBorder="1" applyAlignment="1">
      <alignment horizontal="center" vertical="top"/>
    </xf>
    <xf numFmtId="14" fontId="0" fillId="23" borderId="25" xfId="0" applyNumberFormat="1" applyFill="1" applyBorder="1" applyAlignment="1">
      <alignment horizontal="center" vertical="top"/>
    </xf>
    <xf numFmtId="14" fontId="4" fillId="23" borderId="26" xfId="0" quotePrefix="1" applyNumberFormat="1" applyFont="1" applyFill="1" applyBorder="1" applyAlignment="1">
      <alignment horizontal="center" vertical="top"/>
    </xf>
    <xf numFmtId="1" fontId="0" fillId="25" borderId="0" xfId="0" applyNumberFormat="1" applyFill="1" applyAlignment="1">
      <alignment horizontal="center"/>
    </xf>
    <xf numFmtId="2" fontId="0" fillId="29" borderId="32" xfId="0" applyNumberFormat="1" applyFill="1" applyBorder="1" applyAlignment="1">
      <alignment horizontal="center"/>
    </xf>
    <xf numFmtId="2" fontId="0" fillId="29" borderId="33" xfId="0" applyNumberFormat="1" applyFill="1" applyBorder="1" applyAlignment="1">
      <alignment horizontal="center"/>
    </xf>
    <xf numFmtId="0" fontId="0" fillId="29" borderId="75" xfId="0" applyFill="1" applyBorder="1" applyAlignment="1">
      <alignment horizontal="center"/>
    </xf>
    <xf numFmtId="0" fontId="0" fillId="29" borderId="71" xfId="0" applyFill="1" applyBorder="1"/>
    <xf numFmtId="1" fontId="0" fillId="29" borderId="71" xfId="0" applyNumberFormat="1" applyFill="1" applyBorder="1" applyAlignment="1">
      <alignment horizontal="center"/>
    </xf>
    <xf numFmtId="166" fontId="0" fillId="29" borderId="71" xfId="0" applyNumberFormat="1" applyFill="1" applyBorder="1" applyAlignment="1">
      <alignment horizontal="center"/>
    </xf>
    <xf numFmtId="166" fontId="0" fillId="29" borderId="77" xfId="0" applyNumberFormat="1" applyFill="1" applyBorder="1" applyAlignment="1">
      <alignment horizontal="center"/>
    </xf>
    <xf numFmtId="1" fontId="0" fillId="29" borderId="32" xfId="0" applyNumberFormat="1" applyFill="1" applyBorder="1" applyAlignment="1">
      <alignment horizontal="center"/>
    </xf>
    <xf numFmtId="166" fontId="0" fillId="29" borderId="32" xfId="0" applyNumberFormat="1" applyFill="1" applyBorder="1" applyAlignment="1">
      <alignment horizontal="center"/>
    </xf>
    <xf numFmtId="166" fontId="0" fillId="29" borderId="33" xfId="0" applyNumberFormat="1" applyFill="1" applyBorder="1" applyAlignment="1">
      <alignment horizontal="center"/>
    </xf>
    <xf numFmtId="1" fontId="0" fillId="29" borderId="40" xfId="0" applyNumberFormat="1" applyFill="1" applyBorder="1" applyAlignment="1">
      <alignment horizontal="center"/>
    </xf>
    <xf numFmtId="166" fontId="0" fillId="29" borderId="40" xfId="0" applyNumberFormat="1" applyFill="1" applyBorder="1" applyAlignment="1">
      <alignment horizontal="center"/>
    </xf>
    <xf numFmtId="0" fontId="0" fillId="29" borderId="65" xfId="0" applyFill="1" applyBorder="1" applyAlignment="1">
      <alignment horizontal="center"/>
    </xf>
    <xf numFmtId="0" fontId="0" fillId="29" borderId="37" xfId="0" applyFill="1" applyBorder="1"/>
    <xf numFmtId="1" fontId="0" fillId="29" borderId="37" xfId="0" applyNumberFormat="1" applyFill="1" applyBorder="1" applyAlignment="1">
      <alignment horizontal="center"/>
    </xf>
    <xf numFmtId="166" fontId="0" fillId="29" borderId="37" xfId="0" applyNumberFormat="1" applyFill="1" applyBorder="1" applyAlignment="1">
      <alignment horizontal="center"/>
    </xf>
    <xf numFmtId="166" fontId="0" fillId="29" borderId="73" xfId="0" applyNumberFormat="1" applyFill="1" applyBorder="1" applyAlignment="1">
      <alignment horizontal="center"/>
    </xf>
    <xf numFmtId="166" fontId="0" fillId="29" borderId="79" xfId="0" applyNumberFormat="1" applyFill="1" applyBorder="1" applyAlignment="1">
      <alignment horizontal="center"/>
    </xf>
    <xf numFmtId="2" fontId="0" fillId="29" borderId="40" xfId="0" applyNumberFormat="1" applyFill="1" applyBorder="1" applyAlignment="1">
      <alignment horizontal="center"/>
    </xf>
    <xf numFmtId="2" fontId="0" fillId="29" borderId="73" xfId="0" applyNumberFormat="1" applyFill="1" applyBorder="1" applyAlignment="1">
      <alignment horizontal="center"/>
    </xf>
    <xf numFmtId="2" fontId="0" fillId="29" borderId="37" xfId="0" applyNumberFormat="1" applyFill="1" applyBorder="1" applyAlignment="1">
      <alignment horizontal="center"/>
    </xf>
    <xf numFmtId="2" fontId="0" fillId="29" borderId="79" xfId="0" applyNumberFormat="1" applyFill="1" applyBorder="1" applyAlignment="1">
      <alignment horizontal="center"/>
    </xf>
    <xf numFmtId="1" fontId="0" fillId="29" borderId="74" xfId="0" applyNumberFormat="1" applyFill="1" applyBorder="1" applyAlignment="1">
      <alignment horizontal="center"/>
    </xf>
    <xf numFmtId="2" fontId="0" fillId="29" borderId="32" xfId="0" applyNumberFormat="1" applyFill="1" applyBorder="1"/>
    <xf numFmtId="1" fontId="0" fillId="29" borderId="76" xfId="0" applyNumberFormat="1" applyFill="1" applyBorder="1" applyAlignment="1">
      <alignment horizontal="center"/>
    </xf>
    <xf numFmtId="2" fontId="0" fillId="29" borderId="40" xfId="0" applyNumberFormat="1" applyFill="1" applyBorder="1"/>
    <xf numFmtId="1" fontId="0" fillId="29" borderId="65" xfId="0" applyNumberFormat="1" applyFill="1" applyBorder="1" applyAlignment="1">
      <alignment horizontal="center"/>
    </xf>
    <xf numFmtId="2" fontId="0" fillId="29" borderId="37" xfId="0" applyNumberFormat="1" applyFill="1" applyBorder="1"/>
    <xf numFmtId="166" fontId="4" fillId="29" borderId="32" xfId="0" applyNumberFormat="1" applyFont="1" applyFill="1" applyBorder="1" applyAlignment="1">
      <alignment horizontal="center"/>
    </xf>
    <xf numFmtId="0" fontId="4" fillId="29" borderId="32" xfId="0" applyFont="1" applyFill="1" applyBorder="1"/>
    <xf numFmtId="14" fontId="5" fillId="25" borderId="0" xfId="0" quotePrefix="1" applyNumberFormat="1" applyFont="1" applyFill="1" applyAlignment="1">
      <alignment horizontal="left" wrapText="1"/>
    </xf>
    <xf numFmtId="14" fontId="4" fillId="0" borderId="0" xfId="0" applyNumberFormat="1" applyFont="1"/>
    <xf numFmtId="0" fontId="5" fillId="23" borderId="21" xfId="0" applyFont="1" applyFill="1" applyBorder="1" applyAlignment="1">
      <alignment horizontal="center"/>
    </xf>
    <xf numFmtId="0" fontId="11" fillId="24" borderId="20" xfId="0" applyFont="1" applyFill="1" applyBorder="1" applyAlignment="1">
      <alignment horizontal="center" vertical="top" wrapText="1"/>
    </xf>
    <xf numFmtId="0" fontId="11" fillId="24" borderId="26" xfId="0" applyFont="1" applyFill="1" applyBorder="1" applyAlignment="1">
      <alignment horizontal="center" vertical="top" wrapText="1"/>
    </xf>
    <xf numFmtId="0" fontId="11" fillId="24" borderId="28" xfId="0" applyFont="1" applyFill="1" applyBorder="1" applyAlignment="1">
      <alignment horizontal="center" vertical="top" wrapText="1"/>
    </xf>
    <xf numFmtId="0" fontId="9" fillId="24" borderId="0" xfId="0" applyFont="1" applyFill="1" applyAlignment="1">
      <alignment horizontal="center"/>
    </xf>
    <xf numFmtId="0" fontId="11" fillId="24" borderId="15" xfId="0" applyFont="1" applyFill="1" applyBorder="1" applyAlignment="1">
      <alignment horizontal="center"/>
    </xf>
    <xf numFmtId="0" fontId="11" fillId="24" borderId="17" xfId="0" applyFont="1" applyFill="1" applyBorder="1" applyAlignment="1">
      <alignment horizontal="center"/>
    </xf>
    <xf numFmtId="0" fontId="11" fillId="24" borderId="24" xfId="0" applyFont="1" applyFill="1" applyBorder="1" applyAlignment="1">
      <alignment horizontal="center"/>
    </xf>
    <xf numFmtId="0" fontId="9" fillId="32" borderId="15" xfId="0" applyFont="1" applyFill="1" applyBorder="1" applyAlignment="1">
      <alignment horizontal="left"/>
    </xf>
    <xf numFmtId="0" fontId="9" fillId="32" borderId="17" xfId="0" applyFont="1" applyFill="1" applyBorder="1" applyAlignment="1">
      <alignment horizontal="left"/>
    </xf>
    <xf numFmtId="0" fontId="9" fillId="31" borderId="19" xfId="0" applyFont="1" applyFill="1" applyBorder="1" applyAlignment="1">
      <alignment horizontal="center"/>
    </xf>
    <xf numFmtId="0" fontId="9" fillId="31" borderId="21" xfId="0" applyFont="1" applyFill="1" applyBorder="1" applyAlignment="1">
      <alignment horizontal="center"/>
    </xf>
    <xf numFmtId="0" fontId="9" fillId="31" borderId="24" xfId="0" applyFont="1" applyFill="1" applyBorder="1" applyAlignment="1">
      <alignment horizontal="center"/>
    </xf>
    <xf numFmtId="0" fontId="9" fillId="32" borderId="16" xfId="0" applyFont="1" applyFill="1" applyBorder="1" applyAlignment="1">
      <alignment horizontal="left"/>
    </xf>
    <xf numFmtId="0" fontId="9" fillId="24" borderId="15" xfId="0" applyFont="1" applyFill="1" applyBorder="1" applyAlignment="1">
      <alignment horizontal="center"/>
    </xf>
    <xf numFmtId="0" fontId="9" fillId="24" borderId="17" xfId="0" applyFont="1" applyFill="1" applyBorder="1" applyAlignment="1">
      <alignment horizontal="center"/>
    </xf>
    <xf numFmtId="0" fontId="10" fillId="25" borderId="15" xfId="0" applyFont="1" applyFill="1" applyBorder="1" applyAlignment="1" applyProtection="1">
      <alignment horizontal="left" vertical="center"/>
      <protection locked="0"/>
    </xf>
    <xf numFmtId="0" fontId="10" fillId="25" borderId="16" xfId="0" applyFont="1" applyFill="1" applyBorder="1" applyAlignment="1" applyProtection="1">
      <alignment horizontal="left" vertical="center"/>
      <protection locked="0"/>
    </xf>
    <xf numFmtId="0" fontId="10" fillId="25" borderId="17" xfId="0" applyFont="1" applyFill="1" applyBorder="1" applyAlignment="1" applyProtection="1">
      <alignment horizontal="left" vertical="center"/>
      <protection locked="0"/>
    </xf>
    <xf numFmtId="0" fontId="10" fillId="25" borderId="15" xfId="0" applyFont="1" applyFill="1" applyBorder="1" applyAlignment="1">
      <alignment horizontal="left"/>
    </xf>
    <xf numFmtId="0" fontId="10" fillId="25" borderId="16" xfId="0" applyFont="1" applyFill="1" applyBorder="1" applyAlignment="1">
      <alignment horizontal="left"/>
    </xf>
    <xf numFmtId="0" fontId="10" fillId="25" borderId="17" xfId="0" applyFont="1" applyFill="1" applyBorder="1" applyAlignment="1">
      <alignment horizontal="left"/>
    </xf>
    <xf numFmtId="177" fontId="5" fillId="23" borderId="25" xfId="0" applyNumberFormat="1" applyFont="1" applyFill="1" applyBorder="1" applyAlignment="1">
      <alignment horizontal="center"/>
    </xf>
    <xf numFmtId="177" fontId="5" fillId="23" borderId="27" xfId="0" applyNumberFormat="1" applyFont="1" applyFill="1" applyBorder="1" applyAlignment="1">
      <alignment horizontal="center"/>
    </xf>
    <xf numFmtId="0" fontId="8" fillId="23" borderId="27" xfId="0" applyFont="1" applyFill="1" applyBorder="1" applyAlignment="1">
      <alignment horizontal="right" wrapText="1"/>
    </xf>
    <xf numFmtId="0" fontId="10" fillId="25" borderId="15" xfId="0" applyFont="1" applyFill="1" applyBorder="1" applyAlignment="1">
      <alignment horizontal="center"/>
    </xf>
    <xf numFmtId="0" fontId="10" fillId="25" borderId="34" xfId="0" applyFont="1" applyFill="1" applyBorder="1" applyAlignment="1">
      <alignment horizontal="center"/>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27" xfId="0" applyFont="1" applyFill="1" applyBorder="1" applyAlignment="1">
      <alignment horizontal="left"/>
    </xf>
    <xf numFmtId="0" fontId="16" fillId="29" borderId="113" xfId="0" applyFont="1" applyFill="1" applyBorder="1" applyAlignment="1" applyProtection="1">
      <alignment horizontal="center" vertical="center"/>
      <protection locked="0"/>
    </xf>
    <xf numFmtId="0" fontId="16" fillId="29" borderId="63" xfId="0" applyFont="1" applyFill="1" applyBorder="1" applyAlignment="1" applyProtection="1">
      <alignment horizontal="center" vertical="center"/>
      <protection locked="0"/>
    </xf>
    <xf numFmtId="0" fontId="16" fillId="29" borderId="67" xfId="0" applyFont="1" applyFill="1" applyBorder="1" applyAlignment="1" applyProtection="1">
      <alignment horizontal="center" vertical="center"/>
      <protection locked="0"/>
    </xf>
    <xf numFmtId="0" fontId="59" fillId="25" borderId="115" xfId="0" applyFont="1" applyFill="1" applyBorder="1" applyAlignment="1" applyProtection="1">
      <alignment horizontal="center" vertical="center"/>
      <protection locked="0"/>
    </xf>
    <xf numFmtId="0" fontId="59" fillId="25" borderId="52" xfId="0" applyFont="1" applyFill="1" applyBorder="1" applyAlignment="1" applyProtection="1">
      <alignment horizontal="center" vertical="center"/>
      <protection locked="0"/>
    </xf>
    <xf numFmtId="0" fontId="16" fillId="23" borderId="78" xfId="0" applyFont="1" applyFill="1" applyBorder="1" applyAlignment="1" applyProtection="1">
      <alignment horizontal="center" vertical="center"/>
      <protection locked="0"/>
    </xf>
    <xf numFmtId="0" fontId="16" fillId="23" borderId="86" xfId="0" applyFont="1" applyFill="1" applyBorder="1" applyAlignment="1" applyProtection="1">
      <alignment horizontal="center" vertical="center"/>
      <protection locked="0"/>
    </xf>
    <xf numFmtId="0" fontId="16" fillId="23" borderId="43" xfId="0" applyFont="1" applyFill="1" applyBorder="1" applyAlignment="1" applyProtection="1">
      <alignment horizontal="center" vertical="center"/>
      <protection locked="0"/>
    </xf>
    <xf numFmtId="0" fontId="16" fillId="23" borderId="47" xfId="0" applyFont="1" applyFill="1" applyBorder="1" applyAlignment="1" applyProtection="1">
      <alignment horizontal="center" vertical="center"/>
      <protection locked="0"/>
    </xf>
    <xf numFmtId="0" fontId="16" fillId="29" borderId="114" xfId="0" applyFont="1" applyFill="1" applyBorder="1" applyAlignment="1" applyProtection="1">
      <alignment horizontal="center"/>
      <protection locked="0"/>
    </xf>
    <xf numFmtId="0" fontId="16" fillId="29" borderId="27" xfId="0" applyFont="1" applyFill="1" applyBorder="1" applyAlignment="1" applyProtection="1">
      <alignment horizontal="center"/>
      <protection locked="0"/>
    </xf>
    <xf numFmtId="0" fontId="16" fillId="29" borderId="34" xfId="0" applyFont="1" applyFill="1" applyBorder="1" applyAlignment="1" applyProtection="1">
      <alignment horizontal="center"/>
      <protection locked="0"/>
    </xf>
    <xf numFmtId="0" fontId="16" fillId="29" borderId="78" xfId="0" applyFont="1" applyFill="1" applyBorder="1" applyAlignment="1" applyProtection="1">
      <alignment horizontal="center"/>
      <protection locked="0"/>
    </xf>
    <xf numFmtId="0" fontId="16" fillId="29" borderId="42" xfId="0" applyFont="1" applyFill="1" applyBorder="1" applyAlignment="1" applyProtection="1">
      <alignment horizontal="center"/>
      <protection locked="0"/>
    </xf>
    <xf numFmtId="0" fontId="16" fillId="29" borderId="86" xfId="0" applyFont="1" applyFill="1" applyBorder="1" applyAlignment="1" applyProtection="1">
      <alignment horizontal="center"/>
      <protection locked="0"/>
    </xf>
    <xf numFmtId="0" fontId="11" fillId="24" borderId="23" xfId="0" applyFont="1" applyFill="1" applyBorder="1" applyAlignment="1">
      <alignment horizontal="center"/>
    </xf>
    <xf numFmtId="0" fontId="37" fillId="0" borderId="0" xfId="0" applyFont="1" applyAlignment="1">
      <alignment horizontal="left" wrapText="1"/>
    </xf>
    <xf numFmtId="0" fontId="8" fillId="23" borderId="78" xfId="0" applyFont="1" applyFill="1" applyBorder="1" applyAlignment="1" applyProtection="1">
      <alignment horizontal="center" vertical="center" wrapText="1"/>
      <protection locked="0"/>
    </xf>
    <xf numFmtId="0" fontId="8" fillId="23" borderId="86" xfId="0" applyFont="1" applyFill="1" applyBorder="1" applyAlignment="1" applyProtection="1">
      <alignment horizontal="center" vertical="center" wrapText="1"/>
      <protection locked="0"/>
    </xf>
    <xf numFmtId="0" fontId="16" fillId="29" borderId="68" xfId="0" applyFont="1" applyFill="1" applyBorder="1" applyAlignment="1" applyProtection="1">
      <alignment horizontal="center" vertical="center" wrapText="1"/>
      <protection locked="0"/>
    </xf>
    <xf numFmtId="0" fontId="16" fillId="29" borderId="69" xfId="0" applyFont="1" applyFill="1" applyBorder="1" applyAlignment="1" applyProtection="1">
      <alignment horizontal="center" vertical="center" wrapText="1"/>
      <protection locked="0"/>
    </xf>
    <xf numFmtId="0" fontId="16" fillId="29" borderId="81" xfId="0" applyFont="1" applyFill="1" applyBorder="1" applyAlignment="1" applyProtection="1">
      <alignment horizontal="center" vertical="center" wrapText="1"/>
      <protection locked="0"/>
    </xf>
    <xf numFmtId="0" fontId="63" fillId="23" borderId="42" xfId="0" applyFont="1" applyFill="1" applyBorder="1" applyAlignment="1">
      <alignment horizontal="right"/>
    </xf>
    <xf numFmtId="0" fontId="63" fillId="23" borderId="70" xfId="0" applyFont="1" applyFill="1" applyBorder="1" applyAlignment="1">
      <alignment horizontal="right"/>
    </xf>
    <xf numFmtId="0" fontId="16" fillId="23" borderId="0" xfId="0" applyFont="1" applyFill="1" applyAlignment="1">
      <alignment horizontal="right" wrapText="1"/>
    </xf>
    <xf numFmtId="0" fontId="16" fillId="23" borderId="27" xfId="0" applyFont="1" applyFill="1" applyBorder="1" applyAlignment="1">
      <alignment horizontal="right" wrapText="1"/>
    </xf>
    <xf numFmtId="0" fontId="16" fillId="29" borderId="116" xfId="0" applyFont="1" applyFill="1" applyBorder="1" applyAlignment="1" applyProtection="1">
      <alignment horizontal="center" wrapText="1"/>
      <protection locked="0"/>
    </xf>
    <xf numFmtId="0" fontId="16" fillId="29" borderId="16" xfId="0" applyFont="1" applyFill="1" applyBorder="1" applyAlignment="1" applyProtection="1">
      <alignment horizontal="center" wrapText="1"/>
      <protection locked="0"/>
    </xf>
    <xf numFmtId="0" fontId="16" fillId="29" borderId="17" xfId="0" applyFont="1" applyFill="1" applyBorder="1" applyAlignment="1" applyProtection="1">
      <alignment horizontal="center" wrapText="1"/>
      <protection locked="0"/>
    </xf>
    <xf numFmtId="0" fontId="8" fillId="23" borderId="43" xfId="0" applyFont="1" applyFill="1" applyBorder="1" applyAlignment="1" applyProtection="1">
      <alignment horizontal="center" vertical="center" wrapText="1"/>
      <protection locked="0"/>
    </xf>
    <xf numFmtId="0" fontId="8" fillId="23" borderId="47" xfId="0" applyFont="1" applyFill="1" applyBorder="1" applyAlignment="1" applyProtection="1">
      <alignment horizontal="center" vertical="center" wrapText="1"/>
      <protection locked="0"/>
    </xf>
    <xf numFmtId="0" fontId="11" fillId="24" borderId="19" xfId="0" applyFont="1" applyFill="1" applyBorder="1" applyAlignment="1">
      <alignment horizontal="center"/>
    </xf>
    <xf numFmtId="0" fontId="11" fillId="24" borderId="21" xfId="0" applyFont="1" applyFill="1" applyBorder="1" applyAlignment="1">
      <alignment horizontal="center"/>
    </xf>
    <xf numFmtId="0" fontId="10" fillId="28" borderId="116" xfId="0" applyFont="1" applyFill="1" applyBorder="1" applyAlignment="1" applyProtection="1">
      <alignment horizontal="left"/>
      <protection locked="0"/>
    </xf>
    <xf numFmtId="0" fontId="10" fillId="28" borderId="85" xfId="0" applyFont="1" applyFill="1" applyBorder="1" applyAlignment="1" applyProtection="1">
      <alignment horizontal="left"/>
      <protection locked="0"/>
    </xf>
    <xf numFmtId="0" fontId="5" fillId="29" borderId="94" xfId="0" applyFont="1" applyFill="1" applyBorder="1" applyAlignment="1" applyProtection="1">
      <alignment horizontal="center" vertical="center"/>
      <protection locked="0"/>
    </xf>
    <xf numFmtId="0" fontId="5" fillId="29" borderId="66" xfId="0" applyFont="1" applyFill="1" applyBorder="1" applyAlignment="1" applyProtection="1">
      <alignment horizontal="center" vertical="center"/>
      <protection locked="0"/>
    </xf>
    <xf numFmtId="0" fontId="93" fillId="23" borderId="0" xfId="0" applyFont="1" applyFill="1" applyAlignment="1">
      <alignment horizontal="left" vertical="center" wrapText="1"/>
    </xf>
    <xf numFmtId="0" fontId="63" fillId="23" borderId="0" xfId="0" applyFont="1" applyFill="1" applyAlignment="1">
      <alignment horizontal="left" vertical="center" wrapText="1"/>
    </xf>
    <xf numFmtId="0" fontId="5" fillId="29" borderId="43" xfId="0" applyFont="1" applyFill="1" applyBorder="1" applyAlignment="1" applyProtection="1">
      <alignment horizontal="center" vertical="center"/>
      <protection locked="0"/>
    </xf>
    <xf numFmtId="0" fontId="5" fillId="29" borderId="47" xfId="0" applyFont="1" applyFill="1" applyBorder="1" applyAlignment="1" applyProtection="1">
      <alignment horizontal="center" vertical="center"/>
      <protection locked="0"/>
    </xf>
    <xf numFmtId="0" fontId="41" fillId="23" borderId="0" xfId="0" applyFont="1" applyFill="1" applyAlignment="1">
      <alignment horizontal="left" vertical="center" wrapText="1"/>
    </xf>
    <xf numFmtId="0" fontId="10" fillId="28" borderId="78" xfId="0" applyFont="1" applyFill="1" applyBorder="1" applyAlignment="1" applyProtection="1">
      <alignment horizontal="left"/>
      <protection locked="0"/>
    </xf>
    <xf numFmtId="0" fontId="10" fillId="28" borderId="42" xfId="0" applyFont="1" applyFill="1" applyBorder="1" applyAlignment="1" applyProtection="1">
      <alignment horizontal="left"/>
      <protection locked="0"/>
    </xf>
    <xf numFmtId="0" fontId="10" fillId="28" borderId="86" xfId="0" applyFont="1" applyFill="1" applyBorder="1" applyAlignment="1" applyProtection="1">
      <alignment horizontal="left"/>
      <protection locked="0"/>
    </xf>
    <xf numFmtId="0" fontId="10" fillId="28" borderId="78" xfId="0" applyFont="1" applyFill="1" applyBorder="1" applyAlignment="1" applyProtection="1">
      <alignment horizontal="left" vertical="center"/>
      <protection locked="0"/>
    </xf>
    <xf numFmtId="0" fontId="10" fillId="28" borderId="42" xfId="0" applyFont="1" applyFill="1" applyBorder="1" applyAlignment="1" applyProtection="1">
      <alignment horizontal="left" vertical="center"/>
      <protection locked="0"/>
    </xf>
    <xf numFmtId="0" fontId="10" fillId="28" borderId="86" xfId="0" applyFont="1" applyFill="1" applyBorder="1" applyAlignment="1" applyProtection="1">
      <alignment horizontal="left" vertical="center"/>
      <protection locked="0"/>
    </xf>
    <xf numFmtId="22" fontId="10" fillId="28" borderId="43" xfId="0" applyNumberFormat="1" applyFont="1" applyFill="1" applyBorder="1" applyAlignment="1" applyProtection="1">
      <alignment horizontal="left"/>
      <protection locked="0"/>
    </xf>
    <xf numFmtId="0" fontId="10" fillId="28" borderId="30" xfId="0" applyFont="1" applyFill="1" applyBorder="1" applyAlignment="1" applyProtection="1">
      <alignment horizontal="left"/>
      <protection locked="0"/>
    </xf>
    <xf numFmtId="0" fontId="10" fillId="28" borderId="47" xfId="0" applyFont="1" applyFill="1" applyBorder="1" applyAlignment="1" applyProtection="1">
      <alignment horizontal="left"/>
      <protection locked="0"/>
    </xf>
    <xf numFmtId="0" fontId="10" fillId="28" borderId="43" xfId="0" applyFont="1" applyFill="1" applyBorder="1" applyAlignment="1" applyProtection="1">
      <alignment horizontal="left" vertical="center"/>
      <protection locked="0"/>
    </xf>
    <xf numFmtId="0" fontId="10" fillId="28" borderId="30" xfId="0" applyFont="1" applyFill="1" applyBorder="1" applyAlignment="1" applyProtection="1">
      <alignment horizontal="left" vertical="center"/>
      <protection locked="0"/>
    </xf>
    <xf numFmtId="0" fontId="10" fillId="28" borderId="47" xfId="0" applyFont="1" applyFill="1" applyBorder="1" applyAlignment="1" applyProtection="1">
      <alignment horizontal="left" vertical="center"/>
      <protection locked="0"/>
    </xf>
    <xf numFmtId="0" fontId="124" fillId="23" borderId="0" xfId="0" applyFont="1" applyFill="1" applyAlignment="1">
      <alignment horizontal="center" vertical="center" wrapText="1"/>
    </xf>
    <xf numFmtId="0" fontId="63" fillId="23" borderId="27" xfId="0" applyFont="1" applyFill="1" applyBorder="1" applyAlignment="1">
      <alignment horizontal="right" wrapText="1"/>
    </xf>
    <xf numFmtId="0" fontId="11" fillId="24" borderId="22" xfId="0" applyFont="1" applyFill="1" applyBorder="1" applyAlignment="1">
      <alignment horizontal="center"/>
    </xf>
    <xf numFmtId="0" fontId="11" fillId="24" borderId="0" xfId="0" applyFont="1" applyFill="1" applyAlignment="1">
      <alignment horizontal="center"/>
    </xf>
    <xf numFmtId="0" fontId="5" fillId="29" borderId="78" xfId="0" applyFont="1" applyFill="1" applyBorder="1" applyAlignment="1" applyProtection="1">
      <alignment horizontal="center" vertical="center"/>
      <protection locked="0"/>
    </xf>
    <xf numFmtId="0" fontId="5" fillId="29" borderId="86" xfId="0" applyFont="1" applyFill="1" applyBorder="1" applyAlignment="1" applyProtection="1">
      <alignment horizontal="center" vertical="center"/>
      <protection locked="0"/>
    </xf>
    <xf numFmtId="0" fontId="10" fillId="28" borderId="68" xfId="0" applyFont="1" applyFill="1" applyBorder="1" applyAlignment="1" applyProtection="1">
      <alignment horizontal="left" vertical="center"/>
      <protection locked="0"/>
    </xf>
    <xf numFmtId="0" fontId="10" fillId="28" borderId="69" xfId="0" applyFont="1" applyFill="1" applyBorder="1" applyAlignment="1" applyProtection="1">
      <alignment horizontal="left" vertical="center"/>
      <protection locked="0"/>
    </xf>
    <xf numFmtId="0" fontId="10" fillId="28" borderId="81" xfId="0" applyFont="1" applyFill="1" applyBorder="1" applyAlignment="1" applyProtection="1">
      <alignment horizontal="left" vertical="center"/>
      <protection locked="0"/>
    </xf>
    <xf numFmtId="166" fontId="10" fillId="28" borderId="43" xfId="0" applyNumberFormat="1" applyFont="1" applyFill="1" applyBorder="1" applyAlignment="1" applyProtection="1">
      <alignment horizontal="left"/>
      <protection locked="0"/>
    </xf>
    <xf numFmtId="0" fontId="10" fillId="28" borderId="114" xfId="0" applyFont="1" applyFill="1" applyBorder="1" applyAlignment="1" applyProtection="1">
      <alignment horizontal="left"/>
      <protection locked="0"/>
    </xf>
    <xf numFmtId="0" fontId="10" fillId="28" borderId="27" xfId="0" applyFont="1" applyFill="1" applyBorder="1" applyAlignment="1" applyProtection="1">
      <alignment horizontal="left"/>
      <protection locked="0"/>
    </xf>
    <xf numFmtId="0" fontId="10" fillId="28" borderId="34" xfId="0" applyFont="1" applyFill="1" applyBorder="1" applyAlignment="1" applyProtection="1">
      <alignment horizontal="left"/>
      <protection locked="0"/>
    </xf>
    <xf numFmtId="0" fontId="8" fillId="23" borderId="0" xfId="0" applyFont="1" applyFill="1" applyAlignment="1">
      <alignment horizontal="right" wrapText="1"/>
    </xf>
    <xf numFmtId="0" fontId="0" fillId="0" borderId="0" xfId="0" applyAlignment="1">
      <alignment wrapText="1"/>
    </xf>
    <xf numFmtId="0" fontId="16" fillId="23" borderId="0" xfId="0" applyFont="1" applyFill="1" applyAlignment="1">
      <alignment horizontal="left" vertical="top" wrapText="1"/>
    </xf>
    <xf numFmtId="0" fontId="24" fillId="23" borderId="57" xfId="0" applyFont="1" applyFill="1" applyBorder="1" applyAlignment="1">
      <alignment horizontal="left"/>
    </xf>
    <xf numFmtId="0" fontId="24" fillId="23" borderId="63" xfId="0" applyFont="1" applyFill="1" applyBorder="1" applyAlignment="1">
      <alignment horizontal="left"/>
    </xf>
    <xf numFmtId="0" fontId="16" fillId="29" borderId="63" xfId="0" applyFont="1" applyFill="1" applyBorder="1" applyAlignment="1" applyProtection="1">
      <alignment horizontal="center"/>
      <protection locked="0"/>
    </xf>
    <xf numFmtId="0" fontId="16" fillId="29" borderId="67" xfId="0" applyFont="1" applyFill="1" applyBorder="1" applyAlignment="1" applyProtection="1">
      <alignment horizontal="center"/>
      <protection locked="0"/>
    </xf>
    <xf numFmtId="0" fontId="10" fillId="25" borderId="42" xfId="0" applyFont="1" applyFill="1" applyBorder="1" applyAlignment="1" applyProtection="1">
      <alignment horizontal="left"/>
      <protection locked="0"/>
    </xf>
    <xf numFmtId="0" fontId="10" fillId="25" borderId="86" xfId="0" applyFont="1" applyFill="1" applyBorder="1" applyAlignment="1" applyProtection="1">
      <alignment horizontal="left"/>
      <protection locked="0"/>
    </xf>
    <xf numFmtId="3" fontId="5" fillId="25" borderId="15" xfId="0" applyNumberFormat="1" applyFont="1" applyFill="1" applyBorder="1" applyAlignment="1">
      <alignment horizontal="center"/>
    </xf>
    <xf numFmtId="3" fontId="5" fillId="25" borderId="17" xfId="0" applyNumberFormat="1" applyFont="1" applyFill="1" applyBorder="1" applyAlignment="1">
      <alignment horizontal="center"/>
    </xf>
    <xf numFmtId="0" fontId="59" fillId="23" borderId="72" xfId="0" applyFont="1" applyFill="1" applyBorder="1" applyAlignment="1">
      <alignment horizontal="left" vertical="top" wrapText="1"/>
    </xf>
    <xf numFmtId="0" fontId="59" fillId="23" borderId="38" xfId="0" applyFont="1" applyFill="1" applyBorder="1" applyAlignment="1">
      <alignment horizontal="left" vertical="top" wrapText="1"/>
    </xf>
    <xf numFmtId="0" fontId="14" fillId="25" borderId="42" xfId="0" applyFont="1" applyFill="1" applyBorder="1" applyProtection="1">
      <protection locked="0"/>
    </xf>
    <xf numFmtId="0" fontId="14" fillId="25" borderId="86" xfId="0" applyFont="1" applyFill="1" applyBorder="1" applyProtection="1">
      <protection locked="0"/>
    </xf>
    <xf numFmtId="0" fontId="5" fillId="29" borderId="43" xfId="0" applyFont="1" applyFill="1" applyBorder="1" applyAlignment="1" applyProtection="1">
      <alignment horizontal="left"/>
      <protection locked="0"/>
    </xf>
    <xf numFmtId="0" fontId="5" fillId="29" borderId="30" xfId="0" applyFont="1" applyFill="1" applyBorder="1" applyAlignment="1" applyProtection="1">
      <alignment horizontal="left"/>
      <protection locked="0"/>
    </xf>
    <xf numFmtId="0" fontId="5" fillId="29" borderId="47" xfId="0" applyFont="1" applyFill="1" applyBorder="1" applyAlignment="1" applyProtection="1">
      <alignment horizontal="left"/>
      <protection locked="0"/>
    </xf>
    <xf numFmtId="0" fontId="5" fillId="29" borderId="68" xfId="0" applyFont="1" applyFill="1" applyBorder="1" applyProtection="1">
      <protection locked="0"/>
    </xf>
    <xf numFmtId="0" fontId="5" fillId="29" borderId="69" xfId="0" applyFont="1" applyFill="1" applyBorder="1" applyProtection="1">
      <protection locked="0"/>
    </xf>
    <xf numFmtId="0" fontId="5" fillId="29" borderId="81" xfId="0" applyFont="1" applyFill="1" applyBorder="1" applyProtection="1">
      <protection locked="0"/>
    </xf>
    <xf numFmtId="0" fontId="5" fillId="29" borderId="68" xfId="0" applyFont="1" applyFill="1" applyBorder="1" applyAlignment="1" applyProtection="1">
      <alignment horizontal="left"/>
      <protection locked="0"/>
    </xf>
    <xf numFmtId="0" fontId="5" fillId="29" borderId="69" xfId="0" applyFont="1" applyFill="1" applyBorder="1" applyAlignment="1" applyProtection="1">
      <alignment horizontal="left"/>
      <protection locked="0"/>
    </xf>
    <xf numFmtId="0" fontId="5" fillId="29" borderId="81" xfId="0" applyFont="1" applyFill="1" applyBorder="1" applyAlignment="1" applyProtection="1">
      <alignment horizontal="left"/>
      <protection locked="0"/>
    </xf>
    <xf numFmtId="0" fontId="5" fillId="29" borderId="43" xfId="0" applyFont="1" applyFill="1" applyBorder="1" applyProtection="1">
      <protection locked="0"/>
    </xf>
    <xf numFmtId="0" fontId="5" fillId="29" borderId="30" xfId="0" applyFont="1" applyFill="1" applyBorder="1" applyProtection="1">
      <protection locked="0"/>
    </xf>
    <xf numFmtId="0" fontId="5" fillId="29" borderId="47" xfId="0" applyFont="1" applyFill="1" applyBorder="1" applyProtection="1">
      <protection locked="0"/>
    </xf>
    <xf numFmtId="0" fontId="103" fillId="23" borderId="0" xfId="0" applyFont="1" applyFill="1" applyAlignment="1">
      <alignment horizontal="left" wrapText="1"/>
    </xf>
    <xf numFmtId="176" fontId="0" fillId="25" borderId="57" xfId="0" applyNumberFormat="1" applyFill="1" applyBorder="1" applyAlignment="1" applyProtection="1">
      <alignment horizontal="left"/>
      <protection locked="0"/>
    </xf>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0" fillId="0" borderId="117" xfId="0" applyFont="1" applyBorder="1" applyAlignment="1">
      <alignment vertical="center" wrapText="1"/>
    </xf>
    <xf numFmtId="0" fontId="0" fillId="0" borderId="118" xfId="0" applyBorder="1" applyAlignment="1">
      <alignment wrapText="1"/>
    </xf>
    <xf numFmtId="0" fontId="0" fillId="0" borderId="119" xfId="0" applyBorder="1" applyAlignment="1">
      <alignment wrapText="1"/>
    </xf>
    <xf numFmtId="0" fontId="113" fillId="0" borderId="98" xfId="0" applyFont="1" applyBorder="1" applyAlignment="1">
      <alignment vertical="center" wrapText="1"/>
    </xf>
    <xf numFmtId="0" fontId="118" fillId="0" borderId="99" xfId="0" applyFont="1" applyBorder="1" applyAlignment="1">
      <alignment wrapText="1"/>
    </xf>
    <xf numFmtId="0" fontId="118" fillId="0" borderId="100" xfId="0" applyFont="1" applyBorder="1" applyAlignment="1">
      <alignment wrapText="1"/>
    </xf>
  </cellXfs>
  <cellStyles count="240">
    <cellStyle name="20 % - Akzent1" xfId="1" xr:uid="{00000000-0005-0000-0000-000000000000}"/>
    <cellStyle name="20 % - Akzent1 2" xfId="2" xr:uid="{00000000-0005-0000-0000-000001000000}"/>
    <cellStyle name="20 % - Akzent2" xfId="3" xr:uid="{00000000-0005-0000-0000-000002000000}"/>
    <cellStyle name="20 % - Akzent2 2" xfId="4" xr:uid="{00000000-0005-0000-0000-000003000000}"/>
    <cellStyle name="20 % - Akzent3" xfId="5" xr:uid="{00000000-0005-0000-0000-000004000000}"/>
    <cellStyle name="20 % - Akzent3 2" xfId="6" xr:uid="{00000000-0005-0000-0000-000005000000}"/>
    <cellStyle name="20 % - Akzent4" xfId="7" xr:uid="{00000000-0005-0000-0000-000006000000}"/>
    <cellStyle name="20 % - Akzent4 2" xfId="8" xr:uid="{00000000-0005-0000-0000-000007000000}"/>
    <cellStyle name="20 % - Akzent5" xfId="9" xr:uid="{00000000-0005-0000-0000-000008000000}"/>
    <cellStyle name="20 % - Akzent5 2" xfId="10" xr:uid="{00000000-0005-0000-0000-000009000000}"/>
    <cellStyle name="20 % - Akzent6" xfId="11" xr:uid="{00000000-0005-0000-0000-00000A000000}"/>
    <cellStyle name="20 % - Akzent6 2" xfId="12" xr:uid="{00000000-0005-0000-0000-00000B000000}"/>
    <cellStyle name="20 % - Accent1" xfId="13" xr:uid="{00000000-0005-0000-0000-00000C000000}"/>
    <cellStyle name="20 % - Accent1 2" xfId="14" xr:uid="{00000000-0005-0000-0000-00000D000000}"/>
    <cellStyle name="20 % - Accent1_log" xfId="15" xr:uid="{00000000-0005-0000-0000-00000E000000}"/>
    <cellStyle name="20 % - Accent2" xfId="16" xr:uid="{00000000-0005-0000-0000-00000F000000}"/>
    <cellStyle name="20 % - Accent2 2" xfId="17" xr:uid="{00000000-0005-0000-0000-000010000000}"/>
    <cellStyle name="20 % - Accent2_log" xfId="18" xr:uid="{00000000-0005-0000-0000-000011000000}"/>
    <cellStyle name="20 % - Accent3" xfId="19" xr:uid="{00000000-0005-0000-0000-000012000000}"/>
    <cellStyle name="20 % - Accent3 2" xfId="20" xr:uid="{00000000-0005-0000-0000-000013000000}"/>
    <cellStyle name="20 % - Accent3_log" xfId="21" xr:uid="{00000000-0005-0000-0000-000014000000}"/>
    <cellStyle name="20 % - Accent4" xfId="22" xr:uid="{00000000-0005-0000-0000-000015000000}"/>
    <cellStyle name="20 % - Accent4 2" xfId="23" xr:uid="{00000000-0005-0000-0000-000016000000}"/>
    <cellStyle name="20 % - Accent4_log" xfId="24" xr:uid="{00000000-0005-0000-0000-000017000000}"/>
    <cellStyle name="20 % - Accent5" xfId="25" xr:uid="{00000000-0005-0000-0000-000018000000}"/>
    <cellStyle name="20 % - Accent5 2" xfId="26" xr:uid="{00000000-0005-0000-0000-000019000000}"/>
    <cellStyle name="20 % - Accent5_log" xfId="27" xr:uid="{00000000-0005-0000-0000-00001A000000}"/>
    <cellStyle name="20 % - Accent6" xfId="28" xr:uid="{00000000-0005-0000-0000-00001B000000}"/>
    <cellStyle name="20 % - Accent6 2" xfId="29" xr:uid="{00000000-0005-0000-0000-00001C000000}"/>
    <cellStyle name="20 % - Accent6_log" xfId="30" xr:uid="{00000000-0005-0000-0000-00001D000000}"/>
    <cellStyle name="20% - Accent1" xfId="31" xr:uid="{00000000-0005-0000-0000-00001E000000}"/>
    <cellStyle name="20% - Accent1 2" xfId="32" xr:uid="{00000000-0005-0000-0000-00001F000000}"/>
    <cellStyle name="20% - Accent1_log" xfId="33" xr:uid="{00000000-0005-0000-0000-000020000000}"/>
    <cellStyle name="20% - Accent2" xfId="34" xr:uid="{00000000-0005-0000-0000-000021000000}"/>
    <cellStyle name="20% - Accent2 2" xfId="35" xr:uid="{00000000-0005-0000-0000-000022000000}"/>
    <cellStyle name="20% - Accent2_log" xfId="36" xr:uid="{00000000-0005-0000-0000-000023000000}"/>
    <cellStyle name="20% - Accent3" xfId="37" xr:uid="{00000000-0005-0000-0000-000024000000}"/>
    <cellStyle name="20% - Accent3 2" xfId="38" xr:uid="{00000000-0005-0000-0000-000025000000}"/>
    <cellStyle name="20% - Accent3_log" xfId="39" xr:uid="{00000000-0005-0000-0000-000026000000}"/>
    <cellStyle name="20% - Accent4" xfId="40" xr:uid="{00000000-0005-0000-0000-000027000000}"/>
    <cellStyle name="20% - Accent4 2" xfId="41" xr:uid="{00000000-0005-0000-0000-000028000000}"/>
    <cellStyle name="20% - Accent4_log" xfId="42" xr:uid="{00000000-0005-0000-0000-000029000000}"/>
    <cellStyle name="20% - Accent5" xfId="43" xr:uid="{00000000-0005-0000-0000-00002A000000}"/>
    <cellStyle name="20% - Accent5 2" xfId="44" xr:uid="{00000000-0005-0000-0000-00002B000000}"/>
    <cellStyle name="20% - Accent5_log" xfId="45" xr:uid="{00000000-0005-0000-0000-00002C000000}"/>
    <cellStyle name="20% - Accent6" xfId="46" xr:uid="{00000000-0005-0000-0000-00002D000000}"/>
    <cellStyle name="20% - Accent6 2" xfId="47" xr:uid="{00000000-0005-0000-0000-00002E000000}"/>
    <cellStyle name="20% - Accent6_log" xfId="48" xr:uid="{00000000-0005-0000-0000-00002F000000}"/>
    <cellStyle name="40 % - Akzent1" xfId="49" xr:uid="{00000000-0005-0000-0000-000030000000}"/>
    <cellStyle name="40 % - Akzent1 2" xfId="50" xr:uid="{00000000-0005-0000-0000-000031000000}"/>
    <cellStyle name="40 % - Akzent2" xfId="51" xr:uid="{00000000-0005-0000-0000-000032000000}"/>
    <cellStyle name="40 % - Akzent2 2" xfId="52" xr:uid="{00000000-0005-0000-0000-000033000000}"/>
    <cellStyle name="40 % - Akzent3" xfId="53" xr:uid="{00000000-0005-0000-0000-000034000000}"/>
    <cellStyle name="40 % - Akzent3 2" xfId="54" xr:uid="{00000000-0005-0000-0000-000035000000}"/>
    <cellStyle name="40 % - Akzent4" xfId="55" xr:uid="{00000000-0005-0000-0000-000036000000}"/>
    <cellStyle name="40 % - Akzent4 2" xfId="56" xr:uid="{00000000-0005-0000-0000-000037000000}"/>
    <cellStyle name="40 % - Akzent5" xfId="57" xr:uid="{00000000-0005-0000-0000-000038000000}"/>
    <cellStyle name="40 % - Akzent5 2" xfId="58" xr:uid="{00000000-0005-0000-0000-000039000000}"/>
    <cellStyle name="40 % - Akzent6" xfId="59" xr:uid="{00000000-0005-0000-0000-00003A000000}"/>
    <cellStyle name="40 % - Akzent6 2" xfId="60" xr:uid="{00000000-0005-0000-0000-00003B000000}"/>
    <cellStyle name="40 % - Accent1" xfId="61" xr:uid="{00000000-0005-0000-0000-00003C000000}"/>
    <cellStyle name="40 % - Accent1 2" xfId="62" xr:uid="{00000000-0005-0000-0000-00003D000000}"/>
    <cellStyle name="40 % - Accent1_log" xfId="63" xr:uid="{00000000-0005-0000-0000-00003E000000}"/>
    <cellStyle name="40 % - Accent2" xfId="64" xr:uid="{00000000-0005-0000-0000-00003F000000}"/>
    <cellStyle name="40 % - Accent2 2" xfId="65" xr:uid="{00000000-0005-0000-0000-000040000000}"/>
    <cellStyle name="40 % - Accent2_log" xfId="66" xr:uid="{00000000-0005-0000-0000-000041000000}"/>
    <cellStyle name="40 % - Accent3" xfId="67" xr:uid="{00000000-0005-0000-0000-000042000000}"/>
    <cellStyle name="40 % - Accent3 2" xfId="68" xr:uid="{00000000-0005-0000-0000-000043000000}"/>
    <cellStyle name="40 % - Accent3_log" xfId="69" xr:uid="{00000000-0005-0000-0000-000044000000}"/>
    <cellStyle name="40 % - Accent4" xfId="70" xr:uid="{00000000-0005-0000-0000-000045000000}"/>
    <cellStyle name="40 % - Accent4 2" xfId="71" xr:uid="{00000000-0005-0000-0000-000046000000}"/>
    <cellStyle name="40 % - Accent4_log" xfId="72" xr:uid="{00000000-0005-0000-0000-000047000000}"/>
    <cellStyle name="40 % - Accent5" xfId="73" xr:uid="{00000000-0005-0000-0000-000048000000}"/>
    <cellStyle name="40 % - Accent5 2" xfId="74" xr:uid="{00000000-0005-0000-0000-000049000000}"/>
    <cellStyle name="40 % - Accent5_log" xfId="75" xr:uid="{00000000-0005-0000-0000-00004A000000}"/>
    <cellStyle name="40 % - Accent6" xfId="76" xr:uid="{00000000-0005-0000-0000-00004B000000}"/>
    <cellStyle name="40 % - Accent6 2" xfId="77" xr:uid="{00000000-0005-0000-0000-00004C000000}"/>
    <cellStyle name="40 % - Accent6_log" xfId="78" xr:uid="{00000000-0005-0000-0000-00004D000000}"/>
    <cellStyle name="40% - Accent1" xfId="79" xr:uid="{00000000-0005-0000-0000-00004E000000}"/>
    <cellStyle name="40% - Accent1 2" xfId="80" xr:uid="{00000000-0005-0000-0000-00004F000000}"/>
    <cellStyle name="40% - Accent1_log" xfId="81" xr:uid="{00000000-0005-0000-0000-000050000000}"/>
    <cellStyle name="40% - Accent2" xfId="82" xr:uid="{00000000-0005-0000-0000-000051000000}"/>
    <cellStyle name="40% - Accent2 2" xfId="83" xr:uid="{00000000-0005-0000-0000-000052000000}"/>
    <cellStyle name="40% - Accent2_log" xfId="84" xr:uid="{00000000-0005-0000-0000-000053000000}"/>
    <cellStyle name="40% - Accent3" xfId="85" xr:uid="{00000000-0005-0000-0000-000054000000}"/>
    <cellStyle name="40% - Accent3 2" xfId="86" xr:uid="{00000000-0005-0000-0000-000055000000}"/>
    <cellStyle name="40% - Accent3_log" xfId="87" xr:uid="{00000000-0005-0000-0000-000056000000}"/>
    <cellStyle name="40% - Accent4" xfId="88" xr:uid="{00000000-0005-0000-0000-000057000000}"/>
    <cellStyle name="40% - Accent4 2" xfId="89" xr:uid="{00000000-0005-0000-0000-000058000000}"/>
    <cellStyle name="40% - Accent4_log" xfId="90" xr:uid="{00000000-0005-0000-0000-000059000000}"/>
    <cellStyle name="40% - Accent5" xfId="91" xr:uid="{00000000-0005-0000-0000-00005A000000}"/>
    <cellStyle name="40% - Accent5 2" xfId="92" xr:uid="{00000000-0005-0000-0000-00005B000000}"/>
    <cellStyle name="40% - Accent5_log" xfId="93" xr:uid="{00000000-0005-0000-0000-00005C000000}"/>
    <cellStyle name="40% - Accent6" xfId="94" xr:uid="{00000000-0005-0000-0000-00005D000000}"/>
    <cellStyle name="40% - Accent6 2" xfId="95" xr:uid="{00000000-0005-0000-0000-00005E000000}"/>
    <cellStyle name="40% - Accent6_log" xfId="96" xr:uid="{00000000-0005-0000-0000-00005F000000}"/>
    <cellStyle name="60 % - Akzent1" xfId="97" xr:uid="{00000000-0005-0000-0000-000060000000}"/>
    <cellStyle name="60 % - Akzent1 2" xfId="98" xr:uid="{00000000-0005-0000-0000-000061000000}"/>
    <cellStyle name="60 % - Akzent2" xfId="99" xr:uid="{00000000-0005-0000-0000-000062000000}"/>
    <cellStyle name="60 % - Akzent2 2" xfId="100" xr:uid="{00000000-0005-0000-0000-000063000000}"/>
    <cellStyle name="60 % - Akzent3" xfId="101" xr:uid="{00000000-0005-0000-0000-000064000000}"/>
    <cellStyle name="60 % - Akzent3 2" xfId="102" xr:uid="{00000000-0005-0000-0000-000065000000}"/>
    <cellStyle name="60 % - Akzent4" xfId="103" xr:uid="{00000000-0005-0000-0000-000066000000}"/>
    <cellStyle name="60 % - Akzent4 2" xfId="104" xr:uid="{00000000-0005-0000-0000-000067000000}"/>
    <cellStyle name="60 % - Akzent5" xfId="105" xr:uid="{00000000-0005-0000-0000-000068000000}"/>
    <cellStyle name="60 % - Akzent5 2" xfId="106" xr:uid="{00000000-0005-0000-0000-000069000000}"/>
    <cellStyle name="60 % - Akzent6" xfId="107" xr:uid="{00000000-0005-0000-0000-00006A000000}"/>
    <cellStyle name="60 % - Akzent6 2" xfId="108" xr:uid="{00000000-0005-0000-0000-00006B000000}"/>
    <cellStyle name="60 % - Accent1" xfId="109" xr:uid="{00000000-0005-0000-0000-00006C000000}"/>
    <cellStyle name="60 % - Accent2" xfId="110" xr:uid="{00000000-0005-0000-0000-00006D000000}"/>
    <cellStyle name="60 % - Accent3" xfId="111" xr:uid="{00000000-0005-0000-0000-00006E000000}"/>
    <cellStyle name="60 % - Accent4" xfId="112" xr:uid="{00000000-0005-0000-0000-00006F000000}"/>
    <cellStyle name="60 % - Accent5" xfId="113" xr:uid="{00000000-0005-0000-0000-000070000000}"/>
    <cellStyle name="60 % - Accent6" xfId="114" xr:uid="{00000000-0005-0000-0000-000071000000}"/>
    <cellStyle name="60% - Accent1" xfId="115" xr:uid="{00000000-0005-0000-0000-000072000000}"/>
    <cellStyle name="60% - Accent2" xfId="116" xr:uid="{00000000-0005-0000-0000-000073000000}"/>
    <cellStyle name="60% - Accent3" xfId="117" xr:uid="{00000000-0005-0000-0000-000074000000}"/>
    <cellStyle name="60% - Accent4" xfId="118" xr:uid="{00000000-0005-0000-0000-000075000000}"/>
    <cellStyle name="60% - Accent5" xfId="119" xr:uid="{00000000-0005-0000-0000-000076000000}"/>
    <cellStyle name="60% - Accent6" xfId="120" xr:uid="{00000000-0005-0000-0000-000077000000}"/>
    <cellStyle name="Accent1" xfId="121" xr:uid="{00000000-0005-0000-0000-000078000000}"/>
    <cellStyle name="Accent2" xfId="122" xr:uid="{00000000-0005-0000-0000-000079000000}"/>
    <cellStyle name="Accent3" xfId="123" xr:uid="{00000000-0005-0000-0000-00007A000000}"/>
    <cellStyle name="Accent4" xfId="124" xr:uid="{00000000-0005-0000-0000-00007B000000}"/>
    <cellStyle name="Accent5" xfId="125" xr:uid="{00000000-0005-0000-0000-00007C000000}"/>
    <cellStyle name="Accent6" xfId="126" xr:uid="{00000000-0005-0000-0000-00007D000000}"/>
    <cellStyle name="Akzent1" xfId="127" builtinId="29" customBuiltin="1"/>
    <cellStyle name="Akzent1 2" xfId="128" xr:uid="{00000000-0005-0000-0000-00007F000000}"/>
    <cellStyle name="Akzent2" xfId="129" builtinId="33" customBuiltin="1"/>
    <cellStyle name="Akzent2 2" xfId="130" xr:uid="{00000000-0005-0000-0000-000081000000}"/>
    <cellStyle name="Akzent3" xfId="131" builtinId="37" customBuiltin="1"/>
    <cellStyle name="Akzent3 2" xfId="132" xr:uid="{00000000-0005-0000-0000-000083000000}"/>
    <cellStyle name="Akzent4" xfId="133" builtinId="41" customBuiltin="1"/>
    <cellStyle name="Akzent4 2" xfId="134" xr:uid="{00000000-0005-0000-0000-000085000000}"/>
    <cellStyle name="Akzent5" xfId="135" builtinId="45" customBuiltin="1"/>
    <cellStyle name="Akzent5 2" xfId="136" xr:uid="{00000000-0005-0000-0000-000087000000}"/>
    <cellStyle name="Akzent6" xfId="137" builtinId="49" customBuiltin="1"/>
    <cellStyle name="Akzent6 2" xfId="138" xr:uid="{00000000-0005-0000-0000-000089000000}"/>
    <cellStyle name="Ausgabe" xfId="139" builtinId="21" customBuiltin="1"/>
    <cellStyle name="Ausgabe 2" xfId="140" xr:uid="{00000000-0005-0000-0000-00008B000000}"/>
    <cellStyle name="Avertissement" xfId="141" xr:uid="{00000000-0005-0000-0000-00008C000000}"/>
    <cellStyle name="Bad" xfId="142" xr:uid="{00000000-0005-0000-0000-00008D000000}"/>
    <cellStyle name="Berechnung" xfId="143" builtinId="22" customBuiltin="1"/>
    <cellStyle name="Berechnung 2" xfId="144" xr:uid="{00000000-0005-0000-0000-00008F000000}"/>
    <cellStyle name="Calcul" xfId="145" xr:uid="{00000000-0005-0000-0000-000090000000}"/>
    <cellStyle name="Calculation" xfId="146" xr:uid="{00000000-0005-0000-0000-000091000000}"/>
    <cellStyle name="Cellule liée" xfId="147" xr:uid="{00000000-0005-0000-0000-000092000000}"/>
    <cellStyle name="Check Cell" xfId="148" xr:uid="{00000000-0005-0000-0000-000093000000}"/>
    <cellStyle name="Commentaire" xfId="149" xr:uid="{00000000-0005-0000-0000-000094000000}"/>
    <cellStyle name="Currency 2" xfId="150" xr:uid="{00000000-0005-0000-0000-000095000000}"/>
    <cellStyle name="Currency 2 2" xfId="151" xr:uid="{00000000-0005-0000-0000-000096000000}"/>
    <cellStyle name="Currency 3" xfId="152" xr:uid="{00000000-0005-0000-0000-000097000000}"/>
    <cellStyle name="Currency 3 2" xfId="153" xr:uid="{00000000-0005-0000-0000-000098000000}"/>
    <cellStyle name="Currency 4" xfId="154" xr:uid="{00000000-0005-0000-0000-000099000000}"/>
    <cellStyle name="Currency 4 2" xfId="155" xr:uid="{00000000-0005-0000-0000-00009A000000}"/>
    <cellStyle name="Currency 5" xfId="156" xr:uid="{00000000-0005-0000-0000-00009B000000}"/>
    <cellStyle name="Currency 5 2" xfId="157" xr:uid="{00000000-0005-0000-0000-00009C000000}"/>
    <cellStyle name="Currency 6" xfId="158" xr:uid="{00000000-0005-0000-0000-00009D000000}"/>
    <cellStyle name="Currency 6 2" xfId="159" xr:uid="{00000000-0005-0000-0000-00009E000000}"/>
    <cellStyle name="Eingabe" xfId="160" builtinId="20" customBuiltin="1"/>
    <cellStyle name="Eingabe 2" xfId="161" xr:uid="{00000000-0005-0000-0000-0000A0000000}"/>
    <cellStyle name="Entrée" xfId="162" xr:uid="{00000000-0005-0000-0000-0000A1000000}"/>
    <cellStyle name="Ergebnis" xfId="163" builtinId="25" customBuiltin="1"/>
    <cellStyle name="Ergebnis 2" xfId="164" xr:uid="{00000000-0005-0000-0000-0000A3000000}"/>
    <cellStyle name="Erklärender Text" xfId="165" builtinId="53" customBuiltin="1"/>
    <cellStyle name="Erklärender Text 2" xfId="166" xr:uid="{00000000-0005-0000-0000-0000A5000000}"/>
    <cellStyle name="Explanatory Text" xfId="167" xr:uid="{00000000-0005-0000-0000-0000A6000000}"/>
    <cellStyle name="Good" xfId="168" xr:uid="{00000000-0005-0000-0000-0000A7000000}"/>
    <cellStyle name="Gut" xfId="169" builtinId="26" customBuiltin="1"/>
    <cellStyle name="Gut 2" xfId="170" xr:uid="{00000000-0005-0000-0000-0000A9000000}"/>
    <cellStyle name="Heading 1" xfId="171" xr:uid="{00000000-0005-0000-0000-0000AA000000}"/>
    <cellStyle name="Heading 2" xfId="172" xr:uid="{00000000-0005-0000-0000-0000AB000000}"/>
    <cellStyle name="Heading 3" xfId="173" xr:uid="{00000000-0005-0000-0000-0000AC000000}"/>
    <cellStyle name="Heading 4" xfId="174" xr:uid="{00000000-0005-0000-0000-0000AD000000}"/>
    <cellStyle name="Input" xfId="175" xr:uid="{00000000-0005-0000-0000-0000AE000000}"/>
    <cellStyle name="Insatisfaisant" xfId="176" xr:uid="{00000000-0005-0000-0000-0000AF000000}"/>
    <cellStyle name="Komma" xfId="177" builtinId="3"/>
    <cellStyle name="Komma 2" xfId="178" xr:uid="{00000000-0005-0000-0000-0000B1000000}"/>
    <cellStyle name="Linked Cell" xfId="179" xr:uid="{00000000-0005-0000-0000-0000B2000000}"/>
    <cellStyle name="Neutral" xfId="180" builtinId="28" customBuiltin="1"/>
    <cellStyle name="Neutral 2" xfId="181" xr:uid="{00000000-0005-0000-0000-0000B4000000}"/>
    <cellStyle name="Neutre" xfId="182" xr:uid="{00000000-0005-0000-0000-0000B5000000}"/>
    <cellStyle name="Normal 2" xfId="183" xr:uid="{00000000-0005-0000-0000-0000B6000000}"/>
    <cellStyle name="Normal 2 2" xfId="184" xr:uid="{00000000-0005-0000-0000-0000B7000000}"/>
    <cellStyle name="Normal 2_log" xfId="185" xr:uid="{00000000-0005-0000-0000-0000B8000000}"/>
    <cellStyle name="Normal 3" xfId="186" xr:uid="{00000000-0005-0000-0000-0000B9000000}"/>
    <cellStyle name="Normal 3 2" xfId="187" xr:uid="{00000000-0005-0000-0000-0000BA000000}"/>
    <cellStyle name="Normal 3_log" xfId="188" xr:uid="{00000000-0005-0000-0000-0000BB000000}"/>
    <cellStyle name="Normal 4" xfId="189" xr:uid="{00000000-0005-0000-0000-0000BC000000}"/>
    <cellStyle name="Normal 4 2" xfId="190" xr:uid="{00000000-0005-0000-0000-0000BD000000}"/>
    <cellStyle name="Normal 4_log" xfId="191" xr:uid="{00000000-0005-0000-0000-0000BE000000}"/>
    <cellStyle name="Normal 5" xfId="192" xr:uid="{00000000-0005-0000-0000-0000BF000000}"/>
    <cellStyle name="Normal 5 2" xfId="193" xr:uid="{00000000-0005-0000-0000-0000C0000000}"/>
    <cellStyle name="Normal 5_log" xfId="194" xr:uid="{00000000-0005-0000-0000-0000C1000000}"/>
    <cellStyle name="Normal 6" xfId="195" xr:uid="{00000000-0005-0000-0000-0000C2000000}"/>
    <cellStyle name="Normal 6 2" xfId="196" xr:uid="{00000000-0005-0000-0000-0000C3000000}"/>
    <cellStyle name="Normal 6_log" xfId="197" xr:uid="{00000000-0005-0000-0000-0000C4000000}"/>
    <cellStyle name="Note" xfId="198" xr:uid="{00000000-0005-0000-0000-0000C5000000}"/>
    <cellStyle name="Note 2" xfId="199" xr:uid="{00000000-0005-0000-0000-0000C6000000}"/>
    <cellStyle name="Notiz" xfId="200" builtinId="10" customBuiltin="1"/>
    <cellStyle name="Notiz 2" xfId="201" xr:uid="{00000000-0005-0000-0000-0000C8000000}"/>
    <cellStyle name="Output" xfId="202" xr:uid="{00000000-0005-0000-0000-0000C9000000}"/>
    <cellStyle name="Prozent" xfId="203" builtinId="5"/>
    <cellStyle name="Prozent 2" xfId="204" xr:uid="{00000000-0005-0000-0000-0000CB000000}"/>
    <cellStyle name="Satisfaisant" xfId="205" xr:uid="{00000000-0005-0000-0000-0000CC000000}"/>
    <cellStyle name="Schlecht" xfId="206" builtinId="27" customBuiltin="1"/>
    <cellStyle name="Schlecht 2" xfId="207" xr:uid="{00000000-0005-0000-0000-0000CE000000}"/>
    <cellStyle name="Sortie" xfId="208" xr:uid="{00000000-0005-0000-0000-0000CF000000}"/>
    <cellStyle name="Standard" xfId="0" builtinId="0"/>
    <cellStyle name="Standard 2" xfId="209" xr:uid="{00000000-0005-0000-0000-0000D1000000}"/>
    <cellStyle name="Standard 3" xfId="210" xr:uid="{00000000-0005-0000-0000-0000D2000000}"/>
    <cellStyle name="Standard 4" xfId="238" xr:uid="{00000000-0005-0000-0000-0000D3000000}"/>
    <cellStyle name="Standard 5" xfId="239" xr:uid="{00000000-0005-0000-0000-0000D4000000}"/>
    <cellStyle name="Standard_BINs_120614c" xfId="211" xr:uid="{00000000-0005-0000-0000-0000D5000000}"/>
    <cellStyle name="Texte explicatif" xfId="212" xr:uid="{00000000-0005-0000-0000-0000D6000000}"/>
    <cellStyle name="Title" xfId="213" xr:uid="{00000000-0005-0000-0000-0000D7000000}"/>
    <cellStyle name="Titre" xfId="214" xr:uid="{00000000-0005-0000-0000-0000D8000000}"/>
    <cellStyle name="Titre 1" xfId="215" xr:uid="{00000000-0005-0000-0000-0000D9000000}"/>
    <cellStyle name="Titre 2" xfId="216" xr:uid="{00000000-0005-0000-0000-0000DA000000}"/>
    <cellStyle name="Titre 3" xfId="217" xr:uid="{00000000-0005-0000-0000-0000DB000000}"/>
    <cellStyle name="Titre 4" xfId="218" xr:uid="{00000000-0005-0000-0000-0000DC000000}"/>
    <cellStyle name="Total" xfId="219" xr:uid="{00000000-0005-0000-0000-0000DD000000}"/>
    <cellStyle name="Überschrift" xfId="220" builtinId="15" customBuiltin="1"/>
    <cellStyle name="Überschrift 1" xfId="221" builtinId="16" customBuiltin="1"/>
    <cellStyle name="Überschrift 1 2" xfId="222" xr:uid="{00000000-0005-0000-0000-0000E0000000}"/>
    <cellStyle name="Überschrift 2" xfId="223" builtinId="17" customBuiltin="1"/>
    <cellStyle name="Überschrift 2 2" xfId="224" xr:uid="{00000000-0005-0000-0000-0000E2000000}"/>
    <cellStyle name="Überschrift 3" xfId="225" builtinId="18" customBuiltin="1"/>
    <cellStyle name="Überschrift 3 2" xfId="226" xr:uid="{00000000-0005-0000-0000-0000E4000000}"/>
    <cellStyle name="Überschrift 4" xfId="227" builtinId="19" customBuiltin="1"/>
    <cellStyle name="Überschrift 4 2" xfId="228" xr:uid="{00000000-0005-0000-0000-0000E6000000}"/>
    <cellStyle name="Überschrift 5" xfId="229" xr:uid="{00000000-0005-0000-0000-0000E7000000}"/>
    <cellStyle name="Vérification" xfId="230" xr:uid="{00000000-0005-0000-0000-0000E8000000}"/>
    <cellStyle name="Verknüpfte Zelle" xfId="231" builtinId="24" customBuiltin="1"/>
    <cellStyle name="Verknüpfte Zelle 2" xfId="232" xr:uid="{00000000-0005-0000-0000-0000EA000000}"/>
    <cellStyle name="Warnender Text" xfId="233" builtinId="11" customBuiltin="1"/>
    <cellStyle name="Warnender Text 2" xfId="234" xr:uid="{00000000-0005-0000-0000-0000EC000000}"/>
    <cellStyle name="Warning Text" xfId="235" xr:uid="{00000000-0005-0000-0000-0000ED000000}"/>
    <cellStyle name="Zelle überprüfen" xfId="236" builtinId="23" customBuiltin="1"/>
    <cellStyle name="Zelle überprüfen 2" xfId="237" xr:uid="{00000000-0005-0000-0000-0000EF000000}"/>
  </cellStyles>
  <dxfs count="276">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border>
        <left/>
        <right/>
        <top/>
        <bottom/>
      </border>
    </dxf>
    <dxf>
      <fill>
        <patternFill>
          <bgColor indexed="34"/>
        </patternFill>
      </fill>
    </dxf>
    <dxf>
      <fill>
        <patternFill>
          <bgColor indexed="34"/>
        </patternFill>
      </fill>
    </dxf>
    <dxf>
      <font>
        <condense val="0"/>
        <extend val="0"/>
        <color indexed="9"/>
      </font>
      <fill>
        <patternFill>
          <bgColor indexed="9"/>
        </patternFill>
      </fill>
    </dxf>
    <dxf>
      <fill>
        <patternFill>
          <bgColor indexed="43"/>
        </patternFill>
      </fill>
    </dxf>
    <dxf>
      <font>
        <condense val="0"/>
        <extend val="0"/>
        <color indexed="9"/>
      </font>
      <fill>
        <patternFill>
          <bgColor indexed="9"/>
        </patternFill>
      </fill>
    </dxf>
    <dxf>
      <font>
        <b/>
        <i val="0"/>
        <condense val="0"/>
        <extend val="0"/>
        <color auto="1"/>
      </font>
      <fill>
        <patternFill>
          <bgColor indexed="10"/>
        </patternFill>
      </fill>
    </dxf>
    <dxf>
      <font>
        <b/>
        <i val="0"/>
        <condense val="0"/>
        <extend val="0"/>
      </font>
      <fill>
        <patternFill>
          <bgColor indexed="50"/>
        </patternFill>
      </fill>
    </dxf>
    <dxf>
      <font>
        <b/>
        <i val="0"/>
        <condense val="0"/>
        <extend val="0"/>
      </font>
      <fill>
        <patternFill>
          <bgColor indexed="50"/>
        </patternFill>
      </fill>
    </dxf>
    <dxf>
      <font>
        <b/>
        <i val="0"/>
        <condense val="0"/>
        <extend val="0"/>
        <color auto="1"/>
      </font>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ont>
        <b/>
        <i val="0"/>
        <condense val="0"/>
        <extend val="0"/>
      </font>
      <fill>
        <patternFill>
          <bgColor indexed="10"/>
        </patternFill>
      </fill>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42"/>
        </patternFill>
      </fill>
    </dxf>
    <dxf>
      <fill>
        <patternFill>
          <bgColor indexed="42"/>
        </patternFill>
      </fill>
    </dxf>
    <dxf>
      <fill>
        <patternFill>
          <bgColor indexed="2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b/>
        <i val="0"/>
        <condense val="0"/>
        <extend val="0"/>
        <color indexed="10"/>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b/>
        <i val="0"/>
        <condense val="0"/>
        <extend val="0"/>
        <color indexed="10"/>
      </font>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dxf>
    <dxf>
      <font>
        <condense val="0"/>
        <extend val="0"/>
        <color indexed="9"/>
      </font>
      <fill>
        <patternFill>
          <bgColor indexed="9"/>
        </patternFill>
      </fill>
      <border>
        <left style="thin">
          <color indexed="64"/>
        </left>
        <right/>
      </border>
    </dxf>
    <dxf>
      <fill>
        <patternFill>
          <bgColor indexed="34"/>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indexed="9"/>
      </font>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ill>
        <patternFill>
          <bgColor indexed="42"/>
        </patternFill>
      </fill>
    </dxf>
    <dxf>
      <font>
        <condense val="0"/>
        <extend val="0"/>
        <color indexed="9"/>
      </font>
      <fill>
        <patternFill>
          <bgColor indexed="9"/>
        </patternFill>
      </fill>
    </dxf>
    <dxf>
      <fill>
        <patternFill>
          <bgColor indexed="2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auto="1"/>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indexed="9"/>
      </font>
    </dxf>
    <dxf>
      <fill>
        <patternFill>
          <bgColor indexed="9"/>
        </patternFill>
      </fill>
      <border>
        <left/>
        <right/>
      </border>
    </dxf>
    <dxf>
      <font>
        <condense val="0"/>
        <extend val="0"/>
        <color indexed="9"/>
      </font>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dxf>
    <dxf>
      <font>
        <b/>
        <i val="0"/>
        <condense val="0"/>
        <extend val="0"/>
      </font>
      <fill>
        <patternFill>
          <bgColor indexed="14"/>
        </patternFill>
      </fill>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ill>
        <patternFill>
          <bgColor indexed="34"/>
        </patternFill>
      </fill>
    </dxf>
    <dxf>
      <fill>
        <patternFill>
          <bgColor indexed="34"/>
        </patternFill>
      </fill>
    </dxf>
    <dxf>
      <fill>
        <patternFill>
          <bgColor indexed="34"/>
        </patternFill>
      </fill>
    </dxf>
    <dxf>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border>
        <left/>
        <right/>
      </border>
    </dxf>
    <dxf>
      <fill>
        <patternFill>
          <bgColor indexed="9"/>
        </patternFill>
      </fill>
      <border>
        <left/>
        <right/>
      </border>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fill>
        <patternFill>
          <bgColor indexed="9"/>
        </patternFill>
      </fill>
      <border>
        <left style="thin">
          <color indexed="64"/>
        </left>
        <right/>
      </border>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1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6.png"/><Relationship Id="rId3" Type="http://schemas.openxmlformats.org/officeDocument/2006/relationships/image" Target="../media/image43.png"/><Relationship Id="rId21" Type="http://schemas.openxmlformats.org/officeDocument/2006/relationships/image" Target="../media/image2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5.png"/><Relationship Id="rId33" Type="http://schemas.openxmlformats.org/officeDocument/2006/relationships/image" Target="../media/image49.png"/><Relationship Id="rId2" Type="http://schemas.openxmlformats.org/officeDocument/2006/relationships/image" Target="../media/image42.png"/><Relationship Id="rId16" Type="http://schemas.openxmlformats.org/officeDocument/2006/relationships/image" Target="../media/image17.png"/><Relationship Id="rId20" Type="http://schemas.openxmlformats.org/officeDocument/2006/relationships/image" Target="../media/image45.png"/><Relationship Id="rId29" Type="http://schemas.openxmlformats.org/officeDocument/2006/relationships/image" Target="../media/image29.png"/><Relationship Id="rId1" Type="http://schemas.openxmlformats.org/officeDocument/2006/relationships/image" Target="../media/image41.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46.png"/><Relationship Id="rId32" Type="http://schemas.openxmlformats.org/officeDocument/2006/relationships/image" Target="../media/image48.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47.png"/><Relationship Id="rId4" Type="http://schemas.openxmlformats.org/officeDocument/2006/relationships/image" Target="../media/image44.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8.emf"/><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37.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36.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80A7-4E17-91C8-82C38E9AD663}"/>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80A7-4E17-91C8-82C38E9AD663}"/>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80A7-4E17-91C8-82C38E9AD663}"/>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80A7-4E17-91C8-82C38E9AD663}"/>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80A7-4E17-91C8-82C38E9AD663}"/>
              </c:ext>
            </c:extLst>
          </c:dPt>
          <c:val>
            <c:numRef>
              <c:f>Spez!$N$63</c:f>
              <c:numCache>
                <c:formatCode>General</c:formatCode>
                <c:ptCount val="1"/>
                <c:pt idx="0">
                  <c:v>0</c:v>
                </c:pt>
              </c:numCache>
            </c:numRef>
          </c:val>
          <c:extLst>
            <c:ext xmlns:c16="http://schemas.microsoft.com/office/drawing/2014/chart" uri="{C3380CC4-5D6E-409C-BE32-E72D297353CC}">
              <c16:uniqueId val="{00000005-80A7-4E17-91C8-82C38E9AD663}"/>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80A7-4E17-91C8-82C38E9AD663}"/>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80A7-4E17-91C8-82C38E9AD663}"/>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80A7-4E17-91C8-82C38E9AD663}"/>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80A7-4E17-91C8-82C38E9AD663}"/>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80A7-4E17-91C8-82C38E9AD663}"/>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80A7-4E17-91C8-82C38E9AD663}"/>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80A7-4E17-91C8-82C38E9AD663}"/>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80A7-4E17-91C8-82C38E9AD663}"/>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80A7-4E17-91C8-82C38E9AD663}"/>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80A7-4E17-91C8-82C38E9AD663}"/>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80A7-4E17-91C8-82C38E9AD663}"/>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80A7-4E17-91C8-82C38E9AD663}"/>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80A7-4E17-91C8-82C38E9AD663}"/>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80A7-4E17-91C8-82C38E9AD663}"/>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80A7-4E17-91C8-82C38E9AD663}"/>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80A7-4E17-91C8-82C38E9AD663}"/>
              </c:ext>
            </c:extLst>
          </c:dPt>
          <c:val>
            <c:numRef>
              <c:f>Spez!$N$79</c:f>
              <c:numCache>
                <c:formatCode>General</c:formatCode>
                <c:ptCount val="1"/>
                <c:pt idx="0">
                  <c:v>0</c:v>
                </c:pt>
              </c:numCache>
            </c:numRef>
          </c:val>
          <c:extLst>
            <c:ext xmlns:c16="http://schemas.microsoft.com/office/drawing/2014/chart" uri="{C3380CC4-5D6E-409C-BE32-E72D297353CC}">
              <c16:uniqueId val="{00000016-80A7-4E17-91C8-82C38E9AD663}"/>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80A7-4E17-91C8-82C38E9AD663}"/>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80A7-4E17-91C8-82C38E9AD663}"/>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80A7-4E17-91C8-82C38E9AD663}"/>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80A7-4E17-91C8-82C38E9AD663}"/>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80A7-4E17-91C8-82C38E9AD663}"/>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80A7-4E17-91C8-82C38E9AD663}"/>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80A7-4E17-91C8-82C38E9AD663}"/>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80A7-4E17-91C8-82C38E9AD663}"/>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80A7-4E17-91C8-82C38E9AD663}"/>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80A7-4E17-91C8-82C38E9AD663}"/>
            </c:ext>
          </c:extLst>
        </c:ser>
        <c:dLbls>
          <c:showLegendKey val="0"/>
          <c:showVal val="0"/>
          <c:showCatName val="0"/>
          <c:showSerName val="0"/>
          <c:showPercent val="0"/>
          <c:showBubbleSize val="0"/>
        </c:dLbls>
        <c:gapWidth val="0"/>
        <c:overlap val="100"/>
        <c:axId val="160910720"/>
        <c:axId val="160932992"/>
      </c:barChart>
      <c:catAx>
        <c:axId val="160910720"/>
        <c:scaling>
          <c:orientation val="minMax"/>
        </c:scaling>
        <c:delete val="0"/>
        <c:axPos val="b"/>
        <c:majorTickMark val="none"/>
        <c:minorTickMark val="none"/>
        <c:tickLblPos val="none"/>
        <c:spPr>
          <a:ln w="9525">
            <a:noFill/>
          </a:ln>
        </c:spPr>
        <c:crossAx val="160932992"/>
        <c:crosses val="autoZero"/>
        <c:auto val="1"/>
        <c:lblAlgn val="ctr"/>
        <c:lblOffset val="100"/>
        <c:tickMarkSkip val="1"/>
        <c:noMultiLvlLbl val="0"/>
      </c:catAx>
      <c:valAx>
        <c:axId val="160932992"/>
        <c:scaling>
          <c:orientation val="minMax"/>
        </c:scaling>
        <c:delete val="0"/>
        <c:axPos val="l"/>
        <c:numFmt formatCode="0%" sourceLinked="1"/>
        <c:majorTickMark val="none"/>
        <c:minorTickMark val="none"/>
        <c:tickLblPos val="none"/>
        <c:spPr>
          <a:ln w="9525">
            <a:noFill/>
          </a:ln>
        </c:spPr>
        <c:crossAx val="16091072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7173995259473E-3"/>
          <c:y val="1.886798247095639E-2"/>
          <c:w val="0.98619705757903764"/>
          <c:h val="0.97484576099941722"/>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A8B7-4DC7-9224-64DAE2282457}"/>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A8B7-4DC7-9224-64DAE2282457}"/>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A8B7-4DC7-9224-64DAE2282457}"/>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A8B7-4DC7-9224-64DAE2282457}"/>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val>
            <c:numRef>
              <c:f>Spez!$N$63</c:f>
              <c:numCache>
                <c:formatCode>General</c:formatCode>
                <c:ptCount val="1"/>
                <c:pt idx="0">
                  <c:v>0</c:v>
                </c:pt>
              </c:numCache>
            </c:numRef>
          </c:val>
          <c:extLst>
            <c:ext xmlns:c16="http://schemas.microsoft.com/office/drawing/2014/chart" uri="{C3380CC4-5D6E-409C-BE32-E72D297353CC}">
              <c16:uniqueId val="{00000004-A8B7-4DC7-9224-64DAE2282457}"/>
            </c:ext>
          </c:extLst>
        </c:ser>
        <c:ser>
          <c:idx val="5"/>
          <c:order val="5"/>
          <c:tx>
            <c:strRef>
              <c:f>Spez!$M$64</c:f>
              <c:strCache>
                <c:ptCount val="1"/>
                <c:pt idx="0">
                  <c:v>Schema 6</c:v>
                </c:pt>
              </c:strCache>
            </c:strRef>
          </c:tx>
          <c:spPr>
            <a:blipFill dpi="0" rotWithShape="0">
              <a:blip xmlns:r="http://schemas.openxmlformats.org/officeDocument/2006/relationships" r:embed="rId6"/>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5-A8B7-4DC7-9224-64DAE2282457}"/>
            </c:ext>
          </c:extLst>
        </c:ser>
        <c:ser>
          <c:idx val="6"/>
          <c:order val="6"/>
          <c:tx>
            <c:strRef>
              <c:f>Spez!$M$65</c:f>
              <c:strCache>
                <c:ptCount val="1"/>
                <c:pt idx="0">
                  <c:v>Schema 7</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6-A8B7-4DC7-9224-64DAE2282457}"/>
            </c:ext>
          </c:extLst>
        </c:ser>
        <c:ser>
          <c:idx val="7"/>
          <c:order val="7"/>
          <c:tx>
            <c:strRef>
              <c:f>Spez!$M$66</c:f>
              <c:strCache>
                <c:ptCount val="1"/>
                <c:pt idx="0">
                  <c:v>Schema 8</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7-A8B7-4DC7-9224-64DAE2282457}"/>
            </c:ext>
          </c:extLst>
        </c:ser>
        <c:ser>
          <c:idx val="8"/>
          <c:order val="8"/>
          <c:tx>
            <c:strRef>
              <c:f>Spez!$M$67</c:f>
              <c:strCache>
                <c:ptCount val="1"/>
                <c:pt idx="0">
                  <c:v>Schema 9</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8-A8B7-4DC7-9224-64DAE2282457}"/>
            </c:ext>
          </c:extLst>
        </c:ser>
        <c:ser>
          <c:idx val="9"/>
          <c:order val="9"/>
          <c:tx>
            <c:strRef>
              <c:f>Spez!$M$68</c:f>
              <c:strCache>
                <c:ptCount val="1"/>
                <c:pt idx="0">
                  <c:v>Schema 10</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9-A8B7-4DC7-9224-64DAE2282457}"/>
            </c:ext>
          </c:extLst>
        </c:ser>
        <c:ser>
          <c:idx val="10"/>
          <c:order val="10"/>
          <c:tx>
            <c:strRef>
              <c:f>Spez!$M$69</c:f>
              <c:strCache>
                <c:ptCount val="1"/>
                <c:pt idx="0">
                  <c:v>Schema 11</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A-A8B7-4DC7-9224-64DAE2282457}"/>
            </c:ext>
          </c:extLst>
        </c:ser>
        <c:ser>
          <c:idx val="11"/>
          <c:order val="11"/>
          <c:tx>
            <c:strRef>
              <c:f>Spez!$M$70</c:f>
              <c:strCache>
                <c:ptCount val="1"/>
                <c:pt idx="0">
                  <c:v>Schema 12</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B-A8B7-4DC7-9224-64DAE2282457}"/>
            </c:ext>
          </c:extLst>
        </c:ser>
        <c:ser>
          <c:idx val="12"/>
          <c:order val="12"/>
          <c:tx>
            <c:strRef>
              <c:f>Spez!$M$71</c:f>
              <c:strCache>
                <c:ptCount val="1"/>
                <c:pt idx="0">
                  <c:v>Schema 13</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C-A8B7-4DC7-9224-64DAE2282457}"/>
            </c:ext>
          </c:extLst>
        </c:ser>
        <c:ser>
          <c:idx val="13"/>
          <c:order val="13"/>
          <c:tx>
            <c:strRef>
              <c:f>Spez!$M$72</c:f>
              <c:strCache>
                <c:ptCount val="1"/>
                <c:pt idx="0">
                  <c:v>Schema 14</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D-A8B7-4DC7-9224-64DAE2282457}"/>
            </c:ext>
          </c:extLst>
        </c:ser>
        <c:ser>
          <c:idx val="14"/>
          <c:order val="14"/>
          <c:tx>
            <c:strRef>
              <c:f>Spez!$M$73</c:f>
              <c:strCache>
                <c:ptCount val="1"/>
                <c:pt idx="0">
                  <c:v>Schema 15</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E-A8B7-4DC7-9224-64DAE2282457}"/>
            </c:ext>
          </c:extLst>
        </c:ser>
        <c:ser>
          <c:idx val="15"/>
          <c:order val="15"/>
          <c:tx>
            <c:strRef>
              <c:f>Spez!$M$74</c:f>
              <c:strCache>
                <c:ptCount val="1"/>
                <c:pt idx="0">
                  <c:v>Schema 16</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0F-A8B7-4DC7-9224-64DAE2282457}"/>
            </c:ext>
          </c:extLst>
        </c:ser>
        <c:ser>
          <c:idx val="16"/>
          <c:order val="16"/>
          <c:tx>
            <c:strRef>
              <c:f>Spez!$M$75</c:f>
              <c:strCache>
                <c:ptCount val="1"/>
                <c:pt idx="0">
                  <c:v>Schema 17</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0-A8B7-4DC7-9224-64DAE2282457}"/>
            </c:ext>
          </c:extLst>
        </c:ser>
        <c:ser>
          <c:idx val="17"/>
          <c:order val="17"/>
          <c:tx>
            <c:strRef>
              <c:f>Spez!$M$76</c:f>
              <c:strCache>
                <c:ptCount val="1"/>
                <c:pt idx="0">
                  <c:v>Schema 18</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1-A8B7-4DC7-9224-64DAE2282457}"/>
            </c:ext>
          </c:extLst>
        </c:ser>
        <c:ser>
          <c:idx val="18"/>
          <c:order val="18"/>
          <c:tx>
            <c:strRef>
              <c:f>Spez!$M$77</c:f>
              <c:strCache>
                <c:ptCount val="1"/>
                <c:pt idx="0">
                  <c:v>Schema 19</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2-A8B7-4DC7-9224-64DAE2282457}"/>
            </c:ext>
          </c:extLst>
        </c:ser>
        <c:ser>
          <c:idx val="19"/>
          <c:order val="19"/>
          <c:tx>
            <c:strRef>
              <c:f>Spez!$M$78</c:f>
              <c:strCache>
                <c:ptCount val="1"/>
                <c:pt idx="0">
                  <c:v>Schema 20</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1"/>
                <a:srcRect/>
                <a:stretch>
                  <a:fillRect/>
                </a:stretch>
              </a:blipFill>
              <a:ln w="25400">
                <a:noFill/>
              </a:ln>
            </c:spPr>
            <c:pictureOptions>
              <c:pictureFormat val="stretch"/>
            </c:pictureOptions>
            <c:extLst>
              <c:ext xmlns:c16="http://schemas.microsoft.com/office/drawing/2014/chart" uri="{C3380CC4-5D6E-409C-BE32-E72D297353CC}">
                <c16:uniqueId val="{00000013-A8B7-4DC7-9224-64DAE2282457}"/>
              </c:ext>
            </c:extLst>
          </c:dPt>
          <c:val>
            <c:numRef>
              <c:f>Spez!$N$78</c:f>
              <c:numCache>
                <c:formatCode>General</c:formatCode>
                <c:ptCount val="1"/>
                <c:pt idx="0">
                  <c:v>0</c:v>
                </c:pt>
              </c:numCache>
            </c:numRef>
          </c:val>
          <c:extLst>
            <c:ext xmlns:c16="http://schemas.microsoft.com/office/drawing/2014/chart" uri="{C3380CC4-5D6E-409C-BE32-E72D297353CC}">
              <c16:uniqueId val="{00000014-A8B7-4DC7-9224-64DAE2282457}"/>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val>
            <c:numRef>
              <c:f>Spez!$N$79</c:f>
              <c:numCache>
                <c:formatCode>General</c:formatCode>
                <c:ptCount val="1"/>
                <c:pt idx="0">
                  <c:v>0</c:v>
                </c:pt>
              </c:numCache>
            </c:numRef>
          </c:val>
          <c:extLst>
            <c:ext xmlns:c16="http://schemas.microsoft.com/office/drawing/2014/chart" uri="{C3380CC4-5D6E-409C-BE32-E72D297353CC}">
              <c16:uniqueId val="{00000015-A8B7-4DC7-9224-64DAE2282457}"/>
            </c:ext>
          </c:extLst>
        </c:ser>
        <c:ser>
          <c:idx val="21"/>
          <c:order val="21"/>
          <c:tx>
            <c:strRef>
              <c:f>Spez!$M$80</c:f>
              <c:strCache>
                <c:ptCount val="1"/>
                <c:pt idx="0">
                  <c:v>Schema 22</c:v>
                </c:pt>
              </c:strCache>
            </c:strRef>
          </c:tx>
          <c:spPr>
            <a:blipFill dpi="0" rotWithShape="0">
              <a:blip xmlns:r="http://schemas.openxmlformats.org/officeDocument/2006/relationships" r:embed="rId23"/>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6-A8B7-4DC7-9224-64DAE2282457}"/>
            </c:ext>
          </c:extLst>
        </c:ser>
        <c:ser>
          <c:idx val="22"/>
          <c:order val="22"/>
          <c:tx>
            <c:strRef>
              <c:f>Spez!$M$81</c:f>
              <c:strCache>
                <c:ptCount val="1"/>
                <c:pt idx="0">
                  <c:v>Schema 23</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5"/>
                <a:srcRect/>
                <a:stretch>
                  <a:fillRect/>
                </a:stretch>
              </a:blipFill>
              <a:ln w="25400">
                <a:noFill/>
              </a:ln>
            </c:spPr>
            <c:pictureOptions>
              <c:pictureFormat val="stretch"/>
            </c:pictureOptions>
            <c:extLst>
              <c:ext xmlns:c16="http://schemas.microsoft.com/office/drawing/2014/chart" uri="{C3380CC4-5D6E-409C-BE32-E72D297353CC}">
                <c16:uniqueId val="{00000017-A8B7-4DC7-9224-64DAE2282457}"/>
              </c:ext>
            </c:extLst>
          </c:dPt>
          <c:val>
            <c:numRef>
              <c:f>Spez!$N$81</c:f>
              <c:numCache>
                <c:formatCode>General</c:formatCode>
                <c:ptCount val="1"/>
                <c:pt idx="0">
                  <c:v>0</c:v>
                </c:pt>
              </c:numCache>
            </c:numRef>
          </c:val>
          <c:extLst>
            <c:ext xmlns:c16="http://schemas.microsoft.com/office/drawing/2014/chart" uri="{C3380CC4-5D6E-409C-BE32-E72D297353CC}">
              <c16:uniqueId val="{00000018-A8B7-4DC7-9224-64DAE2282457}"/>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A8B7-4DC7-9224-64DAE2282457}"/>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A8B7-4DC7-9224-64DAE2282457}"/>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A8B7-4DC7-9224-64DAE2282457}"/>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A8B7-4DC7-9224-64DAE2282457}"/>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A8B7-4DC7-9224-64DAE2282457}"/>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A8B7-4DC7-9224-64DAE2282457}"/>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A8B7-4DC7-9224-64DAE2282457}"/>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A8B7-4DC7-9224-64DAE2282457}"/>
            </c:ext>
          </c:extLst>
        </c:ser>
        <c:dLbls>
          <c:showLegendKey val="0"/>
          <c:showVal val="0"/>
          <c:showCatName val="0"/>
          <c:showSerName val="0"/>
          <c:showPercent val="0"/>
          <c:showBubbleSize val="0"/>
        </c:dLbls>
        <c:gapWidth val="0"/>
        <c:overlap val="100"/>
        <c:axId val="166324864"/>
        <c:axId val="166343040"/>
      </c:barChart>
      <c:catAx>
        <c:axId val="166324864"/>
        <c:scaling>
          <c:orientation val="minMax"/>
        </c:scaling>
        <c:delete val="0"/>
        <c:axPos val="b"/>
        <c:majorTickMark val="none"/>
        <c:minorTickMark val="none"/>
        <c:tickLblPos val="none"/>
        <c:spPr>
          <a:ln w="9525">
            <a:noFill/>
          </a:ln>
        </c:spPr>
        <c:crossAx val="166343040"/>
        <c:crosses val="autoZero"/>
        <c:auto val="1"/>
        <c:lblAlgn val="ctr"/>
        <c:lblOffset val="100"/>
        <c:tickMarkSkip val="1"/>
        <c:noMultiLvlLbl val="0"/>
      </c:catAx>
      <c:valAx>
        <c:axId val="166343040"/>
        <c:scaling>
          <c:orientation val="minMax"/>
        </c:scaling>
        <c:delete val="0"/>
        <c:axPos val="l"/>
        <c:numFmt formatCode="0%" sourceLinked="1"/>
        <c:majorTickMark val="none"/>
        <c:minorTickMark val="none"/>
        <c:tickLblPos val="none"/>
        <c:spPr>
          <a:ln w="9525">
            <a:noFill/>
          </a:ln>
        </c:spPr>
        <c:crossAx val="166324864"/>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7440360762"/>
          <c:y val="3.0456887333527749E-2"/>
        </c:manualLayout>
      </c:layout>
      <c:overlay val="0"/>
      <c:spPr>
        <a:noFill/>
        <a:ln w="25400">
          <a:noFill/>
        </a:ln>
      </c:spPr>
    </c:title>
    <c:autoTitleDeleted val="0"/>
    <c:plotArea>
      <c:layout>
        <c:manualLayout>
          <c:layoutTarget val="inner"/>
          <c:xMode val="edge"/>
          <c:yMode val="edge"/>
          <c:x val="0.10914485718812569"/>
          <c:y val="0.12182741116751268"/>
          <c:w val="0.81711149840840436"/>
          <c:h val="0.70558375634518133"/>
        </c:manualLayout>
      </c:layout>
      <c:scatterChart>
        <c:scatterStyle val="lineMarker"/>
        <c:varyColors val="0"/>
        <c:ser>
          <c:idx val="0"/>
          <c:order val="0"/>
          <c:tx>
            <c:v>Heizleistung </c:v>
          </c:tx>
          <c:xVal>
            <c:numRef>
              <c:f>Spez!$F$8:$J$8</c:f>
              <c:numCache>
                <c:formatCode>General</c:formatCode>
                <c:ptCount val="5"/>
              </c:numCache>
            </c:numRef>
          </c:xVal>
          <c:yVal>
            <c:numRef>
              <c:f>Spez!$B$62:$F$62</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596-4A20-A816-B1548B4F586C}"/>
            </c:ext>
          </c:extLst>
        </c:ser>
        <c:dLbls>
          <c:showLegendKey val="0"/>
          <c:showVal val="0"/>
          <c:showCatName val="0"/>
          <c:showSerName val="0"/>
          <c:showPercent val="0"/>
          <c:showBubbleSize val="0"/>
        </c:dLbls>
        <c:axId val="166386304"/>
        <c:axId val="166392192"/>
      </c:scatterChart>
      <c:scatterChart>
        <c:scatterStyle val="lineMarker"/>
        <c:varyColors val="0"/>
        <c:ser>
          <c:idx val="1"/>
          <c:order val="1"/>
          <c:tx>
            <c:v>COP</c:v>
          </c:tx>
          <c:xVal>
            <c:numRef>
              <c:f>Spez!$F$8:$J$8</c:f>
              <c:numCache>
                <c:formatCode>General</c:formatCode>
                <c:ptCount val="5"/>
              </c:numCache>
            </c:numRef>
          </c:xVal>
          <c:yVal>
            <c:numRef>
              <c:f>Spez!$B$61:$F$61</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596-4A20-A816-B1548B4F586C}"/>
            </c:ext>
          </c:extLst>
        </c:ser>
        <c:dLbls>
          <c:showLegendKey val="0"/>
          <c:showVal val="0"/>
          <c:showCatName val="0"/>
          <c:showSerName val="0"/>
          <c:showPercent val="0"/>
          <c:showBubbleSize val="0"/>
        </c:dLbls>
        <c:axId val="166393728"/>
        <c:axId val="166395264"/>
      </c:scatterChart>
      <c:valAx>
        <c:axId val="166386304"/>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2192"/>
        <c:crossesAt val="-15"/>
        <c:crossBetween val="midCat"/>
      </c:valAx>
      <c:valAx>
        <c:axId val="16639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86304"/>
        <c:crossesAt val="-15"/>
        <c:crossBetween val="midCat"/>
      </c:valAx>
      <c:valAx>
        <c:axId val="166393728"/>
        <c:scaling>
          <c:orientation val="minMax"/>
        </c:scaling>
        <c:delete val="1"/>
        <c:axPos val="b"/>
        <c:numFmt formatCode="General" sourceLinked="1"/>
        <c:majorTickMark val="out"/>
        <c:minorTickMark val="none"/>
        <c:tickLblPos val="none"/>
        <c:crossAx val="166395264"/>
        <c:crosses val="autoZero"/>
        <c:crossBetween val="midCat"/>
      </c:valAx>
      <c:valAx>
        <c:axId val="16639526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3728"/>
        <c:crosses val="max"/>
        <c:crossBetween val="midCat"/>
      </c:valAx>
      <c:spPr>
        <a:noFill/>
        <a:ln w="25400">
          <a:noFill/>
        </a:ln>
      </c:spPr>
    </c:plotArea>
    <c:legend>
      <c:legendPos val="r"/>
      <c:layout>
        <c:manualLayout>
          <c:xMode val="edge"/>
          <c:yMode val="edge"/>
          <c:x val="0.11572731450111763"/>
          <c:y val="0.93055993000874893"/>
          <c:w val="0.83976385741100235"/>
          <c:h val="5.5556041605910322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3214917959"/>
          <c:y val="3.5533197239233996E-2"/>
        </c:manualLayout>
      </c:layout>
      <c:overlay val="0"/>
      <c:spPr>
        <a:noFill/>
        <a:ln w="25400">
          <a:noFill/>
        </a:ln>
      </c:spPr>
    </c:title>
    <c:autoTitleDeleted val="0"/>
    <c:plotArea>
      <c:layout>
        <c:manualLayout>
          <c:layoutTarget val="inner"/>
          <c:xMode val="edge"/>
          <c:yMode val="edge"/>
          <c:x val="0.10619499618304119"/>
          <c:y val="0.12182741116751268"/>
          <c:w val="0.82006135941348834"/>
          <c:h val="0.71065989847716171"/>
        </c:manualLayout>
      </c:layout>
      <c:scatterChart>
        <c:scatterStyle val="lineMarker"/>
        <c:varyColors val="0"/>
        <c:ser>
          <c:idx val="0"/>
          <c:order val="0"/>
          <c:tx>
            <c:v>Heizleistung </c:v>
          </c:tx>
          <c:xVal>
            <c:numRef>
              <c:f>Spez!$F$8:$J$8</c:f>
              <c:numCache>
                <c:formatCode>General</c:formatCode>
                <c:ptCount val="5"/>
              </c:numCache>
            </c:numRef>
          </c:xVal>
          <c:yVal>
            <c:numRef>
              <c:f>Spez!$B$64:$F$64</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036-4681-8643-4E78D5AA1A8D}"/>
            </c:ext>
          </c:extLst>
        </c:ser>
        <c:dLbls>
          <c:showLegendKey val="0"/>
          <c:showVal val="0"/>
          <c:showCatName val="0"/>
          <c:showSerName val="0"/>
          <c:showPercent val="0"/>
          <c:showBubbleSize val="0"/>
        </c:dLbls>
        <c:axId val="166460032"/>
        <c:axId val="166465920"/>
      </c:scatterChart>
      <c:scatterChart>
        <c:scatterStyle val="lineMarker"/>
        <c:varyColors val="0"/>
        <c:ser>
          <c:idx val="1"/>
          <c:order val="1"/>
          <c:tx>
            <c:v>COP</c:v>
          </c:tx>
          <c:xVal>
            <c:numRef>
              <c:f>Spez!$F$8:$J$8</c:f>
              <c:numCache>
                <c:formatCode>General</c:formatCode>
                <c:ptCount val="5"/>
              </c:numCache>
            </c:numRef>
          </c:xVal>
          <c:yVal>
            <c:numRef>
              <c:f>Spez!$B$63:$F$63</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036-4681-8643-4E78D5AA1A8D}"/>
            </c:ext>
          </c:extLst>
        </c:ser>
        <c:dLbls>
          <c:showLegendKey val="0"/>
          <c:showVal val="0"/>
          <c:showCatName val="0"/>
          <c:showSerName val="0"/>
          <c:showPercent val="0"/>
          <c:showBubbleSize val="0"/>
        </c:dLbls>
        <c:axId val="166467456"/>
        <c:axId val="166468992"/>
      </c:scatterChart>
      <c:valAx>
        <c:axId val="166460032"/>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5920"/>
        <c:crosses val="autoZero"/>
        <c:crossBetween val="midCat"/>
      </c:valAx>
      <c:valAx>
        <c:axId val="16646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0032"/>
        <c:crossesAt val="-15"/>
        <c:crossBetween val="midCat"/>
      </c:valAx>
      <c:valAx>
        <c:axId val="166467456"/>
        <c:scaling>
          <c:orientation val="minMax"/>
        </c:scaling>
        <c:delete val="1"/>
        <c:axPos val="b"/>
        <c:numFmt formatCode="General" sourceLinked="1"/>
        <c:majorTickMark val="out"/>
        <c:minorTickMark val="none"/>
        <c:tickLblPos val="none"/>
        <c:crossAx val="166468992"/>
        <c:crosses val="autoZero"/>
        <c:crossBetween val="midCat"/>
      </c:valAx>
      <c:valAx>
        <c:axId val="166468992"/>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7456"/>
        <c:crosses val="max"/>
        <c:crossBetween val="midCat"/>
      </c:valAx>
      <c:spPr>
        <a:noFill/>
        <a:ln w="25400">
          <a:noFill/>
        </a:ln>
      </c:spPr>
    </c:plotArea>
    <c:legend>
      <c:legendPos val="r"/>
      <c:layout>
        <c:manualLayout>
          <c:xMode val="edge"/>
          <c:yMode val="edge"/>
          <c:x val="0.14534883720930244"/>
          <c:y val="0.93981918926800811"/>
          <c:w val="0.79941860465116277"/>
          <c:h val="4.166666666666663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55748341261"/>
          <c:y val="3.0456896771398741E-2"/>
        </c:manualLayout>
      </c:layout>
      <c:overlay val="0"/>
      <c:spPr>
        <a:noFill/>
        <a:ln w="25400">
          <a:noFill/>
        </a:ln>
      </c:spPr>
    </c:title>
    <c:autoTitleDeleted val="0"/>
    <c:plotArea>
      <c:layout/>
      <c:scatterChart>
        <c:scatterStyle val="lineMarker"/>
        <c:varyColors val="0"/>
        <c:ser>
          <c:idx val="0"/>
          <c:order val="0"/>
          <c:tx>
            <c:strRef>
              <c:f>Spez!$V$21</c:f>
              <c:strCache>
                <c:ptCount val="1"/>
                <c:pt idx="0">
                  <c:v>P Heiz.</c:v>
                </c:pt>
              </c:strCache>
            </c:strRef>
          </c:tx>
          <c:spPr>
            <a:ln w="25400">
              <a:solidFill>
                <a:srgbClr val="0000FF"/>
              </a:solidFill>
              <a:prstDash val="solid"/>
            </a:ln>
          </c:spPr>
          <c:marker>
            <c:symbol val="none"/>
          </c:marker>
          <c:xVal>
            <c:numRef>
              <c:f>Spez!$W$20:$AB$20</c:f>
            </c:numRef>
          </c:xVal>
          <c:yVal>
            <c:numRef>
              <c:f>Spez!$W$21:$AB$21</c:f>
            </c:numRef>
          </c:yVal>
          <c:smooth val="0"/>
          <c:extLst>
            <c:ext xmlns:c16="http://schemas.microsoft.com/office/drawing/2014/chart" uri="{C3380CC4-5D6E-409C-BE32-E72D297353CC}">
              <c16:uniqueId val="{00000000-1DDD-4A0B-941D-5D5073DFA46A}"/>
            </c:ext>
          </c:extLst>
        </c:ser>
        <c:dLbls>
          <c:showLegendKey val="0"/>
          <c:showVal val="0"/>
          <c:showCatName val="0"/>
          <c:showSerName val="0"/>
          <c:showPercent val="0"/>
          <c:showBubbleSize val="0"/>
        </c:dLbls>
        <c:axId val="166541952"/>
        <c:axId val="166551936"/>
      </c:scatterChart>
      <c:scatterChart>
        <c:scatterStyle val="lineMarker"/>
        <c:varyColors val="0"/>
        <c:ser>
          <c:idx val="1"/>
          <c:order val="1"/>
          <c:tx>
            <c:strRef>
              <c:f>Spez!$V$22</c:f>
              <c:strCache>
                <c:ptCount val="1"/>
                <c:pt idx="0">
                  <c:v>COP</c:v>
                </c:pt>
              </c:strCache>
            </c:strRef>
          </c:tx>
          <c:spPr>
            <a:ln w="12700">
              <a:solidFill>
                <a:srgbClr val="0000FF"/>
              </a:solidFill>
              <a:prstDash val="lgDash"/>
            </a:ln>
          </c:spPr>
          <c:marker>
            <c:symbol val="none"/>
          </c:marker>
          <c:xVal>
            <c:numRef>
              <c:f>Spez!$W$20:$AB$20</c:f>
            </c:numRef>
          </c:xVal>
          <c:yVal>
            <c:numRef>
              <c:f>Spez!$W$22:$AB$22</c:f>
            </c:numRef>
          </c:yVal>
          <c:smooth val="0"/>
          <c:extLst>
            <c:ext xmlns:c16="http://schemas.microsoft.com/office/drawing/2014/chart" uri="{C3380CC4-5D6E-409C-BE32-E72D297353CC}">
              <c16:uniqueId val="{00000001-1DDD-4A0B-941D-5D5073DFA46A}"/>
            </c:ext>
          </c:extLst>
        </c:ser>
        <c:dLbls>
          <c:showLegendKey val="0"/>
          <c:showVal val="0"/>
          <c:showCatName val="0"/>
          <c:showSerName val="0"/>
          <c:showPercent val="0"/>
          <c:showBubbleSize val="0"/>
        </c:dLbls>
        <c:axId val="166553472"/>
        <c:axId val="166555008"/>
      </c:scatterChart>
      <c:valAx>
        <c:axId val="16654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1936"/>
        <c:crosses val="autoZero"/>
        <c:crossBetween val="midCat"/>
      </c:valAx>
      <c:valAx>
        <c:axId val="166551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41952"/>
        <c:crosses val="autoZero"/>
        <c:crossBetween val="midCat"/>
      </c:valAx>
      <c:valAx>
        <c:axId val="166553472"/>
        <c:scaling>
          <c:orientation val="minMax"/>
        </c:scaling>
        <c:delete val="1"/>
        <c:axPos val="b"/>
        <c:numFmt formatCode="General" sourceLinked="1"/>
        <c:majorTickMark val="out"/>
        <c:minorTickMark val="none"/>
        <c:tickLblPos val="none"/>
        <c:crossAx val="166555008"/>
        <c:crosses val="autoZero"/>
        <c:crossBetween val="midCat"/>
      </c:valAx>
      <c:valAx>
        <c:axId val="166555008"/>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3472"/>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paperSize="9" orientation="landscape" horizontalDpi="0" verticalDpi="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4745391457"/>
          <c:y val="3.5532961292459801E-2"/>
        </c:manualLayout>
      </c:layout>
      <c:overlay val="0"/>
      <c:spPr>
        <a:noFill/>
        <a:ln w="25400">
          <a:noFill/>
        </a:ln>
      </c:spPr>
    </c:title>
    <c:autoTitleDeleted val="0"/>
    <c:plotArea>
      <c:layout/>
      <c:scatterChart>
        <c:scatterStyle val="lineMarker"/>
        <c:varyColors val="0"/>
        <c:ser>
          <c:idx val="0"/>
          <c:order val="0"/>
          <c:tx>
            <c:strRef>
              <c:f>Spez!$V$24</c:f>
              <c:strCache>
                <c:ptCount val="1"/>
                <c:pt idx="0">
                  <c:v>P Heiz.</c:v>
                </c:pt>
              </c:strCache>
            </c:strRef>
          </c:tx>
          <c:spPr>
            <a:ln w="25400">
              <a:solidFill>
                <a:srgbClr val="00FF00"/>
              </a:solidFill>
              <a:prstDash val="solid"/>
            </a:ln>
          </c:spPr>
          <c:marker>
            <c:symbol val="none"/>
          </c:marker>
          <c:xVal>
            <c:numRef>
              <c:f>Spez!$W$20:$AB$20</c:f>
            </c:numRef>
          </c:xVal>
          <c:yVal>
            <c:numRef>
              <c:f>Spez!$W$24:$AB$24</c:f>
            </c:numRef>
          </c:yVal>
          <c:smooth val="0"/>
          <c:extLst>
            <c:ext xmlns:c16="http://schemas.microsoft.com/office/drawing/2014/chart" uri="{C3380CC4-5D6E-409C-BE32-E72D297353CC}">
              <c16:uniqueId val="{00000000-AF9C-4A2A-BA61-A38DB924A662}"/>
            </c:ext>
          </c:extLst>
        </c:ser>
        <c:dLbls>
          <c:showLegendKey val="0"/>
          <c:showVal val="0"/>
          <c:showCatName val="0"/>
          <c:showSerName val="0"/>
          <c:showPercent val="0"/>
          <c:showBubbleSize val="0"/>
        </c:dLbls>
        <c:axId val="166595200"/>
        <c:axId val="166605184"/>
      </c:scatterChart>
      <c:scatterChart>
        <c:scatterStyle val="lineMarker"/>
        <c:varyColors val="0"/>
        <c:ser>
          <c:idx val="1"/>
          <c:order val="1"/>
          <c:tx>
            <c:strRef>
              <c:f>Spez!$V$25</c:f>
              <c:strCache>
                <c:ptCount val="1"/>
                <c:pt idx="0">
                  <c:v>COP</c:v>
                </c:pt>
              </c:strCache>
            </c:strRef>
          </c:tx>
          <c:spPr>
            <a:ln w="12700">
              <a:solidFill>
                <a:srgbClr val="00FF00"/>
              </a:solidFill>
              <a:prstDash val="lgDash"/>
            </a:ln>
          </c:spPr>
          <c:marker>
            <c:symbol val="none"/>
          </c:marker>
          <c:xVal>
            <c:numRef>
              <c:f>Spez!$W$20:$AB$20</c:f>
            </c:numRef>
          </c:xVal>
          <c:yVal>
            <c:numRef>
              <c:f>Spez!$W$25:$AB$25</c:f>
            </c:numRef>
          </c:yVal>
          <c:smooth val="0"/>
          <c:extLst>
            <c:ext xmlns:c16="http://schemas.microsoft.com/office/drawing/2014/chart" uri="{C3380CC4-5D6E-409C-BE32-E72D297353CC}">
              <c16:uniqueId val="{00000001-AF9C-4A2A-BA61-A38DB924A662}"/>
            </c:ext>
          </c:extLst>
        </c:ser>
        <c:dLbls>
          <c:showLegendKey val="0"/>
          <c:showVal val="0"/>
          <c:showCatName val="0"/>
          <c:showSerName val="0"/>
          <c:showPercent val="0"/>
          <c:showBubbleSize val="0"/>
        </c:dLbls>
        <c:axId val="166606720"/>
        <c:axId val="166608256"/>
      </c:scatterChart>
      <c:valAx>
        <c:axId val="1665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5184"/>
        <c:crosses val="autoZero"/>
        <c:crossBetween val="midCat"/>
      </c:valAx>
      <c:valAx>
        <c:axId val="1666051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95200"/>
        <c:crosses val="autoZero"/>
        <c:crossBetween val="midCat"/>
      </c:valAx>
      <c:valAx>
        <c:axId val="166606720"/>
        <c:scaling>
          <c:orientation val="minMax"/>
        </c:scaling>
        <c:delete val="1"/>
        <c:axPos val="b"/>
        <c:numFmt formatCode="General" sourceLinked="1"/>
        <c:majorTickMark val="out"/>
        <c:minorTickMark val="none"/>
        <c:tickLblPos val="none"/>
        <c:crossAx val="166608256"/>
        <c:crosses val="autoZero"/>
        <c:crossBetween val="midCat"/>
      </c:valAx>
      <c:valAx>
        <c:axId val="166608256"/>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6720"/>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58450342948972E-2"/>
          <c:y val="3.4710827844527649E-2"/>
          <c:w val="0.93679673481397463"/>
          <c:h val="0.89586993770161827"/>
        </c:manualLayout>
      </c:layout>
      <c:scatterChart>
        <c:scatterStyle val="lineMarker"/>
        <c:varyColors val="0"/>
        <c:ser>
          <c:idx val="0"/>
          <c:order val="0"/>
          <c:tx>
            <c:v>BINs Stundenwerte</c:v>
          </c:tx>
          <c:spPr>
            <a:ln w="12700">
              <a:solidFill>
                <a:srgbClr val="996666"/>
              </a:solidFill>
              <a:prstDash val="solid"/>
            </a:ln>
          </c:spPr>
          <c:marker>
            <c:symbol val="none"/>
          </c:marker>
          <c:xVal>
            <c:numRef>
              <c:f>Berechnungen!$K$218:$K$416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Berechnungen!$L$218:$L$416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0-2425-4401-AE62-3F804F9AD1AB}"/>
            </c:ext>
          </c:extLst>
        </c:ser>
        <c:ser>
          <c:idx val="1"/>
          <c:order val="1"/>
          <c:tx>
            <c:v>BINs Tagesmittelwert</c:v>
          </c:tx>
          <c:spPr>
            <a:ln w="12700">
              <a:solidFill>
                <a:srgbClr val="0080C0"/>
              </a:solidFill>
              <a:prstDash val="solid"/>
            </a:ln>
          </c:spPr>
          <c:marker>
            <c:symbol val="none"/>
          </c:marker>
          <c:xVal>
            <c:numRef>
              <c:f>Berechnungen!$P$218:$P$416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Berechnungen!$Q$218:$Q$416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1-2425-4401-AE62-3F804F9AD1AB}"/>
            </c:ext>
          </c:extLst>
        </c:ser>
        <c:ser>
          <c:idx val="2"/>
          <c:order val="2"/>
          <c:tx>
            <c:v>Summenhäfigkeit Stundenwerte</c:v>
          </c:tx>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2425-4401-AE62-3F804F9AD1AB}"/>
            </c:ext>
          </c:extLst>
        </c:ser>
        <c:ser>
          <c:idx val="3"/>
          <c:order val="3"/>
          <c:tx>
            <c:v>Summenhäufigkeit Tagesmittelwerte</c:v>
          </c:tx>
          <c:spPr>
            <a:ln w="25400">
              <a:solidFill>
                <a:srgbClr val="0080C0"/>
              </a:solidFill>
              <a:prstDash val="solid"/>
            </a:ln>
          </c:spPr>
          <c:marker>
            <c:symbol val="none"/>
          </c:marker>
          <c:xVal>
            <c:numRef>
              <c:f>Berechnungen!$E$19:$BR$19</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2425-4401-AE62-3F804F9AD1AB}"/>
            </c:ext>
          </c:extLst>
        </c:ser>
        <c:dLbls>
          <c:showLegendKey val="0"/>
          <c:showVal val="0"/>
          <c:showCatName val="0"/>
          <c:showSerName val="0"/>
          <c:showPercent val="0"/>
          <c:showBubbleSize val="0"/>
        </c:dLbls>
        <c:axId val="94054656"/>
        <c:axId val="94060544"/>
      </c:scatterChart>
      <c:valAx>
        <c:axId val="9405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4060544"/>
        <c:crosses val="autoZero"/>
        <c:crossBetween val="midCat"/>
      </c:valAx>
      <c:valAx>
        <c:axId val="9406054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4054656"/>
        <c:crosses val="autoZero"/>
        <c:crossBetween val="midCat"/>
      </c:valAx>
    </c:plotArea>
    <c:legend>
      <c:legendPos val="r"/>
      <c:layout>
        <c:manualLayout>
          <c:xMode val="edge"/>
          <c:yMode val="edge"/>
          <c:x val="0.74779735682820092"/>
          <c:y val="5.0955414012739023E-2"/>
          <c:w val="0.22907488986784141"/>
          <c:h val="0.19532953285297941"/>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99518810148709E-2"/>
          <c:y val="7.4548702245552642E-2"/>
          <c:w val="0.607178258967629"/>
          <c:h val="0.8326195683872849"/>
        </c:manualLayout>
      </c:layout>
      <c:scatterChart>
        <c:scatterStyle val="lineMarker"/>
        <c:varyColors val="0"/>
        <c:ser>
          <c:idx val="0"/>
          <c:order val="0"/>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3593-4003-B83D-8A229C48E55F}"/>
            </c:ext>
          </c:extLst>
        </c:ser>
        <c:dLbls>
          <c:showLegendKey val="0"/>
          <c:showVal val="0"/>
          <c:showCatName val="0"/>
          <c:showSerName val="0"/>
          <c:showPercent val="0"/>
          <c:showBubbleSize val="0"/>
        </c:dLbls>
        <c:axId val="98402304"/>
        <c:axId val="98403840"/>
      </c:scatterChart>
      <c:valAx>
        <c:axId val="98402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8403840"/>
        <c:crosses val="autoZero"/>
        <c:crossBetween val="midCat"/>
      </c:valAx>
      <c:valAx>
        <c:axId val="9840384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8402304"/>
        <c:crosses val="autoZero"/>
        <c:crossBetween val="midCat"/>
      </c:valAx>
    </c:plotArea>
    <c:legend>
      <c:legendPos val="r"/>
      <c:layout>
        <c:manualLayout>
          <c:xMode val="edge"/>
          <c:yMode val="edge"/>
          <c:x val="0.9683178711571947"/>
          <c:y val="0.43055701370662008"/>
          <c:w val="1.3861386138613901E-2"/>
          <c:h val="1.3888888888889015E-2"/>
        </c:manualLayout>
      </c:layout>
      <c:overlay val="0"/>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898463342841363E-2"/>
          <c:y val="4.7483231262758933E-2"/>
          <c:w val="0.90121898917640297"/>
          <c:h val="0.87826877700893469"/>
        </c:manualLayout>
      </c:layout>
      <c:scatterChart>
        <c:scatterStyle val="lineMarker"/>
        <c:varyColors val="0"/>
        <c:ser>
          <c:idx val="0"/>
          <c:order val="0"/>
          <c:tx>
            <c:v>Transmissionsverluste</c:v>
          </c:tx>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Summendiagramm!$E$9:$BQ$9</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0-02A0-4CBD-9534-E8CF74A61345}"/>
            </c:ext>
          </c:extLst>
        </c:ser>
        <c:ser>
          <c:idx val="1"/>
          <c:order val="1"/>
          <c:tx>
            <c:v>Qtrans - Que, ev</c:v>
          </c:tx>
          <c:spPr>
            <a:ln>
              <a:solidFill>
                <a:srgbClr val="00B050"/>
              </a:solidFill>
            </a:ln>
          </c:spPr>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Summendiagramm!$E$10:$BQ$10</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1-02A0-4CBD-9534-E8CF74A61345}"/>
            </c:ext>
          </c:extLst>
        </c:ser>
        <c:ser>
          <c:idx val="2"/>
          <c:order val="2"/>
          <c:tx>
            <c:v>Qheiz</c:v>
          </c:tx>
          <c:spPr>
            <a:ln>
              <a:solidFill>
                <a:srgbClr val="C00000"/>
              </a:solidFill>
            </a:ln>
          </c:spPr>
          <c:marker>
            <c:symbol val="none"/>
          </c:marker>
          <c:xVal>
            <c:numRef>
              <c:f>Summendiagramm!$D$12:$BP$12</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Summendiagramm!$E$13:$BQ$13</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2-02A0-4CBD-9534-E8CF74A61345}"/>
            </c:ext>
          </c:extLst>
        </c:ser>
        <c:dLbls>
          <c:showLegendKey val="0"/>
          <c:showVal val="0"/>
          <c:showCatName val="0"/>
          <c:showSerName val="0"/>
          <c:showPercent val="0"/>
          <c:showBubbleSize val="0"/>
        </c:dLbls>
        <c:axId val="99312768"/>
        <c:axId val="99314304"/>
      </c:scatterChart>
      <c:valAx>
        <c:axId val="993127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4304"/>
        <c:crosses val="autoZero"/>
        <c:crossBetween val="midCat"/>
      </c:valAx>
      <c:valAx>
        <c:axId val="993143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2768"/>
        <c:crosses val="autoZero"/>
        <c:crossBetween val="midCat"/>
      </c:valAx>
    </c:plotArea>
    <c:legend>
      <c:legendPos val="r"/>
      <c:layout>
        <c:manualLayout>
          <c:xMode val="edge"/>
          <c:yMode val="edge"/>
          <c:x val="0.54036598493002808"/>
          <c:y val="9.7959183673469397E-2"/>
          <c:w val="0.16469321851453178"/>
          <c:h val="0.1632655203813809"/>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E88E-4AE9-B8C9-3E32667EEF0C}"/>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E88E-4AE9-B8C9-3E32667EEF0C}"/>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E88E-4AE9-B8C9-3E32667EEF0C}"/>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E88E-4AE9-B8C9-3E32667EEF0C}"/>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E88E-4AE9-B8C9-3E32667EEF0C}"/>
              </c:ext>
            </c:extLst>
          </c:dPt>
          <c:val>
            <c:numRef>
              <c:f>Spez!$N$63</c:f>
              <c:numCache>
                <c:formatCode>General</c:formatCode>
                <c:ptCount val="1"/>
                <c:pt idx="0">
                  <c:v>0</c:v>
                </c:pt>
              </c:numCache>
            </c:numRef>
          </c:val>
          <c:extLst>
            <c:ext xmlns:c16="http://schemas.microsoft.com/office/drawing/2014/chart" uri="{C3380CC4-5D6E-409C-BE32-E72D297353CC}">
              <c16:uniqueId val="{00000005-E88E-4AE9-B8C9-3E32667EEF0C}"/>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E88E-4AE9-B8C9-3E32667EEF0C}"/>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E88E-4AE9-B8C9-3E32667EEF0C}"/>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E88E-4AE9-B8C9-3E32667EEF0C}"/>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E88E-4AE9-B8C9-3E32667EEF0C}"/>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E88E-4AE9-B8C9-3E32667EEF0C}"/>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E88E-4AE9-B8C9-3E32667EEF0C}"/>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E88E-4AE9-B8C9-3E32667EEF0C}"/>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E88E-4AE9-B8C9-3E32667EEF0C}"/>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E88E-4AE9-B8C9-3E32667EEF0C}"/>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E88E-4AE9-B8C9-3E32667EEF0C}"/>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E88E-4AE9-B8C9-3E32667EEF0C}"/>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E88E-4AE9-B8C9-3E32667EEF0C}"/>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E88E-4AE9-B8C9-3E32667EEF0C}"/>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E88E-4AE9-B8C9-3E32667EEF0C}"/>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E88E-4AE9-B8C9-3E32667EEF0C}"/>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E88E-4AE9-B8C9-3E32667EEF0C}"/>
              </c:ext>
            </c:extLst>
          </c:dPt>
          <c:val>
            <c:numRef>
              <c:f>Spez!$N$79</c:f>
              <c:numCache>
                <c:formatCode>General</c:formatCode>
                <c:ptCount val="1"/>
                <c:pt idx="0">
                  <c:v>0</c:v>
                </c:pt>
              </c:numCache>
            </c:numRef>
          </c:val>
          <c:extLst>
            <c:ext xmlns:c16="http://schemas.microsoft.com/office/drawing/2014/chart" uri="{C3380CC4-5D6E-409C-BE32-E72D297353CC}">
              <c16:uniqueId val="{00000016-E88E-4AE9-B8C9-3E32667EEF0C}"/>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E88E-4AE9-B8C9-3E32667EEF0C}"/>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E88E-4AE9-B8C9-3E32667EEF0C}"/>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E88E-4AE9-B8C9-3E32667EEF0C}"/>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E88E-4AE9-B8C9-3E32667EEF0C}"/>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E88E-4AE9-B8C9-3E32667EEF0C}"/>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E88E-4AE9-B8C9-3E32667EEF0C}"/>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E88E-4AE9-B8C9-3E32667EEF0C}"/>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E88E-4AE9-B8C9-3E32667EEF0C}"/>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E88E-4AE9-B8C9-3E32667EEF0C}"/>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E88E-4AE9-B8C9-3E32667EEF0C}"/>
            </c:ext>
          </c:extLst>
        </c:ser>
        <c:dLbls>
          <c:showLegendKey val="0"/>
          <c:showVal val="0"/>
          <c:showCatName val="0"/>
          <c:showSerName val="0"/>
          <c:showPercent val="0"/>
          <c:showBubbleSize val="0"/>
        </c:dLbls>
        <c:gapWidth val="0"/>
        <c:overlap val="100"/>
        <c:axId val="163719040"/>
        <c:axId val="163720576"/>
      </c:barChart>
      <c:catAx>
        <c:axId val="163719040"/>
        <c:scaling>
          <c:orientation val="minMax"/>
        </c:scaling>
        <c:delete val="0"/>
        <c:axPos val="b"/>
        <c:majorTickMark val="none"/>
        <c:minorTickMark val="none"/>
        <c:tickLblPos val="none"/>
        <c:spPr>
          <a:ln w="9525">
            <a:noFill/>
          </a:ln>
        </c:spPr>
        <c:crossAx val="163720576"/>
        <c:crosses val="autoZero"/>
        <c:auto val="1"/>
        <c:lblAlgn val="ctr"/>
        <c:lblOffset val="100"/>
        <c:tickMarkSkip val="1"/>
        <c:noMultiLvlLbl val="0"/>
      </c:catAx>
      <c:valAx>
        <c:axId val="163720576"/>
        <c:scaling>
          <c:orientation val="minMax"/>
        </c:scaling>
        <c:delete val="0"/>
        <c:axPos val="l"/>
        <c:numFmt formatCode="0%" sourceLinked="1"/>
        <c:majorTickMark val="none"/>
        <c:minorTickMark val="none"/>
        <c:tickLblPos val="none"/>
        <c:spPr>
          <a:ln w="9525">
            <a:noFill/>
          </a:ln>
        </c:spPr>
        <c:crossAx val="16371904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Erhöhung Lufttemperatur bei LW-WP</a:t>
            </a:r>
          </a:p>
        </c:rich>
      </c:tx>
      <c:layout>
        <c:manualLayout>
          <c:xMode val="edge"/>
          <c:yMode val="edge"/>
          <c:x val="0.37283989501312337"/>
          <c:y val="1.1111225475900481E-2"/>
        </c:manualLayout>
      </c:layout>
      <c:overlay val="0"/>
      <c:spPr>
        <a:noFill/>
        <a:ln w="25400">
          <a:noFill/>
        </a:ln>
      </c:spPr>
    </c:title>
    <c:autoTitleDeleted val="0"/>
    <c:plotArea>
      <c:layout/>
      <c:scatterChart>
        <c:scatterStyle val="lineMarker"/>
        <c:varyColors val="0"/>
        <c:ser>
          <c:idx val="0"/>
          <c:order val="0"/>
          <c:xVal>
            <c:numRef>
              <c:f>'WP1'!$O$36:$O$38</c:f>
            </c:numRef>
          </c:xVal>
          <c:yVal>
            <c:numRef>
              <c:f>'WP1'!$R$36:$R$38</c:f>
            </c:numRef>
          </c:yVal>
          <c:smooth val="0"/>
          <c:extLst>
            <c:ext xmlns:c16="http://schemas.microsoft.com/office/drawing/2014/chart" uri="{C3380CC4-5D6E-409C-BE32-E72D297353CC}">
              <c16:uniqueId val="{00000000-C3E3-449A-872F-66511D492EC4}"/>
            </c:ext>
          </c:extLst>
        </c:ser>
        <c:dLbls>
          <c:showLegendKey val="0"/>
          <c:showVal val="0"/>
          <c:showCatName val="0"/>
          <c:showSerName val="0"/>
          <c:showPercent val="0"/>
          <c:showBubbleSize val="0"/>
        </c:dLbls>
        <c:axId val="163830784"/>
        <c:axId val="164254464"/>
      </c:scatterChart>
      <c:valAx>
        <c:axId val="16383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54464"/>
        <c:crosses val="autoZero"/>
        <c:crossBetween val="midCat"/>
      </c:valAx>
      <c:valAx>
        <c:axId val="16425446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30784"/>
        <c:crosses val="autoZero"/>
        <c:crossBetween val="midCat"/>
        <c:majorUnit val="1"/>
        <c:minorUnit val="0.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Heizkurve</a:t>
            </a:r>
          </a:p>
        </c:rich>
      </c:tx>
      <c:layout>
        <c:manualLayout>
          <c:xMode val="edge"/>
          <c:yMode val="edge"/>
          <c:x val="0.46419804931790931"/>
          <c:y val="1.0288067174354673E-2"/>
        </c:manualLayout>
      </c:layout>
      <c:overlay val="0"/>
      <c:spPr>
        <a:noFill/>
        <a:ln w="25400">
          <a:noFill/>
        </a:ln>
      </c:spPr>
    </c:title>
    <c:autoTitleDeleted val="0"/>
    <c:plotArea>
      <c:layout/>
      <c:scatterChart>
        <c:scatterStyle val="lineMarker"/>
        <c:varyColors val="0"/>
        <c:ser>
          <c:idx val="0"/>
          <c:order val="0"/>
          <c:tx>
            <c:v>TVL     </c:v>
          </c:tx>
          <c:xVal>
            <c:numRef>
              <c:f>'WP1'!$AW$60:$AW$125</c:f>
            </c:numRef>
          </c:xVal>
          <c:yVal>
            <c:numRef>
              <c:f>'WP1'!$AY$60:$AY$125</c:f>
            </c:numRef>
          </c:yVal>
          <c:smooth val="0"/>
          <c:extLst>
            <c:ext xmlns:c16="http://schemas.microsoft.com/office/drawing/2014/chart" uri="{C3380CC4-5D6E-409C-BE32-E72D297353CC}">
              <c16:uniqueId val="{00000000-B1FC-4CD4-B5D0-FC204599FBE1}"/>
            </c:ext>
          </c:extLst>
        </c:ser>
        <c:ser>
          <c:idx val="1"/>
          <c:order val="1"/>
          <c:tx>
            <c:v>TRL</c:v>
          </c:tx>
          <c:xVal>
            <c:numRef>
              <c:f>'WP1'!$AW$60:$AW$125</c:f>
            </c:numRef>
          </c:xVal>
          <c:yVal>
            <c:numRef>
              <c:f>'WP1'!$AX$60:$AX$125</c:f>
            </c:numRef>
          </c:yVal>
          <c:smooth val="0"/>
          <c:extLst>
            <c:ext xmlns:c16="http://schemas.microsoft.com/office/drawing/2014/chart" uri="{C3380CC4-5D6E-409C-BE32-E72D297353CC}">
              <c16:uniqueId val="{00000001-B1FC-4CD4-B5D0-FC204599FBE1}"/>
            </c:ext>
          </c:extLst>
        </c:ser>
        <c:dLbls>
          <c:showLegendKey val="0"/>
          <c:showVal val="0"/>
          <c:showCatName val="0"/>
          <c:showSerName val="0"/>
          <c:showPercent val="0"/>
          <c:showBubbleSize val="0"/>
        </c:dLbls>
        <c:axId val="164280576"/>
        <c:axId val="164290560"/>
      </c:scatterChart>
      <c:valAx>
        <c:axId val="16428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90560"/>
        <c:crosses val="autoZero"/>
        <c:crossBetween val="midCat"/>
      </c:valAx>
      <c:valAx>
        <c:axId val="164290560"/>
        <c:scaling>
          <c:orientation val="minMax"/>
          <c:max val="65"/>
          <c:min val="1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80576"/>
        <c:crosses val="autoZero"/>
        <c:crossBetween val="midCat"/>
        <c:majorUnit val="5"/>
        <c:minorUnit val="1"/>
      </c:valAx>
      <c:spPr>
        <a:noFill/>
        <a:ln w="25400">
          <a:noFill/>
        </a:ln>
      </c:spPr>
    </c:plotArea>
    <c:legend>
      <c:legendPos val="r"/>
      <c:layout>
        <c:manualLayout>
          <c:xMode val="edge"/>
          <c:yMode val="edge"/>
          <c:x val="0"/>
          <c:y val="0.51943462897526005"/>
          <c:w val="0"/>
          <c:h val="7.0671378091872765E-3"/>
        </c:manualLayout>
      </c:layout>
      <c:overlay val="0"/>
      <c:spPr>
        <a:noFill/>
        <a:ln w="25400">
          <a:noFill/>
        </a:ln>
      </c:spPr>
      <c:txPr>
        <a:bodyPr/>
        <a:lstStyle/>
        <a:p>
          <a:pPr>
            <a:defRPr sz="52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92E9-4022-A54D-15731E623D00}"/>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92E9-4022-A54D-15731E623D00}"/>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92E9-4022-A54D-15731E623D00}"/>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92E9-4022-A54D-15731E623D00}"/>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92E9-4022-A54D-15731E623D00}"/>
              </c:ext>
            </c:extLst>
          </c:dPt>
          <c:val>
            <c:numRef>
              <c:f>Spez!$N$63</c:f>
              <c:numCache>
                <c:formatCode>General</c:formatCode>
                <c:ptCount val="1"/>
                <c:pt idx="0">
                  <c:v>0</c:v>
                </c:pt>
              </c:numCache>
            </c:numRef>
          </c:val>
          <c:extLst>
            <c:ext xmlns:c16="http://schemas.microsoft.com/office/drawing/2014/chart" uri="{C3380CC4-5D6E-409C-BE32-E72D297353CC}">
              <c16:uniqueId val="{00000005-92E9-4022-A54D-15731E623D00}"/>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92E9-4022-A54D-15731E623D00}"/>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92E9-4022-A54D-15731E623D00}"/>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92E9-4022-A54D-15731E623D00}"/>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92E9-4022-A54D-15731E623D00}"/>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92E9-4022-A54D-15731E623D00}"/>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92E9-4022-A54D-15731E623D00}"/>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92E9-4022-A54D-15731E623D00}"/>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92E9-4022-A54D-15731E623D00}"/>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92E9-4022-A54D-15731E623D00}"/>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92E9-4022-A54D-15731E623D00}"/>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92E9-4022-A54D-15731E623D00}"/>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92E9-4022-A54D-15731E623D00}"/>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92E9-4022-A54D-15731E623D00}"/>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92E9-4022-A54D-15731E623D00}"/>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92E9-4022-A54D-15731E623D00}"/>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92E9-4022-A54D-15731E623D00}"/>
              </c:ext>
            </c:extLst>
          </c:dPt>
          <c:val>
            <c:numRef>
              <c:f>Spez!$N$79</c:f>
              <c:numCache>
                <c:formatCode>General</c:formatCode>
                <c:ptCount val="1"/>
                <c:pt idx="0">
                  <c:v>0</c:v>
                </c:pt>
              </c:numCache>
            </c:numRef>
          </c:val>
          <c:extLst>
            <c:ext xmlns:c16="http://schemas.microsoft.com/office/drawing/2014/chart" uri="{C3380CC4-5D6E-409C-BE32-E72D297353CC}">
              <c16:uniqueId val="{00000016-92E9-4022-A54D-15731E623D00}"/>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92E9-4022-A54D-15731E623D00}"/>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92E9-4022-A54D-15731E623D00}"/>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92E9-4022-A54D-15731E623D00}"/>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92E9-4022-A54D-15731E623D00}"/>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92E9-4022-A54D-15731E623D00}"/>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92E9-4022-A54D-15731E623D00}"/>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92E9-4022-A54D-15731E623D00}"/>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92E9-4022-A54D-15731E623D00}"/>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92E9-4022-A54D-15731E623D00}"/>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92E9-4022-A54D-15731E623D00}"/>
            </c:ext>
          </c:extLst>
        </c:ser>
        <c:dLbls>
          <c:showLegendKey val="0"/>
          <c:showVal val="0"/>
          <c:showCatName val="0"/>
          <c:showSerName val="0"/>
          <c:showPercent val="0"/>
          <c:showBubbleSize val="0"/>
        </c:dLbls>
        <c:gapWidth val="0"/>
        <c:overlap val="100"/>
        <c:axId val="164710272"/>
        <c:axId val="164711808"/>
      </c:barChart>
      <c:catAx>
        <c:axId val="164710272"/>
        <c:scaling>
          <c:orientation val="minMax"/>
        </c:scaling>
        <c:delete val="0"/>
        <c:axPos val="b"/>
        <c:majorTickMark val="none"/>
        <c:minorTickMark val="none"/>
        <c:tickLblPos val="none"/>
        <c:spPr>
          <a:ln w="9525">
            <a:noFill/>
          </a:ln>
        </c:spPr>
        <c:crossAx val="164711808"/>
        <c:crosses val="autoZero"/>
        <c:auto val="1"/>
        <c:lblAlgn val="ctr"/>
        <c:lblOffset val="100"/>
        <c:tickMarkSkip val="1"/>
        <c:noMultiLvlLbl val="0"/>
      </c:catAx>
      <c:valAx>
        <c:axId val="164711808"/>
        <c:scaling>
          <c:orientation val="minMax"/>
        </c:scaling>
        <c:delete val="0"/>
        <c:axPos val="l"/>
        <c:numFmt formatCode="0%" sourceLinked="1"/>
        <c:majorTickMark val="none"/>
        <c:minorTickMark val="none"/>
        <c:tickLblPos val="none"/>
        <c:spPr>
          <a:ln w="9525">
            <a:noFill/>
          </a:ln>
        </c:spPr>
        <c:crossAx val="164710272"/>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Q Heiz.</a:t>
            </a:r>
          </a:p>
        </c:rich>
      </c:tx>
      <c:layout>
        <c:manualLayout>
          <c:xMode val="edge"/>
          <c:yMode val="edge"/>
          <c:x val="0.47551068386390655"/>
          <c:y val="1.8248175182481823E-2"/>
        </c:manualLayout>
      </c:layout>
      <c:overlay val="0"/>
      <c:spPr>
        <a:noFill/>
        <a:ln w="25400">
          <a:noFill/>
        </a:ln>
      </c:spPr>
    </c:title>
    <c:autoTitleDeleted val="0"/>
    <c:plotArea>
      <c:layout>
        <c:manualLayout>
          <c:layoutTarget val="inner"/>
          <c:xMode val="edge"/>
          <c:yMode val="edge"/>
          <c:x val="6.656106576944594E-2"/>
          <c:y val="9.3484516246607197E-2"/>
          <c:w val="0.90015917516774457"/>
          <c:h val="0.7903690919031335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WP_BIN!$D$31:$J$31</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73E3-46A8-9439-4CA40A2482DD}"/>
            </c:ext>
          </c:extLst>
        </c:ser>
        <c:ser>
          <c:idx val="1"/>
          <c:order val="1"/>
          <c:tx>
            <c:v>Arbeitspunkt Heizung</c:v>
          </c:tx>
          <c:spPr>
            <a:ln w="25400">
              <a:solidFill>
                <a:srgbClr val="802060"/>
              </a:solidFill>
              <a:prstDash val="solid"/>
            </a:ln>
          </c:spPr>
          <c:marker>
            <c:symbol val="circle"/>
            <c:size val="4"/>
            <c:spPr>
              <a:solidFill>
                <a:srgbClr val="FF0000"/>
              </a:solidFill>
              <a:ln>
                <a:solidFill>
                  <a:srgbClr val="FF0000"/>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WP_BIN!$T$44:$CG$44</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73E3-46A8-9439-4CA40A2482DD}"/>
            </c:ext>
          </c:extLst>
        </c:ser>
        <c:ser>
          <c:idx val="3"/>
          <c:order val="2"/>
          <c:tx>
            <c:v>Arbeitspunkt WW</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WP_BIN!$T$51:$CG$51</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3E3-46A8-9439-4CA40A2482DD}"/>
            </c:ext>
          </c:extLst>
        </c:ser>
        <c:ser>
          <c:idx val="0"/>
          <c:order val="3"/>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WP_BIN!$D$34:$J$34</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3-73E3-46A8-9439-4CA40A2482DD}"/>
            </c:ext>
          </c:extLst>
        </c:ser>
        <c:dLbls>
          <c:showLegendKey val="0"/>
          <c:showVal val="0"/>
          <c:showCatName val="0"/>
          <c:showSerName val="0"/>
          <c:showPercent val="0"/>
          <c:showBubbleSize val="0"/>
        </c:dLbls>
        <c:axId val="165266944"/>
        <c:axId val="165268480"/>
      </c:scatterChart>
      <c:valAx>
        <c:axId val="165266944"/>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8480"/>
        <c:crosses val="autoZero"/>
        <c:crossBetween val="midCat"/>
        <c:majorUnit val="5"/>
      </c:valAx>
      <c:valAx>
        <c:axId val="1652684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6944"/>
        <c:crossesAt val="-40"/>
        <c:crossBetween val="midCat"/>
      </c:valAx>
      <c:spPr>
        <a:noFill/>
        <a:ln w="25400">
          <a:noFill/>
        </a:ln>
      </c:spPr>
    </c:plotArea>
    <c:legend>
      <c:legendPos val="r"/>
      <c:layout>
        <c:manualLayout>
          <c:xMode val="edge"/>
          <c:yMode val="edge"/>
          <c:x val="0.6543980161989047"/>
          <c:y val="0.6459865509512035"/>
          <c:w val="0.32106403877429618"/>
          <c:h val="0.22262812039006075"/>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COP</a:t>
            </a:r>
          </a:p>
        </c:rich>
      </c:tx>
      <c:layout>
        <c:manualLayout>
          <c:xMode val="edge"/>
          <c:yMode val="edge"/>
          <c:x val="0.47334812180735725"/>
          <c:y val="1.8050541516245487E-2"/>
        </c:manualLayout>
      </c:layout>
      <c:overlay val="0"/>
      <c:spPr>
        <a:noFill/>
        <a:ln w="25400">
          <a:noFill/>
        </a:ln>
      </c:spPr>
    </c:title>
    <c:autoTitleDeleted val="0"/>
    <c:plotArea>
      <c:layout>
        <c:manualLayout>
          <c:layoutTarget val="inner"/>
          <c:xMode val="edge"/>
          <c:yMode val="edge"/>
          <c:x val="8.3871143882610702E-2"/>
          <c:y val="8.3032637340360843E-2"/>
          <c:w val="0.88172228184282608"/>
          <c:h val="0.7906151120669140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WP_BIN!$D$32:$J$32</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AB5F-462B-85AD-003DDEA142A4}"/>
            </c:ext>
          </c:extLst>
        </c:ser>
        <c:ser>
          <c:idx val="3"/>
          <c:order val="1"/>
          <c:tx>
            <c:v>Arbeitspunkt Heizung</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Lit>
              <c:formatCode>General</c:formatCode>
              <c:ptCount val="1"/>
              <c:pt idx="0">
                <c:v>0</c:v>
              </c:pt>
            </c:numLit>
          </c:yVal>
          <c:smooth val="0"/>
          <c:extLst>
            <c:ext xmlns:c16="http://schemas.microsoft.com/office/drawing/2014/chart" uri="{C3380CC4-5D6E-409C-BE32-E72D297353CC}">
              <c16:uniqueId val="{00000001-AB5F-462B-85AD-003DDEA142A4}"/>
            </c:ext>
          </c:extLst>
        </c:ser>
        <c:ser>
          <c:idx val="0"/>
          <c:order val="2"/>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WP_BIN!$D$35:$J$35</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2-AB5F-462B-85AD-003DDEA142A4}"/>
            </c:ext>
          </c:extLst>
        </c:ser>
        <c:dLbls>
          <c:showLegendKey val="0"/>
          <c:showVal val="0"/>
          <c:showCatName val="0"/>
          <c:showSerName val="0"/>
          <c:showPercent val="0"/>
          <c:showBubbleSize val="0"/>
        </c:dLbls>
        <c:axId val="165067392"/>
        <c:axId val="165073280"/>
      </c:scatterChart>
      <c:valAx>
        <c:axId val="165067392"/>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73280"/>
        <c:crosses val="autoZero"/>
        <c:crossBetween val="midCat"/>
        <c:majorUnit val="5"/>
      </c:valAx>
      <c:valAx>
        <c:axId val="1650732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67392"/>
        <c:crossesAt val="-40"/>
        <c:crossBetween val="midCat"/>
      </c:valAx>
      <c:spPr>
        <a:noFill/>
        <a:ln w="25400">
          <a:noFill/>
        </a:ln>
      </c:spPr>
    </c:plotArea>
    <c:legend>
      <c:legendPos val="r"/>
      <c:layout>
        <c:manualLayout>
          <c:xMode val="edge"/>
          <c:yMode val="edge"/>
          <c:x val="0.44086111816668072"/>
          <c:y val="0.5667881406520936"/>
          <c:w val="0.53978607512770549"/>
          <c:h val="0.19494622738944722"/>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2" footer="0.49212598450000172"/>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92136025504639E-2"/>
          <c:y val="0.10069461516421091"/>
          <c:w val="0.87247608926673748"/>
          <c:h val="0.7326401310223577"/>
        </c:manualLayout>
      </c:layout>
      <c:scatterChart>
        <c:scatterStyle val="lineMarker"/>
        <c:varyColors val="0"/>
        <c:ser>
          <c:idx val="0"/>
          <c:order val="0"/>
          <c:tx>
            <c:strRef>
              <c:f>Sprache!$B$256</c:f>
              <c:strCache>
                <c:ptCount val="1"/>
                <c:pt idx="0">
                  <c:v> Besoins de chaleur sans les gains de chaleur</c:v>
                </c:pt>
              </c:strCache>
            </c:strRef>
          </c:tx>
          <c:spPr>
            <a:ln w="25400">
              <a:solidFill>
                <a:srgbClr val="00FF00"/>
              </a:solidFill>
              <a:prstDash val="sysDash"/>
            </a:ln>
          </c:spPr>
          <c:marker>
            <c:symbol val="none"/>
          </c:marker>
          <c:xVal>
            <c:numRef>
              <c:f>Grafik!$R$26:$R$91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Grafik!$O$26:$O$91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7562-465D-AF4A-17127380D33F}"/>
            </c:ext>
          </c:extLst>
        </c:ser>
        <c:ser>
          <c:idx val="4"/>
          <c:order val="1"/>
          <c:tx>
            <c:strRef>
              <c:f>Sprache!$B$257</c:f>
              <c:strCache>
                <c:ptCount val="1"/>
                <c:pt idx="0">
                  <c:v>Couverture par les capteurs solaires</c:v>
                </c:pt>
              </c:strCache>
            </c:strRef>
          </c:tx>
          <c:spPr>
            <a:ln w="25400">
              <a:solidFill>
                <a:srgbClr val="999933"/>
              </a:solidFill>
              <a:prstDash val="solid"/>
            </a:ln>
          </c:spPr>
          <c:marker>
            <c:symbol val="none"/>
          </c:marker>
          <c:xVal>
            <c:numRef>
              <c:f>Grafik!$Y$26:$Y$92</c:f>
              <c:numCache>
                <c:formatCode>#,##0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8760</c:v>
                </c:pt>
              </c:numCache>
            </c:numRef>
          </c:xVal>
          <c:yVal>
            <c:numRef>
              <c:f>Grafik!$Z$26:$Z$92</c:f>
              <c:numCache>
                <c:formatCode>0.0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numCache>
            </c:numRef>
          </c:yVal>
          <c:smooth val="0"/>
          <c:extLst>
            <c:ext xmlns:c16="http://schemas.microsoft.com/office/drawing/2014/chart" uri="{C3380CC4-5D6E-409C-BE32-E72D297353CC}">
              <c16:uniqueId val="{00000001-7562-465D-AF4A-17127380D33F}"/>
            </c:ext>
          </c:extLst>
        </c:ser>
        <c:ser>
          <c:idx val="2"/>
          <c:order val="2"/>
          <c:tx>
            <c:strRef>
              <c:f>Sprache!$B$258</c:f>
              <c:strCache>
                <c:ptCount val="1"/>
                <c:pt idx="0">
                  <c:v> Besoins de chaleur sans capteurs solaires</c:v>
                </c:pt>
              </c:strCache>
            </c:strRef>
          </c:tx>
          <c:spPr>
            <a:ln w="25400">
              <a:solidFill>
                <a:srgbClr val="FF0000"/>
              </a:solidFill>
              <a:prstDash val="sysDash"/>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Grafik!$AA$26:$AA$91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562-465D-AF4A-17127380D33F}"/>
            </c:ext>
          </c:extLst>
        </c:ser>
        <c:ser>
          <c:idx val="3"/>
          <c:order val="3"/>
          <c:tx>
            <c:strRef>
              <c:f>Sprache!$B$259</c:f>
              <c:strCache>
                <c:ptCount val="1"/>
                <c:pt idx="0">
                  <c:v> Chauffage d'appoint</c:v>
                </c:pt>
              </c:strCache>
            </c:strRef>
          </c:tx>
          <c:spPr>
            <a:ln w="38100">
              <a:solidFill>
                <a:srgbClr val="FF0000"/>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Grafik!$AB$26:$AB$91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7562-465D-AF4A-17127380D33F}"/>
            </c:ext>
          </c:extLst>
        </c:ser>
        <c:ser>
          <c:idx val="1"/>
          <c:order val="4"/>
          <c:tx>
            <c:strRef>
              <c:f>Sprache!$B$260</c:f>
              <c:strCache>
                <c:ptCount val="1"/>
                <c:pt idx="0">
                  <c:v>Charge de base PAC, y c. corps de chauffe ECS</c:v>
                </c:pt>
              </c:strCache>
            </c:strRef>
          </c:tx>
          <c:spPr>
            <a:ln w="38100">
              <a:solidFill>
                <a:srgbClr val="3366FF"/>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Grafik!$U$26:$U$91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4-7562-465D-AF4A-17127380D33F}"/>
            </c:ext>
          </c:extLst>
        </c:ser>
        <c:dLbls>
          <c:showLegendKey val="0"/>
          <c:showVal val="0"/>
          <c:showCatName val="0"/>
          <c:showSerName val="0"/>
          <c:showPercent val="0"/>
          <c:showBubbleSize val="0"/>
        </c:dLbls>
        <c:axId val="164068736"/>
        <c:axId val="165086336"/>
      </c:scatterChart>
      <c:valAx>
        <c:axId val="164068736"/>
        <c:scaling>
          <c:orientation val="minMax"/>
          <c:max val="8700"/>
          <c:min val="0"/>
        </c:scaling>
        <c:delete val="0"/>
        <c:axPos val="b"/>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086336"/>
        <c:crossesAt val="0"/>
        <c:crossBetween val="midCat"/>
        <c:majorUnit val="1000"/>
      </c:valAx>
      <c:valAx>
        <c:axId val="16508633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4068736"/>
        <c:crosses val="autoZero"/>
        <c:crossBetween val="midCat"/>
      </c:valAx>
      <c:spPr>
        <a:noFill/>
        <a:ln w="25400">
          <a:noFill/>
        </a:ln>
      </c:spPr>
    </c:plotArea>
    <c:legend>
      <c:legendPos val="r"/>
      <c:layout>
        <c:manualLayout>
          <c:xMode val="edge"/>
          <c:yMode val="edge"/>
          <c:x val="0.10733262486716259"/>
          <c:y val="0.89062645815106434"/>
          <c:w val="0.80658873538788523"/>
          <c:h val="6.5972404491105321E-2"/>
        </c:manualLayout>
      </c:layout>
      <c:overlay val="0"/>
      <c:spPr>
        <a:noFill/>
        <a:ln w="25400">
          <a:noFill/>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75791274593701E-2"/>
          <c:y val="9.4758157799661541E-2"/>
          <c:w val="0.8887938408896493"/>
          <c:h val="0.81653306189069008"/>
        </c:manualLayout>
      </c:layout>
      <c:scatterChart>
        <c:scatterStyle val="lineMarker"/>
        <c:varyColors val="0"/>
        <c:ser>
          <c:idx val="0"/>
          <c:order val="0"/>
          <c:tx>
            <c:v>TRL</c:v>
          </c:tx>
          <c:spPr>
            <a:ln w="25400">
              <a:solidFill>
                <a:srgbClr val="0000FF"/>
              </a:solidFill>
              <a:prstDash val="solid"/>
            </a:ln>
          </c:spPr>
          <c:marker>
            <c:symbol val="square"/>
            <c:size val="2"/>
            <c:spPr>
              <a:noFill/>
              <a:ln w="9525">
                <a:noFill/>
              </a:ln>
            </c:spPr>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Grafik!$AE$26:$AE$91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E049-4F34-A33E-32DA14239867}"/>
            </c:ext>
          </c:extLst>
        </c:ser>
        <c:ser>
          <c:idx val="1"/>
          <c:order val="1"/>
          <c:tx>
            <c:v>TVL</c:v>
          </c:tx>
          <c:spPr>
            <a:ln w="25400">
              <a:solidFill>
                <a:srgbClr val="FF0000"/>
              </a:solidFill>
              <a:prstDash val="solid"/>
            </a:ln>
          </c:spPr>
          <c:marker>
            <c:symbol val="none"/>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Grafik!$AD$26:$AD$91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E049-4F34-A33E-32DA14239867}"/>
            </c:ext>
          </c:extLst>
        </c:ser>
        <c:dLbls>
          <c:showLegendKey val="0"/>
          <c:showVal val="0"/>
          <c:showCatName val="0"/>
          <c:showSerName val="0"/>
          <c:showPercent val="0"/>
          <c:showBubbleSize val="0"/>
        </c:dLbls>
        <c:axId val="165108352"/>
        <c:axId val="165147008"/>
      </c:scatterChart>
      <c:valAx>
        <c:axId val="165108352"/>
        <c:scaling>
          <c:orientation val="minMax"/>
          <c:max val="20"/>
          <c:min val="-20"/>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47008"/>
        <c:crosses val="autoZero"/>
        <c:crossBetween val="midCat"/>
      </c:valAx>
      <c:valAx>
        <c:axId val="165147008"/>
        <c:scaling>
          <c:orientation val="minMax"/>
          <c:max val="60"/>
          <c:min val="2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08352"/>
        <c:crossesAt val="-20"/>
        <c:crossBetween val="midCat"/>
        <c:majorUnit val="5"/>
        <c:minorUnit val="1"/>
      </c:valAx>
      <c:spPr>
        <a:noFill/>
        <a:ln w="25400">
          <a:noFill/>
        </a:ln>
      </c:spPr>
    </c:plotArea>
    <c:legend>
      <c:legendPos val="r"/>
      <c:layout>
        <c:manualLayout>
          <c:xMode val="edge"/>
          <c:yMode val="edge"/>
          <c:x val="8.4522502744238143E-2"/>
          <c:y val="0.84856396866840733"/>
          <c:w val="0.29527991218441491"/>
          <c:h val="5.7441253263707477E-2"/>
        </c:manualLayout>
      </c:layout>
      <c:overlay val="0"/>
      <c:spPr>
        <a:noFill/>
        <a:ln w="25400">
          <a:noFill/>
        </a:ln>
      </c:spPr>
      <c:txPr>
        <a:bodyPr/>
        <a:lstStyle/>
        <a:p>
          <a:pPr>
            <a:defRPr sz="63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orientation="portrait"/>
  </c:printSettings>
  <c:userShapes r:id="rId1"/>
</c:chartSpace>
</file>

<file path=xl/ctrlProps/ctrlProp1.xml><?xml version="1.0" encoding="utf-8"?>
<formControlPr xmlns="http://schemas.microsoft.com/office/spreadsheetml/2009/9/main" objectType="Drop" dropLines="3" dropStyle="combo" dx="22" fmlaLink="$C$2" fmlaRange="$G$2:$G$4" noThreeD="1" sel="2" val="0"/>
</file>

<file path=xl/ctrlProps/ctrlProp2.xml><?xml version="1.0" encoding="utf-8"?>
<formControlPr xmlns="http://schemas.microsoft.com/office/spreadsheetml/2009/9/main" objectType="Drop" dropLines="3" dropStyle="combo" dx="22" fmlaLink="C2" fmlaRange="$G$2:$G$4" noThreeD="1" sel="2"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51.jpeg"/><Relationship Id="rId1" Type="http://schemas.openxmlformats.org/officeDocument/2006/relationships/image" Target="../media/image50.jpeg"/></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40.png"/><Relationship Id="rId4" Type="http://schemas.openxmlformats.org/officeDocument/2006/relationships/image" Target="../media/image39.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63076" name="Chart 519">
          <a:extLst>
            <a:ext uri="{FF2B5EF4-FFF2-40B4-BE49-F238E27FC236}">
              <a16:creationId xmlns:a16="http://schemas.microsoft.com/office/drawing/2014/main" id="{00000000-0008-0000-0000-0000A438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0.61716</cdr:x>
      <cdr:y>0.024</cdr:y>
    </cdr:from>
    <cdr:to>
      <cdr:x>0.96969</cdr:x>
      <cdr:y>0.08076</cdr:y>
    </cdr:to>
    <cdr:sp macro="" textlink="Spez!$B$10">
      <cdr:nvSpPr>
        <cdr:cNvPr id="1076225" name="Text Box 1"/>
        <cdr:cNvSpPr txBox="1">
          <a:spLocks xmlns:a="http://schemas.openxmlformats.org/drawingml/2006/main" noChangeArrowheads="1"/>
        </cdr:cNvSpPr>
      </cdr:nvSpPr>
      <cdr:spPr bwMode="auto">
        <a:xfrm xmlns:a="http://schemas.openxmlformats.org/drawingml/2006/main">
          <a:off x="1930787" y="52279"/>
          <a:ext cx="1196569" cy="122244"/>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dr:relSizeAnchor xmlns:cdr="http://schemas.openxmlformats.org/drawingml/2006/chartDrawing">
    <cdr:from>
      <cdr:x>0.11755</cdr:x>
      <cdr:y>0.0224</cdr:y>
    </cdr:from>
    <cdr:to>
      <cdr:x>0.57333</cdr:x>
      <cdr:y>0.104</cdr:y>
    </cdr:to>
    <cdr:sp macro="" textlink="Spez!$B$8">
      <cdr:nvSpPr>
        <cdr:cNvPr id="1267714" name="Text Box 2"/>
        <cdr:cNvSpPr txBox="1">
          <a:spLocks xmlns:a="http://schemas.openxmlformats.org/drawingml/2006/main" noChangeArrowheads="1"/>
        </cdr:cNvSpPr>
      </cdr:nvSpPr>
      <cdr:spPr bwMode="auto">
        <a:xfrm xmlns:a="http://schemas.openxmlformats.org/drawingml/2006/main">
          <a:off x="387233" y="50800"/>
          <a:ext cx="1512336" cy="1754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8800" tIns="3600" rIns="0" bIns="3600" anchor="ctr" upright="1"/>
        <a:lstStyle xmlns:a="http://schemas.openxmlformats.org/drawingml/2006/main"/>
        <a:p xmlns:a="http://schemas.openxmlformats.org/drawingml/2006/main">
          <a:pPr algn="l" rtl="0">
            <a:defRPr sz="1000"/>
          </a:pPr>
          <a:fld id="{C2587E28-14A5-4422-B39B-C77C68FCC3C9}" type="TxLink">
            <a:rPr lang="de-CH" sz="900" b="1" i="0" u="none" strike="noStrike" baseline="0">
              <a:solidFill>
                <a:srgbClr val="000000"/>
              </a:solidFill>
              <a:latin typeface="Arial"/>
              <a:cs typeface="Arial"/>
            </a:rPr>
            <a:pPr algn="l" rtl="0">
              <a:defRPr sz="1000"/>
            </a:pPr>
            <a:t>Chauffage</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0.31466</cdr:x>
      <cdr:y>0.91626</cdr:y>
    </cdr:from>
    <cdr:to>
      <cdr:x>0.57235</cdr:x>
      <cdr:y>0.97491</cdr:y>
    </cdr:to>
    <cdr:sp macro="" textlink="Spez!$D$9">
      <cdr:nvSpPr>
        <cdr:cNvPr id="1223684" name="Text Box 4"/>
        <cdr:cNvSpPr txBox="1">
          <a:spLocks xmlns:a="http://schemas.openxmlformats.org/drawingml/2006/main" noChangeArrowheads="1" noTextEdit="1"/>
        </cdr:cNvSpPr>
      </cdr:nvSpPr>
      <cdr:spPr bwMode="auto">
        <a:xfrm xmlns:a="http://schemas.openxmlformats.org/drawingml/2006/main">
          <a:off x="1034860" y="1956010"/>
          <a:ext cx="853333" cy="11409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fld id="{F35D7E49-7761-4FE3-A93C-3795173D8E17}" type="TxLink">
            <a:rPr lang="de-CH" sz="800" b="0" i="0" u="none" strike="noStrike" baseline="0">
              <a:solidFill>
                <a:srgbClr val="000000"/>
              </a:solidFill>
              <a:latin typeface="Arial"/>
              <a:cs typeface="Arial"/>
            </a:rPr>
            <a:pPr algn="ctr" rtl="0">
              <a:defRPr sz="1000"/>
            </a:pPr>
            <a:t>Puissance therm.</a:t>
          </a:fld>
          <a:endParaRPr lang="de-CH"/>
        </a:p>
      </cdr:txBody>
    </cdr:sp>
  </cdr:relSizeAnchor>
  <cdr:relSizeAnchor xmlns:cdr="http://schemas.openxmlformats.org/drawingml/2006/chartDrawing">
    <cdr:from>
      <cdr:x>0.76175</cdr:x>
      <cdr:y>0.88582</cdr:y>
    </cdr:from>
    <cdr:to>
      <cdr:x>0.9849</cdr:x>
      <cdr:y>0.97623</cdr:y>
    </cdr:to>
    <cdr:sp macro="" textlink="Spez!$D$14">
      <cdr:nvSpPr>
        <cdr:cNvPr id="1267716" name="Text Box 5"/>
        <cdr:cNvSpPr txBox="1">
          <a:spLocks xmlns:a="http://schemas.openxmlformats.org/drawingml/2006/main" noChangeArrowheads="1"/>
        </cdr:cNvSpPr>
      </cdr:nvSpPr>
      <cdr:spPr bwMode="auto">
        <a:xfrm xmlns:a="http://schemas.openxmlformats.org/drawingml/2006/main">
          <a:off x="2527362" y="1891959"/>
          <a:ext cx="740473" cy="18665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17D2F456-1338-4B97-97A3-1D78E2CA8743}"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0.62374</cdr:x>
      <cdr:y>0.024</cdr:y>
    </cdr:from>
    <cdr:to>
      <cdr:x>0.97485</cdr:x>
      <cdr:y>0.09532</cdr:y>
    </cdr:to>
    <cdr:sp macro="" textlink="Spez!$B$14">
      <cdr:nvSpPr>
        <cdr:cNvPr id="1077249" name="Text Box 1025"/>
        <cdr:cNvSpPr txBox="1">
          <a:spLocks xmlns:a="http://schemas.openxmlformats.org/drawingml/2006/main" noChangeArrowheads="1"/>
        </cdr:cNvSpPr>
      </cdr:nvSpPr>
      <cdr:spPr bwMode="auto">
        <a:xfrm xmlns:a="http://schemas.openxmlformats.org/drawingml/2006/main">
          <a:off x="1952466" y="52279"/>
          <a:ext cx="1199150" cy="15083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dr:relSizeAnchor xmlns:cdr="http://schemas.openxmlformats.org/drawingml/2006/chartDrawing">
    <cdr:from>
      <cdr:x>0.10486</cdr:x>
      <cdr:y>0.0224</cdr:y>
    </cdr:from>
    <cdr:to>
      <cdr:x>0.66906</cdr:x>
      <cdr:y>0.10638</cdr:y>
    </cdr:to>
    <cdr:sp macro="" textlink="Spez!$B$12">
      <cdr:nvSpPr>
        <cdr:cNvPr id="1268738" name="Text Box 2"/>
        <cdr:cNvSpPr txBox="1">
          <a:spLocks xmlns:a="http://schemas.openxmlformats.org/drawingml/2006/main" noChangeArrowheads="1"/>
        </cdr:cNvSpPr>
      </cdr:nvSpPr>
      <cdr:spPr bwMode="auto">
        <a:xfrm xmlns:a="http://schemas.openxmlformats.org/drawingml/2006/main">
          <a:off x="357162" y="50800"/>
          <a:ext cx="1898790" cy="1815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7432" rIns="0" bIns="27432" anchor="ctr" upright="1"/>
        <a:lstStyle xmlns:a="http://schemas.openxmlformats.org/drawingml/2006/main"/>
        <a:p xmlns:a="http://schemas.openxmlformats.org/drawingml/2006/main">
          <a:pPr algn="l" rtl="0">
            <a:defRPr sz="1000"/>
          </a:pPr>
          <a:fld id="{D188CF42-23A1-4EBF-A4E6-C85B5457A0C0}" type="TxLink">
            <a:rPr lang="de-CH" sz="900" b="1" i="0" u="none" strike="noStrike" baseline="0">
              <a:solidFill>
                <a:srgbClr val="000000"/>
              </a:solidFill>
              <a:latin typeface="Arial"/>
              <a:cs typeface="Arial"/>
            </a:rPr>
            <a:pPr algn="l" rtl="0">
              <a:defRPr sz="1000"/>
            </a:pPr>
            <a:t>ECS eau chaude sanitaire</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0.34748</cdr:x>
      <cdr:y>0.91483</cdr:y>
    </cdr:from>
    <cdr:to>
      <cdr:x>0.62518</cdr:x>
      <cdr:y>0.97467</cdr:y>
    </cdr:to>
    <cdr:sp macro="" textlink="Spez!$B$12">
      <cdr:nvSpPr>
        <cdr:cNvPr id="1224707" name="Text Box 3"/>
        <cdr:cNvSpPr txBox="1">
          <a:spLocks xmlns:a="http://schemas.openxmlformats.org/drawingml/2006/main" noChangeArrowheads="1" noTextEdit="1"/>
        </cdr:cNvSpPr>
      </cdr:nvSpPr>
      <cdr:spPr bwMode="auto">
        <a:xfrm xmlns:a="http://schemas.openxmlformats.org/drawingml/2006/main">
          <a:off x="1168791" y="1940360"/>
          <a:ext cx="924304" cy="12974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5F7E2252-9CA1-47D2-BE80-A1143890ED1F}" type="TxLink">
            <a:rPr lang="de-CH" sz="800" b="0" i="0" u="none" strike="noStrike" baseline="0">
              <a:solidFill>
                <a:srgbClr val="000000"/>
              </a:solidFill>
              <a:latin typeface="Arial"/>
              <a:cs typeface="Arial"/>
            </a:rPr>
            <a:pPr algn="l" rtl="0">
              <a:defRPr sz="1000"/>
            </a:pPr>
            <a:t>ECS eau chaude sanitaire</a:t>
          </a:fld>
          <a:endParaRPr lang="de-CH"/>
        </a:p>
      </cdr:txBody>
    </cdr:sp>
  </cdr:relSizeAnchor>
  <cdr:relSizeAnchor xmlns:cdr="http://schemas.openxmlformats.org/drawingml/2006/chartDrawing">
    <cdr:from>
      <cdr:x>0.33054</cdr:x>
      <cdr:y>0.90179</cdr:y>
    </cdr:from>
    <cdr:to>
      <cdr:x>0.62635</cdr:x>
      <cdr:y>0.97599</cdr:y>
    </cdr:to>
    <cdr:sp macro="" textlink="Spez!$D$13">
      <cdr:nvSpPr>
        <cdr:cNvPr id="1268740" name="Text Box 5"/>
        <cdr:cNvSpPr txBox="1">
          <a:spLocks xmlns:a="http://schemas.openxmlformats.org/drawingml/2006/main" noChangeArrowheads="1"/>
        </cdr:cNvSpPr>
      </cdr:nvSpPr>
      <cdr:spPr bwMode="auto">
        <a:xfrm xmlns:a="http://schemas.openxmlformats.org/drawingml/2006/main">
          <a:off x="1116514" y="1919348"/>
          <a:ext cx="995267" cy="15875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54166D-F303-4DCE-8DA0-84265FFC26A4}" type="TxLink">
            <a:rPr lang="de-CH" sz="800" b="0" i="0" u="none" strike="noStrike" baseline="0">
              <a:solidFill>
                <a:srgbClr val="000000"/>
              </a:solidFill>
              <a:latin typeface="Arial"/>
              <a:cs typeface="Arial"/>
            </a:rPr>
            <a:pPr algn="ctr" rtl="0">
              <a:defRPr sz="1000"/>
            </a:pPr>
            <a:t>Puissance therm.</a:t>
          </a:fld>
          <a:endParaRPr lang="de-CH" sz="800" b="0" i="0" u="none" strike="noStrike" baseline="0">
            <a:solidFill>
              <a:srgbClr val="000000"/>
            </a:solidFill>
            <a:latin typeface="Arial"/>
            <a:cs typeface="Arial"/>
          </a:endParaRPr>
        </a:p>
      </cdr:txBody>
    </cdr:sp>
  </cdr:relSizeAnchor>
  <cdr:relSizeAnchor xmlns:cdr="http://schemas.openxmlformats.org/drawingml/2006/chartDrawing">
    <cdr:from>
      <cdr:x>0.75835</cdr:x>
      <cdr:y>0.8975</cdr:y>
    </cdr:from>
    <cdr:to>
      <cdr:x>0.98428</cdr:x>
      <cdr:y>0.97599</cdr:y>
    </cdr:to>
    <cdr:sp macro="" textlink="Spez!$D$14">
      <cdr:nvSpPr>
        <cdr:cNvPr id="1268741" name="Text Box 8"/>
        <cdr:cNvSpPr txBox="1">
          <a:spLocks xmlns:a="http://schemas.openxmlformats.org/drawingml/2006/main" noChangeArrowheads="1"/>
        </cdr:cNvSpPr>
      </cdr:nvSpPr>
      <cdr:spPr bwMode="auto">
        <a:xfrm xmlns:a="http://schemas.openxmlformats.org/drawingml/2006/main">
          <a:off x="2560676" y="1911233"/>
          <a:ext cx="765086" cy="16687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F779FF8A-1720-4A1F-862C-4FDC16C688FB}"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0.60869</cdr:x>
      <cdr:y>0.02549</cdr:y>
    </cdr:from>
    <cdr:to>
      <cdr:x>0.96394</cdr:x>
      <cdr:y>0.08604</cdr:y>
    </cdr:to>
    <cdr:sp macro="" textlink="Spez!$B$10">
      <cdr:nvSpPr>
        <cdr:cNvPr id="242689" name="Text Box 1"/>
        <cdr:cNvSpPr txBox="1">
          <a:spLocks xmlns:a="http://schemas.openxmlformats.org/drawingml/2006/main" noChangeArrowheads="1" noTextEdit="1"/>
        </cdr:cNvSpPr>
      </cdr:nvSpPr>
      <cdr:spPr bwMode="auto">
        <a:xfrm xmlns:a="http://schemas.openxmlformats.org/drawingml/2006/main">
          <a:off x="1949323" y="50800"/>
          <a:ext cx="1175576" cy="1011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userShapes>
</file>

<file path=xl/drawings/drawing13.xml><?xml version="1.0" encoding="utf-8"?>
<c:userShapes xmlns:c="http://schemas.openxmlformats.org/drawingml/2006/chart">
  <cdr:relSizeAnchor xmlns:cdr="http://schemas.openxmlformats.org/drawingml/2006/chartDrawing">
    <cdr:from>
      <cdr:x>0.59876</cdr:x>
      <cdr:y>0.02453</cdr:y>
    </cdr:from>
    <cdr:to>
      <cdr:x>0.96831</cdr:x>
      <cdr:y>0.10911</cdr:y>
    </cdr:to>
    <cdr:sp macro="" textlink="Spez!$B$14">
      <cdr:nvSpPr>
        <cdr:cNvPr id="250881" name="Text Box 1025"/>
        <cdr:cNvSpPr txBox="1">
          <a:spLocks xmlns:a="http://schemas.openxmlformats.org/drawingml/2006/main" noChangeArrowheads="1" noTextEdit="1"/>
        </cdr:cNvSpPr>
      </cdr:nvSpPr>
      <cdr:spPr bwMode="auto">
        <a:xfrm xmlns:a="http://schemas.openxmlformats.org/drawingml/2006/main">
          <a:off x="1945394" y="50800"/>
          <a:ext cx="1196007" cy="1007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7</xdr:col>
      <xdr:colOff>666750</xdr:colOff>
      <xdr:row>0</xdr:row>
      <xdr:rowOff>28575</xdr:rowOff>
    </xdr:from>
    <xdr:to>
      <xdr:col>9</xdr:col>
      <xdr:colOff>276225</xdr:colOff>
      <xdr:row>0</xdr:row>
      <xdr:rowOff>590550</xdr:rowOff>
    </xdr:to>
    <xdr:pic>
      <xdr:nvPicPr>
        <xdr:cNvPr id="1088524" name="Picture 71" descr="4c qgw">
          <a:extLst>
            <a:ext uri="{FF2B5EF4-FFF2-40B4-BE49-F238E27FC236}">
              <a16:creationId xmlns:a16="http://schemas.microsoft.com/office/drawing/2014/main" id="{00000000-0008-0000-0800-00000C9C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1925" y="28575"/>
          <a:ext cx="10287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600075</xdr:colOff>
      <xdr:row>0</xdr:row>
      <xdr:rowOff>47625</xdr:rowOff>
    </xdr:from>
    <xdr:to>
      <xdr:col>11</xdr:col>
      <xdr:colOff>104775</xdr:colOff>
      <xdr:row>0</xdr:row>
      <xdr:rowOff>619125</xdr:rowOff>
    </xdr:to>
    <xdr:pic>
      <xdr:nvPicPr>
        <xdr:cNvPr id="1088525" name="Picture 70" descr="Lebensministerium">
          <a:extLst>
            <a:ext uri="{FF2B5EF4-FFF2-40B4-BE49-F238E27FC236}">
              <a16:creationId xmlns:a16="http://schemas.microsoft.com/office/drawing/2014/main" id="{00000000-0008-0000-0800-00000D9C1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5324475" y="47625"/>
          <a:ext cx="1047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19050</xdr:colOff>
      <xdr:row>215</xdr:row>
      <xdr:rowOff>47625</xdr:rowOff>
    </xdr:from>
    <xdr:to>
      <xdr:col>45</xdr:col>
      <xdr:colOff>180975</xdr:colOff>
      <xdr:row>238</xdr:row>
      <xdr:rowOff>9525</xdr:rowOff>
    </xdr:to>
    <xdr:graphicFrame macro="">
      <xdr:nvGraphicFramePr>
        <xdr:cNvPr id="1267721" name="Diagramm 1">
          <a:extLst>
            <a:ext uri="{FF2B5EF4-FFF2-40B4-BE49-F238E27FC236}">
              <a16:creationId xmlns:a16="http://schemas.microsoft.com/office/drawing/2014/main" id="{00000000-0008-0000-0B00-000009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56</xdr:col>
      <xdr:colOff>219075</xdr:colOff>
      <xdr:row>215</xdr:row>
      <xdr:rowOff>209550</xdr:rowOff>
    </xdr:from>
    <xdr:to>
      <xdr:col>70</xdr:col>
      <xdr:colOff>628650</xdr:colOff>
      <xdr:row>228</xdr:row>
      <xdr:rowOff>47625</xdr:rowOff>
    </xdr:to>
    <xdr:graphicFrame macro="">
      <xdr:nvGraphicFramePr>
        <xdr:cNvPr id="1267722" name="Diagramm 2">
          <a:extLst>
            <a:ext uri="{FF2B5EF4-FFF2-40B4-BE49-F238E27FC236}">
              <a16:creationId xmlns:a16="http://schemas.microsoft.com/office/drawing/2014/main" id="{00000000-0008-0000-0B00-00000A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0.37622</cdr:x>
      <cdr:y>0.0508</cdr:y>
    </cdr:from>
    <cdr:to>
      <cdr:x>0.53742</cdr:x>
      <cdr:y>0.12325</cdr:y>
    </cdr:to>
    <cdr:sp macro="" textlink="Berechnungen!$A$5">
      <cdr:nvSpPr>
        <cdr:cNvPr id="2" name="Textfeld 1"/>
        <cdr:cNvSpPr txBox="1"/>
      </cdr:nvSpPr>
      <cdr:spPr>
        <a:xfrm xmlns:a="http://schemas.openxmlformats.org/drawingml/2006/main">
          <a:off x="3543299" y="247650"/>
          <a:ext cx="1524000" cy="3238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a:p>
      </cdr:txBody>
    </cdr:sp>
  </cdr:relSizeAnchor>
</c:userShapes>
</file>

<file path=xl/drawings/drawing17.xml><?xml version="1.0" encoding="utf-8"?>
<xdr:wsDr xmlns:xdr="http://schemas.openxmlformats.org/drawingml/2006/spreadsheetDrawing" xmlns:a="http://schemas.openxmlformats.org/drawingml/2006/main">
  <xdr:twoCellAnchor>
    <xdr:from>
      <xdr:col>2</xdr:col>
      <xdr:colOff>0</xdr:colOff>
      <xdr:row>23</xdr:row>
      <xdr:rowOff>0</xdr:rowOff>
    </xdr:from>
    <xdr:to>
      <xdr:col>27</xdr:col>
      <xdr:colOff>314325</xdr:colOff>
      <xdr:row>55</xdr:row>
      <xdr:rowOff>95250</xdr:rowOff>
    </xdr:to>
    <xdr:graphicFrame macro="">
      <xdr:nvGraphicFramePr>
        <xdr:cNvPr id="1268741" name="Diagramm 1">
          <a:extLst>
            <a:ext uri="{FF2B5EF4-FFF2-40B4-BE49-F238E27FC236}">
              <a16:creationId xmlns:a16="http://schemas.microsoft.com/office/drawing/2014/main" id="{00000000-0008-0000-0D00-0000055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1600200</xdr:colOff>
          <xdr:row>2</xdr:row>
          <xdr:rowOff>0</xdr:rowOff>
        </xdr:to>
        <xdr:sp macro="" textlink="">
          <xdr:nvSpPr>
            <xdr:cNvPr id="9217" name="Drop Down 1025"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xdr:col>
          <xdr:colOff>0</xdr:colOff>
          <xdr:row>2</xdr:row>
          <xdr:rowOff>0</xdr:rowOff>
        </xdr:to>
        <xdr:sp macro="" textlink="">
          <xdr:nvSpPr>
            <xdr:cNvPr id="9218" name="Drop Down 1026"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93755" name="Chart 519">
          <a:extLst>
            <a:ext uri="{FF2B5EF4-FFF2-40B4-BE49-F238E27FC236}">
              <a16:creationId xmlns:a16="http://schemas.microsoft.com/office/drawing/2014/main" id="{00000000-0008-0000-0200-00007BB0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2</xdr:row>
      <xdr:rowOff>0</xdr:rowOff>
    </xdr:from>
    <xdr:to>
      <xdr:col>22</xdr:col>
      <xdr:colOff>0</xdr:colOff>
      <xdr:row>24</xdr:row>
      <xdr:rowOff>28575</xdr:rowOff>
    </xdr:to>
    <xdr:graphicFrame macro="">
      <xdr:nvGraphicFramePr>
        <xdr:cNvPr id="1089820" name="Chart 221">
          <a:extLst>
            <a:ext uri="{FF2B5EF4-FFF2-40B4-BE49-F238E27FC236}">
              <a16:creationId xmlns:a16="http://schemas.microsoft.com/office/drawing/2014/main" id="{00000000-0008-0000-0300-00001C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24</xdr:row>
      <xdr:rowOff>85725</xdr:rowOff>
    </xdr:from>
    <xdr:to>
      <xdr:col>22</xdr:col>
      <xdr:colOff>0</xdr:colOff>
      <xdr:row>52</xdr:row>
      <xdr:rowOff>142875</xdr:rowOff>
    </xdr:to>
    <xdr:graphicFrame macro="">
      <xdr:nvGraphicFramePr>
        <xdr:cNvPr id="1089821" name="Chart 222">
          <a:extLst>
            <a:ext uri="{FF2B5EF4-FFF2-40B4-BE49-F238E27FC236}">
              <a16:creationId xmlns:a16="http://schemas.microsoft.com/office/drawing/2014/main" id="{00000000-0008-0000-0300-00001D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21</xdr:row>
      <xdr:rowOff>0</xdr:rowOff>
    </xdr:from>
    <xdr:to>
      <xdr:col>6</xdr:col>
      <xdr:colOff>0</xdr:colOff>
      <xdr:row>27</xdr:row>
      <xdr:rowOff>0</xdr:rowOff>
    </xdr:to>
    <xdr:graphicFrame macro="">
      <xdr:nvGraphicFramePr>
        <xdr:cNvPr id="1089822" name="Chart 519">
          <a:extLst>
            <a:ext uri="{FF2B5EF4-FFF2-40B4-BE49-F238E27FC236}">
              <a16:creationId xmlns:a16="http://schemas.microsoft.com/office/drawing/2014/main" id="{00000000-0008-0000-0300-00001E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666750</xdr:colOff>
      <xdr:row>0</xdr:row>
      <xdr:rowOff>0</xdr:rowOff>
    </xdr:from>
    <xdr:to>
      <xdr:col>9</xdr:col>
      <xdr:colOff>66675</xdr:colOff>
      <xdr:row>2</xdr:row>
      <xdr:rowOff>57150</xdr:rowOff>
    </xdr:to>
    <xdr:pic>
      <xdr:nvPicPr>
        <xdr:cNvPr id="1089823" name="Picture 70" descr="Lebensministerium">
          <a:extLst>
            <a:ext uri="{FF2B5EF4-FFF2-40B4-BE49-F238E27FC236}">
              <a16:creationId xmlns:a16="http://schemas.microsoft.com/office/drawing/2014/main" id="{00000000-0008-0000-0300-00001FA11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5743575" y="0"/>
          <a:ext cx="1047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600075</xdr:colOff>
      <xdr:row>0</xdr:row>
      <xdr:rowOff>85725</xdr:rowOff>
    </xdr:from>
    <xdr:to>
      <xdr:col>7</xdr:col>
      <xdr:colOff>523875</xdr:colOff>
      <xdr:row>1</xdr:row>
      <xdr:rowOff>238125</xdr:rowOff>
    </xdr:to>
    <xdr:pic>
      <xdr:nvPicPr>
        <xdr:cNvPr id="1089824" name="Picture 155">
          <a:extLst>
            <a:ext uri="{FF2B5EF4-FFF2-40B4-BE49-F238E27FC236}">
              <a16:creationId xmlns:a16="http://schemas.microsoft.com/office/drawing/2014/main" id="{00000000-0008-0000-0300-000020A11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43375" y="85725"/>
          <a:ext cx="14573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666750</xdr:colOff>
      <xdr:row>36</xdr:row>
      <xdr:rowOff>152400</xdr:rowOff>
    </xdr:from>
    <xdr:to>
      <xdr:col>17</xdr:col>
      <xdr:colOff>323850</xdr:colOff>
      <xdr:row>52</xdr:row>
      <xdr:rowOff>133350</xdr:rowOff>
    </xdr:to>
    <xdr:graphicFrame macro="">
      <xdr:nvGraphicFramePr>
        <xdr:cNvPr id="256047" name="Chart 3">
          <a:extLst>
            <a:ext uri="{FF2B5EF4-FFF2-40B4-BE49-F238E27FC236}">
              <a16:creationId xmlns:a16="http://schemas.microsoft.com/office/drawing/2014/main" id="{00000000-0008-0000-0400-00002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133350</xdr:rowOff>
    </xdr:from>
    <xdr:to>
      <xdr:col>10</xdr:col>
      <xdr:colOff>666750</xdr:colOff>
      <xdr:row>52</xdr:row>
      <xdr:rowOff>142875</xdr:rowOff>
    </xdr:to>
    <xdr:graphicFrame macro="">
      <xdr:nvGraphicFramePr>
        <xdr:cNvPr id="256048" name="Chart 3">
          <a:extLst>
            <a:ext uri="{FF2B5EF4-FFF2-40B4-BE49-F238E27FC236}">
              <a16:creationId xmlns:a16="http://schemas.microsoft.com/office/drawing/2014/main" id="{00000000-0008-0000-0400-000030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19</xdr:row>
      <xdr:rowOff>38100</xdr:rowOff>
    </xdr:from>
    <xdr:to>
      <xdr:col>12</xdr:col>
      <xdr:colOff>85725</xdr:colOff>
      <xdr:row>50</xdr:row>
      <xdr:rowOff>133350</xdr:rowOff>
    </xdr:to>
    <xdr:graphicFrame macro="">
      <xdr:nvGraphicFramePr>
        <xdr:cNvPr id="1264649" name="Chart 1">
          <a:extLst>
            <a:ext uri="{FF2B5EF4-FFF2-40B4-BE49-F238E27FC236}">
              <a16:creationId xmlns:a16="http://schemas.microsoft.com/office/drawing/2014/main" id="{00000000-0008-0000-0500-000009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0</xdr:rowOff>
    </xdr:from>
    <xdr:to>
      <xdr:col>11</xdr:col>
      <xdr:colOff>295275</xdr:colOff>
      <xdr:row>76</xdr:row>
      <xdr:rowOff>85725</xdr:rowOff>
    </xdr:to>
    <xdr:graphicFrame macro="">
      <xdr:nvGraphicFramePr>
        <xdr:cNvPr id="1264650" name="Diagramm 115">
          <a:extLst>
            <a:ext uri="{FF2B5EF4-FFF2-40B4-BE49-F238E27FC236}">
              <a16:creationId xmlns:a16="http://schemas.microsoft.com/office/drawing/2014/main" id="{00000000-0008-0000-0500-00000A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0.10884</cdr:x>
      <cdr:y>0.00972</cdr:y>
    </cdr:from>
    <cdr:to>
      <cdr:x>0.49358</cdr:x>
      <cdr:y>0.10257</cdr:y>
    </cdr:to>
    <cdr:sp macro="" textlink="Sprache!$B$261">
      <cdr:nvSpPr>
        <cdr:cNvPr id="1058817" name="Text Box 2"/>
        <cdr:cNvSpPr txBox="1">
          <a:spLocks xmlns:a="http://schemas.openxmlformats.org/drawingml/2006/main" noChangeArrowheads="1"/>
        </cdr:cNvSpPr>
      </cdr:nvSpPr>
      <cdr:spPr bwMode="auto">
        <a:xfrm xmlns:a="http://schemas.openxmlformats.org/drawingml/2006/main">
          <a:off x="785486" y="50800"/>
          <a:ext cx="3630214" cy="49935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0021D392-9EF9-4136-9702-D5BBE38C3F6A}" type="TxLink">
            <a:rPr lang="de-CH" sz="1400" b="0" i="0" u="none" strike="noStrike" baseline="0">
              <a:solidFill>
                <a:srgbClr val="000000"/>
              </a:solidFill>
              <a:latin typeface="Arial"/>
              <a:cs typeface="Arial"/>
            </a:rPr>
            <a:pPr algn="l" rtl="0">
              <a:defRPr sz="1000"/>
            </a:pPr>
            <a:t>Fréquence cumulée</a:t>
          </a:fld>
          <a:endParaRPr lang="de-CH"/>
        </a:p>
      </cdr:txBody>
    </cdr:sp>
  </cdr:relSizeAnchor>
  <cdr:relSizeAnchor xmlns:cdr="http://schemas.openxmlformats.org/drawingml/2006/chartDrawing">
    <cdr:from>
      <cdr:x>0.0215</cdr:x>
      <cdr:y>0.08667</cdr:y>
    </cdr:from>
    <cdr:to>
      <cdr:x>0.06053</cdr:x>
      <cdr:y>0.58519</cdr:y>
    </cdr:to>
    <cdr:sp macro="" textlink="Sprache!$B$262">
      <cdr:nvSpPr>
        <cdr:cNvPr id="3075" name="Text Box 3"/>
        <cdr:cNvSpPr txBox="1">
          <a:spLocks xmlns:a="http://schemas.openxmlformats.org/drawingml/2006/main" noChangeArrowheads="1" noTextEdit="1"/>
        </cdr:cNvSpPr>
      </cdr:nvSpPr>
      <cdr:spPr bwMode="auto">
        <a:xfrm xmlns:a="http://schemas.openxmlformats.org/drawingml/2006/main">
          <a:off x="283096" y="765411"/>
          <a:ext cx="201184" cy="25900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27432" tIns="27432" rIns="27432" bIns="27432" anchor="ctr" upright="1"/>
        <a:lstStyle xmlns:a="http://schemas.openxmlformats.org/drawingml/2006/main"/>
        <a:p xmlns:a="http://schemas.openxmlformats.org/drawingml/2006/main">
          <a:pPr algn="ctr" rtl="0">
            <a:defRPr sz="1000"/>
          </a:pPr>
          <a:fld id="{F045E946-5C1C-4636-A563-8953D03EBC1F}" type="TxLink">
            <a:rPr lang="de-CH" sz="1100" b="1" i="0" u="none" strike="noStrike" baseline="0">
              <a:solidFill>
                <a:srgbClr val="000000"/>
              </a:solidFill>
              <a:latin typeface="Arial"/>
              <a:cs typeface="Arial"/>
            </a:rPr>
            <a:pPr algn="ctr" rtl="0">
              <a:defRPr sz="1000"/>
            </a:pPr>
            <a:t>Besoin de puissance max [kW]</a:t>
          </a:fld>
          <a:endParaRPr lang="de-CH" sz="1100" b="1" i="0" u="none" strike="noStrike" baseline="0">
            <a:solidFill>
              <a:srgbClr val="000000"/>
            </a:solidFill>
            <a:latin typeface="Arial"/>
            <a:cs typeface="Arial"/>
          </a:endParaRPr>
        </a:p>
      </cdr:txBody>
    </cdr:sp>
  </cdr:relSizeAnchor>
  <cdr:relSizeAnchor xmlns:cdr="http://schemas.openxmlformats.org/drawingml/2006/chartDrawing">
    <cdr:from>
      <cdr:x>0.63842</cdr:x>
      <cdr:y>0.78497</cdr:y>
    </cdr:from>
    <cdr:to>
      <cdr:x>0.95825</cdr:x>
      <cdr:y>0.83817</cdr:y>
    </cdr:to>
    <cdr:sp macro="" textlink="Sprache!$B$263">
      <cdr:nvSpPr>
        <cdr:cNvPr id="3076" name="Text Box 4"/>
        <cdr:cNvSpPr txBox="1">
          <a:spLocks xmlns:a="http://schemas.openxmlformats.org/drawingml/2006/main" noChangeArrowheads="1" noTextEdit="1"/>
        </cdr:cNvSpPr>
      </cdr:nvSpPr>
      <cdr:spPr bwMode="auto">
        <a:xfrm xmlns:a="http://schemas.openxmlformats.org/drawingml/2006/main">
          <a:off x="5231824" y="4233480"/>
          <a:ext cx="2876733" cy="2063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fld id="{65AED3FA-F444-44A0-8091-C7C4D97F44AE}" type="TxLink">
            <a:rPr lang="de-CH" sz="1100" b="1" i="0" u="none" strike="noStrike" baseline="0">
              <a:solidFill>
                <a:srgbClr val="000000"/>
              </a:solidFill>
              <a:latin typeface="Arial"/>
              <a:cs typeface="Arial"/>
            </a:rPr>
            <a:pPr algn="r" rtl="0">
              <a:defRPr sz="1000"/>
            </a:pPr>
            <a:t>Heures annuelles</a:t>
          </a:fld>
          <a:endParaRPr lang="de-CH" sz="1100" b="1" i="0" u="none" strike="noStrike" baseline="0">
            <a:solidFill>
              <a:srgbClr val="000000"/>
            </a:solidFill>
            <a:latin typeface="Arial"/>
            <a:cs typeface="Aria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0.10315</cdr:x>
      <cdr:y>0.01351</cdr:y>
    </cdr:from>
    <cdr:to>
      <cdr:x>0.90749</cdr:x>
      <cdr:y>0.11602</cdr:y>
    </cdr:to>
    <cdr:sp macro="" textlink="Sprache!$B$276">
      <cdr:nvSpPr>
        <cdr:cNvPr id="1137665" name="Text Box 2"/>
        <cdr:cNvSpPr txBox="1">
          <a:spLocks xmlns:a="http://schemas.openxmlformats.org/drawingml/2006/main" noChangeArrowheads="1"/>
        </cdr:cNvSpPr>
      </cdr:nvSpPr>
      <cdr:spPr bwMode="auto">
        <a:xfrm xmlns:a="http://schemas.openxmlformats.org/drawingml/2006/main">
          <a:off x="897068" y="52581"/>
          <a:ext cx="7100916" cy="382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36576" rIns="0" bIns="36576" anchor="ctr" upright="1"/>
        <a:lstStyle xmlns:a="http://schemas.openxmlformats.org/drawingml/2006/main"/>
        <a:p xmlns:a="http://schemas.openxmlformats.org/drawingml/2006/main">
          <a:pPr algn="l" rtl="0">
            <a:defRPr sz="1000"/>
          </a:pPr>
          <a:fld id="{9B838613-C912-420D-9589-677FCFE84BB0}" type="TxLink">
            <a:rPr lang="de-CH" sz="1400" b="0" i="0" u="none" strike="noStrike" baseline="0">
              <a:solidFill>
                <a:srgbClr val="000000"/>
              </a:solidFill>
              <a:latin typeface="Arial"/>
              <a:cs typeface="Arial"/>
            </a:rPr>
            <a:pPr algn="l" rtl="0">
              <a:defRPr sz="1000"/>
            </a:pPr>
            <a:t>Courbe de chauffe de la PAC (et pas celle des consommateurs de chauffage):</a:t>
          </a:fld>
          <a:endParaRPr lang="de-CH" sz="1400" b="0" i="0" u="none" strike="noStrike" baseline="0">
            <a:solidFill>
              <a:srgbClr val="000000"/>
            </a:solidFill>
            <a:latin typeface="Arial"/>
            <a:cs typeface="Arial"/>
          </a:endParaRPr>
        </a:p>
      </cdr:txBody>
    </cdr:sp>
  </cdr:relSizeAnchor>
  <cdr:relSizeAnchor xmlns:cdr="http://schemas.openxmlformats.org/drawingml/2006/chartDrawing">
    <cdr:from>
      <cdr:x>0.1653</cdr:x>
      <cdr:y>0.83821</cdr:y>
    </cdr:from>
    <cdr:to>
      <cdr:x>0.22582</cdr:x>
      <cdr:y>0.9072</cdr:y>
    </cdr:to>
    <cdr:sp macro="" textlink="Sprache!$B$135">
      <cdr:nvSpPr>
        <cdr:cNvPr id="1230850" name="Text Box 2"/>
        <cdr:cNvSpPr txBox="1">
          <a:spLocks xmlns:a="http://schemas.openxmlformats.org/drawingml/2006/main" noChangeArrowheads="1" noTextEdit="1"/>
        </cdr:cNvSpPr>
      </cdr:nvSpPr>
      <cdr:spPr bwMode="auto">
        <a:xfrm xmlns:a="http://schemas.openxmlformats.org/drawingml/2006/main">
          <a:off x="1455791" y="3160789"/>
          <a:ext cx="561556" cy="262232"/>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689D2CC-F627-43B3-87B7-3A204984AF6F}" type="TxLink">
            <a:rPr lang="de-CH" sz="900" b="0" i="0" u="none" strike="noStrike" baseline="0">
              <a:solidFill>
                <a:srgbClr val="000000"/>
              </a:solidFill>
              <a:latin typeface="Arial"/>
              <a:cs typeface="Arial"/>
            </a:rPr>
            <a:pPr algn="l" rtl="0">
              <a:defRPr sz="1000"/>
            </a:pPr>
            <a:t>T Ret</a:t>
          </a:fld>
          <a:endParaRPr lang="de-CH"/>
        </a:p>
      </cdr:txBody>
    </cdr:sp>
  </cdr:relSizeAnchor>
  <cdr:relSizeAnchor xmlns:cdr="http://schemas.openxmlformats.org/drawingml/2006/chartDrawing">
    <cdr:from>
      <cdr:x>0.30783</cdr:x>
      <cdr:y>0.83821</cdr:y>
    </cdr:from>
    <cdr:to>
      <cdr:x>0.37699</cdr:x>
      <cdr:y>0.90454</cdr:y>
    </cdr:to>
    <cdr:sp macro="" textlink="Sprache!$B$134">
      <cdr:nvSpPr>
        <cdr:cNvPr id="1230852" name="Text Box 2"/>
        <cdr:cNvSpPr txBox="1">
          <a:spLocks xmlns:a="http://schemas.openxmlformats.org/drawingml/2006/main" noChangeArrowheads="1" noTextEdit="1"/>
        </cdr:cNvSpPr>
      </cdr:nvSpPr>
      <cdr:spPr bwMode="auto">
        <a:xfrm xmlns:a="http://schemas.openxmlformats.org/drawingml/2006/main">
          <a:off x="2761684" y="3160789"/>
          <a:ext cx="649643" cy="253031"/>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EC097BE-E70B-4457-853B-6EFC5A996FC6}" type="TxLink">
            <a:rPr lang="de-CH" sz="900" b="0" i="0" u="none" strike="noStrike" baseline="0">
              <a:solidFill>
                <a:srgbClr val="000000"/>
              </a:solidFill>
              <a:latin typeface="Arial"/>
              <a:cs typeface="Arial"/>
            </a:rPr>
            <a:pPr algn="l" rtl="0">
              <a:defRPr sz="1000"/>
            </a:pPr>
            <a:t>T Dep</a:t>
          </a:fld>
          <a:endParaRPr lang="de-CH"/>
        </a:p>
      </cdr:txBody>
    </cdr:sp>
  </cdr:relSizeAnchor>
  <cdr:relSizeAnchor xmlns:cdr="http://schemas.openxmlformats.org/drawingml/2006/chartDrawing">
    <cdr:from>
      <cdr:x>0.03563</cdr:x>
      <cdr:y>0.06777</cdr:y>
    </cdr:from>
    <cdr:to>
      <cdr:x>0.06897</cdr:x>
      <cdr:y>0.90454</cdr:y>
    </cdr:to>
    <cdr:sp macro="" textlink="Sprache!$B$277">
      <cdr:nvSpPr>
        <cdr:cNvPr id="1230853" name="Text Box 3"/>
        <cdr:cNvSpPr txBox="1">
          <a:spLocks xmlns:a="http://schemas.openxmlformats.org/drawingml/2006/main" noChangeArrowheads="1" noTextEdit="1"/>
        </cdr:cNvSpPr>
      </cdr:nvSpPr>
      <cdr:spPr bwMode="auto">
        <a:xfrm xmlns:a="http://schemas.openxmlformats.org/drawingml/2006/main">
          <a:off x="308455" y="246784"/>
          <a:ext cx="279677" cy="316703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vert="vert270" wrap="square" lIns="27432" tIns="27432" rIns="27432" bIns="27432" anchor="ctr"/>
        <a:lstStyle xmlns:a="http://schemas.openxmlformats.org/drawingml/2006/main"/>
        <a:p xmlns:a="http://schemas.openxmlformats.org/drawingml/2006/main">
          <a:pPr algn="ctr" rtl="0">
            <a:defRPr sz="1000"/>
          </a:pPr>
          <a:r>
            <a:rPr lang="de-CH" sz="1100" b="1" i="0" u="none" strike="noStrike" baseline="0">
              <a:solidFill>
                <a:srgbClr val="000000"/>
              </a:solidFill>
              <a:latin typeface="Arial"/>
              <a:cs typeface="Arial"/>
            </a:rPr>
            <a:t>Vor- und Rücklauftemperatur der WP  [°C]</a:t>
          </a:r>
        </a:p>
      </cdr:txBody>
    </cdr:sp>
  </cdr:relSizeAnchor>
  <cdr:relSizeAnchor xmlns:cdr="http://schemas.openxmlformats.org/drawingml/2006/chartDrawing">
    <cdr:from>
      <cdr:x>0.71593</cdr:x>
      <cdr:y>0.82927</cdr:y>
    </cdr:from>
    <cdr:to>
      <cdr:x>0.97983</cdr:x>
      <cdr:y>0.90903</cdr:y>
    </cdr:to>
    <cdr:sp macro="" textlink="Sprache!$B$278">
      <cdr:nvSpPr>
        <cdr:cNvPr id="1274885" name="Text Box 4"/>
        <cdr:cNvSpPr txBox="1">
          <a:spLocks xmlns:a="http://schemas.openxmlformats.org/drawingml/2006/main" noChangeArrowheads="1" noTextEdit="1"/>
        </cdr:cNvSpPr>
      </cdr:nvSpPr>
      <cdr:spPr bwMode="auto">
        <a:xfrm xmlns:a="http://schemas.openxmlformats.org/drawingml/2006/main">
          <a:off x="6406397" y="3237865"/>
          <a:ext cx="2362609" cy="30861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r>
            <a:rPr lang="de-CH" sz="1100" b="1" i="0" u="none" strike="noStrike" baseline="0">
              <a:solidFill>
                <a:srgbClr val="000000"/>
              </a:solidFill>
              <a:latin typeface="Arial"/>
              <a:cs typeface="Arial"/>
            </a:rPr>
            <a:t>Aussentemperatur Ta  [°C]</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114300</xdr:colOff>
      <xdr:row>79</xdr:row>
      <xdr:rowOff>19050</xdr:rowOff>
    </xdr:from>
    <xdr:to>
      <xdr:col>9</xdr:col>
      <xdr:colOff>409575</xdr:colOff>
      <xdr:row>99</xdr:row>
      <xdr:rowOff>0</xdr:rowOff>
    </xdr:to>
    <xdr:graphicFrame macro="">
      <xdr:nvGraphicFramePr>
        <xdr:cNvPr id="100471" name="Chart 44">
          <a:extLst>
            <a:ext uri="{FF2B5EF4-FFF2-40B4-BE49-F238E27FC236}">
              <a16:creationId xmlns:a16="http://schemas.microsoft.com/office/drawing/2014/main" id="{00000000-0008-0000-0600-000077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76200</xdr:rowOff>
    </xdr:from>
    <xdr:to>
      <xdr:col>4</xdr:col>
      <xdr:colOff>295275</xdr:colOff>
      <xdr:row>28</xdr:row>
      <xdr:rowOff>0</xdr:rowOff>
    </xdr:to>
    <xdr:graphicFrame macro="">
      <xdr:nvGraphicFramePr>
        <xdr:cNvPr id="100472" name="Chart 58">
          <a:extLst>
            <a:ext uri="{FF2B5EF4-FFF2-40B4-BE49-F238E27FC236}">
              <a16:creationId xmlns:a16="http://schemas.microsoft.com/office/drawing/2014/main" id="{00000000-0008-0000-0600-000078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352425</xdr:colOff>
      <xdr:row>15</xdr:row>
      <xdr:rowOff>76200</xdr:rowOff>
    </xdr:from>
    <xdr:to>
      <xdr:col>9</xdr:col>
      <xdr:colOff>581025</xdr:colOff>
      <xdr:row>28</xdr:row>
      <xdr:rowOff>0</xdr:rowOff>
    </xdr:to>
    <xdr:graphicFrame macro="">
      <xdr:nvGraphicFramePr>
        <xdr:cNvPr id="100473" name="Chart 60">
          <a:extLst>
            <a:ext uri="{FF2B5EF4-FFF2-40B4-BE49-F238E27FC236}">
              <a16:creationId xmlns:a16="http://schemas.microsoft.com/office/drawing/2014/main" id="{00000000-0008-0000-0600-000079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180975</xdr:colOff>
      <xdr:row>26</xdr:row>
      <xdr:rowOff>47625</xdr:rowOff>
    </xdr:from>
    <xdr:to>
      <xdr:col>24</xdr:col>
      <xdr:colOff>152400</xdr:colOff>
      <xdr:row>37</xdr:row>
      <xdr:rowOff>38100</xdr:rowOff>
    </xdr:to>
    <xdr:graphicFrame macro="">
      <xdr:nvGraphicFramePr>
        <xdr:cNvPr id="100474" name="Chart 58">
          <a:extLst>
            <a:ext uri="{FF2B5EF4-FFF2-40B4-BE49-F238E27FC236}">
              <a16:creationId xmlns:a16="http://schemas.microsoft.com/office/drawing/2014/main" id="{00000000-0008-0000-0600-00007A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257175</xdr:colOff>
      <xdr:row>26</xdr:row>
      <xdr:rowOff>47625</xdr:rowOff>
    </xdr:from>
    <xdr:to>
      <xdr:col>29</xdr:col>
      <xdr:colOff>323850</xdr:colOff>
      <xdr:row>37</xdr:row>
      <xdr:rowOff>38100</xdr:rowOff>
    </xdr:to>
    <xdr:graphicFrame macro="">
      <xdr:nvGraphicFramePr>
        <xdr:cNvPr id="100475" name="Chart 60">
          <a:extLst>
            <a:ext uri="{FF2B5EF4-FFF2-40B4-BE49-F238E27FC236}">
              <a16:creationId xmlns:a16="http://schemas.microsoft.com/office/drawing/2014/main" id="{00000000-0008-0000-0600-00007B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wilhelm.schlader@energeinstitut.at" TargetMode="External"/><Relationship Id="rId1" Type="http://schemas.openxmlformats.org/officeDocument/2006/relationships/hyperlink" Target="mailto:Christian.Voegel@vorarlberg.a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G1140"/>
  <sheetViews>
    <sheetView topLeftCell="A2" zoomScaleNormal="100" workbookViewId="0">
      <selection activeCell="G2" sqref="G2:H2"/>
    </sheetView>
  </sheetViews>
  <sheetFormatPr baseColWidth="10" defaultColWidth="11.5703125" defaultRowHeight="12" x14ac:dyDescent="0.2"/>
  <cols>
    <col min="1" max="1" width="2.140625" style="5" customWidth="1"/>
    <col min="2" max="2" width="32.5703125" style="5" customWidth="1"/>
    <col min="3" max="3" width="6.28515625" style="5" customWidth="1"/>
    <col min="4" max="4" width="12.28515625" style="5" customWidth="1"/>
    <col min="5" max="5" width="12.28515625" style="231" customWidth="1"/>
    <col min="6" max="7" width="10.7109375" style="5" customWidth="1"/>
    <col min="8" max="8" width="14" style="5" customWidth="1"/>
    <col min="9" max="9" width="1.7109375" style="5" customWidth="1"/>
    <col min="10" max="10" width="8.28515625" style="5" hidden="1" customWidth="1"/>
    <col min="11" max="11" width="13.28515625" style="15" hidden="1" customWidth="1"/>
    <col min="12" max="12" width="11.85546875" style="15" hidden="1" customWidth="1"/>
    <col min="13" max="15" width="10.28515625" style="15" hidden="1" customWidth="1"/>
    <col min="16" max="17" width="11.5703125" style="15" hidden="1" customWidth="1"/>
    <col min="18" max="18" width="17.42578125" style="15" hidden="1" customWidth="1"/>
    <col min="19" max="25" width="11.5703125" style="15" hidden="1" customWidth="1"/>
    <col min="26" max="26" width="11.85546875" style="15" hidden="1" customWidth="1"/>
    <col min="27" max="31" width="11.5703125" style="15" hidden="1" customWidth="1"/>
    <col min="32" max="32" width="17.5703125" style="15" hidden="1" customWidth="1"/>
    <col min="33" max="35" width="11.5703125" style="15" hidden="1" customWidth="1"/>
    <col min="36" max="36" width="11.85546875" style="228" hidden="1" customWidth="1"/>
    <col min="37" max="40" width="11.5703125" style="228" hidden="1" customWidth="1"/>
    <col min="41" max="47" width="11.5703125" style="5" hidden="1" customWidth="1"/>
    <col min="48" max="48" width="10.28515625" style="5" hidden="1" customWidth="1"/>
    <col min="49" max="49" width="11.5703125" style="5" hidden="1" customWidth="1"/>
    <col min="50" max="50" width="11.85546875" style="5" hidden="1" customWidth="1"/>
    <col min="51" max="59" width="11.5703125" style="5" hidden="1" customWidth="1"/>
    <col min="60" max="60" width="16.42578125" style="5" hidden="1" customWidth="1"/>
    <col min="61" max="63" width="11.5703125" style="5" hidden="1" customWidth="1"/>
    <col min="64" max="70" width="11.5703125" style="5" customWidth="1"/>
    <col min="71" max="106" width="11.5703125" style="5"/>
    <col min="107" max="16384" width="11.5703125" style="15"/>
  </cols>
  <sheetData>
    <row r="1" spans="1:57" ht="12" hidden="1" customHeight="1" x14ac:dyDescent="0.2">
      <c r="A1" s="1"/>
      <c r="E1" s="3"/>
      <c r="F1" s="4"/>
      <c r="K1" s="5"/>
      <c r="L1" s="5"/>
      <c r="M1" s="5"/>
      <c r="N1" s="16"/>
      <c r="O1" s="22"/>
      <c r="P1" s="5"/>
      <c r="Q1" s="5"/>
      <c r="R1" s="5"/>
      <c r="S1" s="5"/>
      <c r="T1" s="5"/>
      <c r="U1" s="5"/>
      <c r="V1" s="5"/>
      <c r="W1" s="5"/>
      <c r="X1" s="5"/>
      <c r="Y1" s="5"/>
      <c r="Z1" s="5"/>
      <c r="AA1" s="5"/>
      <c r="AB1" s="5"/>
      <c r="AC1" s="5"/>
      <c r="AD1" s="5"/>
      <c r="AE1" s="5"/>
      <c r="AF1" s="5"/>
      <c r="AG1" s="5"/>
      <c r="AH1" s="5"/>
      <c r="AI1" s="5"/>
      <c r="AJ1" s="19"/>
      <c r="AK1" s="19"/>
      <c r="AL1" s="19"/>
      <c r="AM1" s="19"/>
      <c r="AN1" s="19"/>
    </row>
    <row r="2" spans="1:57" ht="22.15" customHeight="1" x14ac:dyDescent="0.2">
      <c r="A2" s="1"/>
      <c r="B2" s="2" t="str">
        <f>Sprache!B9</f>
        <v>Projet:</v>
      </c>
      <c r="C2" s="2"/>
      <c r="D2" s="2"/>
      <c r="G2" s="1234" t="str">
        <f>Sprache!B8</f>
        <v>WPesti / V 8.3.40 / 29.06.2026                valable jusqu'à 31.12.2027</v>
      </c>
      <c r="H2" s="1234"/>
      <c r="J2" s="1099"/>
      <c r="K2" s="94" t="s">
        <v>1696</v>
      </c>
      <c r="L2" s="452">
        <f>IF(JAZcalc,34,IF(H6=0,1,MATCH(H6,B72:B104,0)))</f>
        <v>1</v>
      </c>
      <c r="M2" s="95" t="b">
        <f>IF(AND(L2&gt;1,L2&lt;=34),TRUE,FALSE)</f>
        <v>0</v>
      </c>
      <c r="N2" s="487" t="s">
        <v>1670</v>
      </c>
      <c r="O2" s="488" t="b">
        <v>1</v>
      </c>
      <c r="P2" s="5"/>
      <c r="Q2" s="5"/>
      <c r="R2" s="5"/>
      <c r="S2" s="5"/>
      <c r="T2" s="5"/>
      <c r="U2" s="5"/>
      <c r="V2" s="5"/>
      <c r="W2" s="5"/>
      <c r="X2" s="5"/>
      <c r="Y2" s="5"/>
      <c r="Z2" s="5"/>
      <c r="AA2" s="5"/>
      <c r="AB2" s="5"/>
      <c r="AC2" s="5"/>
      <c r="AD2" s="5"/>
      <c r="AE2" s="5"/>
      <c r="AF2" s="5"/>
      <c r="AG2" s="5"/>
      <c r="AH2" s="5"/>
      <c r="AI2" s="5"/>
      <c r="AJ2" s="19"/>
      <c r="AK2" s="19"/>
      <c r="AL2" s="377"/>
      <c r="AM2" s="377"/>
      <c r="AN2" s="377"/>
      <c r="AO2" s="377"/>
      <c r="AP2" s="377"/>
      <c r="AQ2" s="377"/>
      <c r="AR2" s="377"/>
      <c r="AS2" s="377"/>
      <c r="AT2" s="377"/>
      <c r="AU2" s="377"/>
      <c r="AV2" s="377"/>
    </row>
    <row r="3" spans="1:57" ht="18" customHeight="1" x14ac:dyDescent="0.2">
      <c r="A3" s="1"/>
      <c r="B3" s="1226" t="str">
        <f>IF(JAZcalc,IF(JAZcalc!C4="","",JAZcalc!C4&amp;" "&amp;JAZcalc!C5&amp;" "&amp;JAZcalc!C6),IF(WP!B3&lt;&gt;"",WP!B3,""))</f>
        <v/>
      </c>
      <c r="C3" s="1227"/>
      <c r="D3" s="1227"/>
      <c r="E3" s="1227"/>
      <c r="F3" s="1227"/>
      <c r="G3" s="1227"/>
      <c r="H3" s="1228"/>
      <c r="K3" s="6" t="s">
        <v>3474</v>
      </c>
      <c r="L3" s="7">
        <f>IF(JAZcalc,JAZcalc!O3,IF(H7=0,1,MATCH(H7,K5:K17,0)))</f>
        <v>1</v>
      </c>
      <c r="M3" s="1235">
        <f>H7</f>
        <v>0</v>
      </c>
      <c r="N3" s="1236"/>
      <c r="O3" s="121" t="s">
        <v>3490</v>
      </c>
      <c r="P3" s="65" t="s">
        <v>3361</v>
      </c>
      <c r="Q3" s="6" t="s">
        <v>710</v>
      </c>
      <c r="R3" s="452">
        <f>J20</f>
        <v>1</v>
      </c>
      <c r="S3" s="118"/>
      <c r="T3" s="1232">
        <f>WP_Daten!E2</f>
        <v>46202</v>
      </c>
      <c r="U3" s="1233"/>
      <c r="V3" s="1052"/>
      <c r="W3" s="1112" t="s">
        <v>1247</v>
      </c>
      <c r="X3" s="361" t="b">
        <v>1</v>
      </c>
      <c r="Y3" s="5"/>
      <c r="Z3" s="5"/>
      <c r="AA3" s="5"/>
      <c r="AB3" s="5"/>
      <c r="AC3" s="5"/>
      <c r="AD3" s="5"/>
      <c r="AE3" s="5"/>
      <c r="AF3" s="5"/>
      <c r="AG3" s="5"/>
      <c r="AH3" s="5"/>
      <c r="AI3" s="5"/>
      <c r="AJ3" s="19"/>
      <c r="AK3" s="19"/>
      <c r="AL3" s="377"/>
      <c r="AM3" s="377"/>
      <c r="AN3" s="377"/>
      <c r="AO3" s="377"/>
      <c r="AP3" s="377"/>
      <c r="AQ3" s="377"/>
      <c r="AR3" s="377"/>
      <c r="AS3" s="377"/>
      <c r="AT3" s="377"/>
      <c r="AU3" s="377"/>
      <c r="AV3" s="377"/>
    </row>
    <row r="4" spans="1:57" ht="16.149999999999999" customHeight="1" x14ac:dyDescent="0.3">
      <c r="A4" s="1"/>
      <c r="B4" s="527" t="str">
        <f>IF(Spez!$L$47,"Weitere Angaben auf Zusatzblatt 'Spez'","")</f>
        <v/>
      </c>
      <c r="C4" s="527"/>
      <c r="D4" s="527"/>
      <c r="E4" s="31"/>
      <c r="F4" s="288"/>
      <c r="G4" s="4"/>
      <c r="H4" s="4"/>
      <c r="J4" s="5">
        <v>5</v>
      </c>
      <c r="K4" s="16" t="s">
        <v>714</v>
      </c>
      <c r="L4" s="17" t="s">
        <v>715</v>
      </c>
      <c r="M4" s="18" t="s">
        <v>716</v>
      </c>
      <c r="N4" s="17" t="s">
        <v>717</v>
      </c>
      <c r="O4" s="17" t="s">
        <v>717</v>
      </c>
      <c r="P4" s="770" t="s">
        <v>3121</v>
      </c>
      <c r="Q4" s="6" t="s">
        <v>2697</v>
      </c>
      <c r="R4" s="8">
        <f>INDEX(S133:S167,R3,1)</f>
        <v>1</v>
      </c>
      <c r="S4" s="8">
        <v>1</v>
      </c>
      <c r="T4" s="1237" t="s">
        <v>711</v>
      </c>
      <c r="U4" s="1238"/>
      <c r="V4" s="1239"/>
      <c r="W4" s="11"/>
      <c r="X4" s="12" t="s">
        <v>712</v>
      </c>
      <c r="Y4" s="13">
        <f>IF(WPArt&gt;1,INDEX(V29:AJ29,1,1+2*(WPArt-2)),)</f>
        <v>0</v>
      </c>
      <c r="Z4" s="12" t="s">
        <v>713</v>
      </c>
      <c r="AA4" s="13">
        <f>IF(WPArt&gt;1,INDEX(V37:AJ37,1,1+2*(WPArt-2)),)</f>
        <v>0</v>
      </c>
      <c r="AB4" s="11"/>
      <c r="AC4" s="11"/>
      <c r="AD4" s="11"/>
      <c r="AE4" s="11"/>
      <c r="AF4" s="11"/>
      <c r="AG4" s="11"/>
      <c r="AH4" s="11"/>
      <c r="AI4" s="11"/>
      <c r="AJ4" s="14">
        <f>INDEX(AJ5:AJ13,WPArt,1)</f>
        <v>0</v>
      </c>
      <c r="AK4" s="5"/>
      <c r="AL4" s="377"/>
      <c r="AM4" s="377"/>
      <c r="AN4" s="377"/>
      <c r="AO4" s="377"/>
      <c r="AP4" s="377"/>
      <c r="AQ4" s="377"/>
      <c r="AR4" s="377"/>
      <c r="AS4" s="377"/>
      <c r="AT4" s="377"/>
      <c r="AU4" s="377"/>
      <c r="AV4" s="377"/>
    </row>
    <row r="5" spans="1:57" ht="15" customHeight="1" x14ac:dyDescent="0.2">
      <c r="A5" s="1"/>
      <c r="B5" s="32" t="str">
        <f>Sprache!B10</f>
        <v>Données concernant le bâtiment</v>
      </c>
      <c r="C5" s="533"/>
      <c r="D5" s="533"/>
      <c r="E5" s="33"/>
      <c r="F5" s="34"/>
      <c r="G5" s="34"/>
      <c r="H5" s="415"/>
      <c r="K5" s="25" t="str">
        <f>""</f>
        <v/>
      </c>
      <c r="L5" s="26"/>
      <c r="M5" s="27"/>
      <c r="N5" s="26" t="s">
        <v>718</v>
      </c>
      <c r="O5" s="65"/>
      <c r="P5" s="19">
        <v>0</v>
      </c>
      <c r="Q5" s="20" t="s">
        <v>718</v>
      </c>
      <c r="R5" s="5"/>
      <c r="S5" s="21"/>
      <c r="T5" s="16" t="s">
        <v>718</v>
      </c>
      <c r="U5" s="22" t="s">
        <v>718</v>
      </c>
      <c r="V5" s="16" t="s">
        <v>718</v>
      </c>
      <c r="W5" s="22" t="s">
        <v>718</v>
      </c>
      <c r="X5" s="16" t="s">
        <v>718</v>
      </c>
      <c r="Y5" s="22" t="s">
        <v>718</v>
      </c>
      <c r="Z5" s="16" t="s">
        <v>718</v>
      </c>
      <c r="AA5" s="22" t="s">
        <v>718</v>
      </c>
      <c r="AB5" s="16" t="s">
        <v>718</v>
      </c>
      <c r="AC5" s="23" t="s">
        <v>718</v>
      </c>
      <c r="AD5" s="16" t="s">
        <v>718</v>
      </c>
      <c r="AE5" s="23" t="s">
        <v>718</v>
      </c>
      <c r="AF5" s="16" t="s">
        <v>718</v>
      </c>
      <c r="AG5" s="22" t="s">
        <v>718</v>
      </c>
      <c r="AH5" s="16" t="s">
        <v>718</v>
      </c>
      <c r="AI5" s="22" t="s">
        <v>718</v>
      </c>
      <c r="AJ5" s="24">
        <v>0</v>
      </c>
      <c r="AK5" s="5"/>
      <c r="AL5" s="377"/>
      <c r="AM5" s="377"/>
      <c r="AN5" s="377"/>
      <c r="AO5" s="377"/>
      <c r="AP5" s="377"/>
      <c r="AQ5" s="377"/>
      <c r="AR5" s="377"/>
      <c r="AS5" s="377"/>
      <c r="AT5" s="377"/>
      <c r="AU5" s="377"/>
      <c r="AV5" s="377"/>
    </row>
    <row r="6" spans="1:57" ht="15" customHeight="1" x14ac:dyDescent="0.2">
      <c r="B6" s="36" t="str">
        <f>Sprache!B11</f>
        <v xml:space="preserve">Station climatique:    </v>
      </c>
      <c r="C6" s="4"/>
      <c r="D6" s="4"/>
      <c r="E6" s="31"/>
      <c r="F6" s="4"/>
      <c r="G6" s="37" t="str">
        <f>IF(JAZcalc,"",IF(Klima=1,Sprache!B24,""))</f>
        <v>choisir -&gt;</v>
      </c>
      <c r="H6" s="998">
        <f>IF(JAZcalc,JAZcalc!H9,WP!H6)</f>
        <v>0</v>
      </c>
      <c r="K6" s="20" t="str">
        <f>Sprache!B100</f>
        <v>Habitat collectif</v>
      </c>
      <c r="L6" s="291">
        <v>55</v>
      </c>
      <c r="M6" s="223">
        <v>65</v>
      </c>
      <c r="N6" s="291">
        <f>IF(O6&gt;0,O6,75)*(1+EtaWW)</f>
        <v>75</v>
      </c>
      <c r="O6" s="307">
        <f>IF(JAZcalc,JAZcalc!O6,0)</f>
        <v>0</v>
      </c>
      <c r="P6" s="17">
        <v>3.1</v>
      </c>
      <c r="Q6" s="20" t="str">
        <f>Sprache!B61</f>
        <v>Pompe à chaleur air/eau</v>
      </c>
      <c r="R6" s="5"/>
      <c r="S6" s="21"/>
      <c r="T6" s="20" t="str">
        <f>IF(WW,Sprache!B65,"")</f>
        <v/>
      </c>
      <c r="U6" s="28" t="str">
        <f>IF(WW,"-","")</f>
        <v/>
      </c>
      <c r="V6" s="20" t="str">
        <f>IF(OR(Heizung,WW),Sprache!B71,"")</f>
        <v/>
      </c>
      <c r="W6" s="28" t="str">
        <f>IF(Heizung,"-","")</f>
        <v/>
      </c>
      <c r="X6" s="20" t="str">
        <f>IF(OR(Heizung,WW),Sprache!B76,"")</f>
        <v/>
      </c>
      <c r="Y6" s="21" t="str">
        <f>IF(Heizung,"kW","")</f>
        <v/>
      </c>
      <c r="Z6" s="20" t="str">
        <f>IF(OR(Heizung,WW),Sprache!B81,"")</f>
        <v/>
      </c>
      <c r="AA6" s="28" t="str">
        <f>IF(Heizung,"-","")</f>
        <v/>
      </c>
      <c r="AB6" s="20" t="str">
        <f>IF(OR(Heizung,WW),Sprache!B86,"")</f>
        <v/>
      </c>
      <c r="AC6" s="21" t="str">
        <f>IF(Heizung,"kW","")</f>
        <v/>
      </c>
      <c r="AD6" s="20" t="str">
        <f>IF(OR(Heizung,WW),Sprache!B90,"")</f>
        <v/>
      </c>
      <c r="AE6" s="28" t="str">
        <f>IF(Heizung,"-","")</f>
        <v/>
      </c>
      <c r="AF6" s="20" t="str">
        <f>IF(OR(Heizung,WW),Sprache!B94,"")</f>
        <v/>
      </c>
      <c r="AG6" s="21" t="str">
        <f>IF(Heizung,"kW","")</f>
        <v/>
      </c>
      <c r="AH6" s="20" t="str">
        <f>IF(Heizung,IF(Heizspeicher,Sprache!B98,""),"")</f>
        <v/>
      </c>
      <c r="AI6" s="21" t="str">
        <f>IF(Heizung,IF(Heizspeicher,Sprache!B99,""),"")</f>
        <v/>
      </c>
      <c r="AJ6" s="29">
        <f>IF(Heizung,7,IF(WW,7,0))+IF(AND(Heizung,Heizspeicher),1,0)</f>
        <v>0</v>
      </c>
      <c r="AK6" s="5"/>
      <c r="AL6" s="377"/>
      <c r="AM6" s="377"/>
      <c r="AN6" s="377"/>
      <c r="AO6" s="377"/>
      <c r="AP6" s="377"/>
      <c r="AQ6" s="377"/>
      <c r="AR6" s="377"/>
      <c r="AS6" s="377"/>
      <c r="AT6" s="377"/>
      <c r="AU6" s="377"/>
      <c r="AV6" s="377"/>
      <c r="AW6" s="377"/>
      <c r="AX6" s="377"/>
      <c r="AY6" s="377"/>
      <c r="AZ6" s="377"/>
      <c r="BA6" s="377"/>
      <c r="BB6" s="377"/>
      <c r="BC6" s="377"/>
      <c r="BD6" s="377"/>
      <c r="BE6" s="377"/>
    </row>
    <row r="7" spans="1:57" ht="15" customHeight="1" x14ac:dyDescent="0.2">
      <c r="B7" s="38" t="str">
        <f>Sprache!B13</f>
        <v>Catégorie d'ouvrage</v>
      </c>
      <c r="C7" s="40"/>
      <c r="D7" s="40"/>
      <c r="E7" s="39"/>
      <c r="F7" s="40"/>
      <c r="G7" s="41" t="str">
        <f>IF(Kategorie=1,Sprache!B24,"")</f>
        <v>choisir -&gt;</v>
      </c>
      <c r="H7" s="999">
        <f>IF(JAZcalc,JAZcalc!H10,WP!H7)</f>
        <v>0</v>
      </c>
      <c r="K7" s="20" t="str">
        <f>Sprache!B101</f>
        <v>Habitat individuel</v>
      </c>
      <c r="L7" s="291">
        <v>65</v>
      </c>
      <c r="M7" s="223">
        <v>65</v>
      </c>
      <c r="N7" s="291">
        <f>IF(O7&gt;0,O7,50)*(1+EtaWW)</f>
        <v>50</v>
      </c>
      <c r="O7" s="307">
        <f>IF(JAZcalc,JAZcalc!O7,0)</f>
        <v>0</v>
      </c>
      <c r="P7" s="30">
        <v>2.4</v>
      </c>
      <c r="Q7" s="20" t="str">
        <f>Sprache!B62</f>
        <v>Pompe à chaleur sol/eau</v>
      </c>
      <c r="R7" s="5"/>
      <c r="S7" s="21"/>
      <c r="T7" s="20" t="str">
        <f>Sprache!B67</f>
        <v>Puissance électrique soutirée par pompe de sonde:</v>
      </c>
      <c r="U7" s="21" t="s">
        <v>724</v>
      </c>
      <c r="V7" s="20" t="str">
        <f>Sprache!B72</f>
        <v xml:space="preserve">Nombre: </v>
      </c>
      <c r="W7" s="28" t="s">
        <v>721</v>
      </c>
      <c r="X7" s="20" t="str">
        <f>Sprache!B77</f>
        <v xml:space="preserve">Longueur: </v>
      </c>
      <c r="Y7" s="21" t="s">
        <v>722</v>
      </c>
      <c r="Z7" s="155" t="str">
        <f>Sprache!B82</f>
        <v>Température de dimensionnement des sondes (optionnel, calcul externe)</v>
      </c>
      <c r="AA7" s="5" t="s">
        <v>2948</v>
      </c>
      <c r="AB7" s="20" t="str">
        <f>IF(WW,Sprache!B87,"")</f>
        <v/>
      </c>
      <c r="AC7" s="21" t="str">
        <f>IF(WW,"-","")</f>
        <v/>
      </c>
      <c r="AD7" s="20" t="str">
        <f>IF(OR(Heizung,WW),Sprache!B91,"")</f>
        <v/>
      </c>
      <c r="AE7" s="21" t="str">
        <f>IF(Heizung,"-","")</f>
        <v/>
      </c>
      <c r="AF7" s="20" t="str">
        <f>IF(OR(Heizung,WW),Sprache!B95,"")</f>
        <v/>
      </c>
      <c r="AG7" s="21" t="str">
        <f>IF(Heizung,"kW","")</f>
        <v/>
      </c>
      <c r="AH7" s="20" t="str">
        <f>IF(Heizung,IF(Heizspeicher,Sprache!B98,""),"")</f>
        <v/>
      </c>
      <c r="AI7" s="21" t="str">
        <f>IF(Heizung,IF(Heizspeicher,Sprache!B99,""),"")</f>
        <v/>
      </c>
      <c r="AJ7" s="29">
        <f>7+IF(AND(Heizung,Heizspeicher),1,0)</f>
        <v>7</v>
      </c>
      <c r="AK7" s="5"/>
      <c r="AL7" s="377"/>
      <c r="AM7" s="377"/>
      <c r="AN7" s="377"/>
      <c r="AO7" s="377"/>
      <c r="AP7" s="377"/>
      <c r="AQ7" s="377"/>
      <c r="AR7" s="377"/>
      <c r="AS7" s="377"/>
      <c r="AT7" s="377"/>
      <c r="AU7" s="377"/>
      <c r="AV7" s="377"/>
      <c r="AW7" s="377"/>
      <c r="AX7" s="377"/>
      <c r="AY7" s="377"/>
      <c r="AZ7" s="377"/>
      <c r="BA7" s="377"/>
      <c r="BB7" s="377"/>
      <c r="BC7" s="377"/>
      <c r="BD7" s="377"/>
      <c r="BE7" s="377"/>
    </row>
    <row r="8" spans="1:57" ht="15" customHeight="1" x14ac:dyDescent="0.2">
      <c r="B8" s="38" t="str">
        <f>Sprache!B12</f>
        <v>Surface de référence énergétique SRE</v>
      </c>
      <c r="C8" s="40"/>
      <c r="D8" s="40"/>
      <c r="E8" s="47" t="str">
        <f>IF(OR(EBF="",EBF=0),Sprache!B75,"")</f>
        <v>choisir -&gt;</v>
      </c>
      <c r="F8" s="42" t="s">
        <v>2341</v>
      </c>
      <c r="G8" s="42" t="s">
        <v>737</v>
      </c>
      <c r="H8" s="43">
        <f>IF(JAZcalc,JAZcalc!I11,WP!H8)</f>
        <v>0</v>
      </c>
      <c r="K8" s="20" t="str">
        <f>Sprache!B102</f>
        <v>Administration</v>
      </c>
      <c r="L8" s="291">
        <v>65</v>
      </c>
      <c r="M8" s="223">
        <v>85</v>
      </c>
      <c r="N8" s="291">
        <f>IF(O8&gt;0,O8,25)*(1+EtaWW)</f>
        <v>25</v>
      </c>
      <c r="O8" s="307">
        <f>IF(JAZcalc,JAZcalc!O8,0)</f>
        <v>0</v>
      </c>
      <c r="P8" s="30">
        <v>3.3</v>
      </c>
      <c r="Q8" s="20" t="str">
        <f>Sprache!B63</f>
        <v>Pompe à chaleur eau/eau</v>
      </c>
      <c r="R8" s="5"/>
      <c r="S8" s="21"/>
      <c r="T8" s="20" t="str">
        <f>IF(WW,Sprache!B68,"")</f>
        <v/>
      </c>
      <c r="U8" s="28" t="str">
        <f>IF(WW,"-","")</f>
        <v/>
      </c>
      <c r="V8" s="20" t="str">
        <f>IF(OR(Heizung,WW),Sprache!B73,"")</f>
        <v/>
      </c>
      <c r="W8" s="28" t="str">
        <f>IF(Heizung,"-","")</f>
        <v/>
      </c>
      <c r="X8" s="20" t="str">
        <f>IF(OR(Heizung,WW),Sprache!B78,"")</f>
        <v/>
      </c>
      <c r="Y8" s="21" t="str">
        <f>IF(Heizung,"kW","")</f>
        <v/>
      </c>
      <c r="Z8" s="20" t="str">
        <f>Sprache!B83</f>
        <v xml:space="preserve">Température source de chaleur (si pas 10°C) </v>
      </c>
      <c r="AA8" s="21" t="s">
        <v>728</v>
      </c>
      <c r="AB8" s="5" t="str">
        <f>Sprache!B88</f>
        <v>Puissance électrique soutirée par pompe de circulation:</v>
      </c>
      <c r="AC8" s="5" t="s">
        <v>724</v>
      </c>
      <c r="AD8" s="20" t="str">
        <f>Sprache!B92</f>
        <v>Type de pompe (données nécessaires si puissance &lt; valeur proposée)</v>
      </c>
      <c r="AE8" s="21" t="str">
        <f>""</f>
        <v/>
      </c>
      <c r="AF8" s="20" t="str">
        <f>IF(Heizung,IF(Heizspeicher,Sprache!B96,""),"")</f>
        <v/>
      </c>
      <c r="AG8" s="21" t="str">
        <f>IF(Heizung,IF(Heizspeicher,Sprache!B99,""),"")</f>
        <v/>
      </c>
      <c r="AH8" s="20" t="s">
        <v>718</v>
      </c>
      <c r="AI8" s="21" t="s">
        <v>718</v>
      </c>
      <c r="AJ8" s="29">
        <f>6+IF(AND(Heizung,Heizspeicher),1,0)</f>
        <v>6</v>
      </c>
      <c r="AK8" s="5"/>
      <c r="AL8" s="377"/>
      <c r="AM8" s="377"/>
      <c r="AN8" s="377"/>
      <c r="AO8" s="377"/>
      <c r="AP8" s="377"/>
      <c r="AQ8" s="377"/>
      <c r="AR8" s="377"/>
      <c r="AS8" s="377"/>
      <c r="AT8" s="377"/>
      <c r="AU8" s="377"/>
      <c r="AV8" s="377"/>
      <c r="AW8" s="377"/>
      <c r="AX8" s="377"/>
      <c r="AY8" s="377"/>
      <c r="AZ8" s="377"/>
      <c r="BA8" s="377"/>
      <c r="BB8" s="377"/>
      <c r="BC8" s="377"/>
      <c r="BD8" s="377"/>
      <c r="BE8" s="377"/>
    </row>
    <row r="9" spans="1:57" ht="15" customHeight="1" x14ac:dyDescent="0.2">
      <c r="B9" s="38" t="str">
        <f>Sprache!B14</f>
        <v>Besoins de chaleur pour le chauffage selon SIA 380/1</v>
      </c>
      <c r="C9" s="40"/>
      <c r="D9" s="40"/>
      <c r="E9" s="47" t="str">
        <f>IF(OR(H9="",H9=0),Sprache!B75,"")</f>
        <v>choisir -&gt;</v>
      </c>
      <c r="F9" s="42" t="s">
        <v>2368</v>
      </c>
      <c r="G9" s="42" t="s">
        <v>741</v>
      </c>
      <c r="H9" s="43">
        <f>IF(JAZcalc,JAZcalc!I12*3.6,WP!H9*Einheitenfaktor)</f>
        <v>0</v>
      </c>
      <c r="J9" s="1076"/>
      <c r="K9" s="20" t="str">
        <f>Sprache!B103</f>
        <v>Ecole</v>
      </c>
      <c r="L9" s="291">
        <v>70</v>
      </c>
      <c r="M9" s="223">
        <v>70</v>
      </c>
      <c r="N9" s="291">
        <f>IF(O9&gt;0,O9,25)*(1+EtaWW)</f>
        <v>25</v>
      </c>
      <c r="O9" s="307">
        <f>IF(JAZcalc,JAZcalc!O9,0)</f>
        <v>0</v>
      </c>
      <c r="P9" s="30">
        <v>2.2999999999999998</v>
      </c>
      <c r="Q9" s="20" t="str">
        <f>Sprache!B64</f>
        <v>PAC avec collecteur terrestre</v>
      </c>
      <c r="R9" s="5"/>
      <c r="S9" s="21"/>
      <c r="T9" s="20" t="str">
        <f>Sprache!B70</f>
        <v>Puissance électrique soutirée par pompe saumure:</v>
      </c>
      <c r="U9" s="21" t="s">
        <v>724</v>
      </c>
      <c r="V9" s="20" t="str">
        <f>Sprache!B74</f>
        <v>Surface de collecteurs</v>
      </c>
      <c r="W9" s="21" t="s">
        <v>2339</v>
      </c>
      <c r="X9" s="20" t="str">
        <f>Sprache!B80</f>
        <v>Puissance spécifique soutirée</v>
      </c>
      <c r="Y9" s="21" t="s">
        <v>1221</v>
      </c>
      <c r="Z9" s="155" t="str">
        <f>Sprache!B84</f>
        <v>Température de dimensionnement des sondes (optionnel, calcul externe)</v>
      </c>
      <c r="AA9" s="5" t="s">
        <v>2948</v>
      </c>
      <c r="AB9" s="20" t="str">
        <f>Sprache!B89</f>
        <v>COP aux conditions normalisées (B0 / W50)</v>
      </c>
      <c r="AC9" s="21" t="str">
        <f>IF(WW,"-","")</f>
        <v/>
      </c>
      <c r="AD9" s="20" t="str">
        <f>IF(OR(Heizung,WW),Sprache!B93,"")</f>
        <v/>
      </c>
      <c r="AE9" s="21" t="str">
        <f>IF(Heizung,"-","")</f>
        <v/>
      </c>
      <c r="AF9" s="20" t="str">
        <f>IF(OR(Heizung,WW),Sprache!B97,"")</f>
        <v/>
      </c>
      <c r="AG9" s="21" t="str">
        <f>IF(Heizung,"kW","")</f>
        <v/>
      </c>
      <c r="AH9" s="20" t="str">
        <f>IF(Heizung,IF(Heizspeicher,Sprache!B98,""),"")</f>
        <v/>
      </c>
      <c r="AI9" s="21" t="str">
        <f>IF(Heizung,IF(Heizspeicher,Sprache!B99,""),"")</f>
        <v/>
      </c>
      <c r="AJ9" s="29">
        <f>7+IF(AND(Heizung,Heizspeicher),1,0)</f>
        <v>7</v>
      </c>
      <c r="AK9" s="5"/>
      <c r="AL9" s="377"/>
      <c r="AM9" s="377"/>
      <c r="AN9" s="377"/>
      <c r="AO9" s="377"/>
      <c r="AP9" s="377"/>
      <c r="AQ9" s="377"/>
      <c r="AR9" s="377"/>
      <c r="AS9" s="377"/>
      <c r="AT9" s="377"/>
      <c r="AU9" s="377"/>
      <c r="AV9" s="377"/>
      <c r="AW9" s="377"/>
      <c r="AX9" s="377"/>
      <c r="AY9" s="377"/>
      <c r="AZ9" s="377"/>
      <c r="BA9" s="377"/>
      <c r="BB9" s="377"/>
      <c r="BC9" s="377"/>
      <c r="BD9" s="377"/>
      <c r="BE9" s="377"/>
    </row>
    <row r="10" spans="1:57" ht="15" customHeight="1" x14ac:dyDescent="0.2">
      <c r="B10" s="38" t="str">
        <f>Sprache!B15</f>
        <v>Déperditions par transmission selon SIA 380/1</v>
      </c>
      <c r="C10" s="40"/>
      <c r="D10" s="40"/>
      <c r="E10" s="47" t="str">
        <f>IF(OR(QT="",QT=0),Sprache!B75,IF(H10,IF(H10&lt;=0.5*$H$9,Sprache!B131,""),""))</f>
        <v>choisir -&gt;</v>
      </c>
      <c r="F10" s="42" t="s">
        <v>744</v>
      </c>
      <c r="G10" s="42" t="s">
        <v>741</v>
      </c>
      <c r="H10" s="43">
        <f>IF(JAZcalc,JAZcalc!I13*3.6,WP!H10*Einheitenfaktor)</f>
        <v>0</v>
      </c>
      <c r="K10" s="20" t="str">
        <f>Sprache!B104</f>
        <v>Commerce</v>
      </c>
      <c r="L10" s="291">
        <v>50</v>
      </c>
      <c r="M10" s="223">
        <v>65</v>
      </c>
      <c r="N10" s="291">
        <f>IF(O10&gt;0,O10,25)*(1+EtaWW)</f>
        <v>25</v>
      </c>
      <c r="O10" s="307">
        <f>IF(JAZcalc,JAZcalc!O10,0)</f>
        <v>0</v>
      </c>
      <c r="P10" s="30">
        <v>2.2999999999999998</v>
      </c>
      <c r="Q10" s="367" t="s">
        <v>1856</v>
      </c>
      <c r="R10" s="5"/>
      <c r="S10" s="21"/>
      <c r="T10" s="20"/>
      <c r="U10" s="21"/>
      <c r="V10" s="20"/>
      <c r="W10" s="21"/>
      <c r="X10" s="20"/>
      <c r="Y10" s="21"/>
      <c r="Z10" s="20"/>
      <c r="AA10" s="21"/>
      <c r="AB10" s="20"/>
      <c r="AC10" s="5"/>
      <c r="AD10" s="20"/>
      <c r="AE10" s="5"/>
      <c r="AF10" s="20"/>
      <c r="AG10" s="21"/>
      <c r="AH10" s="20" t="str">
        <f>IF(Heizung,IF(Heizspeicher,Sprache!B98,""),"")</f>
        <v/>
      </c>
      <c r="AI10" s="21" t="str">
        <f>IF(Heizung,IF(Heizspeicher,Sprache!B99,""),"")</f>
        <v/>
      </c>
      <c r="AJ10" s="29" t="s">
        <v>718</v>
      </c>
      <c r="AK10" s="5"/>
      <c r="AL10" s="377"/>
      <c r="AM10" s="377"/>
      <c r="AN10" s="377"/>
      <c r="AO10" s="377"/>
      <c r="AP10" s="377"/>
      <c r="AQ10" s="377"/>
      <c r="AR10" s="377"/>
      <c r="AS10" s="377"/>
      <c r="AT10" s="377"/>
      <c r="AU10" s="377"/>
      <c r="AV10" s="377"/>
      <c r="AW10" s="377"/>
      <c r="AX10" s="377"/>
      <c r="AY10" s="377"/>
      <c r="AZ10" s="377"/>
      <c r="BA10" s="377"/>
      <c r="BB10" s="377"/>
      <c r="BC10" s="377"/>
      <c r="BD10" s="377"/>
      <c r="BE10" s="377"/>
    </row>
    <row r="11" spans="1:57" ht="15" customHeight="1" x14ac:dyDescent="0.2">
      <c r="B11" s="38" t="str">
        <f>Sprache!B16</f>
        <v>Déperditions par renouvellement d'air selon SIA 380/1</v>
      </c>
      <c r="C11" s="40"/>
      <c r="D11" s="40"/>
      <c r="E11" s="47" t="str">
        <f>IF(OR(QV="",QV=0),Sprache!B75,IF(H11,IF((H11+QT)&lt;$H$9,Sprache!B131,""),""))</f>
        <v>choisir -&gt;</v>
      </c>
      <c r="F11" s="42" t="s">
        <v>750</v>
      </c>
      <c r="G11" s="42" t="s">
        <v>741</v>
      </c>
      <c r="H11" s="43">
        <f>IF(JAZcalc,JAZcalc!I14*3.6,WP!H11*Einheitenfaktor)</f>
        <v>0</v>
      </c>
      <c r="K11" s="20" t="str">
        <f>Sprache!B105</f>
        <v>Restauration</v>
      </c>
      <c r="L11" s="291">
        <v>95</v>
      </c>
      <c r="M11" s="223">
        <v>75</v>
      </c>
      <c r="N11" s="291">
        <f>IF(O11&gt;0,O11,200)*(1+EtaWW)</f>
        <v>200</v>
      </c>
      <c r="O11" s="307">
        <f>IF(JAZcalc,JAZcalc!O11,0)</f>
        <v>0</v>
      </c>
      <c r="P11" s="30">
        <v>2.2999999999999998</v>
      </c>
      <c r="Q11" s="20"/>
      <c r="R11" s="5"/>
      <c r="S11" s="21"/>
      <c r="T11" s="20"/>
      <c r="U11" s="21"/>
      <c r="V11" s="20"/>
      <c r="W11" s="21"/>
      <c r="X11" s="20"/>
      <c r="Y11" s="21"/>
      <c r="Z11" s="20"/>
      <c r="AA11" s="21"/>
      <c r="AB11" s="20"/>
      <c r="AC11" s="5"/>
      <c r="AD11" s="20"/>
      <c r="AE11" s="5"/>
      <c r="AF11" s="20"/>
      <c r="AG11" s="21"/>
      <c r="AH11" s="20" t="s">
        <v>718</v>
      </c>
      <c r="AI11" s="21" t="s">
        <v>718</v>
      </c>
      <c r="AJ11" s="29" t="s">
        <v>718</v>
      </c>
      <c r="AK11" s="5"/>
      <c r="AL11" s="377"/>
      <c r="AM11" s="377"/>
      <c r="AN11" s="377"/>
      <c r="AO11" s="377"/>
      <c r="AP11" s="377"/>
      <c r="AQ11" s="377"/>
      <c r="AR11" s="377"/>
      <c r="AS11" s="377"/>
      <c r="AT11" s="377"/>
      <c r="AU11" s="377"/>
      <c r="AV11" s="377"/>
      <c r="AW11" s="377"/>
      <c r="AX11" s="377"/>
      <c r="AY11" s="377"/>
      <c r="AZ11" s="377"/>
      <c r="BA11" s="377"/>
      <c r="BB11" s="377"/>
      <c r="BC11" s="377"/>
      <c r="BD11" s="377"/>
      <c r="BE11" s="377"/>
    </row>
    <row r="12" spans="1:57" ht="15" customHeight="1" x14ac:dyDescent="0.2">
      <c r="B12" s="38" t="str">
        <f>Sprache!B17</f>
        <v>Chauffage: pertes supplémentaires de distribution de chaleur</v>
      </c>
      <c r="C12" s="40"/>
      <c r="D12" s="40"/>
      <c r="E12" s="47"/>
      <c r="F12" s="42"/>
      <c r="G12" s="42" t="s">
        <v>3643</v>
      </c>
      <c r="H12" s="57">
        <f>IF(JAZcalc,JAZcalc!I15,WP!H12)</f>
        <v>0</v>
      </c>
      <c r="K12" s="20" t="str">
        <f>Sprache!B106</f>
        <v>Lieu de rassemblement</v>
      </c>
      <c r="L12" s="291">
        <v>95</v>
      </c>
      <c r="M12" s="223">
        <v>75</v>
      </c>
      <c r="N12" s="291">
        <f>IF(O12&gt;0,O12,50)*(1+EtaWW)</f>
        <v>50</v>
      </c>
      <c r="O12" s="307">
        <f>IF(JAZcalc,JAZcalc!O12,0)</f>
        <v>0</v>
      </c>
      <c r="P12" s="30">
        <v>2.2999999999999998</v>
      </c>
      <c r="Q12" s="20"/>
      <c r="R12" s="5"/>
      <c r="S12" s="21"/>
      <c r="T12" s="20"/>
      <c r="U12" s="21"/>
      <c r="V12" s="20"/>
      <c r="W12" s="21"/>
      <c r="X12" s="20"/>
      <c r="Y12" s="21"/>
      <c r="Z12" s="20"/>
      <c r="AA12" s="21"/>
      <c r="AB12" s="20"/>
      <c r="AC12" s="5"/>
      <c r="AD12" s="20"/>
      <c r="AE12" s="5"/>
      <c r="AF12" s="20"/>
      <c r="AG12" s="21"/>
      <c r="AH12" s="20" t="s">
        <v>718</v>
      </c>
      <c r="AI12" s="21" t="s">
        <v>718</v>
      </c>
      <c r="AJ12" s="29" t="s">
        <v>718</v>
      </c>
      <c r="AK12" s="5"/>
      <c r="AL12" s="5"/>
      <c r="AM12" s="5"/>
      <c r="AN12" s="5"/>
      <c r="AP12" s="377"/>
      <c r="AQ12" s="377"/>
      <c r="AR12" s="377"/>
      <c r="AS12" s="377"/>
      <c r="AT12" s="377"/>
      <c r="AU12" s="377"/>
      <c r="AV12" s="377"/>
      <c r="AW12" s="377"/>
      <c r="AX12" s="377"/>
      <c r="AY12" s="377"/>
      <c r="AZ12" s="377"/>
      <c r="BA12" s="377"/>
      <c r="BB12" s="377"/>
      <c r="BC12" s="377"/>
      <c r="BD12" s="377"/>
      <c r="BE12" s="377"/>
    </row>
    <row r="13" spans="1:57" ht="15" customHeight="1" x14ac:dyDescent="0.2">
      <c r="B13" s="38" t="str">
        <f>Sprache!B18</f>
        <v>Durée de coupure d'alimentation de la PAC</v>
      </c>
      <c r="C13" s="40"/>
      <c r="D13" s="40"/>
      <c r="E13" s="47"/>
      <c r="F13" s="42"/>
      <c r="G13" s="63" t="s">
        <v>3647</v>
      </c>
      <c r="H13" s="64">
        <f>IF(JAZcalc,JAZcalc!I16,WP!H13)</f>
        <v>0</v>
      </c>
      <c r="K13" s="20" t="str">
        <f>Sprache!B107</f>
        <v>Hôpitaux</v>
      </c>
      <c r="L13" s="291">
        <v>80</v>
      </c>
      <c r="M13" s="223">
        <v>80</v>
      </c>
      <c r="N13" s="291">
        <f>IF(O13&gt;0,O13,100)*(1+EtaWW)</f>
        <v>100</v>
      </c>
      <c r="O13" s="307">
        <f>IF(JAZcalc,JAZcalc!O13,0)</f>
        <v>0</v>
      </c>
      <c r="P13" s="30">
        <v>4</v>
      </c>
      <c r="Q13" s="25"/>
      <c r="R13" s="27"/>
      <c r="S13" s="44"/>
      <c r="T13" s="25"/>
      <c r="U13" s="44"/>
      <c r="V13" s="25"/>
      <c r="W13" s="44"/>
      <c r="X13" s="25"/>
      <c r="Y13" s="44"/>
      <c r="Z13" s="25"/>
      <c r="AA13" s="44"/>
      <c r="AB13" s="25"/>
      <c r="AC13" s="27"/>
      <c r="AD13" s="25"/>
      <c r="AE13" s="27"/>
      <c r="AF13" s="25"/>
      <c r="AG13" s="44"/>
      <c r="AH13" s="25" t="s">
        <v>718</v>
      </c>
      <c r="AI13" s="44" t="s">
        <v>718</v>
      </c>
      <c r="AJ13" s="45" t="s">
        <v>718</v>
      </c>
      <c r="AK13" s="5"/>
      <c r="AL13" s="5"/>
      <c r="AM13" s="5"/>
      <c r="AN13" s="5"/>
      <c r="AP13" s="377"/>
      <c r="AQ13" s="377"/>
      <c r="AR13" s="377"/>
      <c r="AS13" s="377"/>
      <c r="AT13" s="377"/>
      <c r="AU13" s="377"/>
      <c r="AV13" s="377"/>
      <c r="AW13" s="377"/>
      <c r="AX13" s="377"/>
      <c r="AY13" s="377"/>
      <c r="AZ13" s="377"/>
      <c r="BA13" s="377"/>
      <c r="BB13" s="377"/>
      <c r="BC13" s="377"/>
      <c r="BD13" s="377"/>
      <c r="BE13" s="377"/>
    </row>
    <row r="14" spans="1:57" ht="15" customHeight="1" x14ac:dyDescent="0.2">
      <c r="B14" s="38" t="str">
        <f>Sprache!B19</f>
        <v>Puissance de chauffage nécessaire sans ECS à °C</v>
      </c>
      <c r="C14" s="40"/>
      <c r="D14" s="40"/>
      <c r="E14" s="70" t="str">
        <f>IF(Kategorie&gt;1,IF(Leistung&lt;&gt;"",IF(Methode_384_3,Sprache!B140,IF(Leistung&lt;M28,Sprache!B139,Sprache!B140)),Sprache!B140),"")</f>
        <v/>
      </c>
      <c r="F14" s="71" t="str">
        <f>IF(AND(EBF&gt;0,H9&gt;0,L2&gt;1),IF(Leistung&gt;M31,M31,IF(Neu,IF(AND(Leistung&lt;Berechnungen!B36*0.9,Leistung&gt;0),Berechnungen!B36*0.9,MAX(Berechnungen!B36,Leistung)),IF(Kategorie&gt;1,IF(Leistung&lt;(M32/28*(20-TaMin)),(M32/28*(20-TaMin)),IF(Qtot&gt;0,Qtot*(1+Verteilverluste)*EBF/3.6/(HGT*1.065)/24*(20-TaMin)-INDEX(P5:P17,Kategorie,1)*EBF/1000,IF(Qh,Qh*EBF/3.6/HGT/15*(20-TaMin)-INDEX(P5:P17,Kategorie,1)*EBF/1000,""))),""))),"")</f>
        <v/>
      </c>
      <c r="G14" s="63" t="s">
        <v>3650</v>
      </c>
      <c r="H14" s="1075" t="str">
        <f>IF(Methode_384_3,"",IF(JAZcalc,IF(JAZcalc!L17&gt;0,JAZcalc!L17,""),IF(WP!H14&gt;0,WP!H14,"")))</f>
        <v/>
      </c>
      <c r="J14" s="217" t="e">
        <f>IF(Leistung&lt;(M32/28*(20-TaMin)),(M32/28*(20-TaMin)),IF(Qtot&gt;0,Qtot*(1+Verteilverluste)*EBF/3.6/(HGT*1.065)/24*(20-TaMin),IF(Qh,Qh*EBF/3.6/HGT/15*(20-TaMin),"")))-INDEX(P5:P17,Kategorie,1)*EBF/1000</f>
        <v>#VALUE!</v>
      </c>
      <c r="K14" s="20" t="str">
        <f>Sprache!B108</f>
        <v>Industrie</v>
      </c>
      <c r="L14" s="291">
        <v>60</v>
      </c>
      <c r="M14" s="223">
        <v>70</v>
      </c>
      <c r="N14" s="291">
        <f>IF(O14&gt;0,O14,25)*(1+EtaWW)</f>
        <v>25</v>
      </c>
      <c r="O14" s="307">
        <f>IF(JAZcalc,JAZcalc!O14,0)</f>
        <v>0</v>
      </c>
      <c r="P14" s="30">
        <v>2.2999999999999998</v>
      </c>
      <c r="Q14" s="1229" t="str">
        <f>INDEX(Q5:Q13,WPArt,1)</f>
        <v xml:space="preserve"> </v>
      </c>
      <c r="R14" s="1230"/>
      <c r="S14" s="1231"/>
      <c r="T14" s="5"/>
      <c r="U14" s="5"/>
      <c r="V14" s="125"/>
      <c r="W14" s="302"/>
      <c r="X14" s="46"/>
      <c r="Y14" s="5"/>
      <c r="Z14" s="5"/>
      <c r="AA14" s="46"/>
      <c r="AB14" s="5"/>
      <c r="AC14" s="5"/>
      <c r="AD14" s="5"/>
      <c r="AE14" s="5"/>
      <c r="AF14" s="5"/>
      <c r="AG14" s="5"/>
      <c r="AH14" s="5"/>
      <c r="AI14" s="5"/>
      <c r="AJ14" s="5"/>
      <c r="AK14" s="5"/>
      <c r="AL14" s="5"/>
      <c r="AM14" s="5"/>
      <c r="AN14" s="5"/>
      <c r="AO14" s="19"/>
      <c r="AP14" s="377"/>
      <c r="AQ14" s="377"/>
      <c r="AR14" s="377"/>
      <c r="AS14" s="377"/>
      <c r="AT14" s="377"/>
      <c r="AU14" s="377"/>
      <c r="AV14" s="377"/>
      <c r="AW14" s="377"/>
      <c r="AX14" s="377"/>
      <c r="AY14" s="377"/>
      <c r="AZ14" s="377"/>
      <c r="BA14" s="377"/>
      <c r="BB14" s="377"/>
      <c r="BC14" s="377"/>
      <c r="BD14" s="377"/>
      <c r="BE14" s="377"/>
    </row>
    <row r="15" spans="1:57" ht="15" customHeight="1" x14ac:dyDescent="0.2">
      <c r="B15" s="38" t="str">
        <f>Sprache!B20</f>
        <v>Besoins de chaleur pour l'ECS selon SIA 380/1</v>
      </c>
      <c r="C15" s="40"/>
      <c r="D15" s="40"/>
      <c r="E15" s="39"/>
      <c r="F15" s="42" t="s">
        <v>717</v>
      </c>
      <c r="G15" s="42" t="s">
        <v>741</v>
      </c>
      <c r="H15" s="911" t="str">
        <f>IF(R31&lt;&gt;"",R31,IF(J21=1,INDEX(N5:N17,Kategorie,1),IF(Kategorie&gt;1,IF(WW,IF(M37&gt;0,M37,IF(AND(EBF&gt;0,Kategorie&gt;1),IF(SUM(H8:H8)=0,"",INDEX($N$5:$N$17,$L$3,)),"")),0),0)))</f>
        <v xml:space="preserve"> </v>
      </c>
      <c r="J15" s="19" t="str">
        <f>INDEX(N5:N17,Kategorie,1)</f>
        <v xml:space="preserve"> </v>
      </c>
      <c r="K15" s="20" t="str">
        <f>Sprache!B109</f>
        <v>Dépôt</v>
      </c>
      <c r="L15" s="291">
        <v>60</v>
      </c>
      <c r="M15" s="223">
        <v>70</v>
      </c>
      <c r="N15" s="291">
        <f>IF(O15&gt;0,O15,5)*(1+EtaWW)</f>
        <v>5</v>
      </c>
      <c r="O15" s="307">
        <f>IF(JAZcalc,JAZcalc!O15,0)</f>
        <v>0</v>
      </c>
      <c r="P15" s="30">
        <v>2.2999999999999998</v>
      </c>
      <c r="Q15" s="48" t="str">
        <f>INDEX(T5:T13,WPArt,1)</f>
        <v xml:space="preserve"> </v>
      </c>
      <c r="R15" s="49"/>
      <c r="S15" s="50" t="str">
        <f>INDEX(U5:U13,WPArt,1)</f>
        <v xml:space="preserve"> </v>
      </c>
      <c r="T15" s="5"/>
      <c r="U15" s="1224" t="s">
        <v>746</v>
      </c>
      <c r="V15" s="1225"/>
      <c r="W15" s="1224" t="s">
        <v>747</v>
      </c>
      <c r="X15" s="1225"/>
      <c r="Y15" s="1224" t="s">
        <v>748</v>
      </c>
      <c r="Z15" s="1225"/>
      <c r="AA15" s="1224" t="s">
        <v>1224</v>
      </c>
      <c r="AB15" s="1225"/>
      <c r="AC15" s="1224" t="s">
        <v>1749</v>
      </c>
      <c r="AD15" s="1225"/>
      <c r="AE15" s="1224" t="s">
        <v>746</v>
      </c>
      <c r="AF15" s="1225"/>
      <c r="AG15" s="1224" t="s">
        <v>747</v>
      </c>
      <c r="AH15" s="1225"/>
      <c r="AI15" s="1224" t="s">
        <v>748</v>
      </c>
      <c r="AJ15" s="1225"/>
      <c r="AK15" s="5"/>
      <c r="AL15" s="51"/>
      <c r="AM15" s="52"/>
      <c r="AN15" s="53"/>
      <c r="AP15" s="377"/>
      <c r="AQ15" s="377"/>
      <c r="AR15" s="377"/>
      <c r="AS15" s="377"/>
      <c r="AT15" s="377"/>
      <c r="AU15" s="377"/>
      <c r="AV15" s="377"/>
      <c r="AW15" s="377"/>
      <c r="AX15" s="377"/>
      <c r="AY15" s="377"/>
      <c r="AZ15" s="377"/>
      <c r="BA15" s="377"/>
      <c r="BB15" s="377"/>
      <c r="BC15" s="377"/>
      <c r="BD15" s="377"/>
      <c r="BE15" s="377"/>
    </row>
    <row r="16" spans="1:57" ht="15" customHeight="1" x14ac:dyDescent="0.2">
      <c r="B16" s="77" t="str">
        <f>Sprache!B21</f>
        <v>Eau chaude sanitaire: pertes supplémentaires d'accumulation et de distribution</v>
      </c>
      <c r="C16" s="534"/>
      <c r="D16" s="534"/>
      <c r="E16" s="78"/>
      <c r="F16" s="79"/>
      <c r="G16" s="79" t="s">
        <v>3643</v>
      </c>
      <c r="H16" s="729">
        <f>IF(JAZcalc,JAZcalc!I19,WP!H16)</f>
        <v>0</v>
      </c>
      <c r="J16" s="728">
        <f>IF(H16&lt;0,H16,MAX(IF(H16&gt;0,H16,0),IF(J43=3,0.2,0)))</f>
        <v>0</v>
      </c>
      <c r="K16" s="20" t="str">
        <f>Sprache!B110</f>
        <v>Installation sportive</v>
      </c>
      <c r="L16" s="291">
        <v>75</v>
      </c>
      <c r="M16" s="223">
        <v>70</v>
      </c>
      <c r="N16" s="291">
        <f>IF(O16&gt;0,O16,300)*(1+EtaWW)</f>
        <v>300</v>
      </c>
      <c r="O16" s="307">
        <f>IF(JAZcalc,JAZcalc!O16,0)</f>
        <v>0</v>
      </c>
      <c r="P16" s="30">
        <v>2.2999999999999998</v>
      </c>
      <c r="Q16" s="48" t="str">
        <f>INDEX(V5:V13,WPArt,1)</f>
        <v xml:space="preserve"> </v>
      </c>
      <c r="R16" s="49"/>
      <c r="S16" s="50" t="str">
        <f>INDEX(W5:W13,WPArt,1)</f>
        <v xml:space="preserve"> </v>
      </c>
      <c r="T16" s="5"/>
      <c r="U16" s="1215" t="s">
        <v>752</v>
      </c>
      <c r="V16" s="1216"/>
      <c r="W16" s="1215" t="s">
        <v>752</v>
      </c>
      <c r="X16" s="1216"/>
      <c r="Y16" s="1215" t="s">
        <v>752</v>
      </c>
      <c r="Z16" s="1216"/>
      <c r="AA16" s="1215" t="s">
        <v>752</v>
      </c>
      <c r="AB16" s="1216"/>
      <c r="AC16" s="1215" t="s">
        <v>752</v>
      </c>
      <c r="AD16" s="1217"/>
      <c r="AE16" s="1215" t="s">
        <v>752</v>
      </c>
      <c r="AF16" s="1216"/>
      <c r="AG16" s="1215" t="s">
        <v>752</v>
      </c>
      <c r="AH16" s="1216"/>
      <c r="AI16" s="1215" t="s">
        <v>752</v>
      </c>
      <c r="AJ16" s="1216"/>
      <c r="AK16" s="5"/>
      <c r="AL16" s="54" t="s">
        <v>3641</v>
      </c>
      <c r="AM16" s="55"/>
      <c r="AN16" s="56"/>
      <c r="AP16" s="377"/>
      <c r="AQ16" s="377"/>
      <c r="AR16" s="377"/>
      <c r="AS16" s="377"/>
      <c r="AT16" s="377"/>
      <c r="AU16" s="377"/>
      <c r="AV16" s="377"/>
      <c r="AW16" s="377"/>
      <c r="AX16" s="377"/>
      <c r="AY16" s="377"/>
      <c r="AZ16" s="377"/>
      <c r="BA16" s="377"/>
      <c r="BB16" s="377"/>
      <c r="BC16" s="377"/>
      <c r="BD16" s="377"/>
      <c r="BE16" s="377"/>
    </row>
    <row r="17" spans="2:107" ht="12" customHeight="1" x14ac:dyDescent="0.2">
      <c r="B17" s="666" t="str">
        <f>IF(AND(Qh&gt;0,$BH$57&lt;&gt;3),IF(AND(bivalent=FALSE,elZusatz=FALSE,F57&gt;0.01),Sprache!B146,""),"")</f>
        <v/>
      </c>
      <c r="C17" s="34"/>
      <c r="D17" s="4"/>
      <c r="E17" s="31"/>
      <c r="F17" s="965"/>
      <c r="G17" s="965"/>
      <c r="H17" s="963" t="str">
        <f>IF(OR(G19=0,G19="",G19=" ",F20=0,F20="",F20=" "),"",IF(OR(AND(WP_Daten!AJ28=2,WPArt&lt;&gt;2),AND(OR(WP_Daten!AJ28=3,WP_Daten!AJ28=4),WPArt=2)),"Wärmepumpentyp und Wärmequelle stimmen nicht überein",""))</f>
        <v/>
      </c>
      <c r="K17" s="26" t="str">
        <f>Sprache!B111</f>
        <v>Piscine</v>
      </c>
      <c r="L17" s="292">
        <v>70</v>
      </c>
      <c r="M17" s="293">
        <v>90</v>
      </c>
      <c r="N17" s="292">
        <f>IF(O17&gt;0,O17,300)*(1+EtaWW)</f>
        <v>300</v>
      </c>
      <c r="O17" s="307">
        <f>IF(JAZcalc,JAZcalc!O17,0)</f>
        <v>0</v>
      </c>
      <c r="P17" s="65">
        <v>2.2999999999999998</v>
      </c>
      <c r="Q17" s="48" t="str">
        <f>INDEX(X5:X13,WPArt,1)</f>
        <v xml:space="preserve"> </v>
      </c>
      <c r="R17" s="49"/>
      <c r="S17" s="50" t="str">
        <f>INDEX(Y5:Y13,WPArt,1)</f>
        <v xml:space="preserve"> </v>
      </c>
      <c r="T17" s="5"/>
      <c r="U17" s="58" t="str">
        <f>"COP -7/"&amp;IF(M20,M20,35)&amp;":"</f>
        <v>COP -7/33:</v>
      </c>
      <c r="V17" s="59">
        <f>E28*(35+7)/(IF(_TVL1,(_TVL1+7-DT__7),(35+7))/(_TVL1+273.15)*(35+273.15))*(1-(DeltaT_ref-DeltaT_eff)/2/(IF(_TVL1,_TVL1,35)-DeltaT_ref/2+4+7+15))</f>
        <v>0</v>
      </c>
      <c r="W17" s="58" t="str">
        <f>"Q 0/35:"</f>
        <v>Q 0/35:</v>
      </c>
      <c r="X17" s="60">
        <f>IF(OR(WPArt=3,WPArt=5,WPArt=6),W52,)</f>
        <v>0</v>
      </c>
      <c r="Y17" s="58" t="str">
        <f>"Q 10/35:"</f>
        <v>Q 10/35:</v>
      </c>
      <c r="Z17" s="60">
        <f>IF(WPArt=4,W52,)</f>
        <v>0</v>
      </c>
      <c r="AA17" s="58" t="str">
        <f>"Q 0/35:"</f>
        <v>Q 0/35:</v>
      </c>
      <c r="AB17" s="60">
        <f>IF(OR(WPArt=3,WPArt=5),W52,)</f>
        <v>0</v>
      </c>
      <c r="AC17" s="58" t="str">
        <f>"Q 20/35:"</f>
        <v>Q 20/35:</v>
      </c>
      <c r="AD17" s="60">
        <f>X17</f>
        <v>0</v>
      </c>
      <c r="AE17" s="733"/>
      <c r="AF17" s="60"/>
      <c r="AG17" s="58" t="str">
        <f>"Q 0/50:"</f>
        <v>Q 0/50:</v>
      </c>
      <c r="AH17" s="60">
        <f>IF(WPArt2=3,AN18,)</f>
        <v>0</v>
      </c>
      <c r="AI17" s="58" t="str">
        <f>"Q 10/50:"</f>
        <v>Q 10/50:</v>
      </c>
      <c r="AJ17" s="61" t="b">
        <f>IF(WPArt2=4,AN19)</f>
        <v>0</v>
      </c>
      <c r="AK17" s="5"/>
      <c r="AL17" s="16" t="s">
        <v>3645</v>
      </c>
      <c r="AM17" s="23"/>
      <c r="AN17" s="62"/>
      <c r="AP17" s="377"/>
      <c r="AQ17" s="377"/>
      <c r="AR17" s="377"/>
      <c r="AS17" s="377"/>
      <c r="AT17" s="377"/>
      <c r="AU17" s="377"/>
      <c r="AV17" s="377"/>
      <c r="AW17" s="377"/>
      <c r="AX17" s="377"/>
      <c r="AY17" s="377"/>
      <c r="AZ17" s="377"/>
      <c r="BA17" s="377"/>
      <c r="BB17" s="377"/>
      <c r="BC17" s="377"/>
      <c r="BD17" s="377"/>
      <c r="BE17" s="377"/>
    </row>
    <row r="18" spans="2:107" ht="16.899999999999999" customHeight="1" x14ac:dyDescent="0.2">
      <c r="B18" s="32" t="str">
        <f>Sprache!B22</f>
        <v>Installation de pompe à chaleur</v>
      </c>
      <c r="C18" s="1243">
        <f>IF(JAZcalc,JAZcalc!D21,WP!C18)</f>
        <v>0</v>
      </c>
      <c r="D18" s="1244"/>
      <c r="E18" s="998">
        <f>IF(JAZcalc,JAZcalc!F21,WP!E18)</f>
        <v>0</v>
      </c>
      <c r="F18" s="968" t="str">
        <f>IF(SpezWP,IF(Spez!E5&lt;&gt;"",Spez!E5,""),"Hersteller:  ")</f>
        <v xml:space="preserve">Hersteller:  </v>
      </c>
      <c r="G18" s="1245">
        <f>IF(JAZcalc,JAZcalc!H21,WP!G18)</f>
        <v>0</v>
      </c>
      <c r="H18" s="1246"/>
      <c r="J18" s="5" t="b">
        <f>IF(OR(E18=0,E18="",E18=P50,E18=P52),FALSE,TRUE)</f>
        <v>0</v>
      </c>
      <c r="K18" s="838" t="s">
        <v>2311</v>
      </c>
      <c r="L18" s="88"/>
      <c r="M18" s="84">
        <v>0</v>
      </c>
      <c r="N18" s="75" t="s">
        <v>2948</v>
      </c>
      <c r="O18" s="19"/>
      <c r="P18" s="5"/>
      <c r="Q18" s="48" t="str">
        <f>INDEX(Z5:Z13,WPArt,1)</f>
        <v xml:space="preserve"> </v>
      </c>
      <c r="R18" s="49"/>
      <c r="S18" s="50" t="str">
        <f>INDEX(AA5:AA13,WPArt,1)</f>
        <v xml:space="preserve"> </v>
      </c>
      <c r="T18" s="5"/>
      <c r="U18" s="66" t="str">
        <f>"COP 2/"&amp;IF(M20,M20,35)&amp;":"</f>
        <v>COP 2/33:</v>
      </c>
      <c r="V18" s="67">
        <f>F28*(35-2)/(IF(_TVL1,(_TVL1-2-DT_2),(35-2))/(_TVL1+273.15)*(35+273.15))*(1-(DeltaT_ref-DeltaT_eff)/2/(IF(_TVL1,_TVL1,35)-DeltaT_ref/2+4-2+15))</f>
        <v>0</v>
      </c>
      <c r="W18" s="66" t="str">
        <f>"COP B0/W35:"</f>
        <v>COP B0/W35:</v>
      </c>
      <c r="X18" s="67">
        <f>W50</f>
        <v>0</v>
      </c>
      <c r="Y18" s="66" t="str">
        <f>"COP 10/35:"</f>
        <v>COP 10/35:</v>
      </c>
      <c r="Z18" s="67">
        <f>W50</f>
        <v>0</v>
      </c>
      <c r="AA18" s="66" t="str">
        <f>"COP B0/W35:"</f>
        <v>COP B0/W35:</v>
      </c>
      <c r="AB18" s="67">
        <f>W50</f>
        <v>0</v>
      </c>
      <c r="AC18" s="66" t="str">
        <f>"COP 20/W35:"</f>
        <v>COP 20/W35:</v>
      </c>
      <c r="AD18" s="737">
        <f>W50</f>
        <v>0</v>
      </c>
      <c r="AE18" s="734"/>
      <c r="AF18" s="67"/>
      <c r="AG18" s="66" t="str">
        <f>"COP B0/W50:"</f>
        <v>COP B0/W50:</v>
      </c>
      <c r="AH18" s="67">
        <f>AN20</f>
        <v>0</v>
      </c>
      <c r="AI18" s="66" t="str">
        <f>"COP 10/50:"</f>
        <v>COP 10/50:</v>
      </c>
      <c r="AJ18" s="68">
        <f>AN20</f>
        <v>0</v>
      </c>
      <c r="AK18" s="5"/>
      <c r="AL18" s="20" t="s">
        <v>3649</v>
      </c>
      <c r="AM18" s="5"/>
      <c r="AN18" s="69"/>
      <c r="AP18" s="377"/>
      <c r="AQ18" s="377"/>
      <c r="AR18" s="377"/>
      <c r="AS18" s="377"/>
      <c r="AT18" s="377"/>
      <c r="AU18" s="377"/>
      <c r="AV18" s="377"/>
      <c r="AW18" s="377"/>
      <c r="AX18" s="377"/>
      <c r="AY18" s="377"/>
      <c r="AZ18" s="377"/>
      <c r="BA18" s="377"/>
      <c r="BB18" s="377"/>
      <c r="BC18" s="377"/>
      <c r="BD18" s="377"/>
      <c r="BE18" s="377"/>
    </row>
    <row r="19" spans="2:107" ht="16.899999999999999" customHeight="1" x14ac:dyDescent="0.2">
      <c r="B19" s="92" t="str">
        <f>Sprache!B23</f>
        <v>Nom et type de PAC</v>
      </c>
      <c r="C19" s="250"/>
      <c r="D19" s="250"/>
      <c r="E19" s="93"/>
      <c r="F19" s="967" t="str">
        <f>IF(SpezWP,IF(Spez!E5&lt;&gt;"",Spez!E5,""),"Typ:  ")</f>
        <v xml:space="preserve">Typ:  </v>
      </c>
      <c r="G19" s="1247">
        <f>IF(JAZcalc,JAZcalc!H22,WP!G19)</f>
        <v>0</v>
      </c>
      <c r="H19" s="1248"/>
      <c r="J19" s="5" t="b">
        <f>IF(OR(G18=WP_Daten!D10,G18="",G18=0),FALSE,TRUE)</f>
        <v>0</v>
      </c>
      <c r="K19" s="72" t="s">
        <v>2947</v>
      </c>
      <c r="L19" s="73"/>
      <c r="M19" s="74">
        <f>IF(H39="",-30,H39)</f>
        <v>-30</v>
      </c>
      <c r="N19" s="75" t="s">
        <v>2948</v>
      </c>
      <c r="O19" s="19"/>
      <c r="P19" s="5"/>
      <c r="Q19" s="48" t="str">
        <f>INDEX(AB5:AB13,WPArt,1)</f>
        <v xml:space="preserve"> </v>
      </c>
      <c r="R19" s="49"/>
      <c r="S19" s="50" t="str">
        <f>INDEX(AC5:AC13,WPArt,1)</f>
        <v xml:space="preserve"> </v>
      </c>
      <c r="T19" s="125"/>
      <c r="U19" s="66" t="str">
        <f>"COP 7/"&amp;IF(M20,M20,35)&amp;":"</f>
        <v>COP 7/33:</v>
      </c>
      <c r="V19" s="67">
        <f>G28*(35-7)/(IF(_TVL1,(_TVL1-7-DT_7),(35-7))/(_TVL1+273.15)*(35+273.15))*(1-(DeltaT_ref-DeltaT_eff)/2/(IF(_TVL1,_TVL1,35)-DeltaT_ref/2+4-7+15))</f>
        <v>0</v>
      </c>
      <c r="W19" s="66" t="s">
        <v>2949</v>
      </c>
      <c r="X19" s="67">
        <f>IF(X18&gt;0,X17/X18,0)</f>
        <v>0</v>
      </c>
      <c r="Y19" s="66" t="s">
        <v>2950</v>
      </c>
      <c r="Z19" s="67">
        <f>IF(Z18&gt;0,Z17/Z18,0)</f>
        <v>0</v>
      </c>
      <c r="AA19" s="66" t="s">
        <v>2949</v>
      </c>
      <c r="AB19" s="67">
        <f>IF(AB18&gt;0,AB17/AB18,0)</f>
        <v>0</v>
      </c>
      <c r="AC19" s="66" t="s">
        <v>2548</v>
      </c>
      <c r="AD19" s="67">
        <f>IF(AD18&gt;0,AD17/AD18,0)</f>
        <v>0</v>
      </c>
      <c r="AE19" s="734"/>
      <c r="AF19" s="67"/>
      <c r="AG19" s="66" t="s">
        <v>2949</v>
      </c>
      <c r="AH19" s="67">
        <f>IF(AH18&gt;0,AH17/AH18,0)</f>
        <v>0</v>
      </c>
      <c r="AI19" s="66" t="s">
        <v>2951</v>
      </c>
      <c r="AJ19" s="68">
        <f>IF(AJ18&gt;0,AJ17/AJ18,0)</f>
        <v>0</v>
      </c>
      <c r="AK19" s="5"/>
      <c r="AL19" s="20" t="s">
        <v>2952</v>
      </c>
      <c r="AM19" s="5"/>
      <c r="AN19" s="69"/>
      <c r="AP19" s="377"/>
      <c r="AQ19" s="377"/>
      <c r="AR19" s="377"/>
      <c r="AS19" s="377"/>
      <c r="AT19" s="377"/>
      <c r="AU19" s="377"/>
      <c r="AV19" s="377"/>
      <c r="AW19" s="377"/>
      <c r="AX19" s="377"/>
      <c r="AY19" s="377"/>
      <c r="AZ19" s="377"/>
      <c r="BA19" s="377"/>
      <c r="BB19" s="377"/>
      <c r="BC19" s="377"/>
      <c r="BD19" s="377"/>
      <c r="BE19" s="377"/>
    </row>
    <row r="20" spans="2:107" ht="16.899999999999999" customHeight="1" x14ac:dyDescent="0.2">
      <c r="B20" s="92" t="str">
        <f>Sprache!B26</f>
        <v>Source de chaleur:</v>
      </c>
      <c r="C20" s="250"/>
      <c r="D20" s="250"/>
      <c r="E20" s="347" t="str">
        <f>IF(WPArt=1,Sprache!B24,"")</f>
        <v>choisir -&gt;</v>
      </c>
      <c r="F20" s="1240">
        <f>IF(JAZcalc,JAZcalc!G23,WP!F20)</f>
        <v>0</v>
      </c>
      <c r="G20" s="1241"/>
      <c r="H20" s="1242"/>
      <c r="J20" s="377">
        <f>IF(OR(F20="",F20=0),1,MATCH(F20,$T$133:$T$153,0))</f>
        <v>1</v>
      </c>
      <c r="K20" s="72" t="s">
        <v>1397</v>
      </c>
      <c r="L20" s="73"/>
      <c r="M20" s="478">
        <f>MAX(TRL,H35+dTNutzer)+MAX(TVL-TRL,5)+H38+DTKombispeicher</f>
        <v>33</v>
      </c>
      <c r="N20" s="90" t="s">
        <v>2948</v>
      </c>
      <c r="O20" s="5"/>
      <c r="P20" s="5"/>
      <c r="Q20" s="48" t="str">
        <f>INDEX(AD5:AD13,WPArt,1)</f>
        <v xml:space="preserve"> </v>
      </c>
      <c r="R20" s="49"/>
      <c r="S20" s="50" t="str">
        <f>INDEX(AE5:AE13,WPArt,1)</f>
        <v xml:space="preserve"> </v>
      </c>
      <c r="T20" s="5"/>
      <c r="U20" s="66" t="str">
        <f>"Q -7/35:"</f>
        <v>Q -7/35:</v>
      </c>
      <c r="V20" s="67">
        <f>IF(WPArt=2,E27,)</f>
        <v>0</v>
      </c>
      <c r="W20" s="66" t="s">
        <v>1398</v>
      </c>
      <c r="X20" s="76">
        <f>MAX(W49-0.04*X19*1000,0)</f>
        <v>0</v>
      </c>
      <c r="Y20" s="66" t="s">
        <v>1398</v>
      </c>
      <c r="Z20" s="68">
        <f>IF(W49,MAX(W49-0.04*Z19*1000,0),Z19*1000*0.06)</f>
        <v>0</v>
      </c>
      <c r="AA20" s="66" t="s">
        <v>1398</v>
      </c>
      <c r="AB20" s="76">
        <f>MAX(W49-0.04*AB19*1000,0)</f>
        <v>0</v>
      </c>
      <c r="AC20" s="20"/>
      <c r="AD20" s="737"/>
      <c r="AE20" s="734"/>
      <c r="AF20" s="67"/>
      <c r="AG20" s="66" t="s">
        <v>1398</v>
      </c>
      <c r="AH20" s="76">
        <f>MAX(AN26-0.04*AH19*1000,AH19*1000*0.04)</f>
        <v>0</v>
      </c>
      <c r="AI20" s="66" t="s">
        <v>1398</v>
      </c>
      <c r="AJ20" s="68">
        <f>IF(AN26,MAX(AN26-0.04*AJ19*1000,AJ19*1000*0.04),AJ19*1000*0.06)</f>
        <v>0</v>
      </c>
      <c r="AK20" s="5"/>
      <c r="AL20" s="20" t="s">
        <v>1399</v>
      </c>
      <c r="AM20" s="5"/>
      <c r="AN20" s="69"/>
      <c r="AP20" s="377"/>
      <c r="AQ20" s="377"/>
      <c r="AR20" s="377"/>
      <c r="AS20" s="377"/>
      <c r="AT20" s="377"/>
      <c r="AU20" s="377"/>
      <c r="AV20" s="377"/>
      <c r="AW20" s="377"/>
      <c r="AX20" s="377"/>
      <c r="AY20" s="377"/>
      <c r="AZ20" s="377"/>
      <c r="BA20" s="377"/>
      <c r="BB20" s="377"/>
      <c r="BC20" s="377"/>
      <c r="BD20" s="377"/>
      <c r="BE20" s="377"/>
    </row>
    <row r="21" spans="2:107" ht="16.149999999999999" customHeight="1" x14ac:dyDescent="0.2">
      <c r="B21" s="100" t="str">
        <f>Sprache!B27</f>
        <v>Utilisation (chauffage ou eau chaude sanitaire)</v>
      </c>
      <c r="C21" s="103"/>
      <c r="D21" s="103"/>
      <c r="E21" s="347" t="str">
        <f>IF(BH58=1,Sprache!B24,"")</f>
        <v>choisir -&gt;</v>
      </c>
      <c r="F21" s="1240" t="str">
        <f>IF(JAZcalc,JAZcalc!G24,WP!F21)</f>
        <v xml:space="preserve"> </v>
      </c>
      <c r="G21" s="1241"/>
      <c r="H21" s="1242"/>
      <c r="J21" s="377">
        <f>IF(OR(F21="",F21=0),1,MATCH(F21,$BG$59:$BG$63,0))</f>
        <v>1</v>
      </c>
      <c r="K21" s="476" t="s">
        <v>1748</v>
      </c>
      <c r="L21" s="73"/>
      <c r="M21" s="74">
        <f>H38</f>
        <v>0</v>
      </c>
      <c r="N21" s="75" t="s">
        <v>284</v>
      </c>
      <c r="O21" s="5"/>
      <c r="P21" s="5"/>
      <c r="Q21" s="48" t="str">
        <f>INDEX(AF5:AF13,WPArt,1)</f>
        <v xml:space="preserve"> </v>
      </c>
      <c r="R21" s="49"/>
      <c r="S21" s="50" t="str">
        <f>INDEX(AG5:AG13,WPArt,1)</f>
        <v xml:space="preserve"> </v>
      </c>
      <c r="T21" s="1060"/>
      <c r="U21" s="66" t="str">
        <f>"Q 2/35:"</f>
        <v>Q 2/35:</v>
      </c>
      <c r="V21" s="67">
        <f>IF(WPArt=2,F27,)</f>
        <v>0</v>
      </c>
      <c r="W21" s="66" t="s">
        <v>1402</v>
      </c>
      <c r="X21" s="76">
        <f>IF(X17=0,0,IF(AND(H33&gt;0,H33&lt;&gt;""),IF(Kategorie&gt;1,AI128*(24-Sperrzeit)/24,),MIN((Qh+Qww)*EBF/3.6/(W52+W53)*2,4600/24*(24-Sperrzeit)+IF(WW,Qww*0.4*(1-Z51)*EBF/3.6/W53,0),8760/24*(24-Sperrzeit))))</f>
        <v>0</v>
      </c>
      <c r="Y21" s="66"/>
      <c r="Z21" s="80"/>
      <c r="AA21" s="66" t="s">
        <v>1402</v>
      </c>
      <c r="AB21" s="76">
        <f>IF(H33&lt;&gt;"",IF(Kategorie&gt;1,AI128*(24-Sperrzeit)/24,),X21)</f>
        <v>0</v>
      </c>
      <c r="AC21" s="66" t="s">
        <v>1402</v>
      </c>
      <c r="AD21" s="76">
        <f>X21</f>
        <v>0</v>
      </c>
      <c r="AE21" s="734"/>
      <c r="AF21" s="80"/>
      <c r="AG21" s="66" t="s">
        <v>1402</v>
      </c>
      <c r="AH21" s="76" t="s">
        <v>2342</v>
      </c>
      <c r="AI21" s="66"/>
      <c r="AJ21" s="80"/>
      <c r="AK21" s="5"/>
      <c r="AL21" s="20" t="s">
        <v>1403</v>
      </c>
      <c r="AM21" s="5"/>
      <c r="AN21" s="81"/>
      <c r="AP21" s="377"/>
      <c r="AQ21" s="377"/>
      <c r="AR21" s="377"/>
      <c r="AS21" s="377"/>
      <c r="AT21" s="377"/>
      <c r="AU21" s="377"/>
      <c r="AV21" s="377"/>
      <c r="AW21" s="377"/>
      <c r="AX21" s="377"/>
      <c r="AY21" s="377"/>
      <c r="AZ21" s="377"/>
      <c r="BA21" s="377"/>
      <c r="BB21" s="377"/>
      <c r="BC21" s="377"/>
      <c r="BD21" s="377"/>
      <c r="BE21" s="377"/>
    </row>
    <row r="22" spans="2:107" ht="16.149999999999999" customHeight="1" x14ac:dyDescent="0.2">
      <c r="B22" s="100" t="str">
        <f>IF(Heizung=FALSE,"",Sprache!B29)</f>
        <v/>
      </c>
      <c r="C22" s="103"/>
      <c r="D22" s="103"/>
      <c r="E22" s="347" t="str">
        <f>IF(AND(HeizungSolar,$AI$132=3),Sprache!B25,IF(AND(AI132=1,Heizung),Sprache!B24,""))</f>
        <v/>
      </c>
      <c r="F22" s="1240" t="str">
        <f>IF(JAZcalc,JAZcalc!G25,WP!F22)</f>
        <v xml:space="preserve"> </v>
      </c>
      <c r="G22" s="1241"/>
      <c r="H22" s="1242"/>
      <c r="J22" s="377">
        <f>IF(OR(F22="",F22=0),1,IF(OR($J$21=3,$J$21=1,$J$20=18),1,MATCH(F22,$AH$133:$AH$139,0)))</f>
        <v>1</v>
      </c>
      <c r="K22" s="72" t="s">
        <v>1401</v>
      </c>
      <c r="L22" s="73"/>
      <c r="M22" s="74">
        <f>MAX(TRL,MAX(20,H35)+dTNutzer)+M21</f>
        <v>28</v>
      </c>
      <c r="N22" s="75" t="s">
        <v>2948</v>
      </c>
      <c r="O22" s="5"/>
      <c r="P22" s="5"/>
      <c r="Q22" s="48" t="str">
        <f>INDEX(AH5:AH13,WPArt,1)</f>
        <v xml:space="preserve"> </v>
      </c>
      <c r="R22" s="49"/>
      <c r="S22" s="50" t="str">
        <f>INDEX(AI5:AI13,WPArt,1)</f>
        <v xml:space="preserve"> </v>
      </c>
      <c r="T22" s="5"/>
      <c r="U22" s="66" t="str">
        <f>"Q 7/35:"</f>
        <v>Q 7/35:</v>
      </c>
      <c r="V22" s="67">
        <f>IF(WPArt=2,G27,)</f>
        <v>0</v>
      </c>
      <c r="W22" s="66" t="s">
        <v>1405</v>
      </c>
      <c r="X22" s="76">
        <f>E32</f>
        <v>0</v>
      </c>
      <c r="Y22" s="66"/>
      <c r="Z22" s="80"/>
      <c r="AA22" s="66" t="s">
        <v>1223</v>
      </c>
      <c r="AB22" s="76">
        <f>H32</f>
        <v>0</v>
      </c>
      <c r="AC22" s="20"/>
      <c r="AD22" s="737"/>
      <c r="AE22" s="734"/>
      <c r="AF22" s="80"/>
      <c r="AG22" s="66" t="s">
        <v>1405</v>
      </c>
      <c r="AH22" s="76">
        <f>AN24</f>
        <v>0</v>
      </c>
      <c r="AI22" s="66"/>
      <c r="AJ22" s="80"/>
      <c r="AK22" s="5"/>
      <c r="AL22" s="20" t="s">
        <v>1406</v>
      </c>
      <c r="AM22" s="5"/>
      <c r="AN22" s="81"/>
      <c r="AP22" s="377"/>
      <c r="AQ22" s="377"/>
      <c r="AR22" s="377"/>
      <c r="AS22" s="377"/>
      <c r="AT22" s="377"/>
      <c r="AU22" s="377"/>
      <c r="AV22" s="377"/>
      <c r="AW22" s="377"/>
      <c r="AX22" s="377"/>
      <c r="AY22" s="377"/>
      <c r="AZ22" s="377"/>
      <c r="BA22" s="377"/>
      <c r="BB22" s="377"/>
      <c r="BC22" s="377"/>
      <c r="BD22" s="377"/>
      <c r="BE22" s="377"/>
    </row>
    <row r="23" spans="2:107" ht="16.149999999999999" customHeight="1" x14ac:dyDescent="0.25">
      <c r="B23" s="100" t="str">
        <f>Sprache!B28</f>
        <v>Mode de fonctionnement de la PAC</v>
      </c>
      <c r="C23" s="103"/>
      <c r="D23" s="103"/>
      <c r="E23" s="347" t="str">
        <f>IF(AD139=1,Sprache!B24,"")</f>
        <v>choisir -&gt;</v>
      </c>
      <c r="F23" s="1240" t="str">
        <f>IF(JAZcalc,JAZcalc!G26,WP!F23)</f>
        <v xml:space="preserve"> </v>
      </c>
      <c r="G23" s="1241"/>
      <c r="H23" s="1242"/>
      <c r="J23" s="377">
        <f>IF(OR(F23="",F23=0),1,IF(MATCH(F23,$AD$133:$AD$137,0)=5,4,MATCH(F23,$AD$133:$AD$137,0)))</f>
        <v>1</v>
      </c>
      <c r="K23" s="82" t="s">
        <v>1404</v>
      </c>
      <c r="L23" s="83"/>
      <c r="M23" s="479">
        <f>IF(dTNutzer&gt;0,MIN(MAX(dTNutzer,DeltaT_eff),20),10)</f>
        <v>5</v>
      </c>
      <c r="N23" s="360" t="s">
        <v>2948</v>
      </c>
      <c r="O23" s="5"/>
      <c r="P23" s="5"/>
      <c r="Q23" s="165" t="str">
        <f>IF(AND(H33&lt;&gt;0,H33&lt;&gt;""),IF(OR(WPArt=3,WPArt=5),K41&amp;" "&amp;TEXT(M41,"0.0")&amp;" kW",""),"")</f>
        <v/>
      </c>
      <c r="R23" s="308"/>
      <c r="S23" s="361"/>
      <c r="T23" s="5"/>
      <c r="U23" s="66" t="s">
        <v>1409</v>
      </c>
      <c r="V23" s="91" t="e">
        <f ca="1">IF($AK$128&gt;0,SUM(AK60:AK82)/$AK$128,0)</f>
        <v>#REF!</v>
      </c>
      <c r="W23" s="66" t="s">
        <v>1410</v>
      </c>
      <c r="X23" s="76">
        <f>H32</f>
        <v>0</v>
      </c>
      <c r="Y23" s="66"/>
      <c r="Z23" s="80"/>
      <c r="AA23" s="66" t="s">
        <v>1225</v>
      </c>
      <c r="AB23" s="76">
        <f>E32</f>
        <v>0</v>
      </c>
      <c r="AC23" s="20"/>
      <c r="AD23" s="737"/>
      <c r="AE23" s="734"/>
      <c r="AF23" s="80"/>
      <c r="AG23" s="66" t="s">
        <v>1410</v>
      </c>
      <c r="AH23" s="76">
        <f>AN25</f>
        <v>0</v>
      </c>
      <c r="AI23" s="66"/>
      <c r="AJ23" s="80"/>
      <c r="AK23" s="5"/>
      <c r="AL23" s="20" t="s">
        <v>1411</v>
      </c>
      <c r="AM23" s="5"/>
      <c r="AN23" s="81"/>
      <c r="AP23" s="377"/>
      <c r="AQ23" s="377"/>
      <c r="AR23" s="377"/>
      <c r="AS23" s="377"/>
      <c r="AT23" s="377"/>
      <c r="AU23" s="377"/>
      <c r="AV23" s="377"/>
      <c r="AW23" s="377"/>
      <c r="AX23" s="377"/>
      <c r="AY23" s="377"/>
      <c r="AZ23" s="377"/>
      <c r="BA23" s="377"/>
      <c r="BB23" s="377"/>
      <c r="BC23" s="377"/>
      <c r="BD23" s="377"/>
      <c r="BE23" s="377"/>
    </row>
    <row r="24" spans="2:107" ht="16.149999999999999" customHeight="1" x14ac:dyDescent="0.25">
      <c r="B24" s="166" t="str">
        <f>IF(elZusatz,Sprache!B30,"")</f>
        <v/>
      </c>
      <c r="C24" s="499"/>
      <c r="D24" s="499"/>
      <c r="E24" s="538" t="str">
        <f>IF(AND(elZusatz,BH67=1),Sprache!B24,"")</f>
        <v/>
      </c>
      <c r="F24" s="1240" t="str">
        <f>IF(JAZcalc,IF(JAZcalc!G27&lt;&gt;0,JAZcalc!G27,""),IF(WP!F24&lt;&gt;0,WP!F24,""))</f>
        <v/>
      </c>
      <c r="G24" s="1241"/>
      <c r="H24" s="1242"/>
      <c r="J24" s="377">
        <f>IF(OR(F24="",F24=0,J23&lt;&gt;3),1,MATCH(F24,$BG$68:$BG$72,0))</f>
        <v>1</v>
      </c>
      <c r="K24" s="82" t="s">
        <v>1408</v>
      </c>
      <c r="L24" s="88"/>
      <c r="M24" s="89">
        <f>_TVL1-_TRL1</f>
        <v>5</v>
      </c>
      <c r="N24" s="90" t="s">
        <v>2948</v>
      </c>
      <c r="O24" s="5"/>
      <c r="P24" s="5"/>
      <c r="Q24" s="5"/>
      <c r="R24" s="46"/>
      <c r="S24" s="5"/>
      <c r="T24" s="5"/>
      <c r="U24" s="66" t="s">
        <v>2955</v>
      </c>
      <c r="V24" s="67" t="e">
        <f ca="1">IF(Neu,BB128,IF(OR(V17=0,V18=0,V19=0),0,IF(Neu,BB128,1/(V23/V17+V25/V18+(1-V23-V25)/V19))))</f>
        <v>#DIV/0!</v>
      </c>
      <c r="W24" s="66" t="str">
        <f>"COP B"&amp;FIXED(X25,0)&amp;"/W"&amp;IF(M20,M20,35)&amp;":"</f>
        <v>COP B2/W33:</v>
      </c>
      <c r="X24" s="67">
        <f>IF(X18=0,0,IF(X19,X18*1/(X20/1000/X19+1)*((IF(M20,M20,35)+273)*(35-0)/((35+273)*(IF(M20,M20,35)-X25))),)*(1-(DeltaT_ref-DeltaT_eff)/2/(IF(_TVL1,_TVL1,35)-DeltaT_ref/2+4-TQuelle+15)))</f>
        <v>0</v>
      </c>
      <c r="Y24" s="66" t="str">
        <f>"COP "&amp;IF(TQuelleH1&lt;&gt;"",TQuelleH1,10)&amp;"/"&amp;IF(M20,M20,35)&amp;":"</f>
        <v>COP 10/33:</v>
      </c>
      <c r="Z24" s="67">
        <f>IF(Z18=0,0,Z18*1/IF(Z19&gt;0,(Z20/1000/Z19+1),1)*(IF(M20&lt;&gt;"",M20,35)+273)*(35-10)/((35+273)*(IF(M20&lt;&gt;"",M20,35)-(IF(TQuelleH1&lt;&gt;"",TQuelleH1,10))))*(1-(DeltaT_ref-DeltaT_eff)/2/(IF(_TVL1&lt;&gt;"",_TVL1,35)-DeltaT_ref/2+4-IF(TQuelleH1&lt;&gt;"",TQuelleH1,10)+15)))</f>
        <v>0</v>
      </c>
      <c r="AA24" s="66" t="str">
        <f>"COP B"&amp;FIXED(AB25,0)&amp;"/W"&amp;IF(M20,M20,35)&amp;":"</f>
        <v>COP B2/W33:</v>
      </c>
      <c r="AB24" s="67">
        <f>IF(AB19,AB18*1/(AB20/1000/AB19+1)*((IF(M20,M20,35)+273)*(35-0)/((35+273)*(IF(M20,M20,35)-AB25))),)*(1-(DeltaT_ref-DeltaT_eff)/2/(IF(_TVL1,_TVL1,35)-DeltaT_ref/2+4-TQuelle+15))</f>
        <v>0</v>
      </c>
      <c r="AC24" s="66" t="str">
        <f>"COP 20/W"&amp;IF(M20,M20,35)&amp;":"</f>
        <v>COP 20/W33:</v>
      </c>
      <c r="AD24" s="67">
        <f>IF(AD19,AD18*1/(AD20/1000/AD19+1)*((IF(M20,M20,35)+273)*(35-20)/((35+273)*(IF(M20,M20,35)-AD25))),)</f>
        <v>0</v>
      </c>
      <c r="AE24" s="734"/>
      <c r="AF24" s="80"/>
      <c r="AG24" s="66" t="str">
        <f>"COP B"&amp;FIXED(AH25,0)&amp;"/W"&amp;IF(AN21,AN21,50)&amp;":"</f>
        <v>COP B2/W50:</v>
      </c>
      <c r="AH24" s="67">
        <f>IF(AH19,AH18*1/(AH20/1000/AH19+1)*((IF(AN21,AN21,50)+273)*(50-0)/((50+273)*(IF(AN21,AN21,50)-AH25))),)*(1-(DeltaT_ref-DeltaT_eff)/2/(IF(AN21,AN21,50)-DeltaT_ref/2+4-AH25+15))</f>
        <v>0</v>
      </c>
      <c r="AI24" s="66"/>
      <c r="AJ24" s="67"/>
      <c r="AK24" s="5"/>
      <c r="AL24" s="20" t="s">
        <v>3315</v>
      </c>
      <c r="AM24" s="5"/>
      <c r="AN24" s="81"/>
      <c r="AP24" s="377"/>
      <c r="AQ24" s="377"/>
      <c r="AR24" s="377"/>
      <c r="AS24" s="377"/>
      <c r="AT24" s="377"/>
      <c r="AU24" s="377"/>
      <c r="AV24" s="377"/>
      <c r="AW24" s="377"/>
      <c r="AX24" s="377"/>
      <c r="AY24" s="377"/>
      <c r="AZ24" s="377"/>
      <c r="BA24" s="377"/>
      <c r="BB24" s="377"/>
      <c r="BC24" s="377"/>
      <c r="BD24" s="377"/>
      <c r="BE24" s="377"/>
    </row>
    <row r="25" spans="2:107" ht="15" customHeight="1" x14ac:dyDescent="0.2">
      <c r="B25" s="539" t="str">
        <f>Sprache!B69</f>
        <v>Température de la source (entrée PAC)</v>
      </c>
      <c r="C25" s="516" t="s">
        <v>2948</v>
      </c>
      <c r="D25" s="516">
        <v>-15</v>
      </c>
      <c r="E25" s="516">
        <v>-7</v>
      </c>
      <c r="F25" s="516">
        <v>2</v>
      </c>
      <c r="G25" s="543">
        <v>7</v>
      </c>
      <c r="H25" s="542">
        <f>IF(WPArt=2,20,IF(WPArt=3,0,IF(WPArt=4,10,IF(WPArt=5,0,IF(WPArt=6,20,20)))))</f>
        <v>20</v>
      </c>
      <c r="J25" s="377">
        <f>IF(OR(F23="",F23=0),1,MATCH(F23,$AD$133:$AD$137,0))</f>
        <v>1</v>
      </c>
      <c r="K25" s="123" t="s">
        <v>1747</v>
      </c>
      <c r="L25" s="140"/>
      <c r="M25" s="89">
        <f>MAX(TRL,MAX(20,H35)+dTNutzer)+M21</f>
        <v>28</v>
      </c>
      <c r="N25" s="90" t="s">
        <v>2948</v>
      </c>
      <c r="O25" s="5"/>
      <c r="P25" s="72" t="s">
        <v>3344</v>
      </c>
      <c r="Q25" s="73"/>
      <c r="R25" s="294" t="str">
        <f>IF(H33&lt;&gt;"",MIN(H33,20),"")</f>
        <v/>
      </c>
      <c r="S25" s="75" t="s">
        <v>2948</v>
      </c>
      <c r="T25" s="106"/>
      <c r="U25" s="66" t="s">
        <v>3345</v>
      </c>
      <c r="V25" s="91" t="e">
        <f ca="1">IF($AK$128&gt;0,MAX(MIN(SUM(AK83:AK89)/$AK$128,1-V23),0),)</f>
        <v>#REF!</v>
      </c>
      <c r="W25" s="66" t="s">
        <v>3346</v>
      </c>
      <c r="X25" s="67">
        <f>IF(R25&lt;&gt;"",R25,IF(AND(X21&gt;0,X19&gt;0),MIN(6,-X22*0.1-IF(X22&lt;6,0.25*X22,2)+(10-(0.055+MAX(2200,X21)*(0.4+0.6*2.5/lambda_Erde)/100*0.006)*(X19*1000*(X18-1)/(X22*X23)))),0))+Offset</f>
        <v>2</v>
      </c>
      <c r="Y25" s="66" t="s">
        <v>3346</v>
      </c>
      <c r="Z25" s="67">
        <f>IF(H33&lt;&gt;"",H33,10)</f>
        <v>10</v>
      </c>
      <c r="AA25" s="66" t="s">
        <v>3346</v>
      </c>
      <c r="AB25" s="67">
        <f>IF(R25&lt;&gt;"",R25,IF(AB17&gt;0,MIN(-2-((AB17-AB19)*1000/(AB23*AB22)-1)*10,3),0))+Offset</f>
        <v>2</v>
      </c>
      <c r="AC25" s="66" t="s">
        <v>3346</v>
      </c>
      <c r="AD25" s="737">
        <f>20</f>
        <v>20</v>
      </c>
      <c r="AE25" s="734"/>
      <c r="AF25" s="80"/>
      <c r="AG25" s="66" t="s">
        <v>3346</v>
      </c>
      <c r="AH25" s="67">
        <f>IF(R27&lt;&gt;"",R27,IF(AND(AH21&gt;0,AH19&gt;0),MIN(6,10-(0.055+AH21*(0.4+0.6*2.5/lambda_Erde)/100*0.006)*(AH19*1000*(AH18-1)/(AH22*AH23))),0))+Offset</f>
        <v>2</v>
      </c>
      <c r="AI25" s="66"/>
      <c r="AJ25" s="80"/>
      <c r="AK25" s="5"/>
      <c r="AL25" s="20" t="s">
        <v>1410</v>
      </c>
      <c r="AM25" s="5"/>
      <c r="AN25" s="99"/>
      <c r="AP25" s="377"/>
      <c r="AQ25" s="377"/>
      <c r="AR25" s="377"/>
      <c r="AS25" s="377"/>
      <c r="AT25" s="377"/>
      <c r="AU25" s="377"/>
      <c r="AV25" s="377"/>
      <c r="AW25" s="377"/>
      <c r="AX25" s="377"/>
      <c r="AY25" s="377"/>
      <c r="AZ25" s="377"/>
      <c r="BA25" s="377"/>
      <c r="BB25" s="377"/>
      <c r="BC25" s="377"/>
      <c r="BD25" s="377"/>
      <c r="BE25" s="377"/>
    </row>
    <row r="26" spans="2:107" ht="15" customHeight="1" x14ac:dyDescent="0.2">
      <c r="B26" s="502" t="str">
        <f>Sprache!B185&amp;IF(SpezWP,Spez!C10,35)&amp;"°C  (Qh / COP):"</f>
        <v>Valeurs de calcul pour Tdép35°C  (Qh / COP):</v>
      </c>
      <c r="C26" s="541" t="s">
        <v>2948</v>
      </c>
      <c r="D26" s="541" t="str">
        <f>IF(WPArt=2,IF(SpezWP,FIXED(WP_BIN!AD81,1)&amp;"kW / "&amp;FIXED(WP_BIN!AD82,1),FIXED(WP_Daten!G5,1)&amp;"kW / "&amp;FIXED(WP_Daten!H5,1)),"")</f>
        <v/>
      </c>
      <c r="E26" s="541" t="str">
        <f>IF(WPArt=2,IF(SpezWP,FIXED(WP_BIN!AL81,1)&amp;"kW / "&amp;FIXED(WP_BIN!AL82,1),FIXED(WP_Daten!I5,1)&amp;"kW / "&amp;FIXED(WP_Daten!J5,1)),"")</f>
        <v/>
      </c>
      <c r="F26" s="541" t="str">
        <f>IF(WPArt=2,IF(SpezWP,FIXED(WP_BIN!AU81,1)&amp;"kW / "&amp;FIXED(WP_BIN!AU82,1),FIXED(WP_Daten!K5,1)&amp;"kW / "&amp;FIXED(WP_Daten!L5,1)),"")</f>
        <v/>
      </c>
      <c r="G26" s="836" t="str">
        <f>IF(WPArt=2,IF(SpezWP,FIXED(WP_BIN!AZ81,1)&amp;"kW / "&amp;FIXED(WP_BIN!AZ82,1),FIXED(WP_Daten!M5,1)&amp;"kW / "&amp;FIXED(WP_Daten!N5,1)),"")</f>
        <v/>
      </c>
      <c r="H26" s="837" t="str">
        <f ca="1">IF(SpezWP,IF(WPArt=2,FIXED(WP_BIN!BM81,1)&amp;"kW / "&amp;FIXED(WP_BIN!BM82,1),IF(OR(WPArt=3,WPArt=5,WPArt=4),FIXED(Spez!L21,1)&amp;"kW / "&amp;FIXED(Spez!L20,1),)),IF(OR(WPArt=2,WPArt=6),FIXED(WP_Daten!O5,1)&amp;"kW / "&amp;FIXED(WP_Daten!P5,1),IF(OR(WPArt=3,WPArt=5),FIXED(WP_Daten!W5,1)&amp;"kW / "&amp;FIXED(WP_Daten!X5,1),IF(WPArt=4,FIXED(WP_Daten!AA5,1)&amp;"kW / "&amp;FIXED(WP_Daten!AB5,1),FIXED(WP_Daten!AA5,1)&amp;"kW / "&amp;FIXED(WP_Daten!AB5,1)))))</f>
        <v>0.0kW / 0.0</v>
      </c>
      <c r="J26" s="5" t="str">
        <f ca="1">IF(OR(WPArt=2,WPArt=6),IF(WP_Daten!O5&gt;0,FIXED(WP_Daten!O5,1)&amp;"kW / "&amp;FIXED(WP_Daten!P5,1),""),IF(OR(WPArt=3,WPArt=5),FIXED(WP_Daten!W5,1)&amp;"kW / "&amp;FIXED(WP_Daten!X5,1),IF(WPArt=4,FIXED(WP_Daten!AA5,1)&amp;"kW / "&amp;FIXED(WP_Daten!AB5,1),FIXED(WP_Daten!AA5,1)&amp;"kW / "&amp;FIXED(WP_Daten!AB5,1))))</f>
        <v>0.0kW / 0.0</v>
      </c>
      <c r="K26" s="94" t="s">
        <v>771</v>
      </c>
      <c r="L26" s="88"/>
      <c r="M26" s="475">
        <v>4</v>
      </c>
      <c r="N26" s="75" t="s">
        <v>284</v>
      </c>
      <c r="O26" s="5"/>
      <c r="P26" s="72" t="s">
        <v>1924</v>
      </c>
      <c r="Q26" s="73"/>
      <c r="R26" s="74" t="str">
        <f>IF(H33&lt;&gt;"",MIN(H33,20),"")</f>
        <v/>
      </c>
      <c r="S26" s="75" t="s">
        <v>2948</v>
      </c>
      <c r="T26" s="302" t="e">
        <f ca="1">Max_Zusatzheizung</f>
        <v>#REF!</v>
      </c>
      <c r="U26" s="66" t="s">
        <v>1925</v>
      </c>
      <c r="V26" s="67" t="e">
        <f ca="1">IF(Neu,BB128,IF(OR(V17=0,V18=0,V19=0),0,1/(V23/V17+V25/V18+(1-V23-V25)/V19)))</f>
        <v>#DIV/0!</v>
      </c>
      <c r="W26" s="66" t="s">
        <v>1925</v>
      </c>
      <c r="X26" s="67">
        <f>IF(X24&gt;0,1/(X27/X24+X28),)</f>
        <v>0</v>
      </c>
      <c r="Y26" s="66" t="s">
        <v>1925</v>
      </c>
      <c r="Z26" s="67">
        <f>IF(Z24&gt;0,1/(Z27/Z24+Z28),)</f>
        <v>0</v>
      </c>
      <c r="AA26" s="66" t="s">
        <v>1925</v>
      </c>
      <c r="AB26" s="67">
        <f>IF(AB24&gt;0,1/(AB27/AB24+AB28),)</f>
        <v>0</v>
      </c>
      <c r="AC26" s="20"/>
      <c r="AD26" s="737">
        <f>X26</f>
        <v>0</v>
      </c>
      <c r="AE26" s="734"/>
      <c r="AF26" s="80"/>
      <c r="AG26" s="66"/>
      <c r="AH26" s="80"/>
      <c r="AI26" s="66"/>
      <c r="AJ26" s="80"/>
      <c r="AK26" s="5"/>
      <c r="AL26" s="20" t="s">
        <v>1926</v>
      </c>
      <c r="AM26" s="5"/>
      <c r="AN26" s="99"/>
      <c r="AP26" s="377"/>
      <c r="AQ26" s="377"/>
      <c r="AR26" s="377"/>
      <c r="AS26" s="377"/>
      <c r="AT26" s="377"/>
      <c r="AU26" s="377"/>
      <c r="AV26" s="377"/>
      <c r="AW26" s="377"/>
      <c r="AX26" s="377"/>
      <c r="AY26" s="377"/>
      <c r="AZ26" s="377"/>
      <c r="BA26" s="377"/>
      <c r="BB26" s="377"/>
      <c r="BC26" s="377"/>
      <c r="BD26" s="377"/>
      <c r="BE26" s="377"/>
    </row>
    <row r="27" spans="2:107" ht="15" customHeight="1" x14ac:dyDescent="0.25">
      <c r="B27" s="536" t="str">
        <f>Sprache!B197&amp;" 35°C"</f>
        <v>Puissance de chauffe pour Tdép 35°C</v>
      </c>
      <c r="C27" s="116" t="s">
        <v>3650</v>
      </c>
      <c r="D27" s="529">
        <f>IF(JAZcalc,JAZcalc!E30,WP!D27)</f>
        <v>0</v>
      </c>
      <c r="E27" s="529">
        <f>IF(JAZcalc,JAZcalc!F30,WP!E27)</f>
        <v>0</v>
      </c>
      <c r="F27" s="529">
        <f>IF(JAZcalc,JAZcalc!G30,WP!F27)</f>
        <v>0</v>
      </c>
      <c r="G27" s="535">
        <f>IF(JAZcalc,JAZcalc!H30,WP!G27)</f>
        <v>0</v>
      </c>
      <c r="H27" s="530">
        <f>IF(JAZcalc,JAZcalc!I30,WP!H27)</f>
        <v>0</v>
      </c>
      <c r="J27" s="5" t="b">
        <f ca="1">IF(AND(WPArt=2,SpezWP=FALSE,WP_Daten!K5&gt;0,WP_Daten!L5&gt;0),TRUE,FALSE)</f>
        <v>0</v>
      </c>
      <c r="K27" s="476" t="s">
        <v>2954</v>
      </c>
      <c r="L27" s="457"/>
      <c r="M27" s="96">
        <f>(IF(H12&lt;&gt;"",H12,0)+1)*H9</f>
        <v>0</v>
      </c>
      <c r="N27" s="75" t="s">
        <v>741</v>
      </c>
      <c r="O27" s="5"/>
      <c r="P27" s="72" t="s">
        <v>1928</v>
      </c>
      <c r="Q27" s="73"/>
      <c r="R27" s="74"/>
      <c r="S27" s="75" t="s">
        <v>2948</v>
      </c>
      <c r="T27" s="302" t="e">
        <f ca="1">Zusatzheizung_total</f>
        <v>#REF!</v>
      </c>
      <c r="U27" s="105" t="s">
        <v>1929</v>
      </c>
      <c r="V27" s="91" t="e">
        <f ca="1">IF(AND(EBF&gt;0,Kategorie&gt;1,(Bedarf-BedarfWW)&gt;0),IF(ABS(AK128/(Bedarf-BedarfWW)+V28)&gt;0.99,1-V28,AK128/(Bedarf-BedarfWW)),0)</f>
        <v>#REF!</v>
      </c>
      <c r="W27" s="105" t="s">
        <v>1929</v>
      </c>
      <c r="X27" s="91" t="e">
        <f ca="1">IF(AND(EBF&gt;0,Kategorie&gt;1,(Bedarf-BedarfWW)&gt;0),IF(ABS(AK128/(Bedarf-BedarfWW)+V28)&gt;0.99,1-V28,AK128/(Bedarf-BedarfWW)),0)</f>
        <v>#REF!</v>
      </c>
      <c r="Y27" s="105" t="s">
        <v>1929</v>
      </c>
      <c r="Z27" s="91" t="e">
        <f ca="1">IF(AND(EBF&gt;0,Kategorie&gt;1,(Bedarf-BedarfWW)&gt;0),IF(ABS(AK128/(Bedarf-BedarfWW)+V28)&gt;0.99,1-V28,AK128/(Bedarf-BedarfWW)),0)</f>
        <v>#REF!</v>
      </c>
      <c r="AA27" s="105" t="s">
        <v>1929</v>
      </c>
      <c r="AB27" s="91" t="e">
        <f ca="1">IF(AND(EBF&gt;0,Kategorie&gt;1,(Bedarf-BedarfWW)&gt;0),IF(ABS(AK128/(Bedarf-BedarfWW)+V28)&gt;0.99,1-V28,AK128/(Bedarf-BedarfWW)),0)</f>
        <v>#REF!</v>
      </c>
      <c r="AC27" s="732" t="s">
        <v>1929</v>
      </c>
      <c r="AD27" s="738" t="e">
        <f ca="1">X27</f>
        <v>#REF!</v>
      </c>
      <c r="AE27" s="735" t="s">
        <v>1929</v>
      </c>
      <c r="AF27" s="91"/>
      <c r="AG27" s="105" t="s">
        <v>1929</v>
      </c>
      <c r="AH27" s="91"/>
      <c r="AI27" s="105" t="s">
        <v>1929</v>
      </c>
      <c r="AJ27" s="91"/>
      <c r="AK27" s="5"/>
      <c r="AL27" s="20" t="s">
        <v>1930</v>
      </c>
      <c r="AM27" s="5"/>
      <c r="AN27" s="69"/>
      <c r="AP27" s="377"/>
      <c r="AQ27" s="377"/>
      <c r="AR27" s="377"/>
      <c r="AS27" s="377"/>
      <c r="AT27" s="377"/>
      <c r="AU27" s="377"/>
      <c r="AV27" s="377"/>
      <c r="AW27" s="377"/>
      <c r="AX27" s="377"/>
      <c r="AY27" s="377"/>
      <c r="AZ27" s="377"/>
      <c r="BA27" s="377"/>
      <c r="BB27" s="377"/>
      <c r="BC27" s="377"/>
      <c r="BD27" s="377"/>
      <c r="BE27" s="377"/>
    </row>
    <row r="28" spans="2:107" ht="15" customHeight="1" x14ac:dyDescent="0.25">
      <c r="B28" s="536" t="str">
        <f>Sprache!B198&amp;" 35°C"</f>
        <v>COP à la température de départ 35°C</v>
      </c>
      <c r="C28" s="116" t="s">
        <v>721</v>
      </c>
      <c r="D28" s="529">
        <f>IF(JAZcalc,JAZcalc!E31,WP!D28)</f>
        <v>0</v>
      </c>
      <c r="E28" s="529">
        <f>IF(JAZcalc,JAZcalc!F31,WP!E28)</f>
        <v>0</v>
      </c>
      <c r="F28" s="529">
        <f>IF(JAZcalc,JAZcalc!G31,WP!F28)</f>
        <v>0</v>
      </c>
      <c r="G28" s="535">
        <f>IF(JAZcalc,JAZcalc!H31,WP!G28)</f>
        <v>0</v>
      </c>
      <c r="H28" s="530">
        <f>IF(JAZcalc,JAZcalc!I31,WP!H28)</f>
        <v>0</v>
      </c>
      <c r="J28" s="5" t="b">
        <f ca="1">IF(AND(WPArt=2,SpezWP=TRUE,WP_BIN!AU81&gt;0,WP_BIN!AU82&gt;0),TRUE,FALSE)</f>
        <v>0</v>
      </c>
      <c r="K28" s="94" t="s">
        <v>890</v>
      </c>
      <c r="L28" s="10"/>
      <c r="M28" s="98">
        <f>M31*0.9</f>
        <v>0</v>
      </c>
      <c r="N28" s="35" t="s">
        <v>3650</v>
      </c>
      <c r="O28" s="5"/>
      <c r="P28" s="72" t="s">
        <v>3477</v>
      </c>
      <c r="Q28" s="73"/>
      <c r="R28" s="74"/>
      <c r="S28" s="75" t="s">
        <v>2948</v>
      </c>
      <c r="T28" s="106" t="e">
        <f ca="1">Bedarf</f>
        <v>#REF!</v>
      </c>
      <c r="U28" s="105" t="s">
        <v>3478</v>
      </c>
      <c r="V28" s="91" t="e">
        <f ca="1">IF(AND(EBF&gt;0,Kategorie&gt;1,(Bedarf-BedarfWW)&gt;0),(Bedarf-BedarfWW-$AK$128-Zusatzheizung_total+Max_Zusatzheizung+$AO$128)/(Bedarf-BedarfWW),0)</f>
        <v>#REF!</v>
      </c>
      <c r="W28" s="105" t="s">
        <v>3478</v>
      </c>
      <c r="X28" s="91" t="e">
        <f ca="1">IF(AND(EBF&gt;0,Kategorie&gt;1,(Bedarf-BedarfWW)&gt;0),(Bedarf-BedarfWW-$AK$128-Zusatzheizung_total+Max_Zusatzheizung+$AO$128)/(Bedarf-BedarfWW),0)</f>
        <v>#REF!</v>
      </c>
      <c r="Y28" s="105" t="s">
        <v>3478</v>
      </c>
      <c r="Z28" s="91" t="e">
        <f ca="1">IF(AND(EBF&gt;0,Kategorie&gt;1,(Bedarf-BedarfWW)&gt;0),(Bedarf-BedarfWW-$AK$128-Zusatzheizung_total+Max_Zusatzheizung+$AO$128)/(Bedarf-BedarfWW),0)</f>
        <v>#REF!</v>
      </c>
      <c r="AA28" s="105" t="s">
        <v>3478</v>
      </c>
      <c r="AB28" s="91" t="e">
        <f ca="1">IF(AND(EBF&gt;0,Kategorie&gt;1,(Bedarf-BedarfWW)&gt;0),(Bedarf-BedarfWW-$AK$128-Zusatzheizung_total+Max_Zusatzheizung+$AO$128)/(Bedarf-BedarfWW),0)</f>
        <v>#REF!</v>
      </c>
      <c r="AC28" s="732" t="s">
        <v>3478</v>
      </c>
      <c r="AD28" s="738" t="e">
        <f ca="1">X28</f>
        <v>#REF!</v>
      </c>
      <c r="AE28" s="735" t="s">
        <v>3478</v>
      </c>
      <c r="AF28" s="91"/>
      <c r="AG28" s="105" t="s">
        <v>3478</v>
      </c>
      <c r="AH28" s="91"/>
      <c r="AI28" s="105" t="s">
        <v>3478</v>
      </c>
      <c r="AJ28" s="91"/>
      <c r="AK28" s="5"/>
      <c r="AL28" s="20" t="s">
        <v>3479</v>
      </c>
      <c r="AM28" s="5"/>
      <c r="AN28" s="69"/>
      <c r="AP28" s="377"/>
      <c r="AQ28" s="377"/>
      <c r="AR28" s="377"/>
      <c r="AS28" s="377"/>
      <c r="AT28" s="377"/>
      <c r="AU28" s="377"/>
      <c r="AV28" s="377"/>
      <c r="AW28" s="377"/>
      <c r="AX28" s="377"/>
      <c r="AY28" s="377"/>
      <c r="AZ28" s="377"/>
      <c r="BA28" s="377"/>
      <c r="BB28" s="377"/>
      <c r="BC28" s="377"/>
      <c r="BD28" s="377"/>
      <c r="BE28" s="377"/>
    </row>
    <row r="29" spans="2:107" ht="15" customHeight="1" x14ac:dyDescent="0.25">
      <c r="B29" s="536" t="str">
        <f>Sprache!B197&amp;" 55°C"</f>
        <v>Puissance de chauffe pour Tdép 55°C</v>
      </c>
      <c r="C29" s="116" t="s">
        <v>3650</v>
      </c>
      <c r="D29" s="116"/>
      <c r="E29" s="529">
        <f>IF(JAZcalc,JAZcalc!F32,WP!E29)</f>
        <v>0</v>
      </c>
      <c r="F29" s="116"/>
      <c r="G29" s="529">
        <f>IF(JAZcalc,JAZcalc!H32,WP!G29)</f>
        <v>0</v>
      </c>
      <c r="H29" s="530">
        <f>IF(JAZcalc,JAZcalc!I32,WP!H29)</f>
        <v>0</v>
      </c>
      <c r="J29" s="5" t="b">
        <f ca="1">IF(OR(J27,J28,WPArt&lt;&gt;2),TRUE,FALSE)</f>
        <v>1</v>
      </c>
      <c r="K29" s="9" t="s">
        <v>1464</v>
      </c>
      <c r="L29" s="10"/>
      <c r="M29" s="101">
        <f>(QT+QV)*(1+IF(Verteilverluste&gt;0,Verteilverluste,0))</f>
        <v>0</v>
      </c>
      <c r="N29" s="44" t="s">
        <v>741</v>
      </c>
      <c r="O29" s="5"/>
      <c r="P29" s="72" t="s">
        <v>2704</v>
      </c>
      <c r="Q29" s="73"/>
      <c r="R29" s="74">
        <v>2</v>
      </c>
      <c r="S29" s="75" t="s">
        <v>2948</v>
      </c>
      <c r="T29" s="1111" t="e">
        <f ca="1">BedarfWW</f>
        <v>#REF!</v>
      </c>
      <c r="U29" s="109" t="s">
        <v>712</v>
      </c>
      <c r="V29" s="110" t="e">
        <f ca="1">V24*Etah</f>
        <v>#DIV/0!</v>
      </c>
      <c r="W29" s="109" t="s">
        <v>712</v>
      </c>
      <c r="X29" s="110">
        <f>X24*Etah</f>
        <v>0</v>
      </c>
      <c r="Y29" s="109" t="s">
        <v>712</v>
      </c>
      <c r="Z29" s="110">
        <f>Z24*Etah</f>
        <v>0</v>
      </c>
      <c r="AA29" s="109" t="s">
        <v>712</v>
      </c>
      <c r="AB29" s="110">
        <f>AB24*Etah</f>
        <v>0</v>
      </c>
      <c r="AC29" s="25" t="s">
        <v>712</v>
      </c>
      <c r="AD29" s="110">
        <f>AD24*Etah</f>
        <v>0</v>
      </c>
      <c r="AE29" s="736" t="s">
        <v>712</v>
      </c>
      <c r="AF29" s="111"/>
      <c r="AG29" s="109" t="s">
        <v>712</v>
      </c>
      <c r="AH29" s="111"/>
      <c r="AI29" s="109" t="s">
        <v>712</v>
      </c>
      <c r="AJ29" s="111"/>
      <c r="AK29" s="5"/>
      <c r="AL29" s="16" t="s">
        <v>3482</v>
      </c>
      <c r="AM29" s="23"/>
      <c r="AN29" s="112" t="str">
        <f>IF(WPArt2=1,"",IF(WPArt2=2,AF37,IF(WPArt2=3,AH37,IF(WPArt2=4,AJ37,))))</f>
        <v/>
      </c>
      <c r="AP29" s="377"/>
      <c r="AQ29" s="377"/>
      <c r="AR29" s="377"/>
      <c r="AS29" s="377"/>
      <c r="AT29" s="377"/>
      <c r="AU29" s="377"/>
      <c r="AV29" s="377"/>
      <c r="AW29" s="377"/>
      <c r="AX29" s="377"/>
      <c r="AY29" s="377"/>
      <c r="AZ29" s="377"/>
      <c r="BA29" s="377"/>
      <c r="BB29" s="377"/>
      <c r="BC29" s="377"/>
      <c r="BD29" s="377"/>
      <c r="BE29" s="377"/>
    </row>
    <row r="30" spans="2:107" ht="15" customHeight="1" x14ac:dyDescent="0.25">
      <c r="B30" s="540" t="str">
        <f>Sprache!B198&amp;" 55°C"</f>
        <v>COP à la température de départ 55°C</v>
      </c>
      <c r="C30" s="1010" t="s">
        <v>721</v>
      </c>
      <c r="D30" s="520"/>
      <c r="E30" s="531">
        <f>IF(JAZcalc,JAZcalc!F33,WP!E30)</f>
        <v>0</v>
      </c>
      <c r="F30" s="520"/>
      <c r="G30" s="531">
        <f>IF(JAZcalc,JAZcalc!H33,WP!G30)</f>
        <v>0</v>
      </c>
      <c r="H30" s="532">
        <f>IF(JAZcalc,JAZcalc!I33,WP!H30)</f>
        <v>0</v>
      </c>
      <c r="K30" s="9" t="s">
        <v>1474</v>
      </c>
      <c r="L30" s="10"/>
      <c r="M30" s="101" t="str">
        <f>IF(Qh,IF(Qtot&gt;0,Qtot,H9/15*(20-TaMin)*(1+IF(Verteilverluste&gt;0,Verteilverluste,0))),"")</f>
        <v/>
      </c>
      <c r="N30" s="44" t="s">
        <v>741</v>
      </c>
      <c r="O30" s="5"/>
      <c r="P30" s="5"/>
      <c r="Q30" s="5"/>
      <c r="R30" s="5"/>
      <c r="S30" s="106"/>
      <c r="T30" s="5"/>
      <c r="U30" s="1215" t="s">
        <v>3484</v>
      </c>
      <c r="V30" s="1216"/>
      <c r="W30" s="1215" t="s">
        <v>3484</v>
      </c>
      <c r="X30" s="1216"/>
      <c r="Y30" s="1215" t="s">
        <v>3484</v>
      </c>
      <c r="Z30" s="1216"/>
      <c r="AA30" s="1215" t="s">
        <v>3484</v>
      </c>
      <c r="AB30" s="1216"/>
      <c r="AC30" s="1215" t="s">
        <v>3484</v>
      </c>
      <c r="AD30" s="1255"/>
      <c r="AE30" s="1215" t="s">
        <v>3484</v>
      </c>
      <c r="AF30" s="1216"/>
      <c r="AG30" s="1215" t="s">
        <v>3484</v>
      </c>
      <c r="AH30" s="1216"/>
      <c r="AI30" s="1215" t="s">
        <v>3484</v>
      </c>
      <c r="AJ30" s="1216"/>
      <c r="AK30" s="5"/>
      <c r="AL30" s="25" t="s">
        <v>3485</v>
      </c>
      <c r="AM30" s="27"/>
      <c r="AN30" s="115">
        <f>1-Z141-Z148</f>
        <v>0.94</v>
      </c>
      <c r="AP30" s="377"/>
      <c r="AQ30" s="377"/>
      <c r="AR30" s="377"/>
      <c r="AS30" s="377"/>
      <c r="AT30" s="377"/>
      <c r="AU30" s="377"/>
      <c r="AV30" s="377"/>
      <c r="AW30" s="377"/>
      <c r="AX30" s="377"/>
      <c r="AY30" s="377"/>
      <c r="AZ30" s="377"/>
      <c r="BA30" s="377"/>
      <c r="BB30" s="377"/>
      <c r="BC30" s="377"/>
      <c r="BD30" s="377"/>
      <c r="BE30" s="377"/>
    </row>
    <row r="31" spans="2:107" ht="15" customHeight="1" x14ac:dyDescent="0.2">
      <c r="B31" s="92" t="str">
        <f>IF(WPArt=4,Sprache!B88,Sprache!B70)</f>
        <v>Puissance électrique soutirée par pompe saumure:</v>
      </c>
      <c r="C31" s="250"/>
      <c r="D31" s="250"/>
      <c r="E31" s="346"/>
      <c r="F31" s="113"/>
      <c r="G31" s="541" t="s">
        <v>724</v>
      </c>
      <c r="H31" s="544">
        <f>IF(JAZcalc,JAZcalc!I34,WP!H31)</f>
        <v>0</v>
      </c>
      <c r="J31" s="5" t="b">
        <f>IF(OR(Spez!L38,Spez!L46),TRUE,FALSE)</f>
        <v>0</v>
      </c>
      <c r="K31" s="94" t="s">
        <v>1927</v>
      </c>
      <c r="L31" s="88"/>
      <c r="M31" s="104">
        <f>IF(EBF&gt;0,Berechnungen!B36,0)</f>
        <v>0</v>
      </c>
      <c r="N31" s="35" t="s">
        <v>3650</v>
      </c>
      <c r="O31" s="106"/>
      <c r="P31" s="6" t="s">
        <v>3487</v>
      </c>
      <c r="Q31" s="118"/>
      <c r="R31" s="119"/>
      <c r="S31" s="75" t="s">
        <v>3488</v>
      </c>
      <c r="T31" s="5"/>
      <c r="U31" s="58" t="str">
        <f>"COP A7/W"&amp;IF(M48,M48,50)&amp;":"</f>
        <v>COP A7/W60:</v>
      </c>
      <c r="V31" s="59">
        <f ca="1">WP_BIN!H23*((IF($M$48,$M$48,55)+273)*(55-7)/((55+273)*(IF($M$48,$M$48,55)-7-DT_7_50)))</f>
        <v>0</v>
      </c>
      <c r="W31" s="58" t="str">
        <f>"COP B0/W55:"</f>
        <v>COP B0/W55:</v>
      </c>
      <c r="X31" s="59">
        <f>W51</f>
        <v>0</v>
      </c>
      <c r="Y31" s="58" t="str">
        <f>"COP 10/55:"</f>
        <v>COP 10/55:</v>
      </c>
      <c r="Z31" s="59">
        <f>W51</f>
        <v>0</v>
      </c>
      <c r="AA31" s="58" t="str">
        <f>"COP B0/W55:"</f>
        <v>COP B0/W55:</v>
      </c>
      <c r="AB31" s="59">
        <f>W51</f>
        <v>0</v>
      </c>
      <c r="AC31" s="58" t="str">
        <f>"COP 20/55:"</f>
        <v>COP 20/55:</v>
      </c>
      <c r="AD31" s="59">
        <f>X31</f>
        <v>0</v>
      </c>
      <c r="AE31" s="733" t="str">
        <f>"COP A7/W"&amp;IF(AN21,AN21,50)&amp;":"</f>
        <v>COP A7/W50:</v>
      </c>
      <c r="AF31" s="59">
        <f>AN20*((IF(AN21,AN21,50)+273)*(50-7)/((50+273)*(IF(AN21,AN21,50)-7)))</f>
        <v>0</v>
      </c>
      <c r="AG31" s="58" t="str">
        <f>"COP B0/W50:"</f>
        <v>COP B0/W50:</v>
      </c>
      <c r="AH31" s="59">
        <f>AN20</f>
        <v>0</v>
      </c>
      <c r="AI31" s="58" t="str">
        <f>"COP 10/50:"</f>
        <v>COP 10/50:</v>
      </c>
      <c r="AJ31" s="59">
        <f>AN20</f>
        <v>0</v>
      </c>
      <c r="AK31" s="5"/>
      <c r="AL31" s="5"/>
      <c r="AM31" s="5"/>
      <c r="AN31" s="5"/>
      <c r="AP31" s="377"/>
      <c r="AQ31" s="377"/>
      <c r="AR31" s="377"/>
      <c r="AS31" s="377"/>
      <c r="AT31" s="377"/>
      <c r="AU31" s="377"/>
      <c r="AV31" s="377"/>
      <c r="AW31" s="377"/>
      <c r="AX31" s="377"/>
      <c r="AY31" s="377"/>
      <c r="AZ31" s="377"/>
      <c r="BA31" s="377"/>
      <c r="BB31" s="377"/>
      <c r="BC31" s="377"/>
      <c r="BD31" s="377"/>
      <c r="BE31" s="377"/>
    </row>
    <row r="32" spans="2:107" ht="15" customHeight="1" x14ac:dyDescent="0.2">
      <c r="B32" s="100" t="str">
        <f>IF(WPArt=3,Sprache!B79,IF(WPArt=5,Sprache!B80,""))</f>
        <v/>
      </c>
      <c r="D32" s="116" t="str">
        <f>IF(WPArt=3,Sprache!B72,IF(WPArt=5,"W/m2",""))</f>
        <v/>
      </c>
      <c r="E32" s="535">
        <f>IF(JAZcalc,IF(WPArt=3,IF(JAZcalc!F35="",1,JAZcalc!F35),JAZcalc!F35),IF(WPArt=3,IF(WP!E32="",1,WP!E32),WP!E32))</f>
        <v>0</v>
      </c>
      <c r="F32" s="116" t="str">
        <f>IF(WPArt=3,Sprache!B77,IF(WPArt=5,Sprache!B188,""))</f>
        <v/>
      </c>
      <c r="G32" s="190" t="str">
        <f>IF(WPArt=3,"m",IF(WPArt=5,"m2",""))</f>
        <v/>
      </c>
      <c r="H32" s="530">
        <f>IF(JAZcalc,JAZcalc!I35,WP!H32)</f>
        <v>0</v>
      </c>
      <c r="K32" s="94" t="s">
        <v>3476</v>
      </c>
      <c r="L32" s="88"/>
      <c r="M32" s="104" t="e">
        <f>MAX(Leistung,IF(AND(Leistung&lt;&gt;"",Leistung&lt;M28),M28,IF(AND(Leistung&lt;&gt;"",Leistung&gt;M28),Leistung,M31)))/(20-TaMin)*28</f>
        <v>#VALUE!</v>
      </c>
      <c r="N32" s="35" t="s">
        <v>3650</v>
      </c>
      <c r="O32" s="5"/>
      <c r="P32" s="121" t="s">
        <v>3490</v>
      </c>
      <c r="Q32" s="5"/>
      <c r="S32" s="5"/>
      <c r="T32" s="5"/>
      <c r="U32" s="66" t="str">
        <f>"COP 7/"&amp;IF(MAX(M48,H42),MAX(M48,H42),50)&amp;" eff"</f>
        <v>COP 7/60 eff</v>
      </c>
      <c r="V32" s="67">
        <f ca="1">IF(V31&gt;0,1/(V35/IF(V19&gt;0,MIN(V31,V19),V31)+V36),)</f>
        <v>0</v>
      </c>
      <c r="W32" s="66" t="s">
        <v>3346</v>
      </c>
      <c r="X32" s="67">
        <f>IF(R26&lt;&gt;"",R26,IF(AND(X22&gt;0,X23&gt;0,X21&gt;0,X19&gt;0,X31&gt;0),MIN(6,-X22*0.1-IF(X22&lt;6,0.25*X22,2)+(10-(0.055+MAX(2200,X21)*(0.4+0.6*2.5/lambda_Erde)/100*0.006)*(X19*1000*(X31-1)/(X22*X23)))),0))+Offset</f>
        <v>2</v>
      </c>
      <c r="Y32" s="66" t="s">
        <v>3346</v>
      </c>
      <c r="Z32" s="67">
        <f>IF(H33&lt;&gt;"",H33,10)</f>
        <v>10</v>
      </c>
      <c r="AA32" s="66" t="s">
        <v>3346</v>
      </c>
      <c r="AB32" s="67">
        <f>IF(R26&lt;&gt;"",R26,IF(AB17&gt;0,MIN(-2-((AB19*AB31*1000)/(AB23*AB22)-1)*10,3),0))+Offset</f>
        <v>2</v>
      </c>
      <c r="AC32" s="66" t="s">
        <v>3346</v>
      </c>
      <c r="AD32" s="67">
        <v>20</v>
      </c>
      <c r="AE32" s="734"/>
      <c r="AF32" s="67"/>
      <c r="AG32" s="66" t="s">
        <v>3346</v>
      </c>
      <c r="AH32" s="67">
        <f>IF(R28&lt;&gt;"",R28,IF(AND(AH22&gt;0,AH23&gt;0,AH21&gt;0,AH19&gt;0,AH31&gt;0),MIN(6,10-(0.055+AH21*(0.4+0.6*2.5/lambda_Erde)/100*0.006)*(AH19*1000*(AH31-1)/(AH22*AH23))),0))+Offset</f>
        <v>2</v>
      </c>
      <c r="AI32" s="66" t="s">
        <v>3346</v>
      </c>
      <c r="AJ32" s="67" t="s">
        <v>2342</v>
      </c>
      <c r="AK32" s="5"/>
      <c r="AL32" s="5"/>
      <c r="AM32" s="5"/>
      <c r="AN32" s="5"/>
      <c r="AP32" s="377"/>
      <c r="AQ32" s="377"/>
      <c r="AR32" s="377"/>
      <c r="AS32" s="377"/>
      <c r="AT32" s="377"/>
      <c r="AU32" s="377"/>
      <c r="AV32" s="377"/>
      <c r="AW32" s="377"/>
      <c r="AX32" s="377"/>
      <c r="AY32" s="377"/>
      <c r="AZ32" s="377"/>
      <c r="BA32" s="377"/>
      <c r="BB32" s="377"/>
      <c r="BC32" s="377"/>
      <c r="BD32" s="377"/>
      <c r="BE32" s="377"/>
      <c r="DC32" s="5"/>
    </row>
    <row r="33" spans="2:109" ht="15" customHeight="1" x14ac:dyDescent="0.2">
      <c r="B33" s="100" t="str">
        <f>IF(EBF&gt;0,IF(WPArt=5,Sprache!B82,IF(WPArt=4,Sprache!B83,Sprache!B82)),"")</f>
        <v/>
      </c>
      <c r="C33" s="103"/>
      <c r="D33" s="103"/>
      <c r="E33" s="97"/>
      <c r="F33" s="537" t="str">
        <f>IF(WPArt=5,ROUND(TQuelle_Koll-Offset,1),IF(WPArt=3,IF(R25&lt;&gt;"",R25,IF(H32&gt;0,ROUND(TQuelle-Offset,1),"")),IF(WPArt=4,IF(AND(H33&lt;4,H33&lt;&gt;""),Sprache!B132,""),"")))</f>
        <v/>
      </c>
      <c r="G33" s="116" t="str">
        <f>IF(Heizung=FALSE,"","°C")</f>
        <v/>
      </c>
      <c r="H33" s="544" t="str">
        <f>IF(JAZcalc,IF(JAZcalc!L35&lt;&gt;"",JAZcalc!L35,""),IF(WP!H33&lt;&gt;"",WP!H33,""))</f>
        <v/>
      </c>
      <c r="K33" s="94" t="s">
        <v>3480</v>
      </c>
      <c r="L33" s="88"/>
      <c r="M33" s="107" t="e">
        <f>Y129</f>
        <v>#VALUE!</v>
      </c>
      <c r="N33" s="35" t="s">
        <v>3481</v>
      </c>
      <c r="O33" s="5"/>
      <c r="P33" s="5"/>
      <c r="Q33" s="5"/>
      <c r="R33" s="5"/>
      <c r="S33" s="5"/>
      <c r="T33" s="5"/>
      <c r="U33" s="66" t="s">
        <v>2562</v>
      </c>
      <c r="V33" s="67">
        <f ca="1">IF(V31=0,0,BC130)</f>
        <v>0</v>
      </c>
      <c r="W33" s="66" t="str">
        <f>"COP "&amp;FIXED(X32,0)&amp;"/W"&amp;IF(M48,M48,55)&amp;":"</f>
        <v>COP 2/W60:</v>
      </c>
      <c r="X33" s="67">
        <f>IF(X38,X40,X31*1/IF(X19&gt;0,(X20/1000/X19+1),1)*((IF(M48,M48,55)+273)*(55-0)/((55+273)*(IF(M48,M48,55)-X32))))</f>
        <v>0</v>
      </c>
      <c r="Y33" s="66" t="str">
        <f>"COP "&amp;IF(TQuelleW1&lt;&gt;"",TQuelleW1,10)&amp;"/"&amp;IF(M48&lt;&gt;"",M48,50)&amp;":"</f>
        <v>COP 10/60:</v>
      </c>
      <c r="Z33" s="67">
        <f>IF(Z38,Z40,Z31*1/IF(Z19&gt;0,(Z20/1000/Z19+1),1)*((IF(_Tww1&lt;&gt;0,_Tww1,55)+273)*(55-10)/((55+273)*(IF(_Tww1&lt;&gt;0,_Tww1,55)-IF(TQuelleW1&lt;&gt;"",TQuelleW1,10)))))</f>
        <v>0</v>
      </c>
      <c r="AA33" s="66" t="str">
        <f>"COP "&amp;FIXED(AB32,0)&amp;"/W"&amp;IF(M48,M48,50)&amp;":"</f>
        <v>COP 2/W60:</v>
      </c>
      <c r="AB33" s="67">
        <f>IF(AB38,AB40,AB31*1/IF(AB19&gt;0,(AB20/1000/AB19+1),1)*((IF(M48,M48,55)+273)*(55-0)/((55+273)*(IF(M48,M48,55)-AB32))))</f>
        <v>0</v>
      </c>
      <c r="AC33" s="66" t="str">
        <f>"COP 20/W"&amp;IF(M48,M48,55)&amp;":"</f>
        <v>COP 20/W60:</v>
      </c>
      <c r="AD33" s="67">
        <f>AD31*1/IF(AD19&gt;0,(AD20/1000/AD19+1),1)*((IF(M48,M48,55)+273)*(55-20)/((55+273)*(IF(M48,M48,55)-AD32)))</f>
        <v>0</v>
      </c>
      <c r="AE33" s="734"/>
      <c r="AF33" s="80"/>
      <c r="AG33" s="66" t="str">
        <f>"COP "&amp;FIXED(AH32,0)&amp;"/W"&amp;IF(AN21,AN21,50)&amp;":"</f>
        <v>COP 2/W50:</v>
      </c>
      <c r="AH33" s="67">
        <f>AH31*1/IF(AH19&gt;0,(AH20/1000/AH19+1),1)*((IF(AN21,AN21,50)+273)*(50-0)/((50+273)*(IF(AN21,AN21,50)-AH32)))</f>
        <v>0</v>
      </c>
      <c r="AI33" s="66" t="str">
        <f>"COP "&amp;IF(TQuelleW1&lt;&gt;"",TQuelleW1,10)&amp;"/"&amp;IF(AN21&lt;&gt;"",AN21,50)&amp;":"</f>
        <v>COP 10/50:</v>
      </c>
      <c r="AJ33" s="67">
        <f>AJ31*1/IF(AJ19&gt;0,(AJ20/1000/AJ19+1),1)*((IF(AN21&lt;&gt;"",AN21,50)+273)*(50-10)/((50+273)*(IF(AN21&lt;&gt;"",AN21,50)-IF(AN23&lt;&gt;"",AN23,10))))</f>
        <v>0</v>
      </c>
      <c r="AK33" s="5"/>
      <c r="AL33" s="5"/>
      <c r="AM33" s="5"/>
      <c r="AN33" s="5"/>
      <c r="AP33" s="377"/>
      <c r="AQ33" s="377"/>
      <c r="AR33" s="377"/>
      <c r="AS33" s="377"/>
      <c r="AT33" s="377"/>
      <c r="AU33" s="377"/>
      <c r="AV33" s="377"/>
      <c r="AW33" s="377"/>
      <c r="AX33" s="377"/>
      <c r="AY33" s="377"/>
      <c r="AZ33" s="377"/>
      <c r="BA33" s="377"/>
      <c r="BB33" s="377"/>
      <c r="BC33" s="377"/>
      <c r="BD33" s="377"/>
      <c r="BE33" s="377"/>
      <c r="DC33" s="5"/>
    </row>
    <row r="34" spans="2:109" ht="15" customHeight="1" x14ac:dyDescent="0.2">
      <c r="B34" s="100" t="str">
        <f>Q22</f>
        <v xml:space="preserve"> </v>
      </c>
      <c r="C34" s="103"/>
      <c r="D34" s="671"/>
      <c r="E34" s="97"/>
      <c r="F34" s="127"/>
      <c r="G34" s="117" t="str">
        <f>S22</f>
        <v xml:space="preserve"> </v>
      </c>
      <c r="H34" s="301">
        <f>IF(JAZcalc,JAZcalc!I37,WP!H34)</f>
        <v>0</v>
      </c>
      <c r="K34" s="94" t="s">
        <v>3483</v>
      </c>
      <c r="L34" s="88"/>
      <c r="M34" s="114">
        <f>IF(TaMin&lt;&gt;"",TaMin+8,0)</f>
        <v>0</v>
      </c>
      <c r="N34" s="35" t="s">
        <v>2948</v>
      </c>
      <c r="O34" s="5"/>
      <c r="P34" s="94" t="s">
        <v>1746</v>
      </c>
      <c r="Q34" s="95"/>
      <c r="R34" s="84">
        <f>MAX(H35+2,20+2)+M21</f>
        <v>26</v>
      </c>
      <c r="S34" s="75" t="s">
        <v>2948</v>
      </c>
      <c r="T34" s="5"/>
      <c r="U34" s="66"/>
      <c r="V34" s="80"/>
      <c r="W34" s="66" t="str">
        <f>"COP 0/"&amp;IF(MAX(M48,H42),MAX(M48,H42),50)&amp;" eff"</f>
        <v>COP 0/60 eff</v>
      </c>
      <c r="X34" s="67">
        <f>IF(X33&gt;0,1/(X35/IF(X24&gt;0,MIN(X33,X24),X33)+X36),)</f>
        <v>0</v>
      </c>
      <c r="Y34" s="66" t="str">
        <f>"COP "&amp;IF(TQuelleW1&lt;&gt;"",TQuelleW1,10)&amp;"/"&amp;IF(MAX(M48,H42),MAX(M48,H42),50)&amp;"eff:"</f>
        <v>COP 10/60eff:</v>
      </c>
      <c r="Z34" s="67">
        <f>IF(Z33&gt;0,1/(Z35/IF(Z24&gt;0,MIN(Z33,Z24),Z33)+Z36),)</f>
        <v>0</v>
      </c>
      <c r="AA34" s="66" t="str">
        <f>"COP 0/"&amp;IF(MAX(M48,H42),MAX(M48,H42),50)&amp;" eff"</f>
        <v>COP 0/60 eff</v>
      </c>
      <c r="AB34" s="67">
        <f>IF(AB33&gt;0,1/(AB35/IF(AB24&gt;0,MIN(AB33,AB24),AB33)+AB36),)</f>
        <v>0</v>
      </c>
      <c r="AC34" s="20"/>
      <c r="AD34" s="67"/>
      <c r="AE34" s="734"/>
      <c r="AF34" s="80"/>
      <c r="AG34" s="66"/>
      <c r="AH34" s="67"/>
      <c r="AI34" s="66"/>
      <c r="AJ34" s="67"/>
      <c r="AK34" s="5"/>
      <c r="AL34" s="5"/>
      <c r="AM34" s="5"/>
      <c r="AN34" s="5"/>
      <c r="AP34" s="377"/>
      <c r="AQ34" s="377"/>
      <c r="AR34" s="377"/>
      <c r="AS34" s="377"/>
      <c r="AT34" s="377"/>
      <c r="AU34" s="377"/>
      <c r="AV34" s="377"/>
      <c r="AW34" s="377"/>
      <c r="AX34" s="377"/>
      <c r="AY34" s="377"/>
      <c r="AZ34" s="377"/>
      <c r="BA34" s="377"/>
      <c r="BB34" s="377"/>
      <c r="BC34" s="377"/>
      <c r="BD34" s="377"/>
      <c r="BE34" s="377"/>
      <c r="DC34" s="5"/>
    </row>
    <row r="35" spans="2:109" ht="15" customHeight="1" x14ac:dyDescent="0.25">
      <c r="B35" s="100" t="str">
        <f>IF(Heizung=FALSE,"",Sprache!B149)</f>
        <v/>
      </c>
      <c r="C35" s="103"/>
      <c r="D35" s="103"/>
      <c r="E35" s="47" t="str">
        <f>IF(AND(Heizung,H35=""),"ausfüllen -&gt;","")</f>
        <v/>
      </c>
      <c r="F35" s="116" t="str">
        <f>IF(Heizung=FALSE,"","Ti,soll")</f>
        <v/>
      </c>
      <c r="G35" s="116" t="str">
        <f>IF(Heizung=FALSE,"","°C")</f>
        <v/>
      </c>
      <c r="H35" s="301">
        <f>IF(JAZcalc,IF(JAZcalc!I38="",24,JAZcalc!I38),IF(WP!H35="",24,WP!H35))</f>
        <v>24</v>
      </c>
      <c r="K35" s="94" t="s">
        <v>3486</v>
      </c>
      <c r="L35" s="88"/>
      <c r="M35" s="114">
        <f>IF(H44="",1,H44)</f>
        <v>1</v>
      </c>
      <c r="N35" s="35"/>
      <c r="O35" s="5"/>
      <c r="P35" s="5" t="s">
        <v>282</v>
      </c>
      <c r="Q35" s="5"/>
      <c r="R35" s="5"/>
      <c r="S35" s="5"/>
      <c r="T35" s="5"/>
      <c r="U35" s="105" t="s">
        <v>1929</v>
      </c>
      <c r="V35" s="91">
        <f>IF(EBF&gt;0,IF(AND(OR(BG83=1,BG83=2),OR(AD139=1,AD139=2)),1-M50,MAX((1-ZusatzWW/BedarfWW)*MIN(($M$48-10)/(M49-10),1)*BH83*(1-M50),0)),0)</f>
        <v>0</v>
      </c>
      <c r="W35" s="105" t="s">
        <v>1929</v>
      </c>
      <c r="X35" s="91">
        <f>IF(EBF&gt;0,IF(AND(OR(BG83=1,BG83=2),OR(AD139=1,AD139=2)),1-M50,MAX((1-ZusatzWW/BedarfWW)*MIN(($M$48-10)/(M49-10),1)*BH83*(1-M50),0)),0)</f>
        <v>0</v>
      </c>
      <c r="Y35" s="105" t="s">
        <v>1929</v>
      </c>
      <c r="Z35" s="91">
        <f>IF(EBF&gt;0,IF(AND(OR(BG83=1,BG83=2),OR(AD139=1,AD139=2)),1-M50,MAX((1-ZusatzWW/BedarfWW)*MIN(($M$48-10)/(M49-10),1)*BH83*(1-M50),0)),0)</f>
        <v>0</v>
      </c>
      <c r="AA35" s="105" t="s">
        <v>1929</v>
      </c>
      <c r="AB35" s="91">
        <f>IF(EBF&gt;0,IF(AND(OR(BG83=1,BG83=2),OR(AD139=1,AD139=2)),1-M50,MAX((1-ZusatzWW/BedarfWW)*MIN(($M$48-10)/(M49-10),1)*BH83*(1-M50),0)),0)</f>
        <v>0</v>
      </c>
      <c r="AC35" s="732" t="s">
        <v>1929</v>
      </c>
      <c r="AD35" s="738">
        <f>X35</f>
        <v>0</v>
      </c>
      <c r="AE35" s="735" t="s">
        <v>1929</v>
      </c>
      <c r="AF35" s="91"/>
      <c r="AG35" s="105" t="s">
        <v>1929</v>
      </c>
      <c r="AH35" s="91"/>
      <c r="AI35" s="105" t="s">
        <v>1929</v>
      </c>
      <c r="AJ35" s="91"/>
      <c r="AK35" s="5"/>
      <c r="AL35" s="5"/>
      <c r="AM35" s="5"/>
      <c r="AN35" s="5"/>
      <c r="AP35" s="377"/>
      <c r="AQ35" s="377"/>
      <c r="AR35" s="377"/>
      <c r="AS35" s="377"/>
      <c r="AT35" s="377"/>
      <c r="AU35" s="377"/>
      <c r="AV35" s="377"/>
      <c r="AW35" s="377"/>
      <c r="AX35" s="377"/>
      <c r="AY35" s="377"/>
      <c r="AZ35" s="377"/>
      <c r="BA35" s="377"/>
      <c r="BB35" s="377"/>
      <c r="BC35" s="377"/>
      <c r="BD35" s="377"/>
      <c r="BE35" s="377"/>
      <c r="DC35" s="5"/>
    </row>
    <row r="36" spans="2:109" ht="15" customHeight="1" x14ac:dyDescent="0.25">
      <c r="B36" s="100" t="str">
        <f>IF(Heizung=FALSE,"",Sprache!B47&amp;" (Ta = -8°C)")</f>
        <v/>
      </c>
      <c r="C36" s="103"/>
      <c r="D36" s="103"/>
      <c r="E36" s="47" t="str">
        <f>IF(AND(Heizung,H36=""),"ausfüllen -&gt;","")</f>
        <v/>
      </c>
      <c r="F36" s="116" t="str">
        <f>IF(Heizung=FALSE,"",Sprache!B134)</f>
        <v/>
      </c>
      <c r="G36" s="116" t="str">
        <f>IF(Heizung=FALSE,"","°C")</f>
        <v/>
      </c>
      <c r="H36" s="301">
        <f>IF(JAZcalc,JAZcalc!G39,WP!H36)</f>
        <v>0</v>
      </c>
      <c r="K36" s="94" t="s">
        <v>3489</v>
      </c>
      <c r="L36" s="88"/>
      <c r="M36" s="114" t="e">
        <f>Qww/(1+EtaWW)</f>
        <v>#VALUE!</v>
      </c>
      <c r="N36" s="120" t="s">
        <v>741</v>
      </c>
      <c r="O36" s="5">
        <v>-7</v>
      </c>
      <c r="P36" s="364" t="s">
        <v>283</v>
      </c>
      <c r="Q36" s="355"/>
      <c r="R36" s="356">
        <f>Spez!J56</f>
        <v>0</v>
      </c>
      <c r="S36" s="75" t="s">
        <v>284</v>
      </c>
      <c r="T36" s="5"/>
      <c r="U36" s="105" t="s">
        <v>3478</v>
      </c>
      <c r="V36" s="91">
        <f>IF(AND(EBF&gt;0,EBF&lt;&gt;""),1-V35-$AO$128/BedarfWW,0)</f>
        <v>0</v>
      </c>
      <c r="W36" s="105" t="s">
        <v>3478</v>
      </c>
      <c r="X36" s="91">
        <f>IF(EBF&gt;0,1-V35-$AO$128/BedarfWW,0)</f>
        <v>0</v>
      </c>
      <c r="Y36" s="105" t="s">
        <v>3478</v>
      </c>
      <c r="Z36" s="91">
        <f>IF(EBF&gt;0,1-V35-$AO$128/BedarfWW,0)</f>
        <v>0</v>
      </c>
      <c r="AA36" s="105" t="s">
        <v>3478</v>
      </c>
      <c r="AB36" s="91">
        <f>IF(EBF&gt;0,1-V35-$AO$128/BedarfWW,0)</f>
        <v>0</v>
      </c>
      <c r="AC36" s="732" t="s">
        <v>3478</v>
      </c>
      <c r="AD36" s="738">
        <f>X36</f>
        <v>0</v>
      </c>
      <c r="AE36" s="735" t="s">
        <v>3478</v>
      </c>
      <c r="AF36" s="91"/>
      <c r="AG36" s="105" t="s">
        <v>3478</v>
      </c>
      <c r="AH36" s="91"/>
      <c r="AI36" s="105" t="s">
        <v>3478</v>
      </c>
      <c r="AJ36" s="91"/>
      <c r="AK36" s="5"/>
      <c r="AL36" s="5"/>
      <c r="AM36" s="5"/>
      <c r="AN36" s="5"/>
      <c r="AP36" s="377"/>
      <c r="AQ36" s="377"/>
      <c r="AR36" s="377"/>
      <c r="AS36" s="377"/>
      <c r="AT36" s="377"/>
      <c r="AU36" s="377"/>
      <c r="AV36" s="377"/>
      <c r="AW36" s="377"/>
      <c r="AX36" s="377"/>
      <c r="AY36" s="377"/>
      <c r="AZ36" s="377"/>
      <c r="BA36" s="377"/>
      <c r="BB36" s="377"/>
      <c r="BC36" s="377"/>
      <c r="BD36" s="377"/>
      <c r="BE36" s="377"/>
      <c r="DC36" s="5"/>
      <c r="DD36" s="5"/>
      <c r="DE36" s="5"/>
    </row>
    <row r="37" spans="2:109" ht="15" customHeight="1" x14ac:dyDescent="0.2">
      <c r="B37" s="100" t="str">
        <f>IF(Heizung=FALSE,"",Sprache!B48&amp;" (Ta = -8°C)")</f>
        <v/>
      </c>
      <c r="C37" s="103"/>
      <c r="D37" s="103"/>
      <c r="E37" s="47" t="str">
        <f>IF(AND(Heizung,H37=""),"ausfüllen -&gt;","")</f>
        <v/>
      </c>
      <c r="F37" s="116" t="str">
        <f>IF(Heizung=FALSE,"",Sprache!B135)</f>
        <v/>
      </c>
      <c r="G37" s="116" t="str">
        <f>IF(Heizung=FALSE,"","°C")</f>
        <v/>
      </c>
      <c r="H37" s="301">
        <f>IF(JAZcalc,JAZcalc!G40,WP!H37)</f>
        <v>0</v>
      </c>
      <c r="K37" s="123" t="s">
        <v>3491</v>
      </c>
      <c r="L37" s="124"/>
      <c r="M37" s="96"/>
      <c r="N37" s="75" t="s">
        <v>741</v>
      </c>
      <c r="O37" s="5">
        <v>2</v>
      </c>
      <c r="P37" s="364" t="s">
        <v>285</v>
      </c>
      <c r="Q37" s="355"/>
      <c r="R37" s="356">
        <f>Spez!J57</f>
        <v>0</v>
      </c>
      <c r="S37" s="75" t="s">
        <v>284</v>
      </c>
      <c r="T37" s="5"/>
      <c r="U37" s="109" t="s">
        <v>713</v>
      </c>
      <c r="V37" s="110">
        <f ca="1">IF(AND(OR(V31=0,V35=0),SpezWP=FALSE),0,MAX(MIN(Etaw*IF(Neu,IF(V38,V40,BC130),V31),Max_JAZww),0.5))</f>
        <v>0</v>
      </c>
      <c r="W37" s="109" t="s">
        <v>713</v>
      </c>
      <c r="X37" s="110">
        <f>IF(X33=0,0,MAX(MIN(Etaw*X33,Max_JAZww),0.5))</f>
        <v>0</v>
      </c>
      <c r="Y37" s="109" t="s">
        <v>713</v>
      </c>
      <c r="Z37" s="110">
        <f>IF(Z33=0,0,MAX(MIN(Etaw*Z33,Max_JAZww),0.5))</f>
        <v>0</v>
      </c>
      <c r="AA37" s="109" t="s">
        <v>713</v>
      </c>
      <c r="AB37" s="110">
        <f>IF(AB33=0,0,MAX(MIN(Etaw*AB33,Max_JAZww),0.5))</f>
        <v>0</v>
      </c>
      <c r="AC37" s="25" t="s">
        <v>713</v>
      </c>
      <c r="AD37" s="110">
        <f>IF(AD33=0,0,MAX(MIN(Etaw*AD33,Max_JAZww),0.5))</f>
        <v>0</v>
      </c>
      <c r="AE37" s="736" t="s">
        <v>713</v>
      </c>
      <c r="AF37" s="110">
        <f>IF(AF31=0,0,MAX(MIN(EtaW2*AF31,Max_JAZww),0.5))</f>
        <v>0</v>
      </c>
      <c r="AG37" s="109" t="s">
        <v>713</v>
      </c>
      <c r="AH37" s="110">
        <f>IF(AH33=0,0,MAX(MIN(EtaW2*AH33,Max_JAZww),0.5))</f>
        <v>0</v>
      </c>
      <c r="AI37" s="109" t="s">
        <v>713</v>
      </c>
      <c r="AJ37" s="110">
        <f>IF(AJ33=0,0,MAX(MIN(EtaW2*AJ33,Max_JAZww),0.5))</f>
        <v>0</v>
      </c>
      <c r="AK37" s="5"/>
      <c r="AL37" s="5"/>
      <c r="AM37" s="5"/>
      <c r="AN37" s="5"/>
      <c r="AP37" s="377"/>
      <c r="AQ37" s="377"/>
      <c r="AR37" s="377"/>
      <c r="AS37" s="377"/>
      <c r="AT37" s="377"/>
      <c r="AU37" s="377"/>
      <c r="AV37" s="377"/>
      <c r="AW37" s="377"/>
      <c r="AX37" s="377"/>
      <c r="AY37" s="377"/>
      <c r="AZ37" s="377"/>
      <c r="BA37" s="377"/>
      <c r="BB37" s="377"/>
      <c r="BC37" s="377"/>
      <c r="BD37" s="377"/>
      <c r="BE37" s="377"/>
      <c r="DC37" s="5"/>
      <c r="DD37" s="5"/>
      <c r="DE37" s="5"/>
    </row>
    <row r="38" spans="2:109" ht="15" customHeight="1" x14ac:dyDescent="0.2">
      <c r="B38" s="100" t="str">
        <f>IF(Heizung=FALSE,"",IF(Heizspeicher,Sprache!B49,""))</f>
        <v/>
      </c>
      <c r="C38" s="103"/>
      <c r="D38" s="103"/>
      <c r="E38" s="97"/>
      <c r="F38" s="116" t="str">
        <f>IF(Heizung=FALSE,"",IF(Heizspeicher,Sprache!B136,""))</f>
        <v/>
      </c>
      <c r="G38" s="116" t="str">
        <f>IF(Heizung=FALSE,"",IF(Heizspeicher,"°C",""))</f>
        <v/>
      </c>
      <c r="H38" s="301">
        <f>IF(JAZcalc,JAZcalc!I41,WP!H38)</f>
        <v>0</v>
      </c>
      <c r="K38" s="94" t="s">
        <v>3492</v>
      </c>
      <c r="L38" s="118"/>
      <c r="M38" s="126">
        <v>2.5</v>
      </c>
      <c r="N38" s="75" t="s">
        <v>3493</v>
      </c>
      <c r="O38" s="5">
        <v>7</v>
      </c>
      <c r="P38" s="364" t="s">
        <v>286</v>
      </c>
      <c r="Q38" s="358"/>
      <c r="R38" s="359">
        <f>Spez!J58</f>
        <v>0</v>
      </c>
      <c r="S38" s="360" t="s">
        <v>284</v>
      </c>
      <c r="T38" s="5"/>
      <c r="U38" s="58" t="s">
        <v>872</v>
      </c>
      <c r="V38" s="834" t="b">
        <f>IF(J21=5,TRUE,FALSE)</f>
        <v>0</v>
      </c>
      <c r="W38" s="58" t="s">
        <v>872</v>
      </c>
      <c r="X38" s="834" t="b">
        <f>IF(J21=5,TRUE,FALSE)</f>
        <v>0</v>
      </c>
      <c r="Y38" s="58" t="s">
        <v>872</v>
      </c>
      <c r="Z38" s="834" t="b">
        <f>IF(J21=5,TRUE,FALSE)</f>
        <v>0</v>
      </c>
      <c r="AA38" s="58" t="s">
        <v>872</v>
      </c>
      <c r="AB38" s="834" t="b">
        <f>IF(J21=5,TRUE,FALSE)</f>
        <v>0</v>
      </c>
      <c r="AC38" s="5"/>
      <c r="AD38" s="5"/>
      <c r="AE38" s="5"/>
      <c r="AF38" s="19"/>
      <c r="AG38" s="19"/>
      <c r="AH38" s="19"/>
      <c r="AI38" s="5"/>
      <c r="AJ38" s="5"/>
      <c r="AK38" s="5"/>
      <c r="AL38" s="5"/>
      <c r="AM38" s="5"/>
      <c r="AN38" s="5"/>
      <c r="AP38" s="377"/>
      <c r="AQ38" s="377"/>
      <c r="AR38" s="377"/>
      <c r="AS38" s="377"/>
      <c r="AT38" s="377"/>
      <c r="AU38" s="377"/>
      <c r="AV38" s="377"/>
      <c r="AW38" s="377"/>
      <c r="AX38" s="377"/>
      <c r="AY38" s="377"/>
      <c r="AZ38" s="377"/>
      <c r="BA38" s="377"/>
      <c r="BB38" s="377"/>
      <c r="BC38" s="377"/>
      <c r="BD38" s="377"/>
      <c r="BE38" s="377"/>
      <c r="DC38" s="5"/>
      <c r="DD38" s="5"/>
      <c r="DE38" s="5"/>
    </row>
    <row r="39" spans="2:109" ht="15" customHeight="1" x14ac:dyDescent="0.2">
      <c r="B39" s="205" t="str">
        <f>IF(J25=5,Sprache!B50,"")</f>
        <v/>
      </c>
      <c r="C39" s="517"/>
      <c r="D39" s="517"/>
      <c r="E39" s="519"/>
      <c r="F39" s="549"/>
      <c r="G39" s="520" t="str">
        <f>IF(J25=5,"°C","")</f>
        <v/>
      </c>
      <c r="H39" s="721" t="str">
        <f>IF(J25=4,"",IF(J23=4,IF(JAZcalc,JAZcalc!I42,WP!H39),""))</f>
        <v/>
      </c>
      <c r="K39" s="94" t="s">
        <v>2338</v>
      </c>
      <c r="L39" s="88"/>
      <c r="M39" s="96">
        <f>EBF</f>
        <v>0</v>
      </c>
      <c r="N39" s="75" t="s">
        <v>2339</v>
      </c>
      <c r="O39" s="5">
        <v>7</v>
      </c>
      <c r="P39" s="364" t="s">
        <v>287</v>
      </c>
      <c r="Q39" s="358"/>
      <c r="R39" s="359">
        <v>0</v>
      </c>
      <c r="S39" s="360" t="s">
        <v>284</v>
      </c>
      <c r="T39" s="5"/>
      <c r="U39" s="66" t="str">
        <f>"COP "&amp;MIN(45,TVL)&amp;"/W"&amp;IF(M48,M48,55)&amp;":"</f>
        <v>COP 0/W60:</v>
      </c>
      <c r="V39" s="67">
        <f ca="1">WP_BIN!I23*((IF($M$48,$M$48,55)+273)*(55-20)/((55+273)*(IF($M$48,$M$48,55)-MIN(45,TVL))))</f>
        <v>0</v>
      </c>
      <c r="W39" s="66" t="str">
        <f>"COP "&amp;MIN(45,TVL)&amp;"/W"&amp;IF(M48,M48,55)&amp;":"</f>
        <v>COP 0/W60:</v>
      </c>
      <c r="X39" s="67">
        <f>X31*1/IF(X19&gt;0,(X20/1000/X19+1),1)*((IF(M48,M48,55)+273)*(55-0)/((55+273)*(IF(M48,M48,55)-MIN(45,TVL))))</f>
        <v>0</v>
      </c>
      <c r="Y39" s="66" t="str">
        <f>"COP "&amp;MIN(45,TVL)&amp;"/W"&amp;IF(M48,M48,55)&amp;":"</f>
        <v>COP 0/W60:</v>
      </c>
      <c r="Z39" s="67">
        <f>Z31*1/IF(Z19&gt;0,(Z20/1000/Z19+1),1)*((IF(_Tww1&lt;&gt;0,_Tww1,55)+273)*(55-10)/((55+273)*(IF(_Tww1&lt;&gt;0,_Tww1,55)-IF(MIN(45,TVL)&lt;&gt;"",MIN(45,TVL),10))))</f>
        <v>0</v>
      </c>
      <c r="AA39" s="66" t="str">
        <f>"COP "&amp;MIN(45,TVL)&amp;"/W"&amp;IF(M48,M48,55)&amp;":"</f>
        <v>COP 0/W60:</v>
      </c>
      <c r="AB39" s="67">
        <f>AB31*1/IF(AB19&gt;0,(AB20/1000/AB19+1),1)*((IF(M48,M48,55)+273)*(55-0)/((55+273)*(IF(M48,M48,55)-MIN(45,TVL))))</f>
        <v>0</v>
      </c>
      <c r="AC39" s="5"/>
      <c r="AD39" s="5"/>
      <c r="AE39" s="5"/>
      <c r="AF39" s="5"/>
      <c r="AG39" s="5"/>
      <c r="AH39" s="5"/>
      <c r="AI39" s="5"/>
      <c r="AJ39" s="19"/>
      <c r="AK39" s="19"/>
      <c r="AL39" s="19"/>
      <c r="AM39" s="19"/>
      <c r="AN39" s="19"/>
      <c r="AP39" s="377"/>
      <c r="AQ39" s="377"/>
      <c r="AR39" s="377"/>
      <c r="AS39" s="377"/>
      <c r="AT39" s="377"/>
      <c r="AU39" s="377"/>
      <c r="AV39" s="377"/>
      <c r="AW39" s="377"/>
      <c r="AX39" s="377"/>
      <c r="AY39" s="377"/>
      <c r="AZ39" s="377"/>
      <c r="BA39" s="377"/>
      <c r="BB39" s="377"/>
      <c r="BC39" s="377"/>
      <c r="BD39" s="377"/>
      <c r="BE39" s="377"/>
      <c r="DC39" s="5"/>
      <c r="DD39" s="5"/>
      <c r="DE39" s="5"/>
    </row>
    <row r="40" spans="2:109" ht="15" customHeight="1" x14ac:dyDescent="0.2">
      <c r="B40" s="92" t="str">
        <f>IF(WW,Sprache!B51,"")</f>
        <v/>
      </c>
      <c r="C40" s="250"/>
      <c r="D40" s="250"/>
      <c r="E40" s="346" t="str">
        <f>IF(AND(WW,BG83=1),Sprache!B24,"")</f>
        <v/>
      </c>
      <c r="F40" s="1252">
        <f>IF(JAZcalc,JAZcalc!G43,WP!F40)</f>
        <v>0</v>
      </c>
      <c r="G40" s="1253"/>
      <c r="H40" s="1254"/>
      <c r="J40" s="377">
        <f>IF(BH57&lt;3,1,IF(OR(F40="",F40=0),1,MATCH(F40,BG77:BG82,0)))</f>
        <v>1</v>
      </c>
      <c r="K40" s="5" t="s">
        <v>3278</v>
      </c>
      <c r="L40" s="5"/>
      <c r="M40" s="5"/>
      <c r="N40" s="5"/>
      <c r="O40" s="5"/>
      <c r="P40" s="5"/>
      <c r="Q40" s="5"/>
      <c r="R40" s="5"/>
      <c r="S40" s="5"/>
      <c r="T40" s="5"/>
      <c r="U40" s="109" t="s">
        <v>1519</v>
      </c>
      <c r="V40" s="110" t="e">
        <f ca="1">V24*V39/(V39+V26-1)*0.9</f>
        <v>#DIV/0!</v>
      </c>
      <c r="W40" s="109" t="s">
        <v>1519</v>
      </c>
      <c r="X40" s="110">
        <f>X24*X39/(X39+X26-1)*0.9</f>
        <v>0</v>
      </c>
      <c r="Y40" s="109" t="s">
        <v>1519</v>
      </c>
      <c r="Z40" s="110">
        <f>Z24*Z39/(Z39+Z26-1)*0.9</f>
        <v>0</v>
      </c>
      <c r="AA40" s="109" t="s">
        <v>1519</v>
      </c>
      <c r="AB40" s="110">
        <f>AB24*AB39/(AB39+AB26-1)*0.9</f>
        <v>0</v>
      </c>
      <c r="AC40" s="5"/>
      <c r="AD40" s="5"/>
      <c r="AE40" s="5"/>
      <c r="AF40" s="5"/>
      <c r="AG40" s="5"/>
      <c r="AH40" s="5"/>
      <c r="AI40" s="5"/>
      <c r="AJ40" s="19"/>
      <c r="AK40" s="19"/>
      <c r="AL40" s="19"/>
      <c r="AM40" s="19"/>
      <c r="AN40" s="19"/>
      <c r="AP40" s="377"/>
      <c r="AQ40" s="377"/>
      <c r="AR40" s="377"/>
      <c r="AS40" s="377"/>
      <c r="AT40" s="377"/>
      <c r="AU40" s="377"/>
      <c r="AV40" s="377"/>
      <c r="AW40" s="377"/>
      <c r="AX40" s="377"/>
      <c r="AY40" s="377"/>
      <c r="AZ40" s="377"/>
      <c r="BA40" s="377"/>
      <c r="BB40" s="377"/>
      <c r="BC40" s="377"/>
      <c r="BD40" s="377"/>
      <c r="BE40" s="377"/>
      <c r="DC40" s="5"/>
      <c r="DD40" s="5"/>
      <c r="DE40" s="5"/>
    </row>
    <row r="41" spans="2:109" ht="15" customHeight="1" x14ac:dyDescent="0.2">
      <c r="B41" s="100" t="str">
        <f>IF(WW,Sprache!B52,"")</f>
        <v/>
      </c>
      <c r="C41" s="103"/>
      <c r="D41" s="103"/>
      <c r="E41" s="47" t="str">
        <f>IF(AND(H41="",WW),Sprache!$B$24,"")</f>
        <v/>
      </c>
      <c r="F41" s="127"/>
      <c r="G41" s="116" t="str">
        <f>IF(WW,"°C","")</f>
        <v/>
      </c>
      <c r="H41" s="154">
        <f>IF(JAZcalc,JAZcalc!I44,WP!H41)</f>
        <v>0</v>
      </c>
      <c r="J41" s="377" t="b">
        <f>OR($BG$83=2,$BG$83&gt;4)</f>
        <v>0</v>
      </c>
      <c r="K41" s="9" t="str">
        <f>"B"&amp;FIXED(X25-Offset,0)&amp;"/W"&amp;35&amp;":"</f>
        <v>B0/W35:</v>
      </c>
      <c r="L41" s="355"/>
      <c r="M41" s="356">
        <f>IF(W50&gt;0,W52/W50*M42,W52)</f>
        <v>0</v>
      </c>
      <c r="N41" s="75" t="s">
        <v>3650</v>
      </c>
      <c r="O41" s="5"/>
      <c r="P41" s="9" t="s">
        <v>2420</v>
      </c>
      <c r="Q41" s="355"/>
      <c r="R41" s="356">
        <v>6</v>
      </c>
      <c r="S41" s="75"/>
      <c r="T41" s="5"/>
      <c r="U41" s="5"/>
      <c r="V41" s="5"/>
      <c r="W41" s="5"/>
      <c r="X41" s="5"/>
      <c r="Y41" s="5"/>
      <c r="Z41" s="5"/>
      <c r="AA41" s="5"/>
      <c r="AB41" s="5"/>
      <c r="AC41" s="5"/>
      <c r="AD41" s="5"/>
      <c r="AE41" s="5"/>
      <c r="AF41" s="5"/>
      <c r="AG41" s="5"/>
      <c r="AH41" s="5"/>
      <c r="AI41" s="5"/>
      <c r="AJ41" s="19"/>
      <c r="AK41" s="19"/>
      <c r="AL41" s="19"/>
      <c r="AM41" s="19"/>
      <c r="AN41" s="19"/>
      <c r="AP41" s="377"/>
      <c r="AQ41" s="377"/>
      <c r="AR41" s="377"/>
      <c r="AS41" s="377"/>
      <c r="AT41" s="377"/>
      <c r="AU41" s="377"/>
      <c r="AV41" s="377"/>
      <c r="AW41" s="377"/>
      <c r="AX41" s="377"/>
      <c r="AY41" s="377"/>
      <c r="AZ41" s="377"/>
      <c r="BA41" s="377"/>
      <c r="BB41" s="377"/>
      <c r="BC41" s="377"/>
      <c r="BD41" s="377"/>
      <c r="BE41" s="377"/>
      <c r="DC41" s="5"/>
      <c r="DD41" s="5"/>
      <c r="DE41" s="5"/>
    </row>
    <row r="42" spans="2:109" ht="15" customHeight="1" x14ac:dyDescent="0.2">
      <c r="B42" s="100" t="str">
        <f>IF(WW,Sprache!B53,"")</f>
        <v/>
      </c>
      <c r="C42" s="103"/>
      <c r="D42" s="103"/>
      <c r="E42" s="347" t="str">
        <f>IF(AND(WW,OR($H$41&lt;=$H$42,$H$42=""),H42=""),Sprache!$B$24,IF(AND(H42&lt;H41,H42&lt;&gt;"",WW),Sprache!B131,""))</f>
        <v/>
      </c>
      <c r="F42" s="122" t="str">
        <f>IF(WW,IF(AND(H42&gt;_Tww1,BG83=2),Sprache!B131,""),"")</f>
        <v/>
      </c>
      <c r="G42" s="116" t="str">
        <f>IF(WW,"°C","")</f>
        <v/>
      </c>
      <c r="H42" s="154">
        <f>IF(JAZcalc,JAZcalc!I45,WP!H42)</f>
        <v>0</v>
      </c>
      <c r="J42" s="377" t="b">
        <f>OR($BG$83=2,$BG$83&gt;4,WW=FALSE)</f>
        <v>1</v>
      </c>
      <c r="K42" s="357" t="str">
        <f>"COP B"&amp;FIXED(X25-Offset,0)&amp;"/W"&amp;35&amp;":"</f>
        <v>COP B0/W35:</v>
      </c>
      <c r="L42" s="358"/>
      <c r="M42" s="359">
        <f>IF(X19,X18*((35+273)*35/((35+273)*(35-TQuelle+Offset))),)</f>
        <v>0</v>
      </c>
      <c r="N42" s="360"/>
      <c r="O42" s="5"/>
      <c r="P42" s="5"/>
      <c r="Q42" s="5"/>
      <c r="R42" s="5"/>
      <c r="S42" s="5"/>
      <c r="T42" s="5"/>
      <c r="U42" s="5"/>
      <c r="V42" s="5"/>
      <c r="W42" s="5"/>
      <c r="X42" s="5"/>
      <c r="Y42" s="887"/>
      <c r="Z42" s="5"/>
      <c r="AA42" s="5"/>
      <c r="AB42" s="5"/>
      <c r="AC42" s="5"/>
      <c r="AD42" s="5"/>
      <c r="AE42" s="5"/>
      <c r="AF42" s="5"/>
      <c r="AG42" s="5"/>
      <c r="AH42" s="5"/>
      <c r="AI42" s="5"/>
      <c r="AJ42" s="19"/>
      <c r="AK42" s="19"/>
      <c r="AL42" s="19"/>
      <c r="AM42" s="19"/>
      <c r="AN42" s="19"/>
      <c r="AP42" s="377"/>
      <c r="AQ42" s="377"/>
      <c r="AR42" s="377"/>
      <c r="AS42" s="377"/>
      <c r="AT42" s="377"/>
      <c r="AU42" s="377"/>
      <c r="AV42" s="377"/>
      <c r="AW42" s="377"/>
      <c r="AX42" s="377"/>
      <c r="AY42" s="377"/>
      <c r="AZ42" s="377"/>
      <c r="BA42" s="377"/>
      <c r="BB42" s="377"/>
      <c r="BC42" s="377"/>
      <c r="BD42" s="377"/>
      <c r="BE42" s="377"/>
      <c r="DC42" s="5"/>
      <c r="DD42" s="5"/>
      <c r="DE42" s="5"/>
    </row>
    <row r="43" spans="2:109" ht="15" customHeight="1" x14ac:dyDescent="0.2">
      <c r="B43" s="205" t="str">
        <f>IF(AND(WW),Sprache!B199,"")</f>
        <v/>
      </c>
      <c r="C43" s="517"/>
      <c r="D43" s="346" t="str">
        <f>IF(AND(WW,J43=1),Sprache!B24,"")</f>
        <v/>
      </c>
      <c r="E43" s="724">
        <f>IF(JAZcalc,JAZcalc!F46,WP!E43)</f>
        <v>0</v>
      </c>
      <c r="F43" s="520" t="s">
        <v>2543</v>
      </c>
      <c r="G43" s="520" t="s">
        <v>722</v>
      </c>
      <c r="H43" s="550">
        <f>IF(JAZcalc,JAZcalc!I46,WP!H43)</f>
        <v>0</v>
      </c>
      <c r="J43" s="722">
        <f>IF(BH57&lt;3,1,IF(OR(E43="",E43=0),1,MATCH(E43,R49:R52,0)))</f>
        <v>1</v>
      </c>
      <c r="K43" s="5" t="s">
        <v>2541</v>
      </c>
      <c r="L43" s="5"/>
      <c r="M43" s="5"/>
      <c r="N43" s="5"/>
      <c r="O43" s="5"/>
      <c r="P43" s="5"/>
      <c r="Q43" s="5"/>
      <c r="R43" s="5"/>
      <c r="S43" s="5"/>
      <c r="T43" s="5"/>
      <c r="U43" s="5"/>
      <c r="V43" s="5"/>
      <c r="W43" s="5"/>
      <c r="X43" s="5"/>
      <c r="Y43" s="5"/>
      <c r="Z43" s="5"/>
      <c r="AA43" s="5"/>
      <c r="AB43" s="5"/>
      <c r="AC43" s="5"/>
      <c r="AD43" s="5"/>
      <c r="AE43" s="5"/>
      <c r="AF43" s="5"/>
      <c r="AG43" s="5"/>
      <c r="AH43" s="5"/>
      <c r="AI43" s="5"/>
      <c r="AJ43" s="19"/>
      <c r="AK43" s="19"/>
      <c r="AL43" s="19"/>
      <c r="AM43" s="19"/>
      <c r="AN43" s="19"/>
      <c r="AP43" s="377"/>
      <c r="AQ43" s="377"/>
      <c r="AR43" s="377"/>
      <c r="AS43" s="377"/>
      <c r="AT43" s="377"/>
      <c r="AU43" s="377"/>
      <c r="AV43" s="377"/>
      <c r="AW43" s="377"/>
      <c r="AX43" s="377"/>
      <c r="AY43" s="377"/>
      <c r="AZ43" s="377"/>
      <c r="BA43" s="377"/>
      <c r="BB43" s="377"/>
      <c r="BC43" s="377"/>
      <c r="BD43" s="377"/>
      <c r="BE43" s="377"/>
      <c r="DC43" s="5"/>
      <c r="DD43" s="5"/>
      <c r="DE43" s="5"/>
    </row>
    <row r="44" spans="2:109" ht="15.6" hidden="1" customHeight="1" x14ac:dyDescent="0.2">
      <c r="B44" s="20" t="str">
        <f>IF(AD139=4,"Wirkungsgrad Zussatzheizung (Kesselwirkungsgrad)","")</f>
        <v/>
      </c>
      <c r="E44" s="545"/>
      <c r="F44" s="546"/>
      <c r="G44" s="547" t="str">
        <f>IF(AD139=4,"%","")</f>
        <v/>
      </c>
      <c r="H44" s="548"/>
      <c r="J44" s="155"/>
      <c r="K44" s="5"/>
      <c r="L44" s="5"/>
      <c r="M44" s="5"/>
      <c r="N44" s="5"/>
      <c r="O44" s="5"/>
      <c r="P44" s="5"/>
      <c r="Q44" s="5"/>
      <c r="R44" s="5"/>
      <c r="S44" s="5"/>
      <c r="T44" s="5"/>
      <c r="U44" s="5"/>
      <c r="V44" s="5"/>
      <c r="W44" s="5"/>
      <c r="X44" s="5"/>
      <c r="Y44" s="5"/>
      <c r="Z44" s="5"/>
      <c r="AA44" s="5"/>
      <c r="AB44" s="5"/>
      <c r="AC44" s="5"/>
      <c r="AD44" s="5"/>
      <c r="AE44" s="5"/>
      <c r="AF44" s="5"/>
      <c r="AG44" s="5"/>
      <c r="AH44" s="5"/>
      <c r="AI44" s="5"/>
      <c r="AJ44" s="19"/>
      <c r="AK44" s="19"/>
      <c r="AL44" s="19"/>
      <c r="AM44" s="19"/>
      <c r="AN44" s="19"/>
      <c r="AP44" s="377"/>
      <c r="AQ44" s="377"/>
      <c r="AR44" s="377"/>
      <c r="AS44" s="377"/>
      <c r="AT44" s="377"/>
      <c r="AU44" s="377"/>
      <c r="AV44" s="377"/>
      <c r="AW44" s="377"/>
      <c r="AX44" s="377"/>
      <c r="AY44" s="377"/>
      <c r="AZ44" s="377"/>
      <c r="BA44" s="377"/>
      <c r="BB44" s="377"/>
      <c r="BC44" s="377"/>
      <c r="BD44" s="377"/>
      <c r="BE44" s="377"/>
      <c r="DC44" s="5"/>
      <c r="DD44" s="5"/>
      <c r="DE44" s="5"/>
    </row>
    <row r="45" spans="2:109" ht="15.6" hidden="1" customHeight="1" x14ac:dyDescent="0.2">
      <c r="B45" s="166" t="str">
        <f>IF(AD139=4,"Bereitschaftsverluste Zussatzheizung","")</f>
        <v/>
      </c>
      <c r="C45" s="499"/>
      <c r="D45" s="499"/>
      <c r="E45" s="167"/>
      <c r="F45" s="168"/>
      <c r="G45" s="169" t="str">
        <f>IF(AD139=4,"%","")</f>
        <v/>
      </c>
      <c r="H45" s="170"/>
      <c r="K45" s="5"/>
      <c r="L45" s="5"/>
      <c r="M45" s="5"/>
      <c r="N45" s="5"/>
      <c r="O45" s="5"/>
      <c r="P45" s="5"/>
      <c r="Q45" s="5"/>
      <c r="R45" s="5"/>
      <c r="S45" s="5"/>
      <c r="T45" s="5"/>
      <c r="U45" s="5"/>
      <c r="V45" s="5"/>
      <c r="W45" s="5"/>
      <c r="X45" s="5"/>
      <c r="Y45" s="5"/>
      <c r="Z45" s="5"/>
      <c r="AA45" s="5"/>
      <c r="AB45" s="5"/>
      <c r="AC45" s="5"/>
      <c r="AD45" s="5"/>
      <c r="AE45" s="5"/>
      <c r="AF45" s="5"/>
      <c r="AG45" s="5"/>
      <c r="AH45" s="5"/>
      <c r="AI45" s="5"/>
      <c r="AJ45" s="19"/>
      <c r="AK45" s="19"/>
      <c r="AL45" s="19"/>
      <c r="AM45" s="19"/>
      <c r="AN45" s="19"/>
      <c r="AP45" s="377"/>
      <c r="AQ45" s="377"/>
      <c r="AR45" s="377"/>
      <c r="AS45" s="377"/>
      <c r="AT45" s="377"/>
      <c r="AU45" s="377"/>
      <c r="AV45" s="377"/>
      <c r="AW45" s="377"/>
      <c r="AX45" s="377"/>
      <c r="AY45" s="377"/>
      <c r="AZ45" s="377"/>
      <c r="BA45" s="377"/>
      <c r="BB45" s="377"/>
      <c r="BC45" s="377"/>
      <c r="BD45" s="377"/>
      <c r="BE45" s="377"/>
      <c r="DC45" s="5"/>
      <c r="DD45" s="5"/>
      <c r="DE45" s="5"/>
    </row>
    <row r="46" spans="2:109" ht="15.6" hidden="1" customHeight="1" x14ac:dyDescent="0.2">
      <c r="B46" s="166" t="str">
        <f>IF(AD139=4,"Heizleistung Zussatzheizung","")</f>
        <v/>
      </c>
      <c r="C46" s="499"/>
      <c r="D46" s="499"/>
      <c r="E46" s="167"/>
      <c r="F46" s="168"/>
      <c r="G46" s="169" t="str">
        <f>IF(AD139=4,"kW","")</f>
        <v/>
      </c>
      <c r="H46" s="171">
        <v>2000</v>
      </c>
      <c r="I46" s="5">
        <v>1</v>
      </c>
      <c r="K46" s="5"/>
      <c r="L46" s="5"/>
      <c r="M46" s="5"/>
      <c r="N46" s="5"/>
      <c r="O46" s="5"/>
      <c r="P46" s="5"/>
      <c r="Q46" s="5"/>
      <c r="R46" s="5"/>
      <c r="S46" s="5"/>
      <c r="T46" s="5"/>
      <c r="U46" s="5"/>
      <c r="V46" s="5"/>
      <c r="W46" s="5"/>
      <c r="X46" s="5"/>
      <c r="Y46" s="5"/>
      <c r="Z46" s="5"/>
      <c r="AA46" s="5"/>
      <c r="AB46" s="5"/>
      <c r="AC46" s="5"/>
      <c r="AD46" s="5"/>
      <c r="AE46" s="5"/>
      <c r="AF46" s="5"/>
      <c r="AG46" s="5"/>
      <c r="AH46" s="5"/>
      <c r="AI46" s="5"/>
      <c r="AJ46" s="19"/>
      <c r="AK46" s="19"/>
      <c r="AL46" s="19"/>
      <c r="AM46" s="19"/>
      <c r="AN46" s="19"/>
      <c r="AP46" s="377"/>
      <c r="AQ46" s="377"/>
      <c r="AR46" s="377"/>
      <c r="AS46" s="377"/>
      <c r="AT46" s="377"/>
      <c r="AU46" s="377"/>
      <c r="AV46" s="377"/>
      <c r="AW46" s="377"/>
      <c r="AX46" s="377"/>
      <c r="AY46" s="377"/>
      <c r="AZ46" s="377"/>
      <c r="BA46" s="377"/>
      <c r="BB46" s="377"/>
      <c r="BC46" s="377"/>
      <c r="BD46" s="377"/>
      <c r="BE46" s="377"/>
      <c r="DC46" s="5"/>
      <c r="DD46" s="5"/>
      <c r="DE46" s="5"/>
    </row>
    <row r="47" spans="2:109" ht="15.6" hidden="1" customHeight="1" x14ac:dyDescent="0.2">
      <c r="B47" s="166" t="str">
        <f>IF(AD139=4,"Bereitschaftszeit Zusatzheizung","")</f>
        <v/>
      </c>
      <c r="C47" s="499"/>
      <c r="D47" s="499"/>
      <c r="E47" s="167"/>
      <c r="F47" s="168"/>
      <c r="G47" s="169" t="str">
        <f>IF(AD139=4,"h/a","")</f>
        <v/>
      </c>
      <c r="H47" s="173">
        <v>8760</v>
      </c>
      <c r="K47" s="5"/>
      <c r="L47" s="5"/>
      <c r="M47" s="5"/>
      <c r="N47" s="5"/>
      <c r="O47" s="5"/>
      <c r="P47" s="5"/>
      <c r="Q47" s="5"/>
      <c r="R47" s="5"/>
      <c r="S47" s="5"/>
      <c r="T47" s="5"/>
      <c r="U47" s="5"/>
      <c r="V47" s="5"/>
      <c r="W47" s="5"/>
      <c r="X47" s="5"/>
      <c r="Y47" s="5"/>
      <c r="Z47" s="5"/>
      <c r="AA47" s="5"/>
      <c r="AB47" s="5"/>
      <c r="AC47" s="5"/>
      <c r="AD47" s="5"/>
      <c r="AE47" s="5"/>
      <c r="AF47" s="5"/>
      <c r="AG47" s="5"/>
      <c r="AH47" s="5"/>
      <c r="AI47" s="5"/>
      <c r="AJ47" s="19"/>
      <c r="AK47" s="19"/>
      <c r="AL47" s="19"/>
      <c r="AM47" s="19"/>
      <c r="AN47" s="19"/>
      <c r="AP47" s="377"/>
      <c r="AQ47" s="377"/>
      <c r="AR47" s="377"/>
      <c r="AS47" s="377"/>
      <c r="AT47" s="377"/>
      <c r="AU47" s="377"/>
      <c r="AV47" s="377"/>
      <c r="AW47" s="377"/>
      <c r="AX47" s="377"/>
      <c r="AY47" s="377"/>
      <c r="AZ47" s="377"/>
      <c r="BA47" s="377"/>
      <c r="BB47" s="377"/>
      <c r="BC47" s="377"/>
      <c r="BD47" s="377"/>
      <c r="BE47" s="377"/>
      <c r="DC47" s="5"/>
      <c r="DD47" s="5"/>
      <c r="DE47" s="5"/>
    </row>
    <row r="48" spans="2:109" ht="15.6" customHeight="1" x14ac:dyDescent="0.25">
      <c r="B48" s="85" t="str">
        <f>Sprache!B31</f>
        <v>Installation solaire</v>
      </c>
      <c r="C48" s="551"/>
      <c r="D48" s="551"/>
      <c r="E48" s="731" t="str">
        <f>IF(AND(F48=""),Sprache!B24,"")</f>
        <v/>
      </c>
      <c r="F48" s="1249">
        <f>IF(JAZcalc,JAZcalc!G47,WP!F44)</f>
        <v>0</v>
      </c>
      <c r="G48" s="1250"/>
      <c r="H48" s="1251"/>
      <c r="J48" s="377">
        <f>IF(OR(F48="",F48=0),1,MATCH(F48,M58:M64,0))</f>
        <v>1</v>
      </c>
      <c r="K48" s="94" t="s">
        <v>1403</v>
      </c>
      <c r="L48" s="118"/>
      <c r="M48" s="177">
        <f>MAX(IF(H41&gt;0,H41,60),11)</f>
        <v>60</v>
      </c>
      <c r="N48" s="35" t="s">
        <v>2948</v>
      </c>
      <c r="O48" s="5"/>
      <c r="P48" s="6" t="s">
        <v>2538</v>
      </c>
      <c r="Q48" s="118"/>
      <c r="R48" s="139" t="s">
        <v>2545</v>
      </c>
      <c r="S48" s="723"/>
      <c r="T48" s="5"/>
      <c r="U48" s="6" t="s">
        <v>2538</v>
      </c>
      <c r="V48" s="118"/>
      <c r="W48" s="6" t="s">
        <v>3353</v>
      </c>
      <c r="X48" s="747"/>
      <c r="Y48" s="5"/>
      <c r="Z48" s="123" t="s">
        <v>1518</v>
      </c>
      <c r="AA48" s="124"/>
      <c r="AB48" s="5"/>
      <c r="AC48" s="5"/>
      <c r="AD48" s="5"/>
      <c r="AE48" s="5"/>
      <c r="AF48" s="5"/>
      <c r="AG48" s="5"/>
      <c r="AH48" s="5"/>
      <c r="AI48" s="5"/>
      <c r="AJ48" s="19"/>
      <c r="AK48" s="19"/>
      <c r="AL48" s="19"/>
      <c r="AM48" s="19"/>
      <c r="AN48" s="19"/>
      <c r="AP48" s="377"/>
      <c r="AQ48" s="377"/>
      <c r="AR48" s="377"/>
      <c r="AS48" s="377"/>
      <c r="AT48" s="377"/>
      <c r="AU48" s="377"/>
      <c r="AV48" s="377"/>
      <c r="AW48" s="377"/>
      <c r="AX48" s="377"/>
      <c r="AY48" s="377"/>
      <c r="AZ48" s="377"/>
      <c r="BA48" s="377"/>
      <c r="BB48" s="377"/>
      <c r="BC48" s="377"/>
      <c r="BD48" s="377"/>
      <c r="BE48" s="377"/>
      <c r="DC48" s="5"/>
      <c r="DD48" s="5"/>
      <c r="DE48" s="5"/>
    </row>
    <row r="49" spans="2:111" ht="15" customHeight="1" x14ac:dyDescent="0.2">
      <c r="B49" s="20" t="str">
        <f>Sprache!B55</f>
        <v>Surface des absorbeurs</v>
      </c>
      <c r="E49" s="545"/>
      <c r="F49" s="546"/>
      <c r="G49" s="547" t="s">
        <v>2339</v>
      </c>
      <c r="H49" s="730" t="str">
        <f>IF(JAZcalc,IF(JAZcalc!I48&gt;0,JAZcalc!I48,""),IF(WP!H45&gt;0,WP!H45,""))</f>
        <v/>
      </c>
      <c r="J49" s="1040"/>
      <c r="K49" s="94" t="s">
        <v>2537</v>
      </c>
      <c r="L49" s="88"/>
      <c r="M49" s="720">
        <f>IF(OR(AND(H42&lt;&gt;0,H42&lt;&gt;""),J40&gt;4,J40=2),IF(J40=2,H41,IF(J40&gt;4,(60-_Tww1)/IF(BG83=6,7,1)+_Tww1,MAX(H42,H41))),60)</f>
        <v>60</v>
      </c>
      <c r="N49" s="35" t="s">
        <v>2948</v>
      </c>
      <c r="O49" s="5"/>
      <c r="P49" s="20"/>
      <c r="Q49" s="21"/>
      <c r="R49" s="20"/>
      <c r="S49" s="21"/>
      <c r="T49" s="5"/>
      <c r="U49" s="748" t="str">
        <f>IF(J31,"Quellen-Pumpe auf Blatt Spez","Pumpe auf Blatt WP")</f>
        <v>Pumpe auf Blatt WP</v>
      </c>
      <c r="V49" s="501"/>
      <c r="W49" s="808">
        <f>IF($J$31,Spez!H32,H31)</f>
        <v>0</v>
      </c>
      <c r="X49" s="612" t="s">
        <v>724</v>
      </c>
      <c r="Y49" s="5"/>
      <c r="Z49" s="832">
        <f>IF(KollFlaeche&gt;0,490/((1/KollFlaeche)+610/(EBF*(Qww/3.6+Qh/3.6))),0)</f>
        <v>0</v>
      </c>
      <c r="AA49" s="21"/>
      <c r="AB49" s="5"/>
      <c r="AC49" s="5"/>
      <c r="AD49" s="5"/>
      <c r="AE49" s="5"/>
      <c r="AF49" s="5"/>
      <c r="AG49" s="5"/>
      <c r="AH49" s="5"/>
      <c r="AI49" s="5"/>
      <c r="AJ49" s="19"/>
      <c r="AK49" s="19"/>
      <c r="AL49" s="19"/>
      <c r="AM49" s="19"/>
      <c r="AN49" s="19"/>
      <c r="AP49" s="377"/>
      <c r="AQ49" s="377"/>
      <c r="AR49" s="377"/>
      <c r="AS49" s="377"/>
      <c r="AT49" s="831"/>
      <c r="AU49" s="377"/>
      <c r="AV49" s="377"/>
      <c r="AW49" s="377"/>
      <c r="AX49" s="377"/>
      <c r="AY49" s="377"/>
      <c r="AZ49" s="377"/>
      <c r="BA49" s="377"/>
      <c r="BB49" s="377"/>
      <c r="BC49" s="377"/>
      <c r="BD49" s="377"/>
      <c r="BE49" s="377"/>
      <c r="DC49" s="5"/>
      <c r="DD49" s="5"/>
      <c r="DE49" s="5"/>
    </row>
    <row r="50" spans="2:111" ht="15" customHeight="1" x14ac:dyDescent="0.2">
      <c r="B50" s="166" t="str">
        <f>Sprache!B56</f>
        <v>orientation / inclinaison des collecteurs</v>
      </c>
      <c r="C50" s="499"/>
      <c r="D50" s="499"/>
      <c r="E50" s="727" t="str">
        <f>IF(AND(OR(Azimut&gt;90,Azimut&lt;-90),Azimut&lt;&gt;""),Sprache!B131,Sprache!B128)</f>
        <v xml:space="preserve">Azimut [°]:  </v>
      </c>
      <c r="F50" s="343">
        <f>IF(JAZcalc,IF(JAZcalc!G49&lt;&gt;"",JAZcalc!G49,0),IF(WP!F46&lt;&gt;"",WP!F46,0))</f>
        <v>0</v>
      </c>
      <c r="G50" s="726" t="str">
        <f>IF(AND(OR(Neigung&gt;90,Neigung&lt;-90),Neigung&lt;&gt;""),Sprache!B131,Sprache!B129)</f>
        <v>Pente [°]:</v>
      </c>
      <c r="H50" s="173">
        <f>IF(JAZcalc,IF(JAZcalc!I49&lt;&gt;"",JAZcalc!I49,0),IF(WP!H46&lt;&gt;"",WP!H46,0))</f>
        <v>0</v>
      </c>
      <c r="K50" s="94" t="s">
        <v>2542</v>
      </c>
      <c r="L50" s="88" t="s">
        <v>2546</v>
      </c>
      <c r="M50" s="725">
        <f>IF(AND(Qww&gt;0,EBF&gt;0,J43=4),5*7*H43/(Qww*EBF/3.6+5*7*H43),0)</f>
        <v>0</v>
      </c>
      <c r="N50" s="35"/>
      <c r="O50" s="5"/>
      <c r="P50" s="619" t="s">
        <v>2539</v>
      </c>
      <c r="Q50" s="21"/>
      <c r="R50" s="20" t="str">
        <f>Sprache!B274</f>
        <v>Non disponibles</v>
      </c>
      <c r="S50" s="21"/>
      <c r="T50" s="5"/>
      <c r="U50" s="100" t="str">
        <f>Spez!S20</f>
        <v xml:space="preserve">COP B0/35 </v>
      </c>
      <c r="V50" s="103"/>
      <c r="W50" s="809">
        <f>IF(SpezWP,Spez!T20,IF(WPDatenbank,IF(WPArt=6,WP_Daten!P5,IF(WPArt=4,WP_Daten!AB5,WP_Daten!X5)),H28))</f>
        <v>0</v>
      </c>
      <c r="X50" s="810"/>
      <c r="Y50" s="5"/>
      <c r="Z50" s="833" t="e">
        <f>Qww*EBF/3.6</f>
        <v>#VALUE!</v>
      </c>
      <c r="AA50" s="21"/>
      <c r="AB50" s="5"/>
      <c r="AC50" s="5"/>
      <c r="AD50" s="5"/>
      <c r="AE50" s="5"/>
      <c r="AF50" s="5"/>
      <c r="AG50" s="5"/>
      <c r="AH50" s="5"/>
      <c r="AI50" s="5"/>
      <c r="AJ50" s="19"/>
      <c r="AK50" s="19"/>
      <c r="AL50" s="19"/>
      <c r="AM50" s="19"/>
      <c r="AN50" s="19"/>
      <c r="AP50" s="377"/>
      <c r="AQ50" s="377"/>
      <c r="AR50" s="377"/>
      <c r="AS50" s="377"/>
      <c r="AT50" s="377"/>
      <c r="AU50" s="377"/>
      <c r="AV50" s="377"/>
      <c r="AW50" s="377"/>
      <c r="AX50" s="377"/>
      <c r="AY50" s="377"/>
      <c r="AZ50" s="377"/>
      <c r="BA50" s="377"/>
      <c r="BB50" s="377"/>
      <c r="BC50" s="377"/>
      <c r="BD50" s="377"/>
      <c r="BE50" s="377"/>
      <c r="DC50" s="5"/>
      <c r="DD50" s="5"/>
      <c r="DE50" s="5"/>
    </row>
    <row r="51" spans="2:111" ht="15" customHeight="1" x14ac:dyDescent="0.2">
      <c r="B51" s="166" t="str">
        <f>Sprache!B57</f>
        <v>Apport net par m2 d'absorbeur</v>
      </c>
      <c r="C51" s="499"/>
      <c r="D51" s="499"/>
      <c r="E51" s="689" t="str">
        <f>IF(_SIA384,Sprache!B269,Sprache!B140)</f>
        <v>valeur proposée:</v>
      </c>
      <c r="F51" s="690">
        <f>IF(H49&lt;&gt;"",IF(OR(MinSol,solarExtern),K66*WinkelKorr,Berechnungen!B188),)</f>
        <v>0</v>
      </c>
      <c r="G51" s="169" t="s">
        <v>938</v>
      </c>
      <c r="H51" s="173" t="str">
        <f>IF(JAZcalc,IF(JAZcalc!I50&lt;&gt;"",JAZcalc!I50,""),IF(WP!H47&lt;&gt;"",WP!H47,""))</f>
        <v/>
      </c>
      <c r="K51" s="94" t="s">
        <v>1252</v>
      </c>
      <c r="L51" s="118"/>
      <c r="M51" s="720">
        <f>IF(J22=6,MAX((H41-(MAX(TRL,H35+dTNutzer)+MAX(TVL-TRL,6)+H38))*0.2),IF(J22=4,MAX((H41-(MAX(TRL,H35+dTNutzer)+MAX(TVL-TRL,6)+H38))*0.1),IF(J22=5,MAX((H41-(MAX(TRL,H35+dTNutzer)+MAX(TVL-TRL,6)+H38))/2,0),0)))</f>
        <v>0</v>
      </c>
      <c r="N51" s="835" t="s">
        <v>2948</v>
      </c>
      <c r="O51" s="5"/>
      <c r="P51" s="20" t="s">
        <v>1625</v>
      </c>
      <c r="Q51" s="21"/>
      <c r="R51" s="20" t="str">
        <f>Sprache!B208</f>
        <v>Circulation d'ECS</v>
      </c>
      <c r="S51" s="21"/>
      <c r="T51" s="5"/>
      <c r="U51" s="100" t="str">
        <f>Spez!S22</f>
        <v xml:space="preserve">COP B0/55 </v>
      </c>
      <c r="V51" s="103"/>
      <c r="W51" s="811">
        <f>IF(SpezWP,Spez!T22,IF(WPDatenbank,IF(WPArt=6,WP_Daten!V5,IF(WPArt=4,WP_Daten!AD5,WP_Daten!Z5)),H30))</f>
        <v>0</v>
      </c>
      <c r="X51" s="810"/>
      <c r="Y51" s="5"/>
      <c r="Z51" s="20" t="e">
        <f>Z49/Z50</f>
        <v>#VALUE!</v>
      </c>
      <c r="AA51" s="21"/>
      <c r="AB51" s="5"/>
      <c r="AC51" s="5"/>
      <c r="AD51" s="5"/>
      <c r="AE51" s="5"/>
      <c r="AF51" s="5"/>
      <c r="AG51" s="5"/>
      <c r="AH51" s="5"/>
      <c r="AI51" s="5"/>
      <c r="AJ51" s="19"/>
      <c r="AK51" s="19"/>
      <c r="AL51" s="19"/>
      <c r="AM51" s="19"/>
      <c r="AN51" s="19"/>
      <c r="AP51" s="377"/>
      <c r="AQ51" s="377"/>
      <c r="AR51" s="377"/>
      <c r="AS51" s="377"/>
      <c r="AT51" s="377"/>
      <c r="AU51" s="377"/>
      <c r="AV51" s="377"/>
      <c r="AW51" s="377"/>
      <c r="AX51" s="377"/>
      <c r="AY51" s="377"/>
      <c r="AZ51" s="377"/>
      <c r="BA51" s="377"/>
      <c r="BB51" s="377"/>
      <c r="BC51" s="377"/>
      <c r="BD51" s="377"/>
      <c r="BE51" s="377"/>
      <c r="DC51" s="5"/>
      <c r="DD51" s="5"/>
      <c r="DE51" s="5"/>
    </row>
    <row r="52" spans="2:111" ht="15" customHeight="1" x14ac:dyDescent="0.2">
      <c r="B52" s="166" t="str">
        <f>IF(OR(MinSol,solarExtern),Sprache!B58,Sprache!B275)</f>
        <v>Spécifications du collecteur</v>
      </c>
      <c r="C52" s="694" t="str">
        <f>IF(OR(MinSol,solarExtern),""," ho = ")</f>
        <v xml:space="preserve"> ho = </v>
      </c>
      <c r="D52" s="691">
        <f>IF(JAZcalc,JAZcalc!E51,WP!D48)</f>
        <v>0</v>
      </c>
      <c r="E52" s="692" t="str">
        <f>IF(OR(MinSol,solarExtern),"","              a1 = ")</f>
        <v xml:space="preserve">              a1 = </v>
      </c>
      <c r="F52" s="742">
        <f>IF(JAZcalc,JAZcalc!G51,WP!F48)</f>
        <v>0</v>
      </c>
      <c r="G52" s="116" t="str">
        <f>IF(OR(MinSol,solarExtern),Sprache!B130,"           a2 = ")</f>
        <v xml:space="preserve">           a2 = </v>
      </c>
      <c r="H52" s="746">
        <f>IF(JAZcalc,JAZcalc!I51,WP!H48)</f>
        <v>0</v>
      </c>
      <c r="J52" s="839">
        <f>IF(OR(H52="",H52=0),0.00001,H52)</f>
        <v>1.0000000000000001E-5</v>
      </c>
      <c r="K52" s="95" t="s">
        <v>1802</v>
      </c>
      <c r="L52" s="88"/>
      <c r="M52" s="177">
        <f>IF(OR($J$20=3,$J$20=7,$J$20=11,$J$20=15),2,IF(OR($J$20=4,$J$20=8,$J$20=12,$J$20=16),3,IF(OR($J$20=5,$J$20=9,$J$20=13,$J$20=17),4,1)))</f>
        <v>1</v>
      </c>
      <c r="N52" s="35"/>
      <c r="O52" s="5"/>
      <c r="P52" s="25" t="s">
        <v>2540</v>
      </c>
      <c r="Q52" s="44"/>
      <c r="R52" s="25" t="str">
        <f>Sprache!B209</f>
        <v>Câble chauffant</v>
      </c>
      <c r="S52" s="44"/>
      <c r="T52" s="5"/>
      <c r="U52" s="100" t="str">
        <f>Spez!S21</f>
        <v xml:space="preserve">Qh B0/35 </v>
      </c>
      <c r="V52" s="103"/>
      <c r="W52" s="812">
        <f>IF(SpezWP,Spez!T21,IF(WPDatenbank,IF(WPArt=6,WP_Daten!O5,IF(WPArt=4,WP_Daten!AA5,WP_Daten!W5)),H27))</f>
        <v>0</v>
      </c>
      <c r="X52" s="786" t="s">
        <v>3650</v>
      </c>
      <c r="Y52" s="5"/>
      <c r="Z52" s="20"/>
      <c r="AA52" s="21"/>
      <c r="AB52" s="5"/>
      <c r="AC52" s="5"/>
      <c r="AD52" s="5"/>
      <c r="AE52" s="5"/>
      <c r="AF52" s="5"/>
      <c r="AG52" s="5"/>
      <c r="AH52" s="5"/>
      <c r="AI52" s="5"/>
      <c r="AJ52" s="19"/>
      <c r="AK52" s="19"/>
      <c r="AL52" s="19"/>
      <c r="AM52" s="19"/>
      <c r="AN52" s="19"/>
      <c r="AP52" s="377"/>
      <c r="AQ52" s="377"/>
      <c r="AR52" s="377"/>
      <c r="AS52" s="377"/>
      <c r="AT52" s="831"/>
      <c r="AU52" s="377"/>
      <c r="AV52" s="377"/>
      <c r="AW52" s="377"/>
      <c r="AX52" s="377"/>
      <c r="AY52" s="377"/>
      <c r="AZ52" s="377"/>
      <c r="BA52" s="377"/>
      <c r="BB52" s="377"/>
      <c r="BC52" s="377"/>
      <c r="BD52" s="377"/>
      <c r="BE52" s="377"/>
      <c r="DC52" s="5"/>
      <c r="DD52" s="5"/>
      <c r="DE52" s="5"/>
    </row>
    <row r="53" spans="2:111" ht="15" customHeight="1" x14ac:dyDescent="0.2">
      <c r="B53" s="166" t="str">
        <f>Sprache!B59</f>
        <v>Taux de couverture solaire pour l'ECS</v>
      </c>
      <c r="C53" s="499"/>
      <c r="D53" s="499"/>
      <c r="E53" s="312"/>
      <c r="F53" s="840" t="s">
        <v>2310</v>
      </c>
      <c r="G53" s="42" t="s">
        <v>3643</v>
      </c>
      <c r="H53" s="695">
        <f>IF(HeizungSolar,Q60,P60)</f>
        <v>0</v>
      </c>
      <c r="K53" s="94" t="s">
        <v>1801</v>
      </c>
      <c r="L53" s="95"/>
      <c r="M53" s="95"/>
      <c r="N53" s="88"/>
      <c r="O53" s="5"/>
      <c r="P53" s="5"/>
      <c r="Q53" s="5"/>
      <c r="R53" s="5"/>
      <c r="S53" s="5"/>
      <c r="T53" s="5"/>
      <c r="U53" s="205" t="str">
        <f>Spez!S23</f>
        <v xml:space="preserve">Qh B0/55 </v>
      </c>
      <c r="V53" s="517"/>
      <c r="W53" s="800">
        <f>IF(SpezWP,Spez!T23,IF(WPDatenbank,IF(WPArt=6,WP_Daten!U5,IF(WPArt=4,WP_Daten!AC5,WP_Daten!Y5)),H29))</f>
        <v>0</v>
      </c>
      <c r="X53" s="613" t="s">
        <v>3650</v>
      </c>
      <c r="Y53" s="5"/>
      <c r="Z53" s="25"/>
      <c r="AA53" s="44"/>
      <c r="AB53" s="5"/>
      <c r="AC53" s="5"/>
      <c r="AD53" s="5"/>
      <c r="AE53" s="5"/>
      <c r="AF53" s="5"/>
      <c r="AG53" s="5"/>
      <c r="AH53" s="5"/>
      <c r="AI53" s="5"/>
      <c r="AJ53" s="19"/>
      <c r="AK53" s="19"/>
      <c r="AL53" s="19"/>
      <c r="AM53" s="19"/>
      <c r="AN53" s="19"/>
      <c r="AP53" s="377"/>
      <c r="AQ53" s="377"/>
      <c r="AR53" s="377"/>
      <c r="AS53" s="377"/>
      <c r="AT53" s="831"/>
      <c r="AU53" s="377"/>
      <c r="AV53" s="377"/>
      <c r="AW53" s="377"/>
      <c r="AX53" s="377"/>
      <c r="AY53" s="377"/>
      <c r="AZ53" s="377"/>
      <c r="BA53" s="377"/>
      <c r="BB53" s="377"/>
      <c r="BC53" s="377"/>
      <c r="BD53" s="377"/>
      <c r="BE53" s="377"/>
      <c r="DC53" s="5"/>
      <c r="DD53" s="5"/>
      <c r="DE53" s="5"/>
    </row>
    <row r="54" spans="2:111" ht="15" customHeight="1" x14ac:dyDescent="0.2">
      <c r="B54" s="166" t="str">
        <f>Sprache!B60</f>
        <v>Taux de couverture solaire pour le chauffage</v>
      </c>
      <c r="C54" s="499"/>
      <c r="D54" s="499"/>
      <c r="E54" s="167"/>
      <c r="F54" s="840" t="s">
        <v>2310</v>
      </c>
      <c r="G54" s="42" t="s">
        <v>3643</v>
      </c>
      <c r="H54" s="696">
        <f>IF(H49&lt;&gt;"",MIN(IF(HeizungSolar,Q61,P61),Q65),)</f>
        <v>0</v>
      </c>
      <c r="L54" s="5"/>
      <c r="M54" s="5"/>
      <c r="N54" s="5"/>
      <c r="O54" s="5"/>
      <c r="P54" s="5"/>
      <c r="Q54" s="5"/>
      <c r="R54" s="5"/>
      <c r="S54" s="5"/>
      <c r="T54" s="5"/>
      <c r="U54" s="5"/>
      <c r="V54" s="5"/>
      <c r="W54" s="5"/>
      <c r="X54" s="5"/>
      <c r="Y54" s="5"/>
      <c r="Z54" s="5"/>
      <c r="AA54" s="5"/>
      <c r="AB54" s="5"/>
      <c r="AC54" s="5"/>
      <c r="AD54" s="5"/>
      <c r="AE54" s="5"/>
      <c r="AF54" s="5"/>
      <c r="AG54" s="5"/>
      <c r="AH54" s="5"/>
      <c r="AI54" s="106"/>
      <c r="AJ54" s="19"/>
      <c r="AK54" s="19"/>
      <c r="AL54" s="19"/>
      <c r="AM54" s="19"/>
      <c r="AN54" s="217"/>
      <c r="AP54" s="377"/>
      <c r="AQ54" s="377"/>
      <c r="AR54" s="377"/>
      <c r="AS54" s="377"/>
      <c r="AT54" s="377"/>
      <c r="AU54" s="377"/>
      <c r="AV54" s="377"/>
      <c r="AW54" s="813" t="s">
        <v>2561</v>
      </c>
      <c r="AX54" s="377"/>
      <c r="AY54" s="377"/>
      <c r="AZ54" s="377"/>
      <c r="BA54" s="377"/>
      <c r="BB54" s="377"/>
      <c r="BC54" s="377"/>
      <c r="BD54" s="377"/>
      <c r="BE54" s="377"/>
      <c r="DC54" s="5"/>
      <c r="DD54" s="5"/>
      <c r="DE54" s="5"/>
    </row>
    <row r="55" spans="2:111" ht="7.15" customHeight="1" x14ac:dyDescent="0.2">
      <c r="B55" s="23"/>
      <c r="C55" s="23"/>
      <c r="D55" s="23"/>
      <c r="E55" s="176"/>
      <c r="F55" s="1210"/>
      <c r="G55" s="1210"/>
      <c r="H55" s="23"/>
      <c r="K55" s="51"/>
      <c r="L55" s="52"/>
      <c r="M55" s="688" t="s">
        <v>1130</v>
      </c>
      <c r="N55" s="687" t="s">
        <v>1131</v>
      </c>
      <c r="O55" s="719"/>
      <c r="P55" s="52"/>
      <c r="Q55" s="52"/>
      <c r="R55" s="53"/>
      <c r="S55" s="5"/>
      <c r="T55" s="5"/>
      <c r="U55" s="5"/>
      <c r="V55" s="5"/>
      <c r="W55" s="5"/>
      <c r="X55" s="5"/>
      <c r="Y55" s="5" t="b">
        <v>1</v>
      </c>
      <c r="Z55" s="5"/>
      <c r="AA55" s="5"/>
      <c r="AB55" s="5"/>
      <c r="AC55" s="5"/>
      <c r="AD55" s="5"/>
      <c r="AE55" s="5"/>
      <c r="AF55" s="5"/>
      <c r="AG55" s="5"/>
      <c r="AH55" s="5"/>
      <c r="AI55" s="5"/>
      <c r="AJ55" s="19"/>
      <c r="AK55" s="19"/>
      <c r="AL55" s="19"/>
      <c r="AM55" s="19"/>
      <c r="AN55" s="19"/>
      <c r="AP55" s="377"/>
      <c r="AQ55" s="377"/>
      <c r="AR55" s="377"/>
      <c r="AS55" s="377"/>
      <c r="AT55" s="377"/>
      <c r="AU55" s="377"/>
      <c r="AV55" s="377"/>
      <c r="AW55" s="377"/>
      <c r="AX55" s="377"/>
      <c r="AY55" s="377"/>
      <c r="AZ55" s="377"/>
      <c r="BA55" s="377"/>
      <c r="BB55" s="377"/>
      <c r="BC55" s="377"/>
      <c r="BD55" s="377"/>
      <c r="BE55" s="377"/>
      <c r="DC55" s="5"/>
      <c r="DD55" s="5"/>
      <c r="DE55" s="5"/>
    </row>
    <row r="56" spans="2:111" ht="15.6" customHeight="1" x14ac:dyDescent="0.25">
      <c r="B56" s="85" t="str">
        <f>Sprache!B32</f>
        <v>Résultats</v>
      </c>
      <c r="C56" s="495"/>
      <c r="D56" s="495"/>
      <c r="E56" s="86"/>
      <c r="F56" s="177"/>
      <c r="G56" s="177"/>
      <c r="H56" s="158"/>
      <c r="K56" s="685" t="s">
        <v>1127</v>
      </c>
      <c r="L56" s="55"/>
      <c r="M56" s="704" t="b">
        <f>IF(OR(N57=2,N57=4,N57=6),TRUE,FALSE)</f>
        <v>0</v>
      </c>
      <c r="N56" s="705" t="b">
        <f>IF(OR(N57=3,N57=5,N57=7),TRUE,FALSE)</f>
        <v>0</v>
      </c>
      <c r="O56" s="713"/>
      <c r="P56" s="1214" t="s">
        <v>933</v>
      </c>
      <c r="Q56" s="1214"/>
      <c r="R56" s="56"/>
      <c r="S56" s="5"/>
      <c r="T56" s="137"/>
      <c r="U56" s="128"/>
      <c r="V56" s="138" t="s">
        <v>3504</v>
      </c>
      <c r="W56" s="378" t="s">
        <v>1472</v>
      </c>
      <c r="X56" s="139" t="s">
        <v>3505</v>
      </c>
      <c r="Y56" s="140"/>
      <c r="Z56" s="140"/>
      <c r="AA56" s="140"/>
      <c r="AB56" s="140"/>
      <c r="AC56" s="140"/>
      <c r="AD56" s="140"/>
      <c r="AE56" s="140"/>
      <c r="AF56" s="140"/>
      <c r="AG56" s="140"/>
      <c r="AH56" s="140"/>
      <c r="AI56" s="140"/>
      <c r="AJ56" s="124"/>
      <c r="AK56" s="141"/>
      <c r="AL56" s="142" t="s">
        <v>3506</v>
      </c>
      <c r="AM56" s="143"/>
      <c r="AN56" s="143"/>
      <c r="AO56" s="143"/>
      <c r="AP56" s="143"/>
      <c r="AQ56" s="143"/>
      <c r="AR56" s="19"/>
      <c r="AS56" s="19"/>
      <c r="AT56" s="19"/>
      <c r="AU56" s="19"/>
      <c r="AV56" s="125"/>
      <c r="AW56" s="1220" t="s">
        <v>773</v>
      </c>
      <c r="AX56" s="1221"/>
      <c r="AY56" s="1222"/>
      <c r="AZ56" s="481" t="s">
        <v>2086</v>
      </c>
      <c r="BA56" s="481" t="s">
        <v>2086</v>
      </c>
      <c r="BB56" s="481"/>
      <c r="BC56" s="481"/>
      <c r="BE56" s="217"/>
      <c r="BG56" s="469" t="s">
        <v>3501</v>
      </c>
      <c r="BH56" s="133"/>
      <c r="BI56" s="121" t="s">
        <v>3502</v>
      </c>
      <c r="DC56" s="5"/>
      <c r="DD56" s="5"/>
      <c r="DE56" s="5"/>
      <c r="DF56" s="5"/>
      <c r="DG56" s="5"/>
    </row>
    <row r="57" spans="2:111" ht="15" customHeight="1" x14ac:dyDescent="0.25">
      <c r="B57" s="16" t="str">
        <f ca="1">IF(OR(J29=FALSE,EBF=0),"",IF(bivalent,Sprache!B33,IF(AND(Heizung,elZusatz),Sprache!B34,IF(F57&gt;0,Sprache!B35,""))))</f>
        <v/>
      </c>
      <c r="C57" s="23"/>
      <c r="D57" s="23"/>
      <c r="E57" s="178" t="str">
        <f ca="1">IF(OR(J29=FALSE,EBF=0),"",IF(AND(Heizung,OR(bivalent,elZusatz,F57&gt;0)),"e = ",""))</f>
        <v/>
      </c>
      <c r="F57" s="179" t="str">
        <f ca="1">IF(OR(J29=FALSE,EBF=0),"",IF(AND(Heizung,WPArt&gt;1),INDEX(U28:AJ28,1,2*(WPArt-1))*(1-IF(HeizungSolar,H54,0)),""))</f>
        <v/>
      </c>
      <c r="G57" s="180" t="str">
        <f>IF(AND(Heizung,OR(bivalent,elZusatz)),"kWh = ","")</f>
        <v/>
      </c>
      <c r="H57" s="181">
        <f>IF(Kategorie&gt;1,IF(AND(Heizung,OR(bivalent,elZusatz)),Zusatzheizung/Etah,""),)</f>
        <v>0</v>
      </c>
      <c r="J57" s="5" t="b">
        <f ca="1">IF(AND(J29=TRUE,bivalent=FALSE,F57&gt;0.005,F57&lt;&gt;""),TRUE,FALSE)</f>
        <v>0</v>
      </c>
      <c r="K57" s="418" t="s">
        <v>3670</v>
      </c>
      <c r="L57" s="53"/>
      <c r="M57" s="6" t="s">
        <v>1128</v>
      </c>
      <c r="N57" s="682">
        <f>J48</f>
        <v>1</v>
      </c>
      <c r="O57" s="714"/>
      <c r="P57" s="488" t="s">
        <v>934</v>
      </c>
      <c r="Q57" s="686" t="s">
        <v>935</v>
      </c>
      <c r="R57" s="678"/>
      <c r="S57" s="5"/>
      <c r="T57" s="55"/>
      <c r="U57" s="131" t="s">
        <v>2074</v>
      </c>
      <c r="V57" s="147" t="s">
        <v>2075</v>
      </c>
      <c r="W57" s="148" t="s">
        <v>2076</v>
      </c>
      <c r="X57" s="1211" t="s">
        <v>2077</v>
      </c>
      <c r="Y57" s="1211" t="s">
        <v>2078</v>
      </c>
      <c r="Z57" s="1211" t="s">
        <v>2079</v>
      </c>
      <c r="AA57" s="1211" t="s">
        <v>2080</v>
      </c>
      <c r="AB57" s="1211" t="s">
        <v>2081</v>
      </c>
      <c r="AC57" s="1211" t="s">
        <v>2082</v>
      </c>
      <c r="AD57" s="1211" t="s">
        <v>2083</v>
      </c>
      <c r="AE57" s="1211" t="s">
        <v>2084</v>
      </c>
      <c r="AF57" s="128" t="s">
        <v>2085</v>
      </c>
      <c r="AG57" s="128" t="s">
        <v>2085</v>
      </c>
      <c r="AH57" s="128" t="s">
        <v>2086</v>
      </c>
      <c r="AI57" s="128" t="s">
        <v>2086</v>
      </c>
      <c r="AJ57" s="1211" t="s">
        <v>2087</v>
      </c>
      <c r="AK57" s="128" t="s">
        <v>2086</v>
      </c>
      <c r="AL57" s="1213" t="s">
        <v>2088</v>
      </c>
      <c r="AM57" s="1213" t="s">
        <v>3653</v>
      </c>
      <c r="AN57" s="1211" t="s">
        <v>2081</v>
      </c>
      <c r="AO57" s="1211" t="s">
        <v>3654</v>
      </c>
      <c r="AP57" s="1211">
        <v>0</v>
      </c>
      <c r="AQ57" s="1211" t="s">
        <v>3655</v>
      </c>
      <c r="AR57" s="1211" t="s">
        <v>3671</v>
      </c>
      <c r="AS57" s="128" t="s">
        <v>1671</v>
      </c>
      <c r="AT57" s="128" t="s">
        <v>1671</v>
      </c>
      <c r="AU57" s="128" t="s">
        <v>1671</v>
      </c>
      <c r="AV57" s="1211" t="s">
        <v>3165</v>
      </c>
      <c r="AW57" s="473" t="s">
        <v>1743</v>
      </c>
      <c r="AX57" s="471" t="s">
        <v>1742</v>
      </c>
      <c r="AY57" s="471" t="s">
        <v>1741</v>
      </c>
      <c r="AZ57" s="473" t="s">
        <v>772</v>
      </c>
      <c r="BA57" s="473" t="s">
        <v>772</v>
      </c>
      <c r="BB57" s="473" t="s">
        <v>774</v>
      </c>
      <c r="BC57" s="473" t="s">
        <v>774</v>
      </c>
      <c r="BE57" s="217"/>
      <c r="BG57" s="94" t="s">
        <v>3503</v>
      </c>
      <c r="BH57" s="136">
        <f>J21</f>
        <v>1</v>
      </c>
      <c r="DC57" s="5"/>
      <c r="DD57" s="5"/>
      <c r="DE57" s="5"/>
      <c r="DF57" s="5"/>
      <c r="DG57" s="5"/>
    </row>
    <row r="58" spans="2:111" ht="15" customHeight="1" x14ac:dyDescent="0.25">
      <c r="B58" s="100" t="str">
        <f>IF(AND(WW,elWW),Sprache!B36,IF(bivalent,Sprache!B37,IF(J43=4,Sprache!B36,"")))</f>
        <v/>
      </c>
      <c r="C58" s="103"/>
      <c r="D58" s="103"/>
      <c r="E58" s="182" t="str">
        <f>IF(AND(WW,OR(bivalent,elWW,J43=4)),"e = ","")</f>
        <v/>
      </c>
      <c r="F58" s="183" t="str">
        <f>IF(AND(OR(bivalent,elWW,J43=4),WW,WPArt&gt;1),INDEX(U36:AJ36,1,2*(WPArt-1))*(1-IF(N57&gt;1,H53,0)),"")</f>
        <v/>
      </c>
      <c r="G58" s="184" t="str">
        <f>IF(AND(WW,OR(bivalent,elWW,J43=4)),"kWh = ","")</f>
        <v/>
      </c>
      <c r="H58" s="185">
        <f>IF(Kategorie&gt;1,IF(AND(WW,OR(bivalent,elWW,J43=4)),Qww*EBF/3.6*F58/Etaw,""),)</f>
        <v>0</v>
      </c>
      <c r="J58" s="1047">
        <f>IF(AND(OR(BG83=1,BG83=2),OR(AD139=1,AD139=2)),1,MAX((1-ZusatzWW/BedarfWW)*MIN(($M$48-10)/(M49-10),1)*BH83*(1-M50),0))</f>
        <v>1</v>
      </c>
      <c r="K58" s="709">
        <f>IF(N57&gt;1,H49,0)*WinkelKorr</f>
        <v>0</v>
      </c>
      <c r="L58" s="211" t="s">
        <v>1141</v>
      </c>
      <c r="M58" s="680" t="str">
        <f>Sprache!B270</f>
        <v>pas d'installation solaire</v>
      </c>
      <c r="N58" s="680"/>
      <c r="O58" s="715"/>
      <c r="P58" s="477">
        <f>IF(KollFlaeche&gt;0,IF(Qww&gt;0,IF(muM&lt;800,(640/((1/KollFlaeche)+380/(EBF*Qww/3.6))/KollFlaeche),(700/((1/KollFlaeche)+380/(EBF*Qww/3.6))/KollFlaeche)),),)</f>
        <v>0</v>
      </c>
      <c r="Q58" s="698">
        <f>IF(AND(Qww&gt;0,KollFlaeche&gt;0),IF(muM&lt;800,(440/((1/KollFlaeche)+610/(EBF*(Qww/3.6+Qh/3.6)))/KollFlaeche),(490/((1/KollFlaeche)+610/(EBF*(Qww/3.6+Qh/3.6)))/KollFlaeche)),)</f>
        <v>0</v>
      </c>
      <c r="R58" s="684" t="s">
        <v>1143</v>
      </c>
      <c r="S58" s="5"/>
      <c r="T58" s="137" t="s">
        <v>3656</v>
      </c>
      <c r="U58" s="131" t="s">
        <v>3657</v>
      </c>
      <c r="V58" s="147" t="s">
        <v>3658</v>
      </c>
      <c r="W58" s="149" t="s">
        <v>3659</v>
      </c>
      <c r="X58" s="1212"/>
      <c r="Y58" s="1212"/>
      <c r="Z58" s="1212"/>
      <c r="AA58" s="1212"/>
      <c r="AB58" s="1212"/>
      <c r="AC58" s="1212"/>
      <c r="AD58" s="1212"/>
      <c r="AE58" s="1212"/>
      <c r="AF58" s="150" t="s">
        <v>3660</v>
      </c>
      <c r="AG58" s="150" t="s">
        <v>3661</v>
      </c>
      <c r="AH58" s="150" t="s">
        <v>3662</v>
      </c>
      <c r="AI58" s="150" t="s">
        <v>3663</v>
      </c>
      <c r="AJ58" s="1212"/>
      <c r="AK58" s="150" t="s">
        <v>3664</v>
      </c>
      <c r="AL58" s="1212"/>
      <c r="AM58" s="1212"/>
      <c r="AN58" s="1212"/>
      <c r="AO58" s="1212"/>
      <c r="AP58" s="1212"/>
      <c r="AQ58" s="1212"/>
      <c r="AR58" s="1212"/>
      <c r="AS58" s="150" t="s">
        <v>3664</v>
      </c>
      <c r="AT58" s="150" t="s">
        <v>934</v>
      </c>
      <c r="AU58" s="150" t="s">
        <v>934</v>
      </c>
      <c r="AV58" s="1212"/>
      <c r="AW58" s="473"/>
      <c r="AX58" s="471" t="s">
        <v>1745</v>
      </c>
      <c r="AY58" s="471" t="s">
        <v>1744</v>
      </c>
      <c r="AZ58" s="473" t="s">
        <v>752</v>
      </c>
      <c r="BA58" s="473" t="s">
        <v>1676</v>
      </c>
      <c r="BB58" s="473" t="s">
        <v>752</v>
      </c>
      <c r="BC58" s="473" t="s">
        <v>1676</v>
      </c>
      <c r="BE58" s="217"/>
      <c r="BG58" s="139" t="s">
        <v>3507</v>
      </c>
      <c r="BH58" s="229">
        <f>IF(BH57=1,IF(BH56&gt;0,BH56,BH57),BH57)</f>
        <v>1</v>
      </c>
      <c r="BI58" s="125"/>
      <c r="DC58" s="5"/>
      <c r="DD58" s="5"/>
      <c r="DE58" s="5"/>
      <c r="DF58" s="5"/>
      <c r="DG58" s="5"/>
    </row>
    <row r="59" spans="2:111" ht="15" customHeight="1" x14ac:dyDescent="0.2">
      <c r="B59" s="100" t="str">
        <f>Sprache!B38</f>
        <v>Pertes en mode chauffage (démarrage, accumulateur, etc.)</v>
      </c>
      <c r="C59" s="103"/>
      <c r="D59" s="103"/>
      <c r="E59" s="97"/>
      <c r="F59" s="187">
        <f>IF(Heizung,Z147+AJ146+BH74,0)</f>
        <v>0</v>
      </c>
      <c r="G59" s="184" t="s">
        <v>3935</v>
      </c>
      <c r="H59" s="188">
        <f>1-F59</f>
        <v>1</v>
      </c>
      <c r="J59" s="5" t="b">
        <f>AND(OR(BG83=1,BG83=2),OR(AD139=1,AD139=2))</f>
        <v>1</v>
      </c>
      <c r="K59" s="708" t="e">
        <f>IF(H51&gt;0,IF(solarExtern,H51,K64),K64)</f>
        <v>#VALUE!</v>
      </c>
      <c r="L59" s="679" t="s">
        <v>1140</v>
      </c>
      <c r="M59" s="287" t="str">
        <f>IF(O107,Sprache!B271&amp;" (SIA 384/3)","")</f>
        <v/>
      </c>
      <c r="N59" s="287"/>
      <c r="O59" s="716"/>
      <c r="P59" s="21"/>
      <c r="Q59" s="175">
        <f>IF(muM&lt;800,(440-Q58)/610,(490-Q58)/610)</f>
        <v>0.72131147540983609</v>
      </c>
      <c r="R59" s="238"/>
      <c r="S59" s="5"/>
      <c r="T59" s="151" t="s">
        <v>3665</v>
      </c>
      <c r="U59" s="135"/>
      <c r="V59" s="151" t="s">
        <v>3665</v>
      </c>
      <c r="W59" s="152" t="s">
        <v>3666</v>
      </c>
      <c r="X59" s="150" t="s">
        <v>2948</v>
      </c>
      <c r="Y59" s="152" t="s">
        <v>3659</v>
      </c>
      <c r="Z59" s="152" t="s">
        <v>3650</v>
      </c>
      <c r="AA59" s="152" t="s">
        <v>3650</v>
      </c>
      <c r="AB59" s="152" t="s">
        <v>3650</v>
      </c>
      <c r="AC59" s="152" t="s">
        <v>3650</v>
      </c>
      <c r="AD59" s="153" t="s">
        <v>3665</v>
      </c>
      <c r="AE59" s="152" t="s">
        <v>3665</v>
      </c>
      <c r="AF59" s="152" t="s">
        <v>3665</v>
      </c>
      <c r="AG59" s="152" t="s">
        <v>3665</v>
      </c>
      <c r="AH59" s="152" t="s">
        <v>3665</v>
      </c>
      <c r="AI59" s="152" t="s">
        <v>3666</v>
      </c>
      <c r="AJ59" s="152" t="s">
        <v>3665</v>
      </c>
      <c r="AK59" s="152" t="s">
        <v>3665</v>
      </c>
      <c r="AL59" s="153" t="s">
        <v>3665</v>
      </c>
      <c r="AM59" s="153" t="s">
        <v>3665</v>
      </c>
      <c r="AN59" s="152" t="s">
        <v>3650</v>
      </c>
      <c r="AO59" s="152" t="s">
        <v>3665</v>
      </c>
      <c r="AP59" s="152"/>
      <c r="AQ59" s="152" t="s">
        <v>3650</v>
      </c>
      <c r="AR59" s="152" t="s">
        <v>3659</v>
      </c>
      <c r="AS59" s="152" t="s">
        <v>3666</v>
      </c>
      <c r="AT59" s="152" t="s">
        <v>3666</v>
      </c>
      <c r="AU59" s="152" t="s">
        <v>3666</v>
      </c>
      <c r="AV59" s="152" t="s">
        <v>3650</v>
      </c>
      <c r="AW59" s="474" t="s">
        <v>2948</v>
      </c>
      <c r="AX59" s="472" t="s">
        <v>2948</v>
      </c>
      <c r="AY59" s="472" t="s">
        <v>2948</v>
      </c>
      <c r="AZ59" s="474" t="s">
        <v>3650</v>
      </c>
      <c r="BA59" s="474" t="s">
        <v>3650</v>
      </c>
      <c r="BB59" s="474"/>
      <c r="BC59" s="474"/>
      <c r="BE59" s="217"/>
      <c r="BG59" s="16" t="s">
        <v>718</v>
      </c>
      <c r="BH59" s="22"/>
      <c r="DC59" s="5"/>
      <c r="DD59" s="5"/>
      <c r="DE59" s="5"/>
      <c r="DF59" s="5"/>
      <c r="DG59" s="5"/>
    </row>
    <row r="60" spans="2:111" ht="15" customHeight="1" x14ac:dyDescent="0.2">
      <c r="B60" s="100" t="str">
        <f>Sprache!B39</f>
        <v>Pertes en mode préparation d'ECS (démarrage, accumulateur, etc.)</v>
      </c>
      <c r="C60" s="103"/>
      <c r="D60" s="103"/>
      <c r="E60" s="97"/>
      <c r="F60" s="187">
        <f>IF(WW,Z141+Z148,0)</f>
        <v>0</v>
      </c>
      <c r="G60" s="184" t="s">
        <v>3937</v>
      </c>
      <c r="H60" s="188">
        <f>1-F60</f>
        <v>1</v>
      </c>
      <c r="J60" s="125">
        <f>BG83</f>
        <v>1</v>
      </c>
      <c r="K60" s="707">
        <f>IF(OR(AND(OR(Azimut&gt;90,Azimut&lt;-90),Azimut&lt;&gt;""),AND(OR(Neigung&gt;90,Neigung&lt;-90),Neigung&lt;&gt;"")),0,IF(MinSol,IF(OR(AND(H51&gt;0,solarExtern),_SIA384),1,IF(wwSolar,AD170,IF(HeizungSolar,AD152,1))),1))</f>
        <v>1</v>
      </c>
      <c r="L60" s="679" t="s">
        <v>1139</v>
      </c>
      <c r="M60" s="287" t="str">
        <f>IF(O107,Sprache!B272&amp;" (SIA 384/3)","")</f>
        <v/>
      </c>
      <c r="N60" s="287"/>
      <c r="O60" s="716"/>
      <c r="P60" s="175">
        <f>IF(AND(EBF&gt;0,H49&lt;&gt;""),IF(_SIA384,P66,IF(KollFlaeche&gt;0,IF(Qww&gt;0,IF(AND(H51&gt;0,solarExtern),MIN(1/Qww*3.6*K59*KollFlaeche/EBF,P64),MIN(IF(muM&lt;800,((640-P58)/380),((700-P58)/380)),P64)),0),)*IF($BH$57&gt;2,1,0)),)</f>
        <v>0</v>
      </c>
      <c r="Q60" s="175">
        <f>IF(AND(Qww&gt;0,H49&lt;&gt;""),IF(_SIA384,Q66,IF(EBF&gt;0,IF((Qh+Qww)=0,,IF(AND(KollFlaeche&gt;0,H51&gt;0,solarExtern),MIN(1/Qww*3.6*K59*KollFlaeche/EBF,Q64),IF(KollFlaeche&gt;0,MIN(Q64,Q59*(Qww/3.6+Qh/3.6)/Qww*3.6),))),)),0)</f>
        <v>0</v>
      </c>
      <c r="R60" s="683" t="s">
        <v>936</v>
      </c>
      <c r="S60" s="5">
        <v>1</v>
      </c>
      <c r="T60" s="419">
        <f t="shared" ref="T60:T75" si="0">W60*Z60</f>
        <v>0</v>
      </c>
      <c r="U60" s="156"/>
      <c r="V60" s="421">
        <f t="shared" ref="V60:V75" si="1">Z60*W60</f>
        <v>0</v>
      </c>
      <c r="W60" s="1057">
        <f>IF(BIN,INDEX(BIN!$B$3:$BO$364,4+(Klima-2)*11,S60),0)</f>
        <v>0</v>
      </c>
      <c r="X60" s="159">
        <v>-25</v>
      </c>
      <c r="Y60" s="160" t="e">
        <f ca="1">IF(BINkorr,INDEX(Berechnungen!$E$81:$BR$81,1,S60)*IF(OR(Methode_384_3,Z60=0),1,AV60/Z60)/Leistungskorr*(1-Kollektor),W60*$T$130*(1-Kollektor))</f>
        <v>#REF!</v>
      </c>
      <c r="Z60" s="161">
        <f>IF(Heizung,IF(Methode_384_3,INDEX(Berechnungen!$E$79:$BR$79,1,S60),IF(X60&lt;IF(JAZcalc,TaMinVorarlberg,TaMin),Z61,Z61+$Z$77/28)),0)</f>
        <v>0</v>
      </c>
      <c r="AA60" s="161" t="e">
        <f ca="1">IF(AG60&gt;1,$AA$77,0)</f>
        <v>#REF!</v>
      </c>
      <c r="AB60" s="161">
        <f t="shared" ref="AB60:AB75" si="2">IF(Bivalenzpunkt&lt;X60,AN60,0)</f>
        <v>0</v>
      </c>
      <c r="AC60" s="424" t="e">
        <f t="shared" ref="AC60:AC75" ca="1" si="3">MAX(Z60+AA60-AB60,0)/Nutzungsgrad</f>
        <v>#REF!</v>
      </c>
      <c r="AD60" s="425" t="e">
        <f ca="1">MAX(IF(AE60&gt;0,Z60*Y60/Etah/Nutzungsgrad,(Z60*Y60/Etah+AA60*Y60/Etaw-AB60*Y60)/Nutzungsgrad),0)</f>
        <v>#REF!</v>
      </c>
      <c r="AE60" s="423" t="e">
        <f ca="1">MAX(AA60-AB60,0)*W60/Nutzungsgrad/Etaw</f>
        <v>#REF!</v>
      </c>
      <c r="AF60" s="160" t="e">
        <f ca="1">Z60*Y60/Etah</f>
        <v>#REF!</v>
      </c>
      <c r="AG60" s="157" t="e">
        <f ca="1">IF($AA$77*Y60/Etaw*(1-KollektorWW)&gt;0,$AA$77*Y60/Etaw*(1-KollektorWW),0.1)</f>
        <v>#REF!</v>
      </c>
      <c r="AH60" s="423" t="e">
        <f t="shared" ref="AH60:AH75" ca="1" si="4">MAX(AF60+AG60-AD60*Nutzungsgrad-AE60*Nutzungsgrad,0)</f>
        <v>#REF!</v>
      </c>
      <c r="AI60" s="1054">
        <f t="shared" ref="AI60:AI75" si="5">MIN(IF(AB60&gt;0,AH60/AB60,0),W60)</f>
        <v>0</v>
      </c>
      <c r="AJ60" s="421">
        <f t="shared" ref="AJ60:AJ75" si="6">Z60*W60</f>
        <v>0</v>
      </c>
      <c r="AK60" s="426" t="e">
        <f t="shared" ref="AK60:AK75" ca="1" si="7">MAX(AF60-AD60*Nutzungsgrad,0)</f>
        <v>#REF!</v>
      </c>
      <c r="AL60" s="426" t="e">
        <f ca="1">AE60+AD60+IF(Laufzeit_Zusatzheizung&gt;=SUM($Y60:$Y$77),Kesselleistung*$H$45*Y60,0)</f>
        <v>#REF!</v>
      </c>
      <c r="AM60" s="426" t="e">
        <f ca="1">MIN(AL60,W60*Kesselleistung)</f>
        <v>#REF!</v>
      </c>
      <c r="AN60" s="424">
        <f>IF(Neu,INDEX(WP_BIN!$T$80:$CG$80,1,S60),AZ60)</f>
        <v>0</v>
      </c>
      <c r="AO60" s="427" t="e">
        <f t="shared" ref="AO60:AO75" ca="1" si="8">IF(AE60&gt;AM60,AE60-AM60,0)</f>
        <v>#REF!</v>
      </c>
      <c r="AP60" s="427" t="e">
        <f t="shared" ref="AP60:AP75" ca="1" si="9">AL60-AM60-AO60</f>
        <v>#REF!</v>
      </c>
      <c r="AQ60" s="424">
        <f t="shared" ref="AQ60:AQ75" si="10">MAX(AQ61-(AQ$87-AQ$78)/9,0)</f>
        <v>0</v>
      </c>
      <c r="AR60" s="426" t="e">
        <f t="shared" ref="AR60:AR75" si="11">W60*$T$130</f>
        <v>#VALUE!</v>
      </c>
      <c r="AS60" s="423">
        <f>MIN(IF(AB60&gt;0,AK60/AB60,0),W60)</f>
        <v>0</v>
      </c>
      <c r="AT60" s="421">
        <f>IF(WW=TRUE,AI60-AS60,0)</f>
        <v>0</v>
      </c>
      <c r="AU60" s="421">
        <f>IF(WW=TRUE,W60*$AT$128/8760,0)</f>
        <v>0</v>
      </c>
      <c r="AV60" s="1116" t="e">
        <f ca="1">INDEX(Berechnungen!$E$79:$BR$79,1,S60)</f>
        <v>#REF!</v>
      </c>
      <c r="AW60" s="65">
        <f>X60</f>
        <v>-25</v>
      </c>
      <c r="AX60" s="162">
        <f>INDEX(WP_BIN!$T$78:$CG$78,1,$S60)</f>
        <v>29.21428571428574</v>
      </c>
      <c r="AY60" s="162" t="e">
        <f>INDEX(WP_BIN!$T$43:$CG$43,1,$S60)</f>
        <v>#DIV/0!</v>
      </c>
      <c r="AZ60" s="480">
        <f>INDEX(WP_BIN!$T$79:$CG$79,1,$S60)</f>
        <v>0</v>
      </c>
      <c r="BA60" s="480">
        <f>INDEX(WP_BIN!$T$86:$CG$86,1,$S60)</f>
        <v>0</v>
      </c>
      <c r="BB60" s="480" t="e">
        <f ca="1">INDEX(WP_BIN!$T$47:$CG$47,1,$S60)</f>
        <v>#DIV/0!</v>
      </c>
      <c r="BC60" s="480">
        <f ca="1">INDEX(WP_BIN!$T$54:$CG$54,1,$S60)</f>
        <v>0</v>
      </c>
      <c r="BE60" s="217"/>
      <c r="BG60" s="20" t="str">
        <f>Sprache!B112</f>
        <v>Chauffage</v>
      </c>
      <c r="BH60" s="21"/>
      <c r="DC60" s="5"/>
      <c r="DD60" s="5"/>
      <c r="DE60" s="5"/>
      <c r="DF60" s="5"/>
      <c r="DG60" s="5"/>
    </row>
    <row r="61" spans="2:111" ht="15" customHeight="1" x14ac:dyDescent="0.2">
      <c r="B61" s="100" t="str">
        <f>Sprache!B40</f>
        <v>Durée de fonctionnement de la pompe à chaleur</v>
      </c>
      <c r="C61" s="499"/>
      <c r="D61" s="499"/>
      <c r="E61" s="167"/>
      <c r="F61" s="127"/>
      <c r="G61" s="190" t="s">
        <v>3940</v>
      </c>
      <c r="H61" s="191">
        <f ca="1">IF(J29=FALSE,"",IF(Kategorie&gt;1,MAX(0,AI128)*(24-Sperrzeit)/24,))</f>
        <v>0</v>
      </c>
      <c r="J61" s="5">
        <f>AD139</f>
        <v>1</v>
      </c>
      <c r="K61" s="707"/>
      <c r="L61" s="679"/>
      <c r="M61" s="287" t="str">
        <f>Sprache!B271&amp;IF(O107," (MINERGIE)","")</f>
        <v>Chauffage solaire de l'ECS</v>
      </c>
      <c r="N61" s="287"/>
      <c r="O61" s="716"/>
      <c r="P61" s="29">
        <v>0</v>
      </c>
      <c r="Q61" s="175">
        <f>IF(EBF&gt;0,IF(_SIA384,Q67,IF(AND(K58&gt;0,H51&gt;0,solarExtern),MIN(1/Qh*3.6*(K59*K58/EBF-KollektorWW*Qww/3.6),Q65),IF(H53&lt;Q64,0,IF(AND(K58&gt;0,H51&gt;0,solarExtern),K58*K59/EBF,((Qww/3.6+Qh/3.6)*Q59-Qww/3.6*0.7)/(Qh/3.6))))),)</f>
        <v>0</v>
      </c>
      <c r="R61" s="683" t="s">
        <v>937</v>
      </c>
      <c r="S61" s="5">
        <v>2</v>
      </c>
      <c r="T61" s="419">
        <f t="shared" si="0"/>
        <v>0</v>
      </c>
      <c r="U61" s="156"/>
      <c r="V61" s="421">
        <f t="shared" si="1"/>
        <v>0</v>
      </c>
      <c r="W61" s="1057">
        <f>IF(BIN,INDEX(BIN!$B$3:$BO$364,4+(Klima-2)*11,S61),0)</f>
        <v>0</v>
      </c>
      <c r="X61" s="159">
        <v>-24</v>
      </c>
      <c r="Y61" s="160" t="e">
        <f ca="1">IF(BINkorr,INDEX(Berechnungen!$E$81:$BR$81,1,S61)*IF(OR(Methode_384_3,Z61=0),1,AV61/Z61)/Leistungskorr*(1-Kollektor),W61*$T$130*(1-Kollektor))</f>
        <v>#REF!</v>
      </c>
      <c r="Z61" s="161">
        <f>IF(Heizung,IF(Methode_384_3,INDEX(Berechnungen!$E$79:$BR$79,1,S61),IF(X61&lt;IF(JAZcalc,TaMinVorarlberg,TaMin),Z62,Z62+$Z$77/28)),0)</f>
        <v>0</v>
      </c>
      <c r="AA61" s="161" t="e">
        <f t="shared" ref="AA61:AA75" ca="1" si="12">IF(AG61&gt;0,$AA$77,0)</f>
        <v>#REF!</v>
      </c>
      <c r="AB61" s="161">
        <f t="shared" si="2"/>
        <v>0</v>
      </c>
      <c r="AC61" s="424" t="e">
        <f t="shared" ca="1" si="3"/>
        <v>#REF!</v>
      </c>
      <c r="AD61" s="425" t="e">
        <f t="shared" ref="AD61:AD124" ca="1" si="13">MAX(IF(AE61&gt;0,Z61*Y61/Etah/Nutzungsgrad,(Z61*Y61/Etah+AA61*Y61/Etaw-AB61*Y61)/Nutzungsgrad),0)</f>
        <v>#REF!</v>
      </c>
      <c r="AE61" s="423" t="e">
        <f t="shared" ref="AE61:AE124" ca="1" si="14">MAX(AA61-AB61,0)*W61/Nutzungsgrad/Etaw</f>
        <v>#REF!</v>
      </c>
      <c r="AF61" s="160" t="e">
        <f t="shared" ref="AF61:AF124" ca="1" si="15">Z61*Y61/Etah</f>
        <v>#REF!</v>
      </c>
      <c r="AG61" s="160" t="e">
        <f ca="1">IF($AA$77*SUM($W60:$W$60)/Etaw=BedarfWW,0,MAX(MIN($AA$77*W61/Etaw,BedarfWW-$AA$77*SUM($W60:$W$60)/Etaw),0))</f>
        <v>#REF!</v>
      </c>
      <c r="AH61" s="423" t="e">
        <f t="shared" ca="1" si="4"/>
        <v>#REF!</v>
      </c>
      <c r="AI61" s="1054">
        <f t="shared" si="5"/>
        <v>0</v>
      </c>
      <c r="AJ61" s="421">
        <f t="shared" si="6"/>
        <v>0</v>
      </c>
      <c r="AK61" s="426" t="e">
        <f t="shared" ca="1" si="7"/>
        <v>#REF!</v>
      </c>
      <c r="AL61" s="426" t="e">
        <f ca="1">AE61+AD61+IF(Laufzeit_Zusatzheizung&gt;=SUM($Y61:$Y$77),Kesselleistung*$H$45*Y61,0)</f>
        <v>#REF!</v>
      </c>
      <c r="AM61" s="426" t="e">
        <f t="shared" ref="AM61:AM124" ca="1" si="16">MIN(AL61,W61*Kesselleistung)</f>
        <v>#REF!</v>
      </c>
      <c r="AN61" s="424">
        <f>IF(Neu,INDEX(WP_BIN!$T$80:$CG$80,1,S61),AZ61)</f>
        <v>0</v>
      </c>
      <c r="AO61" s="427" t="e">
        <f t="shared" ca="1" si="8"/>
        <v>#REF!</v>
      </c>
      <c r="AP61" s="427" t="e">
        <f t="shared" ca="1" si="9"/>
        <v>#REF!</v>
      </c>
      <c r="AQ61" s="424">
        <f t="shared" si="10"/>
        <v>0</v>
      </c>
      <c r="AR61" s="426" t="e">
        <f t="shared" si="11"/>
        <v>#VALUE!</v>
      </c>
      <c r="AS61" s="423">
        <f t="shared" ref="AS61:AS124" si="17">MIN(IF(AB61&gt;0,AK61/AB61,0),W61)</f>
        <v>0</v>
      </c>
      <c r="AT61" s="421">
        <f t="shared" ref="AT61:AT124" si="18">IF(WW=TRUE,AI61-AS61,0)</f>
        <v>0</v>
      </c>
      <c r="AU61" s="421">
        <f>IF(WW=TRUE,W61*$AT$128/8760,0)</f>
        <v>0</v>
      </c>
      <c r="AV61" s="1116" t="e">
        <f ca="1">INDEX(Berechnungen!$E$79:$BR$79,1,S61)</f>
        <v>#REF!</v>
      </c>
      <c r="AW61" s="65">
        <f t="shared" ref="AW61:AW124" si="19">X61</f>
        <v>-24</v>
      </c>
      <c r="AX61" s="162">
        <f>INDEX(WP_BIN!$T$78:$CG$78,1,$S61)</f>
        <v>29.142857142857167</v>
      </c>
      <c r="AY61" s="162" t="e">
        <f>INDEX(WP_BIN!$T$43:$CG$43,1,$S61)</f>
        <v>#DIV/0!</v>
      </c>
      <c r="AZ61" s="480">
        <f>INDEX(WP_BIN!$T$79:$CG$79,1,$S61)</f>
        <v>0</v>
      </c>
      <c r="BA61" s="480">
        <f>INDEX(WP_BIN!$T$86:$CG$86,1,$S61)</f>
        <v>0</v>
      </c>
      <c r="BB61" s="480" t="e">
        <f ca="1">INDEX(WP_BIN!$T$47:$CG$47,1,$S61)</f>
        <v>#DIV/0!</v>
      </c>
      <c r="BC61" s="480">
        <f ca="1">INDEX(WP_BIN!$T$54:$CG$54,1,$S61)</f>
        <v>0</v>
      </c>
      <c r="BE61" s="217"/>
      <c r="BG61" s="20" t="str">
        <f>Sprache!B113</f>
        <v>ECS eau chaude sanitaire</v>
      </c>
      <c r="BH61" s="21"/>
      <c r="DC61" s="5"/>
      <c r="DD61" s="5"/>
      <c r="DE61" s="5"/>
      <c r="DF61" s="5"/>
      <c r="DG61" s="5"/>
    </row>
    <row r="62" spans="2:111" ht="15" customHeight="1" x14ac:dyDescent="0.25">
      <c r="B62" s="100" t="str">
        <f>Sprache!B41</f>
        <v>Part et COP annuel de la pompe à chaleur pour le chauffage</v>
      </c>
      <c r="C62" s="103"/>
      <c r="D62" s="103"/>
      <c r="E62" s="182" t="str">
        <f>IF(AND(Heizung),"e = ","")</f>
        <v/>
      </c>
      <c r="F62" s="183" t="str">
        <f ca="1">IF(J29=FALSE,"",IF(AND(Heizung,WPArt&gt;1),INDEX(U27:AJ27,1,2*(WPArt-1))*(1-IF(HeizungSolar,H54,0)),""))</f>
        <v/>
      </c>
      <c r="G62" s="194" t="s">
        <v>3944</v>
      </c>
      <c r="H62" s="195">
        <f ca="1">IF(J29=FALSE,"",IF(Heizung,Y4,0))</f>
        <v>0</v>
      </c>
      <c r="K62" s="233">
        <f>IF(N57&gt;1,H53,0)</f>
        <v>0</v>
      </c>
      <c r="L62" s="679" t="s">
        <v>936</v>
      </c>
      <c r="M62" s="287" t="str">
        <f>Sprache!B272&amp;IF(O107," (MINERGIE)","")</f>
        <v>Eau chaude sanitaire ECS + chauffage</v>
      </c>
      <c r="N62" s="287"/>
      <c r="O62" s="716"/>
      <c r="P62" s="712">
        <f>8760*KollektorWW</f>
        <v>0</v>
      </c>
      <c r="Q62" s="21" t="s">
        <v>3666</v>
      </c>
      <c r="R62" s="683" t="s">
        <v>1198</v>
      </c>
      <c r="S62" s="5">
        <v>3</v>
      </c>
      <c r="T62" s="419">
        <f t="shared" si="0"/>
        <v>0</v>
      </c>
      <c r="U62" s="156"/>
      <c r="V62" s="421">
        <f t="shared" si="1"/>
        <v>0</v>
      </c>
      <c r="W62" s="1057">
        <f>IF(BIN,INDEX(BIN!$B$3:$BO$364,4+(Klima-2)*11,S62),0)</f>
        <v>0</v>
      </c>
      <c r="X62" s="159">
        <v>-23</v>
      </c>
      <c r="Y62" s="160" t="e">
        <f ca="1">IF(BINkorr,INDEX(Berechnungen!$E$81:$BR$81,1,S62)*IF(OR(Methode_384_3,Z62=0),1,AV62/Z62)/Leistungskorr*(1-Kollektor),W62*$T$130*(1-Kollektor))</f>
        <v>#REF!</v>
      </c>
      <c r="Z62" s="161">
        <f>IF(Heizung,IF(Methode_384_3,INDEX(Berechnungen!$E$79:$BR$79,1,S62),IF(X62&lt;IF(JAZcalc,TaMinVorarlberg,TaMin),Z63,Z63+$Z$77/28)),0)</f>
        <v>0</v>
      </c>
      <c r="AA62" s="161" t="e">
        <f t="shared" ca="1" si="12"/>
        <v>#REF!</v>
      </c>
      <c r="AB62" s="161">
        <f t="shared" si="2"/>
        <v>0</v>
      </c>
      <c r="AC62" s="424" t="e">
        <f t="shared" ca="1" si="3"/>
        <v>#REF!</v>
      </c>
      <c r="AD62" s="425" t="e">
        <f t="shared" ca="1" si="13"/>
        <v>#REF!</v>
      </c>
      <c r="AE62" s="423" t="e">
        <f t="shared" ca="1" si="14"/>
        <v>#REF!</v>
      </c>
      <c r="AF62" s="160" t="e">
        <f t="shared" ca="1" si="15"/>
        <v>#REF!</v>
      </c>
      <c r="AG62" s="160" t="e">
        <f ca="1">IF($AA$77*SUM($W$60:$W61)/Etaw=BedarfWW,0,MAX(MIN($AA$77*W62/Etaw,BedarfWW-$AA$77*SUM($W$60:$W61)/Etaw),0))</f>
        <v>#REF!</v>
      </c>
      <c r="AH62" s="423" t="e">
        <f t="shared" ca="1" si="4"/>
        <v>#REF!</v>
      </c>
      <c r="AI62" s="1054">
        <f t="shared" si="5"/>
        <v>0</v>
      </c>
      <c r="AJ62" s="421">
        <f t="shared" si="6"/>
        <v>0</v>
      </c>
      <c r="AK62" s="426" t="e">
        <f t="shared" ca="1" si="7"/>
        <v>#REF!</v>
      </c>
      <c r="AL62" s="426" t="e">
        <f ca="1">AE62+AD62+IF(Laufzeit_Zusatzheizung&gt;=SUM($Y62:$Y$77),Kesselleistung*$H$45*Y62,0)</f>
        <v>#REF!</v>
      </c>
      <c r="AM62" s="426" t="e">
        <f t="shared" ca="1" si="16"/>
        <v>#REF!</v>
      </c>
      <c r="AN62" s="424">
        <f>IF(Neu,INDEX(WP_BIN!$T$80:$CG$80,1,S62),AZ62)</f>
        <v>0</v>
      </c>
      <c r="AO62" s="427" t="e">
        <f t="shared" ca="1" si="8"/>
        <v>#REF!</v>
      </c>
      <c r="AP62" s="427" t="e">
        <f t="shared" ca="1" si="9"/>
        <v>#REF!</v>
      </c>
      <c r="AQ62" s="424">
        <f t="shared" si="10"/>
        <v>0</v>
      </c>
      <c r="AR62" s="426" t="e">
        <f t="shared" si="11"/>
        <v>#VALUE!</v>
      </c>
      <c r="AS62" s="423">
        <f t="shared" si="17"/>
        <v>0</v>
      </c>
      <c r="AT62" s="421">
        <f t="shared" si="18"/>
        <v>0</v>
      </c>
      <c r="AU62" s="421">
        <f t="shared" ref="AU62:AU125" si="20">IF(WW=TRUE,W62*$AT$128/8760,0)</f>
        <v>0</v>
      </c>
      <c r="AV62" s="1116" t="e">
        <f ca="1">INDEX(Berechnungen!$E$79:$BR$79,1,S62)</f>
        <v>#REF!</v>
      </c>
      <c r="AW62" s="65">
        <f t="shared" si="19"/>
        <v>-23</v>
      </c>
      <c r="AX62" s="162">
        <f>INDEX(WP_BIN!$T$78:$CG$78,1,$S62)</f>
        <v>29.071428571428594</v>
      </c>
      <c r="AY62" s="162" t="e">
        <f>INDEX(WP_BIN!$T$43:$CG$43,1,$S62)</f>
        <v>#DIV/0!</v>
      </c>
      <c r="AZ62" s="480">
        <f>INDEX(WP_BIN!$T$79:$CG$79,1,$S62)</f>
        <v>0</v>
      </c>
      <c r="BA62" s="480">
        <f>INDEX(WP_BIN!$T$86:$CG$86,1,$S62)</f>
        <v>0</v>
      </c>
      <c r="BB62" s="480" t="e">
        <f ca="1">INDEX(WP_BIN!$T$47:$CG$47,1,$S62)</f>
        <v>#DIV/0!</v>
      </c>
      <c r="BC62" s="480">
        <f ca="1">INDEX(WP_BIN!$T$54:$CG$54,1,$S62)</f>
        <v>0</v>
      </c>
      <c r="BE62" s="217"/>
      <c r="BG62" s="20" t="str">
        <f>Sprache!B114</f>
        <v>Chauffage+ECS</v>
      </c>
      <c r="BH62" s="21"/>
      <c r="DC62" s="5"/>
      <c r="DD62" s="5"/>
      <c r="DE62" s="5"/>
      <c r="DF62" s="5"/>
      <c r="DG62" s="5"/>
    </row>
    <row r="63" spans="2:111" ht="15" customHeight="1" x14ac:dyDescent="0.25">
      <c r="B63" s="100" t="str">
        <f>Sprache!B42</f>
        <v>Part et COP annuel de la pompe à chaleur pour l'ECS</v>
      </c>
      <c r="C63" s="103"/>
      <c r="D63" s="103"/>
      <c r="E63" s="182" t="str">
        <f>IF(AND(WW),"e = ","")</f>
        <v/>
      </c>
      <c r="F63" s="183" t="str">
        <f>IF(AND(WW,WPArt&gt;1),INDEX(U35:AJ35,1,2*(WPArt-1))*(1-IF(N57&gt;1,H53,0)),"")</f>
        <v/>
      </c>
      <c r="G63" s="194" t="s">
        <v>3948</v>
      </c>
      <c r="H63" s="196">
        <f>IF(WW,AA4,0)</f>
        <v>0</v>
      </c>
      <c r="K63" s="233">
        <f>IF(HeizungSolar,H54,0)</f>
        <v>0</v>
      </c>
      <c r="L63" s="679" t="s">
        <v>937</v>
      </c>
      <c r="M63" s="287" t="str">
        <f>Sprache!B271&amp;" "&amp;Sprache!B273</f>
        <v>Chauffage solaire de l'ECS (calcul externe)</v>
      </c>
      <c r="N63" s="287"/>
      <c r="O63" s="716"/>
      <c r="P63" s="712">
        <f>8760-P62</f>
        <v>8760</v>
      </c>
      <c r="Q63" s="21" t="s">
        <v>3666</v>
      </c>
      <c r="R63" s="683" t="s">
        <v>1199</v>
      </c>
      <c r="S63" s="5">
        <v>4</v>
      </c>
      <c r="T63" s="419">
        <f t="shared" si="0"/>
        <v>0</v>
      </c>
      <c r="U63" s="156"/>
      <c r="V63" s="421">
        <f t="shared" si="1"/>
        <v>0</v>
      </c>
      <c r="W63" s="1057">
        <f>IF(BIN,INDEX(BIN!$B$3:$BO$364,4+(Klima-2)*11,S63),0)</f>
        <v>0</v>
      </c>
      <c r="X63" s="159">
        <v>-22</v>
      </c>
      <c r="Y63" s="160" t="e">
        <f ca="1">IF(BINkorr,INDEX(Berechnungen!$E$81:$BR$81,1,S63)*IF(OR(Methode_384_3,Z63=0),1,AV63/Z63)/Leistungskorr*(1-Kollektor),W63*$T$130*(1-Kollektor))</f>
        <v>#REF!</v>
      </c>
      <c r="Z63" s="161">
        <f>IF(Heizung,IF(Methode_384_3,INDEX(Berechnungen!$E$79:$BR$79,1,S63),IF(X63&lt;IF(JAZcalc,TaMinVorarlberg,TaMin),Z64,Z64+$Z$77/28)),0)</f>
        <v>0</v>
      </c>
      <c r="AA63" s="161" t="e">
        <f t="shared" ca="1" si="12"/>
        <v>#REF!</v>
      </c>
      <c r="AB63" s="161">
        <f t="shared" si="2"/>
        <v>0</v>
      </c>
      <c r="AC63" s="424" t="e">
        <f t="shared" ca="1" si="3"/>
        <v>#REF!</v>
      </c>
      <c r="AD63" s="425" t="e">
        <f t="shared" ca="1" si="13"/>
        <v>#REF!</v>
      </c>
      <c r="AE63" s="423" t="e">
        <f t="shared" ca="1" si="14"/>
        <v>#REF!</v>
      </c>
      <c r="AF63" s="160" t="e">
        <f t="shared" ca="1" si="15"/>
        <v>#REF!</v>
      </c>
      <c r="AG63" s="160" t="e">
        <f ca="1">IF($AA$77*SUM($W$60:$W62)/Etaw=BedarfWW,0,MAX(MIN($AA$77*W63/Etaw,BedarfWW-$AA$77*SUM($W$60:$W62)/Etaw),0))</f>
        <v>#REF!</v>
      </c>
      <c r="AH63" s="423" t="e">
        <f t="shared" ca="1" si="4"/>
        <v>#REF!</v>
      </c>
      <c r="AI63" s="1054">
        <f t="shared" si="5"/>
        <v>0</v>
      </c>
      <c r="AJ63" s="421">
        <f t="shared" si="6"/>
        <v>0</v>
      </c>
      <c r="AK63" s="426" t="e">
        <f t="shared" ca="1" si="7"/>
        <v>#REF!</v>
      </c>
      <c r="AL63" s="426" t="e">
        <f ca="1">AE63+AD63+IF(Laufzeit_Zusatzheizung&gt;=SUM($Y63:$Y$77),Kesselleistung*$H$45*Y63,0)</f>
        <v>#REF!</v>
      </c>
      <c r="AM63" s="426" t="e">
        <f t="shared" ca="1" si="16"/>
        <v>#REF!</v>
      </c>
      <c r="AN63" s="424">
        <f>IF(Neu,INDEX(WP_BIN!$T$80:$CG$80,1,S63),AZ63)</f>
        <v>0</v>
      </c>
      <c r="AO63" s="427" t="e">
        <f t="shared" ca="1" si="8"/>
        <v>#REF!</v>
      </c>
      <c r="AP63" s="427" t="e">
        <f t="shared" ca="1" si="9"/>
        <v>#REF!</v>
      </c>
      <c r="AQ63" s="424">
        <f t="shared" si="10"/>
        <v>0</v>
      </c>
      <c r="AR63" s="426" t="e">
        <f t="shared" si="11"/>
        <v>#VALUE!</v>
      </c>
      <c r="AS63" s="423">
        <f t="shared" si="17"/>
        <v>0</v>
      </c>
      <c r="AT63" s="421">
        <f t="shared" si="18"/>
        <v>0</v>
      </c>
      <c r="AU63" s="421">
        <f t="shared" si="20"/>
        <v>0</v>
      </c>
      <c r="AV63" s="1116" t="e">
        <f ca="1">INDEX(Berechnungen!$E$79:$BR$79,1,S63)</f>
        <v>#REF!</v>
      </c>
      <c r="AW63" s="65">
        <f t="shared" si="19"/>
        <v>-22</v>
      </c>
      <c r="AX63" s="162">
        <f>INDEX(WP_BIN!$T$78:$CG$78,1,$S63)</f>
        <v>29.000000000000021</v>
      </c>
      <c r="AY63" s="162" t="e">
        <f>INDEX(WP_BIN!$T$43:$CG$43,1,$S63)</f>
        <v>#DIV/0!</v>
      </c>
      <c r="AZ63" s="480">
        <f>INDEX(WP_BIN!$T$79:$CG$79,1,$S63)</f>
        <v>0</v>
      </c>
      <c r="BA63" s="480">
        <f>INDEX(WP_BIN!$T$86:$CG$86,1,$S63)</f>
        <v>0</v>
      </c>
      <c r="BB63" s="480" t="e">
        <f ca="1">INDEX(WP_BIN!$T$47:$CG$47,1,$S63)</f>
        <v>#DIV/0!</v>
      </c>
      <c r="BC63" s="480">
        <f ca="1">INDEX(WP_BIN!$T$54:$CG$54,1,$S63)</f>
        <v>0</v>
      </c>
      <c r="BE63" s="217"/>
      <c r="BG63" s="25" t="str">
        <f>Sprache!B141</f>
        <v>Chauffage + production d'ECS décentralisée par PAC</v>
      </c>
      <c r="BH63" s="44"/>
      <c r="DC63" s="5"/>
      <c r="DD63" s="5"/>
      <c r="DE63" s="5"/>
      <c r="DF63" s="5"/>
      <c r="DG63" s="5"/>
    </row>
    <row r="64" spans="2:111" ht="15" customHeight="1" x14ac:dyDescent="0.2">
      <c r="B64" s="100" t="str">
        <f>Sprache!B43</f>
        <v xml:space="preserve">Facteur de pondération pour le chauffage: </v>
      </c>
      <c r="C64" s="103"/>
      <c r="D64" s="103"/>
      <c r="E64" s="97"/>
      <c r="F64" s="127"/>
      <c r="G64" s="117" t="s">
        <v>721</v>
      </c>
      <c r="H64" s="197">
        <f>IF(AND(WW,Heizung),IF((Qww+Qh)&gt;0,Qh/(Qww+Qh),0),IF(Heizung,1,0))</f>
        <v>0</v>
      </c>
      <c r="K64" s="697" t="e">
        <f>IF(Qh+Qww=0,,IF(wwSolar,P58,IF(HeizungSolar,Q58,0)))</f>
        <v>#VALUE!</v>
      </c>
      <c r="L64" s="679" t="s">
        <v>1142</v>
      </c>
      <c r="M64" s="287" t="str">
        <f>Sprache!B272&amp;" "&amp;Sprache!B273</f>
        <v>Eau chaude sanitaire ECS + chauffage (calcul externe)</v>
      </c>
      <c r="N64" s="287"/>
      <c r="O64" s="716"/>
      <c r="P64" s="174">
        <f>IF(OR(MinSol,solarExtern),0.7,1)</f>
        <v>1</v>
      </c>
      <c r="Q64" s="365">
        <f>IF(OR(MinSol,solarExtern),0.7,1)</f>
        <v>1</v>
      </c>
      <c r="R64" s="684" t="s">
        <v>1137</v>
      </c>
      <c r="S64" s="5">
        <v>5</v>
      </c>
      <c r="T64" s="419">
        <f t="shared" si="0"/>
        <v>0</v>
      </c>
      <c r="U64" s="156"/>
      <c r="V64" s="421">
        <f t="shared" si="1"/>
        <v>0</v>
      </c>
      <c r="W64" s="1057">
        <f>IF(BIN,INDEX(BIN!$B$3:$BO$364,4+(Klima-2)*11,S64),0)</f>
        <v>0</v>
      </c>
      <c r="X64" s="159">
        <v>-21</v>
      </c>
      <c r="Y64" s="160" t="e">
        <f ca="1">IF(BINkorr,INDEX(Berechnungen!$E$81:$BR$81,1,S64)*IF(OR(Methode_384_3,Z64=0),1,AV64/Z64)/Leistungskorr*(1-Kollektor),W64*$T$130*(1-Kollektor))</f>
        <v>#REF!</v>
      </c>
      <c r="Z64" s="161">
        <f>IF(Heizung,IF(Methode_384_3,INDEX(Berechnungen!$E$79:$BR$79,1,S64),IF(X64&lt;IF(JAZcalc,TaMinVorarlberg,TaMin),Z65,Z65+$Z$77/28)),0)</f>
        <v>0</v>
      </c>
      <c r="AA64" s="161" t="e">
        <f t="shared" ca="1" si="12"/>
        <v>#REF!</v>
      </c>
      <c r="AB64" s="161">
        <f t="shared" si="2"/>
        <v>0</v>
      </c>
      <c r="AC64" s="424" t="e">
        <f t="shared" ca="1" si="3"/>
        <v>#REF!</v>
      </c>
      <c r="AD64" s="425" t="e">
        <f t="shared" ca="1" si="13"/>
        <v>#REF!</v>
      </c>
      <c r="AE64" s="423" t="e">
        <f t="shared" ca="1" si="14"/>
        <v>#REF!</v>
      </c>
      <c r="AF64" s="160" t="e">
        <f t="shared" ca="1" si="15"/>
        <v>#REF!</v>
      </c>
      <c r="AG64" s="160" t="e">
        <f ca="1">IF($AA$77*SUM($W$60:$W63)/Etaw=BedarfWW,0,MAX(MIN($AA$77*W64/Etaw,BedarfWW-$AA$77*SUM($W$60:$W63)/Etaw),0))</f>
        <v>#REF!</v>
      </c>
      <c r="AH64" s="423" t="e">
        <f t="shared" ca="1" si="4"/>
        <v>#REF!</v>
      </c>
      <c r="AI64" s="1054">
        <f t="shared" si="5"/>
        <v>0</v>
      </c>
      <c r="AJ64" s="421">
        <f t="shared" si="6"/>
        <v>0</v>
      </c>
      <c r="AK64" s="426" t="e">
        <f t="shared" ca="1" si="7"/>
        <v>#REF!</v>
      </c>
      <c r="AL64" s="426" t="e">
        <f ca="1">AE64+AD64+IF(Laufzeit_Zusatzheizung&gt;=SUM($Y64:$Y$77),Kesselleistung*$H$45*Y64,0)</f>
        <v>#REF!</v>
      </c>
      <c r="AM64" s="426" t="e">
        <f t="shared" ca="1" si="16"/>
        <v>#REF!</v>
      </c>
      <c r="AN64" s="424">
        <f>IF(Neu,INDEX(WP_BIN!$T$80:$CG$80,1,S64),AZ64)</f>
        <v>0</v>
      </c>
      <c r="AO64" s="427" t="e">
        <f t="shared" ca="1" si="8"/>
        <v>#REF!</v>
      </c>
      <c r="AP64" s="427" t="e">
        <f t="shared" ca="1" si="9"/>
        <v>#REF!</v>
      </c>
      <c r="AQ64" s="424">
        <f t="shared" si="10"/>
        <v>0</v>
      </c>
      <c r="AR64" s="426" t="e">
        <f t="shared" si="11"/>
        <v>#VALUE!</v>
      </c>
      <c r="AS64" s="423">
        <f t="shared" si="17"/>
        <v>0</v>
      </c>
      <c r="AT64" s="421">
        <f t="shared" si="18"/>
        <v>0</v>
      </c>
      <c r="AU64" s="421">
        <f t="shared" si="20"/>
        <v>0</v>
      </c>
      <c r="AV64" s="1116" t="e">
        <f ca="1">INDEX(Berechnungen!$E$79:$BR$79,1,S64)</f>
        <v>#REF!</v>
      </c>
      <c r="AW64" s="65">
        <f t="shared" si="19"/>
        <v>-21</v>
      </c>
      <c r="AX64" s="162">
        <f>INDEX(WP_BIN!$T$78:$CG$78,1,$S64)</f>
        <v>28.928571428571448</v>
      </c>
      <c r="AY64" s="162" t="e">
        <f>INDEX(WP_BIN!$T$43:$CG$43,1,$S64)</f>
        <v>#DIV/0!</v>
      </c>
      <c r="AZ64" s="480">
        <f>INDEX(WP_BIN!$T$79:$CG$79,1,$S64)</f>
        <v>0</v>
      </c>
      <c r="BA64" s="480">
        <f>INDEX(WP_BIN!$T$86:$CG$86,1,$S64)</f>
        <v>0</v>
      </c>
      <c r="BB64" s="480" t="e">
        <f ca="1">INDEX(WP_BIN!$T$47:$CG$47,1,$S64)</f>
        <v>#DIV/0!</v>
      </c>
      <c r="BC64" s="480">
        <f ca="1">INDEX(WP_BIN!$T$54:$CG$54,1,$S64)</f>
        <v>0</v>
      </c>
      <c r="BE64" s="217"/>
      <c r="BG64" s="470" t="s">
        <v>3927</v>
      </c>
      <c r="BH64" s="360" t="b">
        <f>IF(OR(BH58&gt;2),TRUE,FALSE)</f>
        <v>0</v>
      </c>
      <c r="DC64" s="5"/>
      <c r="DD64" s="5"/>
      <c r="DE64" s="5"/>
      <c r="DF64" s="5"/>
      <c r="DG64" s="5"/>
    </row>
    <row r="65" spans="2:111" ht="15" customHeight="1" x14ac:dyDescent="0.2">
      <c r="B65" s="100" t="str">
        <f>Sprache!B44</f>
        <v>Facteur de pondération pour l'ECS</v>
      </c>
      <c r="C65" s="103"/>
      <c r="D65" s="103"/>
      <c r="E65" s="97"/>
      <c r="F65" s="127"/>
      <c r="G65" s="117" t="s">
        <v>721</v>
      </c>
      <c r="H65" s="197">
        <f>IF(AND(WW,Heizung),IF((Qww+Qh)&gt;0,Qww/(Qww+Qh),0),IF(WW,1,0))</f>
        <v>0</v>
      </c>
      <c r="K65" s="684" t="s">
        <v>1129</v>
      </c>
      <c r="L65" s="21"/>
      <c r="M65" s="680" t="s">
        <v>1136</v>
      </c>
      <c r="N65" s="680"/>
      <c r="O65" s="717" t="b">
        <f>IF(OR(N57=4,N57=5),TRUE,FALSE)</f>
        <v>0</v>
      </c>
      <c r="P65" s="706">
        <v>0</v>
      </c>
      <c r="Q65" s="233">
        <f>IF(OR(MinSol,solarExtern),0.5,1)</f>
        <v>1</v>
      </c>
      <c r="R65" s="683" t="s">
        <v>1138</v>
      </c>
      <c r="S65" s="5">
        <v>6</v>
      </c>
      <c r="T65" s="419">
        <f t="shared" si="0"/>
        <v>0</v>
      </c>
      <c r="U65" s="156"/>
      <c r="V65" s="421">
        <f t="shared" si="1"/>
        <v>0</v>
      </c>
      <c r="W65" s="1057">
        <f>IF(BIN,INDEX(BIN!$B$3:$BO$364,4+(Klima-2)*11,S65),0)</f>
        <v>0</v>
      </c>
      <c r="X65" s="159">
        <v>-20</v>
      </c>
      <c r="Y65" s="160" t="e">
        <f ca="1">IF(BINkorr,INDEX(Berechnungen!$E$81:$BR$81,1,S65)*IF(OR(Methode_384_3,Z65=0),1,AV65/Z65)/Leistungskorr*(1-Kollektor),W65*$T$130*(1-Kollektor))</f>
        <v>#REF!</v>
      </c>
      <c r="Z65" s="161">
        <f>IF(Heizung,IF(Methode_384_3,INDEX(Berechnungen!$E$79:$BR$79,1,S65),IF(X65&lt;IF(JAZcalc,TaMinVorarlberg,TaMin),Z66,Z66+$Z$77/28)),0)</f>
        <v>0</v>
      </c>
      <c r="AA65" s="161" t="e">
        <f t="shared" ca="1" si="12"/>
        <v>#REF!</v>
      </c>
      <c r="AB65" s="161">
        <f t="shared" si="2"/>
        <v>0</v>
      </c>
      <c r="AC65" s="424" t="e">
        <f t="shared" ca="1" si="3"/>
        <v>#REF!</v>
      </c>
      <c r="AD65" s="425" t="e">
        <f t="shared" ca="1" si="13"/>
        <v>#REF!</v>
      </c>
      <c r="AE65" s="423" t="e">
        <f t="shared" ca="1" si="14"/>
        <v>#REF!</v>
      </c>
      <c r="AF65" s="160" t="e">
        <f t="shared" ca="1" si="15"/>
        <v>#REF!</v>
      </c>
      <c r="AG65" s="160" t="e">
        <f ca="1">IF($AA$77*SUM($W$60:$W64)/Etaw=BedarfWW,0,MAX(MIN($AA$77*W65/Etaw,BedarfWW-$AA$77*SUM($W$60:$W64)/Etaw),0))</f>
        <v>#REF!</v>
      </c>
      <c r="AH65" s="423" t="e">
        <f t="shared" ca="1" si="4"/>
        <v>#REF!</v>
      </c>
      <c r="AI65" s="1054">
        <f t="shared" si="5"/>
        <v>0</v>
      </c>
      <c r="AJ65" s="421">
        <f t="shared" si="6"/>
        <v>0</v>
      </c>
      <c r="AK65" s="426" t="e">
        <f t="shared" ca="1" si="7"/>
        <v>#REF!</v>
      </c>
      <c r="AL65" s="426" t="e">
        <f ca="1">AE65+AD65+IF(Laufzeit_Zusatzheizung&gt;=SUM($Y65:$Y$77),Kesselleistung*$H$45*Y65,0)</f>
        <v>#REF!</v>
      </c>
      <c r="AM65" s="426" t="e">
        <f t="shared" ca="1" si="16"/>
        <v>#REF!</v>
      </c>
      <c r="AN65" s="424">
        <f>IF(Neu,INDEX(WP_BIN!$T$80:$CG$80,1,S65),AZ65)</f>
        <v>0</v>
      </c>
      <c r="AO65" s="427" t="e">
        <f t="shared" ca="1" si="8"/>
        <v>#REF!</v>
      </c>
      <c r="AP65" s="427" t="e">
        <f t="shared" ca="1" si="9"/>
        <v>#REF!</v>
      </c>
      <c r="AQ65" s="424">
        <f t="shared" si="10"/>
        <v>0</v>
      </c>
      <c r="AR65" s="426" t="e">
        <f t="shared" si="11"/>
        <v>#VALUE!</v>
      </c>
      <c r="AS65" s="423">
        <f t="shared" si="17"/>
        <v>0</v>
      </c>
      <c r="AT65" s="421">
        <f t="shared" si="18"/>
        <v>0</v>
      </c>
      <c r="AU65" s="421">
        <f t="shared" si="20"/>
        <v>0</v>
      </c>
      <c r="AV65" s="1116" t="e">
        <f ca="1">INDEX(Berechnungen!$E$79:$BR$79,1,S65)</f>
        <v>#REF!</v>
      </c>
      <c r="AW65" s="65">
        <f t="shared" si="19"/>
        <v>-20</v>
      </c>
      <c r="AX65" s="162">
        <f>INDEX(WP_BIN!$T$78:$CG$78,1,$S65)</f>
        <v>28.857142857142875</v>
      </c>
      <c r="AY65" s="162" t="e">
        <f>INDEX(WP_BIN!$T$43:$CG$43,1,$S65)</f>
        <v>#DIV/0!</v>
      </c>
      <c r="AZ65" s="480">
        <f>INDEX(WP_BIN!$T$79:$CG$79,1,$S65)</f>
        <v>0</v>
      </c>
      <c r="BA65" s="480">
        <f>INDEX(WP_BIN!$T$86:$CG$86,1,$S65)</f>
        <v>0</v>
      </c>
      <c r="BB65" s="480" t="e">
        <f ca="1">INDEX(WP_BIN!$T$47:$CG$47,1,$S65)</f>
        <v>#DIV/0!</v>
      </c>
      <c r="BC65" s="480">
        <f ca="1">INDEX(WP_BIN!$T$54:$CG$54,1,$S65)</f>
        <v>0</v>
      </c>
      <c r="BE65" s="217"/>
      <c r="BG65" s="165" t="s">
        <v>3928</v>
      </c>
      <c r="BH65" s="75" t="b">
        <f>IF(OR(BH58=2,BH58&gt;3),TRUE,FALSE)</f>
        <v>0</v>
      </c>
      <c r="DC65" s="5"/>
      <c r="DD65" s="5"/>
      <c r="DE65" s="5"/>
      <c r="DF65" s="5"/>
      <c r="DG65" s="5"/>
    </row>
    <row r="66" spans="2:111" ht="15" customHeight="1" thickBot="1" x14ac:dyDescent="0.25">
      <c r="B66" s="205" t="str">
        <f>IF(bivalent,"",Sprache!B45)</f>
        <v>COP annuel pour chauffage et ECS (COPa [ch+ECS])</v>
      </c>
      <c r="C66" s="517"/>
      <c r="D66" s="517"/>
      <c r="E66" s="206"/>
      <c r="F66" s="207"/>
      <c r="G66" s="208" t="str">
        <f>IF(bivalent,"","-")</f>
        <v>-</v>
      </c>
      <c r="H66" s="209" t="str">
        <f>IF(bivalent,"",IF(AND(WW=FALSE,Heizung=FALSE),"",IF(Heizung=FALSE,jazh,IF(WW=FALSE,jazww,IF(OR(EBF="",AND(WPArt=3,H32="")),"",IF(AND(F62&gt;0,F63&gt;0),(wh/www*F62+F63)/(wh/www*F62/jazh+F63/jazww)))))))</f>
        <v/>
      </c>
      <c r="K66" s="711" t="e">
        <f>IF(Qh+Qww=0,,IF(wwSolar,P58,IF(HeizungSolar,Q58,0)))</f>
        <v>#VALUE!</v>
      </c>
      <c r="L66" s="679" t="s">
        <v>1142</v>
      </c>
      <c r="M66" s="287" t="s">
        <v>1135</v>
      </c>
      <c r="N66" s="5"/>
      <c r="O66" s="716" t="b">
        <f>IF(OR(N57=2,N57=3),TRUE,FALSE)</f>
        <v>0</v>
      </c>
      <c r="P66" s="702" t="e">
        <f ca="1">Berechnungen!B148</f>
        <v>#VALUE!</v>
      </c>
      <c r="Q66" s="744" t="e">
        <f ca="1">Berechnungen!B190</f>
        <v>#VALUE!</v>
      </c>
      <c r="R66" s="699" t="s">
        <v>1133</v>
      </c>
      <c r="S66" s="5">
        <v>7</v>
      </c>
      <c r="T66" s="419">
        <f t="shared" si="0"/>
        <v>0</v>
      </c>
      <c r="U66" s="156"/>
      <c r="V66" s="421">
        <f t="shared" si="1"/>
        <v>0</v>
      </c>
      <c r="W66" s="1057">
        <f>IF(BIN,INDEX(BIN!$B$3:$BO$364,4+(Klima-2)*11,S66),0)</f>
        <v>0</v>
      </c>
      <c r="X66" s="159">
        <v>-19</v>
      </c>
      <c r="Y66" s="160" t="e">
        <f ca="1">IF(BINkorr,INDEX(Berechnungen!$E$81:$BR$81,1,S66)*IF(OR(Methode_384_3,Z66=0),1,AV66/Z66)/Leistungskorr*(1-Kollektor),W66*$T$130*(1-Kollektor))</f>
        <v>#REF!</v>
      </c>
      <c r="Z66" s="161">
        <f>IF(Heizung,IF(Methode_384_3,INDEX(Berechnungen!$E$79:$BR$79,1,S66),IF(X66&lt;IF(JAZcalc,TaMinVorarlberg,TaMin),Z67,Z67+$Z$77/28)),0)</f>
        <v>0</v>
      </c>
      <c r="AA66" s="161" t="e">
        <f t="shared" ca="1" si="12"/>
        <v>#REF!</v>
      </c>
      <c r="AB66" s="161">
        <f t="shared" si="2"/>
        <v>0</v>
      </c>
      <c r="AC66" s="424" t="e">
        <f t="shared" ca="1" si="3"/>
        <v>#REF!</v>
      </c>
      <c r="AD66" s="425" t="e">
        <f t="shared" ca="1" si="13"/>
        <v>#REF!</v>
      </c>
      <c r="AE66" s="423" t="e">
        <f t="shared" ca="1" si="14"/>
        <v>#REF!</v>
      </c>
      <c r="AF66" s="160" t="e">
        <f t="shared" ca="1" si="15"/>
        <v>#REF!</v>
      </c>
      <c r="AG66" s="160" t="e">
        <f ca="1">IF($AA$77*SUM($W$60:$W65)/Etaw=BedarfWW,0,MAX(MIN($AA$77*W66/Etaw,BedarfWW-$AA$77*SUM($W$60:$W65)/Etaw),0))</f>
        <v>#REF!</v>
      </c>
      <c r="AH66" s="423" t="e">
        <f t="shared" ca="1" si="4"/>
        <v>#REF!</v>
      </c>
      <c r="AI66" s="1054">
        <f t="shared" si="5"/>
        <v>0</v>
      </c>
      <c r="AJ66" s="421">
        <f t="shared" si="6"/>
        <v>0</v>
      </c>
      <c r="AK66" s="426" t="e">
        <f t="shared" ca="1" si="7"/>
        <v>#REF!</v>
      </c>
      <c r="AL66" s="426" t="e">
        <f ca="1">AE66+AD66+IF(Laufzeit_Zusatzheizung&gt;=SUM($Y66:$Y$77),Kesselleistung*$H$45*Y66,0)</f>
        <v>#REF!</v>
      </c>
      <c r="AM66" s="426" t="e">
        <f t="shared" ca="1" si="16"/>
        <v>#REF!</v>
      </c>
      <c r="AN66" s="424">
        <f>IF(Neu,INDEX(WP_BIN!$T$80:$CG$80,1,S66),AZ66)</f>
        <v>0</v>
      </c>
      <c r="AO66" s="427" t="e">
        <f t="shared" ca="1" si="8"/>
        <v>#REF!</v>
      </c>
      <c r="AP66" s="427" t="e">
        <f t="shared" ca="1" si="9"/>
        <v>#REF!</v>
      </c>
      <c r="AQ66" s="424">
        <f t="shared" si="10"/>
        <v>0</v>
      </c>
      <c r="AR66" s="426" t="e">
        <f t="shared" si="11"/>
        <v>#VALUE!</v>
      </c>
      <c r="AS66" s="423">
        <f t="shared" si="17"/>
        <v>0</v>
      </c>
      <c r="AT66" s="421">
        <f t="shared" si="18"/>
        <v>0</v>
      </c>
      <c r="AU66" s="421">
        <f t="shared" si="20"/>
        <v>0</v>
      </c>
      <c r="AV66" s="1116" t="e">
        <f ca="1">INDEX(Berechnungen!$E$79:$BR$79,1,S66)</f>
        <v>#REF!</v>
      </c>
      <c r="AW66" s="65">
        <f t="shared" si="19"/>
        <v>-19</v>
      </c>
      <c r="AX66" s="162">
        <f>INDEX(WP_BIN!$T$78:$CG$78,1,$S66)</f>
        <v>28.785714285714302</v>
      </c>
      <c r="AY66" s="162" t="e">
        <f>INDEX(WP_BIN!$T$43:$CG$43,1,$S66)</f>
        <v>#DIV/0!</v>
      </c>
      <c r="AZ66" s="480">
        <f>INDEX(WP_BIN!$T$79:$CG$79,1,$S66)</f>
        <v>0</v>
      </c>
      <c r="BA66" s="480">
        <f>INDEX(WP_BIN!$T$86:$CG$86,1,$S66)</f>
        <v>0</v>
      </c>
      <c r="BB66" s="480" t="e">
        <f ca="1">INDEX(WP_BIN!$T$47:$CG$47,1,$S66)</f>
        <v>#DIV/0!</v>
      </c>
      <c r="BC66" s="480">
        <f ca="1">INDEX(WP_BIN!$T$54:$CG$54,1,$S66)</f>
        <v>0</v>
      </c>
      <c r="BE66" s="217"/>
      <c r="BG66" s="165" t="s">
        <v>3929</v>
      </c>
      <c r="BH66" s="75" t="b">
        <f>IF(AND(Speicher,Heizung),TRUE,FALSE)</f>
        <v>0</v>
      </c>
      <c r="DC66" s="5"/>
      <c r="DD66" s="5"/>
      <c r="DE66" s="5"/>
      <c r="DF66" s="5"/>
      <c r="DG66" s="5"/>
    </row>
    <row r="67" spans="2:111" ht="15" customHeight="1" thickTop="1" x14ac:dyDescent="0.2">
      <c r="E67" s="121"/>
      <c r="G67" s="217"/>
      <c r="H67" s="217"/>
      <c r="K67" s="710" t="s">
        <v>938</v>
      </c>
      <c r="L67" s="44"/>
      <c r="M67" s="681" t="s">
        <v>1132</v>
      </c>
      <c r="N67" s="681"/>
      <c r="O67" s="718" t="b">
        <f>IF(OR(N57=6,N57=7),TRUE,FALSE)</f>
        <v>0</v>
      </c>
      <c r="P67" s="703">
        <v>0</v>
      </c>
      <c r="Q67" s="700" t="e">
        <f ca="1">Berechnungen!B191</f>
        <v>#VALUE!</v>
      </c>
      <c r="R67" s="701" t="s">
        <v>1134</v>
      </c>
      <c r="S67" s="5">
        <v>8</v>
      </c>
      <c r="T67" s="419">
        <f t="shared" si="0"/>
        <v>0</v>
      </c>
      <c r="U67" s="156"/>
      <c r="V67" s="421">
        <f t="shared" si="1"/>
        <v>0</v>
      </c>
      <c r="W67" s="1057">
        <f>IF(BIN,INDEX(BIN!$B$3:$BO$364,4+(Klima-2)*11,S67),0)</f>
        <v>0</v>
      </c>
      <c r="X67" s="159">
        <v>-18</v>
      </c>
      <c r="Y67" s="160" t="e">
        <f ca="1">IF(BINkorr,INDEX(Berechnungen!$E$81:$BR$81,1,S67)*IF(OR(Methode_384_3,Z67=0),1,AV67/Z67)/Leistungskorr*(1-Kollektor),W67*$T$130*(1-Kollektor))</f>
        <v>#REF!</v>
      </c>
      <c r="Z67" s="161">
        <f>IF(Heizung,IF(Methode_384_3,INDEX(Berechnungen!$E$79:$BR$79,1,S67),IF(X67&lt;IF(JAZcalc,TaMinVorarlberg,TaMin),Z68,Z68+$Z$77/28)),0)</f>
        <v>0</v>
      </c>
      <c r="AA67" s="161" t="e">
        <f t="shared" ca="1" si="12"/>
        <v>#REF!</v>
      </c>
      <c r="AB67" s="161">
        <f t="shared" si="2"/>
        <v>0</v>
      </c>
      <c r="AC67" s="424" t="e">
        <f t="shared" ca="1" si="3"/>
        <v>#REF!</v>
      </c>
      <c r="AD67" s="425" t="e">
        <f t="shared" ca="1" si="13"/>
        <v>#REF!</v>
      </c>
      <c r="AE67" s="423" t="e">
        <f t="shared" ca="1" si="14"/>
        <v>#REF!</v>
      </c>
      <c r="AF67" s="160" t="e">
        <f t="shared" ca="1" si="15"/>
        <v>#REF!</v>
      </c>
      <c r="AG67" s="160" t="e">
        <f ca="1">IF($AA$77*SUM($W$60:$W66)/Etaw=BedarfWW,0,MAX(MIN($AA$77*W67/Etaw,BedarfWW-$AA$77*SUM($W$60:$W66)/Etaw),0))</f>
        <v>#REF!</v>
      </c>
      <c r="AH67" s="423" t="e">
        <f t="shared" ca="1" si="4"/>
        <v>#REF!</v>
      </c>
      <c r="AI67" s="1054">
        <f t="shared" si="5"/>
        <v>0</v>
      </c>
      <c r="AJ67" s="421">
        <f t="shared" si="6"/>
        <v>0</v>
      </c>
      <c r="AK67" s="426" t="e">
        <f t="shared" ca="1" si="7"/>
        <v>#REF!</v>
      </c>
      <c r="AL67" s="426" t="e">
        <f ca="1">AE67+AD67+IF(Laufzeit_Zusatzheizung&gt;=SUM($Y67:$Y$77),Kesselleistung*$H$45*Y67,0)</f>
        <v>#REF!</v>
      </c>
      <c r="AM67" s="426" t="e">
        <f t="shared" ca="1" si="16"/>
        <v>#REF!</v>
      </c>
      <c r="AN67" s="424">
        <f>IF(Neu,INDEX(WP_BIN!$T$80:$CG$80,1,S67),AZ67)</f>
        <v>0</v>
      </c>
      <c r="AO67" s="427" t="e">
        <f t="shared" ca="1" si="8"/>
        <v>#REF!</v>
      </c>
      <c r="AP67" s="427" t="e">
        <f t="shared" ca="1" si="9"/>
        <v>#REF!</v>
      </c>
      <c r="AQ67" s="424">
        <f t="shared" si="10"/>
        <v>0</v>
      </c>
      <c r="AR67" s="426" t="e">
        <f t="shared" si="11"/>
        <v>#VALUE!</v>
      </c>
      <c r="AS67" s="423">
        <f t="shared" si="17"/>
        <v>0</v>
      </c>
      <c r="AT67" s="421">
        <f t="shared" si="18"/>
        <v>0</v>
      </c>
      <c r="AU67" s="421">
        <f t="shared" si="20"/>
        <v>0</v>
      </c>
      <c r="AV67" s="1116" t="e">
        <f ca="1">INDEX(Berechnungen!$E$79:$BR$79,1,S67)</f>
        <v>#REF!</v>
      </c>
      <c r="AW67" s="65">
        <f t="shared" si="19"/>
        <v>-18</v>
      </c>
      <c r="AX67" s="162">
        <f>INDEX(WP_BIN!$T$78:$CG$78,1,$S67)</f>
        <v>28.71428571428573</v>
      </c>
      <c r="AY67" s="162" t="e">
        <f>INDEX(WP_BIN!$T$43:$CG$43,1,$S67)</f>
        <v>#DIV/0!</v>
      </c>
      <c r="AZ67" s="480">
        <f>INDEX(WP_BIN!$T$79:$CG$79,1,$S67)</f>
        <v>0</v>
      </c>
      <c r="BA67" s="480">
        <f>INDEX(WP_BIN!$T$86:$CG$86,1,$S67)</f>
        <v>0</v>
      </c>
      <c r="BB67" s="480" t="e">
        <f ca="1">INDEX(WP_BIN!$T$47:$CG$47,1,$S67)</f>
        <v>#DIV/0!</v>
      </c>
      <c r="BC67" s="480">
        <f ca="1">INDEX(WP_BIN!$T$54:$CG$54,1,$S67)</f>
        <v>0</v>
      </c>
      <c r="BE67" s="217"/>
      <c r="BG67" s="139" t="s">
        <v>3930</v>
      </c>
      <c r="BH67" s="172">
        <f>J24</f>
        <v>1</v>
      </c>
      <c r="DC67" s="5"/>
      <c r="DD67" s="5"/>
      <c r="DE67" s="5"/>
      <c r="DF67" s="5"/>
      <c r="DG67" s="5"/>
    </row>
    <row r="68" spans="2:111" ht="15" hidden="1" customHeight="1" x14ac:dyDescent="0.2">
      <c r="B68" s="6" t="s">
        <v>358</v>
      </c>
      <c r="C68" s="891"/>
      <c r="D68" s="14">
        <v>0</v>
      </c>
      <c r="E68" s="6" t="s">
        <v>3622</v>
      </c>
      <c r="F68" s="989"/>
      <c r="G68" s="747"/>
      <c r="H68" s="14">
        <v>2</v>
      </c>
      <c r="K68" s="5"/>
      <c r="L68" s="5"/>
      <c r="M68" s="5"/>
      <c r="N68" s="5"/>
      <c r="O68" s="5"/>
      <c r="P68" s="5"/>
      <c r="Q68" s="5"/>
      <c r="R68" s="5"/>
      <c r="S68" s="5">
        <v>9</v>
      </c>
      <c r="T68" s="419">
        <f t="shared" si="0"/>
        <v>0</v>
      </c>
      <c r="U68" s="420"/>
      <c r="V68" s="421">
        <f t="shared" si="1"/>
        <v>0</v>
      </c>
      <c r="W68" s="1057">
        <f>IF(BIN,INDEX(BIN!$B$3:$BO$364,4+(Klima-2)*11,S68),0)</f>
        <v>0</v>
      </c>
      <c r="X68" s="422">
        <v>-17</v>
      </c>
      <c r="Y68" s="160" t="e">
        <f ca="1">IF(BINkorr,INDEX(Berechnungen!$E$81:$BR$81,1,S68)*IF(OR(Methode_384_3,Z68=0),1,AV68/Z68)/Leistungskorr*(1-Kollektor),W68*$T$130*(1-Kollektor))</f>
        <v>#REF!</v>
      </c>
      <c r="Z68" s="161">
        <f>IF(Heizung,IF(Methode_384_3,INDEX(Berechnungen!$E$79:$BR$79,1,S68),IF(X68&lt;IF(JAZcalc,TaMinVorarlberg,TaMin),Z69,Z69+$Z$77/28)),0)</f>
        <v>0</v>
      </c>
      <c r="AA68" s="161" t="e">
        <f t="shared" ca="1" si="12"/>
        <v>#REF!</v>
      </c>
      <c r="AB68" s="161">
        <f t="shared" si="2"/>
        <v>0</v>
      </c>
      <c r="AC68" s="424" t="e">
        <f t="shared" ca="1" si="3"/>
        <v>#REF!</v>
      </c>
      <c r="AD68" s="425" t="e">
        <f t="shared" ca="1" si="13"/>
        <v>#REF!</v>
      </c>
      <c r="AE68" s="423" t="e">
        <f t="shared" ca="1" si="14"/>
        <v>#REF!</v>
      </c>
      <c r="AF68" s="160" t="e">
        <f t="shared" ca="1" si="15"/>
        <v>#REF!</v>
      </c>
      <c r="AG68" s="160" t="e">
        <f ca="1">IF($AA$77*SUM($W$60:$W67)/Etaw=BedarfWW,0,MAX(MIN($AA$77*W68/Etaw,BedarfWW-$AA$77*SUM($W$60:$W67)/Etaw),0))</f>
        <v>#REF!</v>
      </c>
      <c r="AH68" s="423" t="e">
        <f t="shared" ca="1" si="4"/>
        <v>#REF!</v>
      </c>
      <c r="AI68" s="1054">
        <f t="shared" si="5"/>
        <v>0</v>
      </c>
      <c r="AJ68" s="421">
        <f t="shared" si="6"/>
        <v>0</v>
      </c>
      <c r="AK68" s="426" t="e">
        <f t="shared" ca="1" si="7"/>
        <v>#REF!</v>
      </c>
      <c r="AL68" s="426" t="e">
        <f ca="1">AE68+AD68+IF(Laufzeit_Zusatzheizung&gt;=SUM($Y68:$Y$77),Kesselleistung*$H$45*Y68,0)</f>
        <v>#REF!</v>
      </c>
      <c r="AM68" s="426" t="e">
        <f t="shared" ca="1" si="16"/>
        <v>#REF!</v>
      </c>
      <c r="AN68" s="424">
        <f>IF(Neu,INDEX(WP_BIN!$T$80:$CG$80,1,S68),AZ68)</f>
        <v>0</v>
      </c>
      <c r="AO68" s="427" t="e">
        <f t="shared" ca="1" si="8"/>
        <v>#REF!</v>
      </c>
      <c r="AP68" s="427" t="e">
        <f t="shared" ca="1" si="9"/>
        <v>#REF!</v>
      </c>
      <c r="AQ68" s="424">
        <f t="shared" si="10"/>
        <v>0</v>
      </c>
      <c r="AR68" s="426" t="e">
        <f t="shared" si="11"/>
        <v>#VALUE!</v>
      </c>
      <c r="AS68" s="423">
        <f t="shared" si="17"/>
        <v>0</v>
      </c>
      <c r="AT68" s="421">
        <f t="shared" si="18"/>
        <v>0</v>
      </c>
      <c r="AU68" s="421">
        <f t="shared" si="20"/>
        <v>0</v>
      </c>
      <c r="AV68" s="1116" t="e">
        <f ca="1">INDEX(Berechnungen!$E$79:$BR$79,1,S68)</f>
        <v>#REF!</v>
      </c>
      <c r="AW68" s="65">
        <f t="shared" si="19"/>
        <v>-17</v>
      </c>
      <c r="AX68" s="162">
        <f>INDEX(WP_BIN!$T$78:$CG$78,1,$S68)</f>
        <v>28.642857142857157</v>
      </c>
      <c r="AY68" s="162" t="e">
        <f>INDEX(WP_BIN!$T$43:$CG$43,1,$S68)</f>
        <v>#DIV/0!</v>
      </c>
      <c r="AZ68" s="480">
        <f>INDEX(WP_BIN!$T$79:$CG$79,1,$S68)</f>
        <v>0</v>
      </c>
      <c r="BA68" s="480">
        <f>INDEX(WP_BIN!$T$86:$CG$86,1,$S68)</f>
        <v>0</v>
      </c>
      <c r="BB68" s="480" t="e">
        <f ca="1">INDEX(WP_BIN!$T$47:$CG$47,1,$S68)</f>
        <v>#DIV/0!</v>
      </c>
      <c r="BC68" s="480">
        <f ca="1">INDEX(WP_BIN!$T$54:$CG$54,1,$S68)</f>
        <v>0</v>
      </c>
      <c r="BE68" s="217"/>
      <c r="BG68" s="16" t="s">
        <v>718</v>
      </c>
      <c r="BH68" s="174">
        <v>0</v>
      </c>
      <c r="DC68" s="5"/>
      <c r="DD68" s="5"/>
      <c r="DE68" s="5"/>
      <c r="DF68" s="5"/>
      <c r="DG68" s="5"/>
    </row>
    <row r="69" spans="2:111" ht="15.6" hidden="1" customHeight="1" x14ac:dyDescent="0.2">
      <c r="K69" s="5"/>
      <c r="L69" s="5"/>
      <c r="M69" s="5"/>
      <c r="N69" s="5"/>
      <c r="O69" s="5"/>
      <c r="P69" s="5"/>
      <c r="Q69" s="5"/>
      <c r="R69" s="5"/>
      <c r="S69" s="5">
        <v>10</v>
      </c>
      <c r="T69" s="419">
        <f t="shared" si="0"/>
        <v>0</v>
      </c>
      <c r="U69" s="156"/>
      <c r="V69" s="421">
        <f t="shared" si="1"/>
        <v>0</v>
      </c>
      <c r="W69" s="1057">
        <f>IF(BIN,INDEX(BIN!$B$3:$BO$364,4+(Klima-2)*11,S69),0)</f>
        <v>0</v>
      </c>
      <c r="X69" s="159">
        <v>-16</v>
      </c>
      <c r="Y69" s="160" t="e">
        <f ca="1">IF(BINkorr,INDEX(Berechnungen!$E$81:$BR$81,1,S69)*IF(OR(Methode_384_3,Z69=0),1,AV69/Z69)/Leistungskorr*(1-Kollektor),W69*$T$130*(1-Kollektor))</f>
        <v>#REF!</v>
      </c>
      <c r="Z69" s="161">
        <f>IF(Heizung,IF(Methode_384_3,INDEX(Berechnungen!$E$79:$BR$79,1,S69),IF(X69&lt;IF(JAZcalc,TaMinVorarlberg,TaMin),Z70,Z70+$Z$77/28)),0)</f>
        <v>0</v>
      </c>
      <c r="AA69" s="161" t="e">
        <f t="shared" ca="1" si="12"/>
        <v>#REF!</v>
      </c>
      <c r="AB69" s="161">
        <f t="shared" si="2"/>
        <v>0</v>
      </c>
      <c r="AC69" s="424" t="e">
        <f t="shared" ca="1" si="3"/>
        <v>#REF!</v>
      </c>
      <c r="AD69" s="425" t="e">
        <f t="shared" ca="1" si="13"/>
        <v>#REF!</v>
      </c>
      <c r="AE69" s="423" t="e">
        <f t="shared" ca="1" si="14"/>
        <v>#REF!</v>
      </c>
      <c r="AF69" s="160" t="e">
        <f t="shared" ca="1" si="15"/>
        <v>#REF!</v>
      </c>
      <c r="AG69" s="160" t="e">
        <f ca="1">IF($AA$77*SUM($W$60:$W68)/Etaw=BedarfWW,0,MAX(MIN($AA$77*W69/Etaw,BedarfWW-$AA$77*SUM($W$60:$W68)/Etaw),0))</f>
        <v>#REF!</v>
      </c>
      <c r="AH69" s="423" t="e">
        <f t="shared" ca="1" si="4"/>
        <v>#REF!</v>
      </c>
      <c r="AI69" s="1054">
        <f t="shared" si="5"/>
        <v>0</v>
      </c>
      <c r="AJ69" s="421">
        <f t="shared" si="6"/>
        <v>0</v>
      </c>
      <c r="AK69" s="426" t="e">
        <f t="shared" ca="1" si="7"/>
        <v>#REF!</v>
      </c>
      <c r="AL69" s="426" t="e">
        <f ca="1">AE69+AD69+IF(Laufzeit_Zusatzheizung&gt;=SUM($Y69:$Y$77),Kesselleistung*$H$45*Y69,0)</f>
        <v>#REF!</v>
      </c>
      <c r="AM69" s="426" t="e">
        <f t="shared" ca="1" si="16"/>
        <v>#REF!</v>
      </c>
      <c r="AN69" s="424">
        <f>IF(Neu,INDEX(WP_BIN!$T$80:$CG$80,1,S69),AZ69)</f>
        <v>0</v>
      </c>
      <c r="AO69" s="427" t="e">
        <f t="shared" ca="1" si="8"/>
        <v>#REF!</v>
      </c>
      <c r="AP69" s="427" t="e">
        <f t="shared" ca="1" si="9"/>
        <v>#REF!</v>
      </c>
      <c r="AQ69" s="424">
        <f t="shared" si="10"/>
        <v>0</v>
      </c>
      <c r="AR69" s="426" t="e">
        <f t="shared" si="11"/>
        <v>#VALUE!</v>
      </c>
      <c r="AS69" s="423">
        <f t="shared" si="17"/>
        <v>0</v>
      </c>
      <c r="AT69" s="421">
        <f t="shared" si="18"/>
        <v>0</v>
      </c>
      <c r="AU69" s="421">
        <f t="shared" si="20"/>
        <v>0</v>
      </c>
      <c r="AV69" s="1116" t="e">
        <f ca="1">INDEX(Berechnungen!$E$79:$BR$79,1,S69)</f>
        <v>#REF!</v>
      </c>
      <c r="AW69" s="65">
        <f t="shared" si="19"/>
        <v>-16</v>
      </c>
      <c r="AX69" s="162">
        <f>INDEX(WP_BIN!$T$78:$CG$78,1,$S69)</f>
        <v>28.571428571428584</v>
      </c>
      <c r="AY69" s="162" t="e">
        <f>INDEX(WP_BIN!$T$43:$CG$43,1,$S69)</f>
        <v>#DIV/0!</v>
      </c>
      <c r="AZ69" s="480">
        <f>INDEX(WP_BIN!$T$79:$CG$79,1,$S69)</f>
        <v>0</v>
      </c>
      <c r="BA69" s="480">
        <f>INDEX(WP_BIN!$T$86:$CG$86,1,$S69)</f>
        <v>0</v>
      </c>
      <c r="BB69" s="480" t="e">
        <f ca="1">INDEX(WP_BIN!$T$47:$CG$47,1,$S69)</f>
        <v>#DIV/0!</v>
      </c>
      <c r="BC69" s="480">
        <f ca="1">INDEX(WP_BIN!$T$54:$CG$54,1,$S69)</f>
        <v>0</v>
      </c>
      <c r="BE69" s="217"/>
      <c r="BG69" s="20" t="str">
        <f>IF(elZusatz,Sprache!B120,"")</f>
        <v/>
      </c>
      <c r="BH69" s="175">
        <f>IF(elZusatz,Z142,0)</f>
        <v>0</v>
      </c>
      <c r="DC69" s="5"/>
      <c r="DD69" s="5"/>
      <c r="DE69" s="5"/>
      <c r="DF69" s="5"/>
      <c r="DG69" s="5"/>
    </row>
    <row r="70" spans="2:111" ht="15.6" hidden="1" customHeight="1" x14ac:dyDescent="0.2">
      <c r="B70" s="455" t="s">
        <v>2163</v>
      </c>
      <c r="C70" s="128" t="s">
        <v>1542</v>
      </c>
      <c r="D70" s="458" t="s">
        <v>3610</v>
      </c>
      <c r="E70" s="378" t="s">
        <v>2369</v>
      </c>
      <c r="F70" s="462" t="s">
        <v>3498</v>
      </c>
      <c r="G70" s="458" t="s">
        <v>1740</v>
      </c>
      <c r="H70" s="460" t="s">
        <v>1473</v>
      </c>
      <c r="K70" s="5"/>
      <c r="L70" s="5"/>
      <c r="M70" s="5"/>
      <c r="N70" s="5"/>
      <c r="O70" s="5"/>
      <c r="P70" s="5"/>
      <c r="Q70" s="5"/>
      <c r="R70" s="5"/>
      <c r="S70" s="5">
        <v>11</v>
      </c>
      <c r="T70" s="419">
        <f t="shared" si="0"/>
        <v>0</v>
      </c>
      <c r="U70" s="156"/>
      <c r="V70" s="421">
        <f t="shared" si="1"/>
        <v>0</v>
      </c>
      <c r="W70" s="1057">
        <f>IF(BIN,INDEX(BIN!$B$3:$BO$364,4+(Klima-2)*11,S70),0)</f>
        <v>0</v>
      </c>
      <c r="X70" s="159">
        <v>-15</v>
      </c>
      <c r="Y70" s="160" t="e">
        <f ca="1">IF(BINkorr,INDEX(Berechnungen!$E$81:$BR$81,1,S70)*IF(OR(Methode_384_3,Z70=0),1,AV70/Z70)/Leistungskorr*(1-Kollektor),W70*$T$130*(1-Kollektor))</f>
        <v>#REF!</v>
      </c>
      <c r="Z70" s="161">
        <f>IF(Heizung,IF(Methode_384_3,INDEX(Berechnungen!$E$79:$BR$79,1,S70),IF(X70&lt;IF(JAZcalc,TaMinVorarlberg,TaMin),Z71,Z71+$Z$77/28)),0)</f>
        <v>0</v>
      </c>
      <c r="AA70" s="161" t="e">
        <f t="shared" ca="1" si="12"/>
        <v>#REF!</v>
      </c>
      <c r="AB70" s="161">
        <f t="shared" si="2"/>
        <v>0</v>
      </c>
      <c r="AC70" s="424" t="e">
        <f t="shared" ca="1" si="3"/>
        <v>#REF!</v>
      </c>
      <c r="AD70" s="425" t="e">
        <f t="shared" ca="1" si="13"/>
        <v>#REF!</v>
      </c>
      <c r="AE70" s="423" t="e">
        <f t="shared" ca="1" si="14"/>
        <v>#REF!</v>
      </c>
      <c r="AF70" s="160" t="e">
        <f t="shared" ca="1" si="15"/>
        <v>#REF!</v>
      </c>
      <c r="AG70" s="160" t="e">
        <f ca="1">IF($AA$77*SUM($W$60:$W69)/Etaw=BedarfWW,0,MAX(MIN($AA$77*W70/Etaw,BedarfWW-$AA$77*SUM($W$60:$W69)/Etaw),0))</f>
        <v>#REF!</v>
      </c>
      <c r="AH70" s="423" t="e">
        <f t="shared" ca="1" si="4"/>
        <v>#REF!</v>
      </c>
      <c r="AI70" s="1054">
        <f t="shared" si="5"/>
        <v>0</v>
      </c>
      <c r="AJ70" s="421">
        <f t="shared" si="6"/>
        <v>0</v>
      </c>
      <c r="AK70" s="426" t="e">
        <f t="shared" ca="1" si="7"/>
        <v>#REF!</v>
      </c>
      <c r="AL70" s="426" t="e">
        <f ca="1">AE70+AD70+IF(Laufzeit_Zusatzheizung&gt;=SUM($Y70:$Y$77),Kesselleistung*$H$45*Y70,0)</f>
        <v>#REF!</v>
      </c>
      <c r="AM70" s="426" t="e">
        <f t="shared" ca="1" si="16"/>
        <v>#REF!</v>
      </c>
      <c r="AN70" s="424">
        <f>IF(Neu,INDEX(WP_BIN!$T$80:$CG$80,1,S70),AZ70)</f>
        <v>0</v>
      </c>
      <c r="AO70" s="427" t="e">
        <f t="shared" ca="1" si="8"/>
        <v>#REF!</v>
      </c>
      <c r="AP70" s="427" t="e">
        <f t="shared" ca="1" si="9"/>
        <v>#REF!</v>
      </c>
      <c r="AQ70" s="424">
        <f t="shared" si="10"/>
        <v>0</v>
      </c>
      <c r="AR70" s="426" t="e">
        <f t="shared" si="11"/>
        <v>#VALUE!</v>
      </c>
      <c r="AS70" s="423">
        <f t="shared" si="17"/>
        <v>0</v>
      </c>
      <c r="AT70" s="421">
        <f t="shared" si="18"/>
        <v>0</v>
      </c>
      <c r="AU70" s="421">
        <f t="shared" si="20"/>
        <v>0</v>
      </c>
      <c r="AV70" s="1116" t="e">
        <f ca="1">INDEX(Berechnungen!$E$79:$BR$79,1,S70)</f>
        <v>#REF!</v>
      </c>
      <c r="AW70" s="65">
        <f t="shared" si="19"/>
        <v>-15</v>
      </c>
      <c r="AX70" s="162">
        <f>INDEX(WP_BIN!$T$78:$CG$78,1,$S70)</f>
        <v>28.500000000000011</v>
      </c>
      <c r="AY70" s="162" t="e">
        <f>INDEX(WP_BIN!$T$43:$CG$43,1,$S70)</f>
        <v>#DIV/0!</v>
      </c>
      <c r="AZ70" s="480">
        <f>INDEX(WP_BIN!$T$79:$CG$79,1,$S70)</f>
        <v>0</v>
      </c>
      <c r="BA70" s="480">
        <f>INDEX(WP_BIN!$T$86:$CG$86,1,$S70)</f>
        <v>0</v>
      </c>
      <c r="BB70" s="480" t="e">
        <f ca="1">INDEX(WP_BIN!$T$47:$CG$47,1,$S70)</f>
        <v>#DIV/0!</v>
      </c>
      <c r="BC70" s="480">
        <f ca="1">INDEX(WP_BIN!$T$54:$CG$54,1,$S70)</f>
        <v>0</v>
      </c>
      <c r="BE70" s="217"/>
      <c r="BG70" s="20" t="str">
        <f>IF(AND(elZusatz,Speicher),Sprache!B121,"")</f>
        <v/>
      </c>
      <c r="BH70" s="175">
        <f>IF(AND(elZusatz,Speicher),Z143,0)</f>
        <v>0</v>
      </c>
      <c r="DC70" s="5"/>
      <c r="DD70" s="5"/>
      <c r="DE70" s="5"/>
      <c r="DF70" s="5"/>
      <c r="DG70" s="5"/>
    </row>
    <row r="71" spans="2:111" ht="15.6" hidden="1" customHeight="1" x14ac:dyDescent="0.2">
      <c r="B71" s="1007">
        <f>IF(JAZcalc,34,IF($H$6="",1,INDEX(B72:I104,L2,8)))</f>
        <v>1</v>
      </c>
      <c r="C71" s="131" t="s">
        <v>3497</v>
      </c>
      <c r="D71" s="464" t="s">
        <v>2948</v>
      </c>
      <c r="E71" s="149" t="s">
        <v>2370</v>
      </c>
      <c r="F71" s="464" t="s">
        <v>2948</v>
      </c>
      <c r="G71" s="464" t="s">
        <v>2948</v>
      </c>
      <c r="H71" s="135" t="s">
        <v>1197</v>
      </c>
      <c r="K71" s="5"/>
      <c r="L71" s="5"/>
      <c r="M71" s="5"/>
      <c r="N71" s="5"/>
      <c r="O71" s="5"/>
      <c r="P71" s="5"/>
      <c r="Q71" s="5"/>
      <c r="R71" s="5"/>
      <c r="S71" s="5">
        <v>12</v>
      </c>
      <c r="T71" s="419">
        <f t="shared" si="0"/>
        <v>0</v>
      </c>
      <c r="U71" s="156"/>
      <c r="V71" s="421">
        <f t="shared" si="1"/>
        <v>0</v>
      </c>
      <c r="W71" s="1057">
        <f>IF(BIN,INDEX(BIN!$B$3:$BO$364,4+(Klima-2)*11,S71),0)</f>
        <v>0</v>
      </c>
      <c r="X71" s="159">
        <v>-14</v>
      </c>
      <c r="Y71" s="160" t="e">
        <f ca="1">IF(BINkorr,INDEX(Berechnungen!$E$81:$BR$81,1,S71)*IF(OR(Methode_384_3,Z71=0),1,AV71/Z71)/Leistungskorr*(1-Kollektor),W71*$T$130*(1-Kollektor))</f>
        <v>#REF!</v>
      </c>
      <c r="Z71" s="161">
        <f>IF(Heizung,IF(Methode_384_3,INDEX(Berechnungen!$E$79:$BR$79,1,S71),IF(X71&lt;IF(JAZcalc,TaMinVorarlberg,TaMin),Z72,Z72+$Z$77/28)),0)</f>
        <v>0</v>
      </c>
      <c r="AA71" s="161" t="e">
        <f t="shared" ca="1" si="12"/>
        <v>#REF!</v>
      </c>
      <c r="AB71" s="161">
        <f t="shared" si="2"/>
        <v>0</v>
      </c>
      <c r="AC71" s="424" t="e">
        <f t="shared" ca="1" si="3"/>
        <v>#REF!</v>
      </c>
      <c r="AD71" s="425" t="e">
        <f ca="1">MAX(IF(AE71&gt;0,Z71*Y71/Etah/Nutzungsgrad,(Z71*Y71/Etah+AA71*Y71/Etaw-AB71*Y71)/Nutzungsgrad),0)</f>
        <v>#REF!</v>
      </c>
      <c r="AE71" s="423" t="e">
        <f t="shared" ca="1" si="14"/>
        <v>#REF!</v>
      </c>
      <c r="AF71" s="160" t="e">
        <f ca="1">Z71*Y71/Etah</f>
        <v>#REF!</v>
      </c>
      <c r="AG71" s="160" t="e">
        <f ca="1">IF($AA$77*SUM($W$60:$W70)/Etaw=BedarfWW,0,MAX(MIN($AA$77*W71/Etaw,BedarfWW-$AA$77*SUM($W$60:$W70)/Etaw),0))</f>
        <v>#REF!</v>
      </c>
      <c r="AH71" s="423" t="e">
        <f ca="1">MAX(AF71+AG71-AD71*Nutzungsgrad-AE71*Nutzungsgrad,0)</f>
        <v>#REF!</v>
      </c>
      <c r="AI71" s="1054">
        <f t="shared" si="5"/>
        <v>0</v>
      </c>
      <c r="AJ71" s="421">
        <f t="shared" si="6"/>
        <v>0</v>
      </c>
      <c r="AK71" s="426" t="e">
        <f t="shared" ca="1" si="7"/>
        <v>#REF!</v>
      </c>
      <c r="AL71" s="426" t="e">
        <f ca="1">AE71+AD71+IF(Laufzeit_Zusatzheizung&gt;=SUM($Y71:$Y$77),Kesselleistung*$H$45*Y71,0)</f>
        <v>#REF!</v>
      </c>
      <c r="AM71" s="426" t="e">
        <f t="shared" ca="1" si="16"/>
        <v>#REF!</v>
      </c>
      <c r="AN71" s="424">
        <f>IF(Neu,INDEX(WP_BIN!$T$80:$CG$80,1,S71),AZ71)</f>
        <v>0</v>
      </c>
      <c r="AO71" s="427" t="e">
        <f t="shared" ca="1" si="8"/>
        <v>#REF!</v>
      </c>
      <c r="AP71" s="427" t="e">
        <f t="shared" ca="1" si="9"/>
        <v>#REF!</v>
      </c>
      <c r="AQ71" s="424">
        <f t="shared" si="10"/>
        <v>0</v>
      </c>
      <c r="AR71" s="426" t="e">
        <f t="shared" si="11"/>
        <v>#VALUE!</v>
      </c>
      <c r="AS71" s="423">
        <f t="shared" si="17"/>
        <v>0</v>
      </c>
      <c r="AT71" s="421">
        <f t="shared" si="18"/>
        <v>0</v>
      </c>
      <c r="AU71" s="421">
        <f t="shared" si="20"/>
        <v>0</v>
      </c>
      <c r="AV71" s="1116" t="e">
        <f ca="1">INDEX(Berechnungen!$E$79:$BR$79,1,S71)</f>
        <v>#REF!</v>
      </c>
      <c r="AW71" s="65">
        <f t="shared" si="19"/>
        <v>-14</v>
      </c>
      <c r="AX71" s="162">
        <f>INDEX(WP_BIN!$T$78:$CG$78,1,$S71)</f>
        <v>28.428571428571438</v>
      </c>
      <c r="AY71" s="162" t="e">
        <f>INDEX(WP_BIN!$T$43:$CG$43,1,$S71)</f>
        <v>#DIV/0!</v>
      </c>
      <c r="AZ71" s="480">
        <f>INDEX(WP_BIN!$T$79:$CG$79,1,$S71)</f>
        <v>0</v>
      </c>
      <c r="BA71" s="480">
        <f>INDEX(WP_BIN!$T$86:$CG$86,1,$S71)</f>
        <v>0</v>
      </c>
      <c r="BB71" s="480" t="e">
        <f ca="1">INDEX(WP_BIN!$T$47:$CG$47,1,$S71)</f>
        <v>#DIV/0!</v>
      </c>
      <c r="BC71" s="480">
        <f ca="1">INDEX(WP_BIN!$T$54:$CG$54,1,$S71)</f>
        <v>0</v>
      </c>
      <c r="BE71" s="217"/>
      <c r="BG71" s="20" t="str">
        <f>IF(AND(elZusatz,Speicher),Sprache!B122,"")</f>
        <v/>
      </c>
      <c r="BH71" s="175">
        <f>IF(AND(elZusatz,Speicher),Z144,0)</f>
        <v>0</v>
      </c>
      <c r="DC71" s="5"/>
      <c r="DD71" s="5"/>
      <c r="DE71" s="5"/>
      <c r="DF71" s="5"/>
      <c r="DG71" s="5"/>
    </row>
    <row r="72" spans="2:111" ht="15.6" hidden="1" customHeight="1" x14ac:dyDescent="0.2">
      <c r="B72" s="1008" t="str">
        <f>IF(JAZcalc,JAZcalc!N723,"")</f>
        <v/>
      </c>
      <c r="C72" s="1009" t="str">
        <f>IF(JAZcalc,JAZcalc!O723,"")</f>
        <v/>
      </c>
      <c r="D72" s="1009" t="str">
        <f>IF(JAZcalc,JAZcalc!Q723,"")</f>
        <v/>
      </c>
      <c r="E72" s="1009"/>
      <c r="F72" s="1009" t="str">
        <f>IF(JAZcalc,JAZcalc!P723,"")</f>
        <v/>
      </c>
      <c r="G72" s="1009" t="str">
        <f>IF(JAZcalc,JAZcalc!S723,"")</f>
        <v/>
      </c>
      <c r="H72" s="1009" t="str">
        <f>IF(JAZcalc,JAZcalc!R723,"")</f>
        <v/>
      </c>
      <c r="I72" s="1012">
        <v>1</v>
      </c>
      <c r="K72" s="5"/>
      <c r="L72" s="5"/>
      <c r="M72" s="5"/>
      <c r="N72" s="5"/>
      <c r="O72" s="5"/>
      <c r="P72" s="5"/>
      <c r="Q72" s="5"/>
      <c r="R72" s="5"/>
      <c r="S72" s="5">
        <v>13</v>
      </c>
      <c r="T72" s="419">
        <f t="shared" si="0"/>
        <v>0</v>
      </c>
      <c r="U72" s="156"/>
      <c r="V72" s="421">
        <f t="shared" si="1"/>
        <v>0</v>
      </c>
      <c r="W72" s="1057">
        <f>IF(BIN,INDEX(BIN!$B$3:$BO$364,4+(Klima-2)*11,S72),0)</f>
        <v>0</v>
      </c>
      <c r="X72" s="159">
        <v>-13</v>
      </c>
      <c r="Y72" s="160" t="e">
        <f ca="1">IF(BINkorr,INDEX(Berechnungen!$E$81:$BR$81,1,S72)*IF(OR(Methode_384_3,Z72=0),1,AV72/Z72)/Leistungskorr*(1-Kollektor),W72*$T$130*(1-Kollektor))</f>
        <v>#REF!</v>
      </c>
      <c r="Z72" s="161">
        <f>IF(Heizung,IF(Methode_384_3,INDEX(Berechnungen!$E$79:$BR$79,1,S72),IF(X72&lt;IF(JAZcalc,TaMinVorarlberg,TaMin),Z73,Z73+$Z$77/28)),0)</f>
        <v>0</v>
      </c>
      <c r="AA72" s="161" t="e">
        <f t="shared" ca="1" si="12"/>
        <v>#REF!</v>
      </c>
      <c r="AB72" s="161">
        <f t="shared" si="2"/>
        <v>0</v>
      </c>
      <c r="AC72" s="424" t="e">
        <f t="shared" ca="1" si="3"/>
        <v>#REF!</v>
      </c>
      <c r="AD72" s="425" t="e">
        <f t="shared" ca="1" si="13"/>
        <v>#REF!</v>
      </c>
      <c r="AE72" s="423" t="e">
        <f t="shared" ca="1" si="14"/>
        <v>#REF!</v>
      </c>
      <c r="AF72" s="160" t="e">
        <f t="shared" ca="1" si="15"/>
        <v>#REF!</v>
      </c>
      <c r="AG72" s="160" t="e">
        <f ca="1">IF($AA$77*SUM($W$60:$W71)/Etaw=BedarfWW,0,MAX(MIN($AA$77*W72/Etaw,BedarfWW-$AA$77*SUM($W$60:$W71)/Etaw),0))</f>
        <v>#REF!</v>
      </c>
      <c r="AH72" s="423" t="e">
        <f t="shared" ca="1" si="4"/>
        <v>#REF!</v>
      </c>
      <c r="AI72" s="1054">
        <f t="shared" si="5"/>
        <v>0</v>
      </c>
      <c r="AJ72" s="421">
        <f t="shared" si="6"/>
        <v>0</v>
      </c>
      <c r="AK72" s="426" t="e">
        <f t="shared" ca="1" si="7"/>
        <v>#REF!</v>
      </c>
      <c r="AL72" s="426" t="e">
        <f ca="1">AE72+AD72+IF(Laufzeit_Zusatzheizung&gt;=SUM($Y72:$Y$77),Kesselleistung*$H$45*Y72,0)</f>
        <v>#REF!</v>
      </c>
      <c r="AM72" s="426" t="e">
        <f t="shared" ca="1" si="16"/>
        <v>#REF!</v>
      </c>
      <c r="AN72" s="424">
        <f>IF(Neu,INDEX(WP_BIN!$T$80:$CG$80,1,S72),AZ72)</f>
        <v>0</v>
      </c>
      <c r="AO72" s="427" t="e">
        <f t="shared" ca="1" si="8"/>
        <v>#REF!</v>
      </c>
      <c r="AP72" s="427" t="e">
        <f t="shared" ca="1" si="9"/>
        <v>#REF!</v>
      </c>
      <c r="AQ72" s="424">
        <f t="shared" si="10"/>
        <v>0</v>
      </c>
      <c r="AR72" s="426" t="e">
        <f t="shared" si="11"/>
        <v>#VALUE!</v>
      </c>
      <c r="AS72" s="423">
        <f t="shared" si="17"/>
        <v>0</v>
      </c>
      <c r="AT72" s="421">
        <f t="shared" si="18"/>
        <v>0</v>
      </c>
      <c r="AU72" s="421">
        <f t="shared" si="20"/>
        <v>0</v>
      </c>
      <c r="AV72" s="1116" t="e">
        <f ca="1">INDEX(Berechnungen!$E$79:$BR$79,1,S72)</f>
        <v>#REF!</v>
      </c>
      <c r="AW72" s="65">
        <f t="shared" si="19"/>
        <v>-13</v>
      </c>
      <c r="AX72" s="162">
        <f>INDEX(WP_BIN!$T$78:$CG$78,1,$S72)</f>
        <v>28.357142857142865</v>
      </c>
      <c r="AY72" s="162" t="e">
        <f>INDEX(WP_BIN!$T$43:$CG$43,1,$S72)</f>
        <v>#DIV/0!</v>
      </c>
      <c r="AZ72" s="480">
        <f>INDEX(WP_BIN!$T$79:$CG$79,1,$S72)</f>
        <v>0</v>
      </c>
      <c r="BA72" s="480">
        <f>INDEX(WP_BIN!$T$86:$CG$86,1,$S72)</f>
        <v>0</v>
      </c>
      <c r="BB72" s="480" t="e">
        <f ca="1">INDEX(WP_BIN!$T$47:$CG$47,1,$S72)</f>
        <v>#DIV/0!</v>
      </c>
      <c r="BC72" s="480">
        <f ca="1">INDEX(WP_BIN!$T$54:$CG$54,1,$S72)</f>
        <v>0</v>
      </c>
      <c r="BE72" s="217"/>
      <c r="BG72" s="20"/>
      <c r="BH72" s="175"/>
      <c r="DC72" s="5"/>
      <c r="DD72" s="5"/>
      <c r="DE72" s="5"/>
      <c r="DF72" s="5"/>
      <c r="DG72" s="5"/>
    </row>
    <row r="73" spans="2:111" ht="15.6" hidden="1" customHeight="1" x14ac:dyDescent="0.2">
      <c r="B73" s="335" t="s">
        <v>2352</v>
      </c>
      <c r="C73" s="335"/>
      <c r="D73" s="1005">
        <v>-10</v>
      </c>
      <c r="E73" s="450">
        <v>4186</v>
      </c>
      <c r="F73" s="317">
        <v>2.9</v>
      </c>
      <c r="G73" s="450">
        <v>-10</v>
      </c>
      <c r="H73" s="450">
        <v>4186</v>
      </c>
      <c r="I73" s="1012">
        <v>2</v>
      </c>
      <c r="K73" s="5"/>
      <c r="L73" s="5"/>
      <c r="M73" s="5"/>
      <c r="N73" s="5"/>
      <c r="O73" s="5"/>
      <c r="P73" s="5"/>
      <c r="Q73" s="5"/>
      <c r="R73" s="5"/>
      <c r="S73" s="5">
        <v>14</v>
      </c>
      <c r="T73" s="419">
        <f t="shared" si="0"/>
        <v>0</v>
      </c>
      <c r="U73" s="156"/>
      <c r="V73" s="421">
        <f t="shared" si="1"/>
        <v>0</v>
      </c>
      <c r="W73" s="1057">
        <f>IF(BIN,INDEX(BIN!$B$3:$BO$364,4+(Klima-2)*11,S73),0)</f>
        <v>0</v>
      </c>
      <c r="X73" s="159">
        <v>-12</v>
      </c>
      <c r="Y73" s="160" t="e">
        <f ca="1">IF(BINkorr,INDEX(Berechnungen!$E$81:$BR$81,1,S73)*IF(OR(Methode_384_3,Z73=0),1,AV73/Z73)/Leistungskorr*(1-Kollektor),W73*$T$130*(1-Kollektor))</f>
        <v>#REF!</v>
      </c>
      <c r="Z73" s="161">
        <f>IF(Heizung,IF(Methode_384_3,INDEX(Berechnungen!$E$79:$BR$79,1,S73),IF(X73&lt;IF(JAZcalc,TaMinVorarlberg,TaMin),Z74,Z74+$Z$77/28)),0)</f>
        <v>0</v>
      </c>
      <c r="AA73" s="161" t="e">
        <f t="shared" ca="1" si="12"/>
        <v>#REF!</v>
      </c>
      <c r="AB73" s="161">
        <f t="shared" si="2"/>
        <v>0</v>
      </c>
      <c r="AC73" s="424" t="e">
        <f t="shared" ca="1" si="3"/>
        <v>#REF!</v>
      </c>
      <c r="AD73" s="425" t="e">
        <f t="shared" ca="1" si="13"/>
        <v>#REF!</v>
      </c>
      <c r="AE73" s="423" t="e">
        <f t="shared" ca="1" si="14"/>
        <v>#REF!</v>
      </c>
      <c r="AF73" s="160" t="e">
        <f t="shared" ca="1" si="15"/>
        <v>#REF!</v>
      </c>
      <c r="AG73" s="160" t="e">
        <f ca="1">IF($AA$77*SUM($W$60:$W72)/Etaw=BedarfWW,0,MAX(MIN($AA$77*W73/Etaw,BedarfWW-$AA$77*SUM($W$60:$W72)/Etaw),0))</f>
        <v>#REF!</v>
      </c>
      <c r="AH73" s="423" t="e">
        <f t="shared" ca="1" si="4"/>
        <v>#REF!</v>
      </c>
      <c r="AI73" s="1054">
        <f t="shared" si="5"/>
        <v>0</v>
      </c>
      <c r="AJ73" s="421">
        <f t="shared" si="6"/>
        <v>0</v>
      </c>
      <c r="AK73" s="426" t="e">
        <f t="shared" ca="1" si="7"/>
        <v>#REF!</v>
      </c>
      <c r="AL73" s="426" t="e">
        <f ca="1">AE73+AD73+IF(Laufzeit_Zusatzheizung&gt;=SUM($Y73:$Y$77),Kesselleistung*$H$45*Y73,0)</f>
        <v>#REF!</v>
      </c>
      <c r="AM73" s="426" t="e">
        <f t="shared" ca="1" si="16"/>
        <v>#REF!</v>
      </c>
      <c r="AN73" s="424">
        <f>IF(Neu,INDEX(WP_BIN!$T$80:$CG$80,1,S73),AZ73)</f>
        <v>0</v>
      </c>
      <c r="AO73" s="427" t="e">
        <f t="shared" ca="1" si="8"/>
        <v>#REF!</v>
      </c>
      <c r="AP73" s="427" t="e">
        <f t="shared" ca="1" si="9"/>
        <v>#REF!</v>
      </c>
      <c r="AQ73" s="424">
        <f t="shared" si="10"/>
        <v>0</v>
      </c>
      <c r="AR73" s="426" t="e">
        <f t="shared" si="11"/>
        <v>#VALUE!</v>
      </c>
      <c r="AS73" s="423">
        <f t="shared" si="17"/>
        <v>0</v>
      </c>
      <c r="AT73" s="421">
        <f t="shared" si="18"/>
        <v>0</v>
      </c>
      <c r="AU73" s="421">
        <f t="shared" si="20"/>
        <v>0</v>
      </c>
      <c r="AV73" s="1116" t="e">
        <f ca="1">INDEX(Berechnungen!$E$79:$BR$79,1,S73)</f>
        <v>#REF!</v>
      </c>
      <c r="AW73" s="65">
        <f t="shared" si="19"/>
        <v>-12</v>
      </c>
      <c r="AX73" s="162">
        <f>INDEX(WP_BIN!$T$78:$CG$78,1,$S73)</f>
        <v>28.285714285714292</v>
      </c>
      <c r="AY73" s="162" t="e">
        <f>INDEX(WP_BIN!$T$43:$CG$43,1,$S73)</f>
        <v>#DIV/0!</v>
      </c>
      <c r="AZ73" s="480">
        <f>INDEX(WP_BIN!$T$79:$CG$79,1,$S73)</f>
        <v>0</v>
      </c>
      <c r="BA73" s="480">
        <f>INDEX(WP_BIN!$T$86:$CG$86,1,$S73)</f>
        <v>0</v>
      </c>
      <c r="BB73" s="480" t="e">
        <f ca="1">INDEX(WP_BIN!$T$47:$CG$47,1,$S73)</f>
        <v>#DIV/0!</v>
      </c>
      <c r="BC73" s="480">
        <f ca="1">INDEX(WP_BIN!$T$54:$CG$54,1,$S73)</f>
        <v>0</v>
      </c>
      <c r="BE73" s="217"/>
      <c r="BG73" s="25"/>
      <c r="BH73" s="186"/>
      <c r="DC73" s="5"/>
      <c r="DD73" s="5"/>
      <c r="DE73" s="5"/>
      <c r="DF73" s="5"/>
      <c r="DG73" s="5"/>
    </row>
    <row r="74" spans="2:111" ht="15.6" hidden="1" customHeight="1" x14ac:dyDescent="0.2">
      <c r="B74" s="335" t="s">
        <v>3508</v>
      </c>
      <c r="C74" s="335"/>
      <c r="D74" s="199">
        <v>-6</v>
      </c>
      <c r="E74" s="450">
        <v>4422</v>
      </c>
      <c r="F74" s="317">
        <v>4.5999999999999996</v>
      </c>
      <c r="G74" s="450">
        <v>-6</v>
      </c>
      <c r="H74" s="450">
        <v>2836</v>
      </c>
      <c r="I74" s="1012">
        <v>3</v>
      </c>
      <c r="K74" s="5"/>
      <c r="L74" s="5"/>
      <c r="M74" s="5"/>
      <c r="N74" s="5"/>
      <c r="O74" s="5"/>
      <c r="P74" s="5"/>
      <c r="Q74" s="5"/>
      <c r="R74" s="5"/>
      <c r="S74" s="5">
        <v>15</v>
      </c>
      <c r="T74" s="419">
        <f t="shared" si="0"/>
        <v>0</v>
      </c>
      <c r="U74" s="156"/>
      <c r="V74" s="421">
        <f t="shared" si="1"/>
        <v>0</v>
      </c>
      <c r="W74" s="1057">
        <f>IF(BIN,INDEX(BIN!$B$3:$BO$364,4+(Klima-2)*11,S74),0)</f>
        <v>0</v>
      </c>
      <c r="X74" s="159">
        <v>-11</v>
      </c>
      <c r="Y74" s="160" t="e">
        <f ca="1">IF(BINkorr,INDEX(Berechnungen!$E$81:$BR$81,1,S74)*IF(OR(Methode_384_3,Z74=0),1,AV74/Z74)/Leistungskorr*(1-Kollektor),W74*$T$130*(1-Kollektor))</f>
        <v>#REF!</v>
      </c>
      <c r="Z74" s="161">
        <f>IF(Heizung,IF(Methode_384_3,INDEX(Berechnungen!$E$79:$BR$79,1,S74),IF(X74&lt;IF(JAZcalc,TaMinVorarlberg,TaMin),Z75,Z75+$Z$77/28)),0)</f>
        <v>0</v>
      </c>
      <c r="AA74" s="161" t="e">
        <f t="shared" ca="1" si="12"/>
        <v>#REF!</v>
      </c>
      <c r="AB74" s="161">
        <f t="shared" si="2"/>
        <v>0</v>
      </c>
      <c r="AC74" s="424" t="e">
        <f t="shared" ca="1" si="3"/>
        <v>#REF!</v>
      </c>
      <c r="AD74" s="425" t="e">
        <f t="shared" ca="1" si="13"/>
        <v>#REF!</v>
      </c>
      <c r="AE74" s="423" t="e">
        <f t="shared" ca="1" si="14"/>
        <v>#REF!</v>
      </c>
      <c r="AF74" s="160" t="e">
        <f t="shared" ca="1" si="15"/>
        <v>#REF!</v>
      </c>
      <c r="AG74" s="160" t="e">
        <f ca="1">IF($AA$77*SUM($W$60:$W73)/Etaw=BedarfWW,0,MAX(MIN($AA$77*W74/Etaw,BedarfWW-$AA$77*SUM($W$60:$W73)/Etaw),0))</f>
        <v>#REF!</v>
      </c>
      <c r="AH74" s="423" t="e">
        <f t="shared" ca="1" si="4"/>
        <v>#REF!</v>
      </c>
      <c r="AI74" s="1054">
        <f t="shared" si="5"/>
        <v>0</v>
      </c>
      <c r="AJ74" s="421">
        <f t="shared" si="6"/>
        <v>0</v>
      </c>
      <c r="AK74" s="426" t="e">
        <f t="shared" ca="1" si="7"/>
        <v>#REF!</v>
      </c>
      <c r="AL74" s="426" t="e">
        <f ca="1">AE74+AD74+IF(Laufzeit_Zusatzheizung&gt;=SUM($Y74:$Y$77),Kesselleistung*$H$45*Y74,0)</f>
        <v>#REF!</v>
      </c>
      <c r="AM74" s="426" t="e">
        <f t="shared" ca="1" si="16"/>
        <v>#REF!</v>
      </c>
      <c r="AN74" s="424">
        <f>IF(Neu,INDEX(WP_BIN!$T$80:$CG$80,1,S74),AZ74)</f>
        <v>0</v>
      </c>
      <c r="AO74" s="427" t="e">
        <f t="shared" ca="1" si="8"/>
        <v>#REF!</v>
      </c>
      <c r="AP74" s="427" t="e">
        <f t="shared" ca="1" si="9"/>
        <v>#REF!</v>
      </c>
      <c r="AQ74" s="424">
        <f t="shared" si="10"/>
        <v>0</v>
      </c>
      <c r="AR74" s="426" t="e">
        <f t="shared" si="11"/>
        <v>#VALUE!</v>
      </c>
      <c r="AS74" s="423">
        <f t="shared" si="17"/>
        <v>0</v>
      </c>
      <c r="AT74" s="421">
        <f t="shared" si="18"/>
        <v>0</v>
      </c>
      <c r="AU74" s="421">
        <f t="shared" si="20"/>
        <v>0</v>
      </c>
      <c r="AV74" s="1116" t="e">
        <f ca="1">INDEX(Berechnungen!$E$79:$BR$79,1,S74)</f>
        <v>#REF!</v>
      </c>
      <c r="AW74" s="65">
        <f t="shared" si="19"/>
        <v>-11</v>
      </c>
      <c r="AX74" s="162">
        <f>INDEX(WP_BIN!$T$78:$CG$78,1,$S74)</f>
        <v>28.214285714285719</v>
      </c>
      <c r="AY74" s="162" t="e">
        <f>INDEX(WP_BIN!$T$43:$CG$43,1,$S74)</f>
        <v>#DIV/0!</v>
      </c>
      <c r="AZ74" s="480">
        <f>INDEX(WP_BIN!$T$79:$CG$79,1,$S74)</f>
        <v>0</v>
      </c>
      <c r="BA74" s="480">
        <f>INDEX(WP_BIN!$T$86:$CG$86,1,$S74)</f>
        <v>0</v>
      </c>
      <c r="BB74" s="480" t="e">
        <f ca="1">INDEX(WP_BIN!$T$47:$CG$47,1,$S74)</f>
        <v>#DIV/0!</v>
      </c>
      <c r="BC74" s="480">
        <f ca="1">INDEX(WP_BIN!$T$54:$CG$54,1,$S74)</f>
        <v>0</v>
      </c>
      <c r="BE74" s="217"/>
      <c r="BG74" s="470" t="str">
        <f>INDEX(BG68:BG73,BH67,1)</f>
        <v xml:space="preserve"> </v>
      </c>
      <c r="BH74" s="189">
        <f>INDEX(BH68:BH73,BH67,1)</f>
        <v>0</v>
      </c>
      <c r="DC74" s="5"/>
      <c r="DD74" s="5"/>
      <c r="DE74" s="5"/>
    </row>
    <row r="75" spans="2:111" ht="15.6" hidden="1" customHeight="1" x14ac:dyDescent="0.2">
      <c r="B75" s="335" t="s">
        <v>3667</v>
      </c>
      <c r="C75" s="335"/>
      <c r="D75" s="199">
        <v>-7</v>
      </c>
      <c r="E75" s="450">
        <v>3940</v>
      </c>
      <c r="F75" s="317">
        <v>4.7</v>
      </c>
      <c r="G75" s="450">
        <v>-7</v>
      </c>
      <c r="H75" s="450">
        <v>2733</v>
      </c>
      <c r="I75" s="1012">
        <v>4</v>
      </c>
      <c r="K75" s="5"/>
      <c r="L75" s="5"/>
      <c r="M75" s="5"/>
      <c r="N75" s="5"/>
      <c r="O75" s="5"/>
      <c r="P75" s="5"/>
      <c r="Q75" s="5"/>
      <c r="R75" s="5"/>
      <c r="S75" s="5">
        <v>16</v>
      </c>
      <c r="T75" s="419">
        <f t="shared" si="0"/>
        <v>0</v>
      </c>
      <c r="U75" s="156"/>
      <c r="V75" s="421">
        <f t="shared" si="1"/>
        <v>0</v>
      </c>
      <c r="W75" s="1057">
        <f>IF(BIN,INDEX(BIN!$B$3:$BO$364,4+(Klima-2)*11,S75),0)</f>
        <v>0</v>
      </c>
      <c r="X75" s="159">
        <v>-10</v>
      </c>
      <c r="Y75" s="160" t="e">
        <f ca="1">IF(BINkorr,INDEX(Berechnungen!$E$81:$BR$81,1,S75)*IF(OR(Methode_384_3,Z75=0),1,AV75/Z75)/Leistungskorr*(1-Kollektor),W75*$T$130*(1-Kollektor))</f>
        <v>#REF!</v>
      </c>
      <c r="Z75" s="161">
        <f>IF(Heizung,IF(Methode_384_3,INDEX(Berechnungen!$E$79:$BR$79,1,S75),IF(X75&lt;IF(JAZcalc,TaMinVorarlberg,TaMin),Z76,Z76+$Z$77/28)),0)</f>
        <v>0</v>
      </c>
      <c r="AA75" s="161" t="e">
        <f t="shared" ca="1" si="12"/>
        <v>#REF!</v>
      </c>
      <c r="AB75" s="161">
        <f t="shared" si="2"/>
        <v>0</v>
      </c>
      <c r="AC75" s="424" t="e">
        <f t="shared" ca="1" si="3"/>
        <v>#REF!</v>
      </c>
      <c r="AD75" s="425" t="e">
        <f t="shared" ca="1" si="13"/>
        <v>#REF!</v>
      </c>
      <c r="AE75" s="423" t="e">
        <f t="shared" ca="1" si="14"/>
        <v>#REF!</v>
      </c>
      <c r="AF75" s="160" t="e">
        <f t="shared" ca="1" si="15"/>
        <v>#REF!</v>
      </c>
      <c r="AG75" s="160" t="e">
        <f ca="1">IF($AA$77*SUM($W$60:$W74)/Etaw=BedarfWW,0,MAX(MIN($AA$77*W75/Etaw,BedarfWW-$AA$77*SUM($W$60:$W74)/Etaw),0))</f>
        <v>#REF!</v>
      </c>
      <c r="AH75" s="423" t="e">
        <f t="shared" ca="1" si="4"/>
        <v>#REF!</v>
      </c>
      <c r="AI75" s="1054">
        <f t="shared" si="5"/>
        <v>0</v>
      </c>
      <c r="AJ75" s="421">
        <f t="shared" si="6"/>
        <v>0</v>
      </c>
      <c r="AK75" s="426" t="e">
        <f t="shared" ca="1" si="7"/>
        <v>#REF!</v>
      </c>
      <c r="AL75" s="426" t="e">
        <f ca="1">AE75+AD75+IF(Laufzeit_Zusatzheizung&gt;=SUM($Y75:$Y$77),Kesselleistung*$H$45*Y75,0)</f>
        <v>#REF!</v>
      </c>
      <c r="AM75" s="426" t="e">
        <f t="shared" ca="1" si="16"/>
        <v>#REF!</v>
      </c>
      <c r="AN75" s="424">
        <f>IF(Neu,INDEX(WP_BIN!$T$80:$CG$80,1,S75),AZ75)</f>
        <v>0</v>
      </c>
      <c r="AO75" s="427" t="e">
        <f t="shared" ca="1" si="8"/>
        <v>#REF!</v>
      </c>
      <c r="AP75" s="427" t="e">
        <f t="shared" ca="1" si="9"/>
        <v>#REF!</v>
      </c>
      <c r="AQ75" s="424">
        <f t="shared" si="10"/>
        <v>0</v>
      </c>
      <c r="AR75" s="426" t="e">
        <f t="shared" si="11"/>
        <v>#VALUE!</v>
      </c>
      <c r="AS75" s="423">
        <f t="shared" si="17"/>
        <v>0</v>
      </c>
      <c r="AT75" s="421">
        <f t="shared" si="18"/>
        <v>0</v>
      </c>
      <c r="AU75" s="421">
        <f t="shared" si="20"/>
        <v>0</v>
      </c>
      <c r="AV75" s="1116" t="e">
        <f ca="1">INDEX(Berechnungen!$E$79:$BR$79,1,S75)</f>
        <v>#REF!</v>
      </c>
      <c r="AW75" s="65">
        <f t="shared" si="19"/>
        <v>-10</v>
      </c>
      <c r="AX75" s="162">
        <f>INDEX(WP_BIN!$T$78:$CG$78,1,$S75)</f>
        <v>28.142857142857146</v>
      </c>
      <c r="AY75" s="162" t="e">
        <f>INDEX(WP_BIN!$T$43:$CG$43,1,$S75)</f>
        <v>#DIV/0!</v>
      </c>
      <c r="AZ75" s="480">
        <f>INDEX(WP_BIN!$T$79:$CG$79,1,$S75)</f>
        <v>0</v>
      </c>
      <c r="BA75" s="480">
        <f>INDEX(WP_BIN!$T$86:$CG$86,1,$S75)</f>
        <v>0</v>
      </c>
      <c r="BB75" s="480" t="e">
        <f ca="1">INDEX(WP_BIN!$T$47:$CG$47,1,$S75)</f>
        <v>#DIV/0!</v>
      </c>
      <c r="BC75" s="480">
        <f ca="1">INDEX(WP_BIN!$T$54:$CG$54,1,$S75)</f>
        <v>0</v>
      </c>
      <c r="BE75" s="217"/>
      <c r="BH75" s="19"/>
      <c r="DC75" s="5"/>
      <c r="DD75" s="5"/>
      <c r="DE75" s="5"/>
    </row>
    <row r="76" spans="2:111" ht="14.45" hidden="1" customHeight="1" x14ac:dyDescent="0.2">
      <c r="B76" s="335" t="s">
        <v>902</v>
      </c>
      <c r="C76" s="335"/>
      <c r="D76" s="199">
        <v>-7</v>
      </c>
      <c r="E76" s="450">
        <v>4026</v>
      </c>
      <c r="F76" s="317">
        <v>4.0999999999999996</v>
      </c>
      <c r="G76" s="450">
        <v>-7</v>
      </c>
      <c r="H76" s="450">
        <v>3353</v>
      </c>
      <c r="I76" s="1012">
        <v>5</v>
      </c>
      <c r="K76" s="5"/>
      <c r="L76" s="5"/>
      <c r="M76" s="5"/>
      <c r="N76" s="5"/>
      <c r="O76" s="5"/>
      <c r="P76" s="5"/>
      <c r="Q76" s="5"/>
      <c r="R76" s="5"/>
      <c r="S76" s="5">
        <v>17</v>
      </c>
      <c r="T76" s="419">
        <f t="shared" ref="T76:T95" si="21">W76*Z76</f>
        <v>0</v>
      </c>
      <c r="U76" s="156"/>
      <c r="V76" s="421">
        <f t="shared" ref="V76:V95" si="22">Z76*W76</f>
        <v>0</v>
      </c>
      <c r="W76" s="1057">
        <f>IF(BIN,INDEX(BIN!$B$3:$BO$364,4+(Klima-2)*11,S76),0)</f>
        <v>0</v>
      </c>
      <c r="X76" s="159">
        <v>-9</v>
      </c>
      <c r="Y76" s="160" t="e">
        <f ca="1">IF(BINkorr,INDEX(Berechnungen!$E$81:$BR$81,1,S76)*IF(OR(Methode_384_3,Z76=0),1,AV76/Z76)/Leistungskorr*(1-Kollektor),W76*$T$130*(1-Kollektor))</f>
        <v>#REF!</v>
      </c>
      <c r="Z76" s="161">
        <f>IF(Heizung,IF(Methode_384_3,INDEX(Berechnungen!$E$79:$BR$79,1,S76),IF(X76&lt;IF(JAZcalc,TaMinVorarlberg,TaMin),Z77,Z77+$Z$77/28)),0)</f>
        <v>0</v>
      </c>
      <c r="AA76" s="161" t="e">
        <f ca="1">IF(AG76&gt;0,$AA$77,0)</f>
        <v>#REF!</v>
      </c>
      <c r="AB76" s="161">
        <f>IF(Bivalenzpunkt&lt;X76,AN76,0)</f>
        <v>0</v>
      </c>
      <c r="AC76" s="424" t="e">
        <f t="shared" ref="AC76:AC93" ca="1" si="23">MAX(Z76+AA76-AB76,0)/Nutzungsgrad</f>
        <v>#REF!</v>
      </c>
      <c r="AD76" s="425" t="e">
        <f t="shared" ca="1" si="13"/>
        <v>#REF!</v>
      </c>
      <c r="AE76" s="423" t="e">
        <f t="shared" ca="1" si="14"/>
        <v>#REF!</v>
      </c>
      <c r="AF76" s="160" t="e">
        <f t="shared" ca="1" si="15"/>
        <v>#REF!</v>
      </c>
      <c r="AG76" s="160" t="e">
        <f ca="1">IF($AA$77*SUM($W$60:$W75)/Etaw=BedarfWW,0,MAX(MIN($AA$77*W76/Etaw,BedarfWW-$AA$77*SUM($W$60:$W75)/Etaw),0))</f>
        <v>#REF!</v>
      </c>
      <c r="AH76" s="423" t="e">
        <f t="shared" ref="AH76:AH93" ca="1" si="24">MAX(AF76+AG76-AD76*Nutzungsgrad-AE76*Nutzungsgrad,0)</f>
        <v>#REF!</v>
      </c>
      <c r="AI76" s="1054">
        <f t="shared" ref="AI76:AI93" si="25">MIN(IF(AB76&gt;0,AH76/AB76,0),W76)</f>
        <v>0</v>
      </c>
      <c r="AJ76" s="421">
        <f t="shared" ref="AJ76:AJ93" si="26">Z76*W76</f>
        <v>0</v>
      </c>
      <c r="AK76" s="426" t="e">
        <f t="shared" ref="AK76:AK93" ca="1" si="27">MAX(AF76-AD76*Nutzungsgrad,0)</f>
        <v>#REF!</v>
      </c>
      <c r="AL76" s="426" t="e">
        <f ca="1">AE76+AD76+IF(Laufzeit_Zusatzheizung&gt;=SUM($Y76:$Y$77),Kesselleistung*$H$45*Y76,0)</f>
        <v>#REF!</v>
      </c>
      <c r="AM76" s="426" t="e">
        <f t="shared" ca="1" si="16"/>
        <v>#REF!</v>
      </c>
      <c r="AN76" s="424">
        <f>IF(Neu,INDEX(WP_BIN!$T$80:$CG$80,1,S76),AZ76)</f>
        <v>0</v>
      </c>
      <c r="AO76" s="427" t="e">
        <f t="shared" ref="AO76:AO93" ca="1" si="28">IF(AE76&gt;AM76,AE76-AM76,0)</f>
        <v>#REF!</v>
      </c>
      <c r="AP76" s="427" t="e">
        <f t="shared" ref="AP76:AP93" ca="1" si="29">AL76-AM76-AO76</f>
        <v>#REF!</v>
      </c>
      <c r="AQ76" s="424">
        <f>MAX(AQ77-(AQ$87-AQ$78)/9,0)</f>
        <v>0</v>
      </c>
      <c r="AR76" s="426" t="e">
        <f t="shared" ref="AR76:AR93" si="30">W76*$T$130</f>
        <v>#VALUE!</v>
      </c>
      <c r="AS76" s="423">
        <f t="shared" si="17"/>
        <v>0</v>
      </c>
      <c r="AT76" s="421">
        <f t="shared" si="18"/>
        <v>0</v>
      </c>
      <c r="AU76" s="421">
        <f t="shared" si="20"/>
        <v>0</v>
      </c>
      <c r="AV76" s="1116" t="e">
        <f ca="1">INDEX(Berechnungen!$E$79:$BR$79,1,S76)</f>
        <v>#REF!</v>
      </c>
      <c r="AW76" s="65">
        <f t="shared" si="19"/>
        <v>-9</v>
      </c>
      <c r="AX76" s="162">
        <f>INDEX(WP_BIN!$T$78:$CG$78,1,$S76)</f>
        <v>28.071428571428573</v>
      </c>
      <c r="AY76" s="162" t="e">
        <f>INDEX(WP_BIN!$T$43:$CG$43,1,$S76)</f>
        <v>#DIV/0!</v>
      </c>
      <c r="AZ76" s="480">
        <f>INDEX(WP_BIN!$T$79:$CG$79,1,$S76)</f>
        <v>0</v>
      </c>
      <c r="BA76" s="480">
        <f>INDEX(WP_BIN!$T$86:$CG$86,1,$S76)</f>
        <v>0</v>
      </c>
      <c r="BB76" s="480" t="e">
        <f ca="1">INDEX(WP_BIN!$T$47:$CG$47,1,$S76)</f>
        <v>#DIV/0!</v>
      </c>
      <c r="BC76" s="480">
        <f ca="1">INDEX(WP_BIN!$T$54:$CG$54,1,$S76)</f>
        <v>0</v>
      </c>
      <c r="BE76" s="217"/>
      <c r="BG76" s="192" t="s">
        <v>3941</v>
      </c>
      <c r="BH76" s="193" t="s">
        <v>3942</v>
      </c>
      <c r="DC76" s="5"/>
      <c r="DD76" s="5"/>
      <c r="DE76" s="5"/>
    </row>
    <row r="77" spans="2:111" ht="15.6" hidden="1" customHeight="1" x14ac:dyDescent="0.2">
      <c r="B77" s="335" t="s">
        <v>904</v>
      </c>
      <c r="C77" s="335"/>
      <c r="D77" s="199">
        <v>-7</v>
      </c>
      <c r="E77" s="450">
        <v>4178</v>
      </c>
      <c r="F77" s="317">
        <v>4.2</v>
      </c>
      <c r="G77" s="450">
        <v>-7</v>
      </c>
      <c r="H77" s="450">
        <v>2917</v>
      </c>
      <c r="I77" s="1012">
        <v>6</v>
      </c>
      <c r="K77" s="5"/>
      <c r="L77" s="5"/>
      <c r="M77" s="5"/>
      <c r="N77" s="5"/>
      <c r="O77" s="5"/>
      <c r="P77" s="5"/>
      <c r="Q77" s="5"/>
      <c r="R77" s="5"/>
      <c r="S77" s="5">
        <v>18</v>
      </c>
      <c r="T77" s="428" t="e">
        <f t="shared" si="21"/>
        <v>#VALUE!</v>
      </c>
      <c r="U77" s="429">
        <f>MAX(0.0304-0.01*Klimakorr,0)</f>
        <v>3.04E-2</v>
      </c>
      <c r="V77" s="430" t="e">
        <f t="shared" si="22"/>
        <v>#VALUE!</v>
      </c>
      <c r="W77" s="1058" t="e">
        <f>IF(BIN,INDEX(BIN!$B$3:$BO$364,4+(Klima-2)*11,S77),IF($M$32&gt;0,ROUND(U77*Heizperiode*$M$31/$M$32,0),ROUND(U77*Heizperiode,0)))</f>
        <v>#VALUE!</v>
      </c>
      <c r="X77" s="439">
        <v>-8</v>
      </c>
      <c r="Y77" s="160" t="e">
        <f ca="1">IF(BINkorr,INDEX(Berechnungen!$E$81:$BR$81,1,S77)*IF(OR(Methode_384_3,Z77=0),1,AV77/Z77)/Leistungskorr*(1-Kollektor),W77*$T$130*(1-Kollektor))</f>
        <v>#REF!</v>
      </c>
      <c r="Z77" s="432">
        <f>IF(Heizung,IF(Methode_384_3,INDEX(Berechnungen!$E$79:$BR$79,1,S77),M32),0)</f>
        <v>0</v>
      </c>
      <c r="AA77" s="432">
        <f>IF(WW,Qww*EBF/3.6/8760,0)</f>
        <v>0</v>
      </c>
      <c r="AB77" s="433">
        <f>IF(Bivalenzpunkt&lt;-8,AN77,0)</f>
        <v>0</v>
      </c>
      <c r="AC77" s="433">
        <f t="shared" si="23"/>
        <v>0</v>
      </c>
      <c r="AD77" s="425" t="e">
        <f t="shared" si="13"/>
        <v>#VALUE!</v>
      </c>
      <c r="AE77" s="423" t="e">
        <f t="shared" si="14"/>
        <v>#VALUE!</v>
      </c>
      <c r="AF77" s="160" t="e">
        <f t="shared" ca="1" si="15"/>
        <v>#REF!</v>
      </c>
      <c r="AG77" s="160" t="e">
        <f ca="1">IF($AA$77*SUM($W$60:$W76)/Etaw=BedarfWW,0,MAX(MIN($AA$77*W77/Etaw,BedarfWW-$AA$77*SUM($W$60:$W76)/Etaw),0))</f>
        <v>#REF!</v>
      </c>
      <c r="AH77" s="431" t="e">
        <f ca="1">MAX(AF77+AG77-AD77*Nutzungsgrad-AE77*Nutzungsgrad,0)</f>
        <v>#REF!</v>
      </c>
      <c r="AI77" s="1055" t="e">
        <f>MIN(IF(AB77&gt;0,AH77/AB77,0),W77)</f>
        <v>#VALUE!</v>
      </c>
      <c r="AJ77" s="430" t="e">
        <f>Z77*W77</f>
        <v>#VALUE!</v>
      </c>
      <c r="AK77" s="434" t="e">
        <f t="shared" ca="1" si="27"/>
        <v>#REF!</v>
      </c>
      <c r="AL77" s="434" t="e">
        <f ca="1">AE77+AD77+IF(Laufzeit_Zusatzheizung&gt;=$Y77,Kesselleistung*$H$45*Y77,0)</f>
        <v>#VALUE!</v>
      </c>
      <c r="AM77" s="426" t="e">
        <f t="shared" si="16"/>
        <v>#VALUE!</v>
      </c>
      <c r="AN77" s="433">
        <f>IF(Neu,INDEX(WP_BIN!$T$80:$CG$80,1,S77),AN78-(AN$87-AN$78)/9)</f>
        <v>0</v>
      </c>
      <c r="AO77" s="435" t="e">
        <f t="shared" si="28"/>
        <v>#VALUE!</v>
      </c>
      <c r="AP77" s="435" t="e">
        <f t="shared" ca="1" si="29"/>
        <v>#VALUE!</v>
      </c>
      <c r="AQ77" s="433">
        <f>AQ78-(AQ$87-AQ$78)/9</f>
        <v>0</v>
      </c>
      <c r="AR77" s="434" t="e">
        <f t="shared" si="30"/>
        <v>#VALUE!</v>
      </c>
      <c r="AS77" s="431" t="e">
        <f t="shared" si="17"/>
        <v>#VALUE!</v>
      </c>
      <c r="AT77" s="421">
        <f t="shared" si="18"/>
        <v>0</v>
      </c>
      <c r="AU77" s="421">
        <f t="shared" si="20"/>
        <v>0</v>
      </c>
      <c r="AV77" s="1116" t="e">
        <f ca="1">INDEX(Berechnungen!$E$79:$BR$79,1,S77)</f>
        <v>#REF!</v>
      </c>
      <c r="AW77" s="292">
        <f t="shared" si="19"/>
        <v>-8</v>
      </c>
      <c r="AX77" s="162">
        <f>INDEX(WP_BIN!$T$78:$CG$78,1,$S77)</f>
        <v>28</v>
      </c>
      <c r="AY77" s="162">
        <f>INDEX(WP_BIN!$T$43:$CG$43,1,$S77)</f>
        <v>33</v>
      </c>
      <c r="AZ77" s="480">
        <f>INDEX(WP_BIN!$T$79:$CG$79,1,$S77)</f>
        <v>0</v>
      </c>
      <c r="BA77" s="480">
        <f>INDEX(WP_BIN!$T$86:$CG$86,1,$S77)</f>
        <v>0</v>
      </c>
      <c r="BB77" s="480">
        <f ca="1">INDEX(WP_BIN!$T$47:$CG$47,1,$S77)</f>
        <v>0</v>
      </c>
      <c r="BC77" s="480">
        <f ca="1">INDEX(WP_BIN!$T$54:$CG$54,1,$S77)</f>
        <v>0</v>
      </c>
      <c r="BE77" s="217"/>
      <c r="BG77" s="16"/>
      <c r="BH77" s="24">
        <v>1</v>
      </c>
      <c r="DC77" s="5"/>
      <c r="DD77" s="5"/>
      <c r="DE77" s="5"/>
    </row>
    <row r="78" spans="2:111" ht="15.6" hidden="1" customHeight="1" x14ac:dyDescent="0.2">
      <c r="B78" s="335" t="s">
        <v>3932</v>
      </c>
      <c r="C78" s="335"/>
      <c r="D78" s="199">
        <v>-7</v>
      </c>
      <c r="E78" s="450">
        <v>3752</v>
      </c>
      <c r="F78" s="317">
        <v>4.0999999999999996</v>
      </c>
      <c r="G78" s="450">
        <v>-7</v>
      </c>
      <c r="H78" s="450">
        <v>2917</v>
      </c>
      <c r="I78" s="1012">
        <v>7</v>
      </c>
      <c r="K78" s="5"/>
      <c r="L78" s="5"/>
      <c r="M78" s="5"/>
      <c r="N78" s="5"/>
      <c r="O78" s="5"/>
      <c r="P78" s="5"/>
      <c r="Q78" s="5"/>
      <c r="R78" s="5"/>
      <c r="S78" s="5">
        <v>19</v>
      </c>
      <c r="T78" s="436" t="e">
        <f t="shared" si="21"/>
        <v>#VALUE!</v>
      </c>
      <c r="U78" s="437">
        <f>MAX(0.0076-Klimakorr*0.003*(X78/-7),0)</f>
        <v>7.6E-3</v>
      </c>
      <c r="V78" s="438" t="e">
        <f t="shared" si="22"/>
        <v>#VALUE!</v>
      </c>
      <c r="W78" s="1058" t="e">
        <f>IF(BIN,INDEX(BIN!$B$3:$BO$364,4+(Klima-2)*11,S78),IF($M$32&gt;0,ROUND(U78*Heizperiode*$M$31/$M$32,0),ROUND(U78*Heizperiode,0)))</f>
        <v>#VALUE!</v>
      </c>
      <c r="X78" s="439">
        <v>-7</v>
      </c>
      <c r="Y78" s="160" t="e">
        <f ca="1">IF(BINkorr,INDEX(Berechnungen!$E$81:$BR$81,1,S78)*IF(OR(Methode_384_3,Z78=0),1,AV78/Z78)/Leistungskorr*(1-Kollektor),W78*$T$130*(1-Kollektor))</f>
        <v>#REF!</v>
      </c>
      <c r="Z78" s="441">
        <f>IF(Heizung,IF(Methode_384_3,INDEX(Berechnungen!$E$79:$BR$79,1,S78),Z77-$Z$77/28),0)</f>
        <v>0</v>
      </c>
      <c r="AA78" s="441" t="e">
        <f t="shared" ref="AA78:AA93" ca="1" si="31">IF(AG78&gt;0,$AA$77,0)</f>
        <v>#VALUE!</v>
      </c>
      <c r="AB78" s="442">
        <f t="shared" ref="AB78:AB92" si="32">IF(Bivalenzpunkt&lt;X78,AN78,0)</f>
        <v>0</v>
      </c>
      <c r="AC78" s="441" t="e">
        <f t="shared" ca="1" si="23"/>
        <v>#VALUE!</v>
      </c>
      <c r="AD78" s="425" t="e">
        <f ca="1">MAX(IF(AE78&gt;0,Z78*Y78/Etah/Nutzungsgrad,(Z78*Y78/Etah+AA78*Y78/Etaw-AB78*Y78)/Nutzungsgrad),0)</f>
        <v>#VALUE!</v>
      </c>
      <c r="AE78" s="423" t="e">
        <f t="shared" ca="1" si="14"/>
        <v>#VALUE!</v>
      </c>
      <c r="AF78" s="160" t="e">
        <f t="shared" ca="1" si="15"/>
        <v>#REF!</v>
      </c>
      <c r="AG78" s="160" t="e">
        <f ca="1">IF($AA$77*SUM($W$60:$W77)/Etaw=BedarfWW,0,MAX(MIN($AA$77*W78/Etaw,BedarfWW-$AA$77*SUM($W$60:$W77)/Etaw),0))</f>
        <v>#VALUE!</v>
      </c>
      <c r="AH78" s="440" t="e">
        <f ca="1">MAX(AF78+AG78-AD78*Nutzungsgrad-AE78*Nutzungsgrad,0)</f>
        <v>#REF!</v>
      </c>
      <c r="AI78" s="1056" t="e">
        <f>MIN(IF(AB78&gt;0,AH78/AB78,0),W78)</f>
        <v>#VALUE!</v>
      </c>
      <c r="AJ78" s="438" t="e">
        <f>Z78*W78</f>
        <v>#VALUE!</v>
      </c>
      <c r="AK78" s="444" t="e">
        <f t="shared" ca="1" si="27"/>
        <v>#REF!</v>
      </c>
      <c r="AL78" s="444" t="e">
        <f ca="1">AE78+AD78+IF(Laufzeit_Zusatzheizung&gt;=SUM($Y$60:$Y78),Kesselleistung*$H$45*Y78,0)</f>
        <v>#VALUE!</v>
      </c>
      <c r="AM78" s="426" t="e">
        <f t="shared" si="16"/>
        <v>#VALUE!</v>
      </c>
      <c r="AN78" s="432">
        <f>IF(Neu,INDEX(WP_BIN!$T$80:$CG$80,1,S78),IF(WPArt=2,IF(V20&gt;0,V20,0),IF(OR(WPArt=3,WPArt=5),IF(W52&gt;0,IF(H33&lt;&gt;0,M41,I32),0),IF(WPArt=4,IF(W52&gt;0,W52,0),)))*(Etah*Verteilverluste20wh+Etaw*www)*(24-IF(Sperrzeit&lt;&gt;"",Sperrzeit,0))/24)</f>
        <v>0</v>
      </c>
      <c r="AO78" s="445" t="e">
        <f t="shared" ca="1" si="28"/>
        <v>#VALUE!</v>
      </c>
      <c r="AP78" s="445" t="e">
        <f t="shared" ca="1" si="29"/>
        <v>#VALUE!</v>
      </c>
      <c r="AQ78" s="442">
        <f>AN17*(24-IF(Sperrzeit&lt;&gt;"",Sperrzeit,0))/24*(Etah*wh+Etaw*www)</f>
        <v>0</v>
      </c>
      <c r="AR78" s="444" t="e">
        <f t="shared" si="30"/>
        <v>#VALUE!</v>
      </c>
      <c r="AS78" s="431" t="e">
        <f t="shared" si="17"/>
        <v>#VALUE!</v>
      </c>
      <c r="AT78" s="421">
        <f t="shared" si="18"/>
        <v>0</v>
      </c>
      <c r="AU78" s="421">
        <f t="shared" si="20"/>
        <v>0</v>
      </c>
      <c r="AV78" s="1116" t="e">
        <f ca="1">INDEX(Berechnungen!$E$79:$BR$79,1,S78)</f>
        <v>#REF!</v>
      </c>
      <c r="AW78" s="292">
        <f t="shared" si="19"/>
        <v>-7</v>
      </c>
      <c r="AX78" s="162">
        <f>INDEX(WP_BIN!$T$78:$CG$78,1,$S78)</f>
        <v>27.92857142857147</v>
      </c>
      <c r="AY78" s="162" t="e">
        <f>INDEX(WP_BIN!$T$43:$CG$43,1,$S78)</f>
        <v>#DIV/0!</v>
      </c>
      <c r="AZ78" s="480">
        <f>INDEX(WP_BIN!$T$79:$CG$79,1,$S78)</f>
        <v>0</v>
      </c>
      <c r="BA78" s="480">
        <f>INDEX(WP_BIN!$T$86:$CG$86,1,$S78)</f>
        <v>0</v>
      </c>
      <c r="BB78" s="480" t="e">
        <f ca="1">INDEX(WP_BIN!$T$47:$CG$47,1,$S78)</f>
        <v>#DIV/0!</v>
      </c>
      <c r="BC78" s="480">
        <f ca="1">INDEX(WP_BIN!$T$54:$CG$54,1,$S78)</f>
        <v>0</v>
      </c>
      <c r="BE78" s="217"/>
      <c r="BG78" s="20" t="str">
        <f>IF(WW,Sprache!B123,"")</f>
        <v/>
      </c>
      <c r="BH78" s="29">
        <v>1</v>
      </c>
      <c r="DC78" s="5"/>
      <c r="DD78" s="5"/>
      <c r="DE78" s="5"/>
    </row>
    <row r="79" spans="2:111" ht="15.6" hidden="1" customHeight="1" x14ac:dyDescent="0.2">
      <c r="B79" s="335" t="s">
        <v>3933</v>
      </c>
      <c r="C79" s="335"/>
      <c r="D79" s="199">
        <v>-13</v>
      </c>
      <c r="E79" s="450">
        <v>4324</v>
      </c>
      <c r="F79" s="317">
        <v>1.7</v>
      </c>
      <c r="G79" s="450">
        <v>-13</v>
      </c>
      <c r="H79" s="450">
        <v>5205</v>
      </c>
      <c r="I79" s="1012">
        <v>8</v>
      </c>
      <c r="K79" s="5"/>
      <c r="L79" s="5"/>
      <c r="M79" s="5"/>
      <c r="N79" s="5"/>
      <c r="O79" s="5"/>
      <c r="P79" s="5"/>
      <c r="Q79" s="5"/>
      <c r="R79" s="5"/>
      <c r="S79" s="5">
        <v>20</v>
      </c>
      <c r="T79" s="436" t="e">
        <f t="shared" si="21"/>
        <v>#VALUE!</v>
      </c>
      <c r="U79" s="437">
        <f>MAX(0.0124-Klimakorr*0.003*(X79/-7),0)</f>
        <v>1.24E-2</v>
      </c>
      <c r="V79" s="438" t="e">
        <f t="shared" si="22"/>
        <v>#VALUE!</v>
      </c>
      <c r="W79" s="1058" t="e">
        <f>IF(BIN,INDEX(BIN!$B$3:$BO$364,4+(Klima-2)*11,S79),IF($M$32&gt;0,ROUND(U79*Heizperiode*$M$31/$M$32,0),ROUND(U79*Heizperiode,0)))</f>
        <v>#VALUE!</v>
      </c>
      <c r="X79" s="439">
        <v>-6</v>
      </c>
      <c r="Y79" s="160" t="e">
        <f ca="1">IF(BINkorr,INDEX(Berechnungen!$E$81:$BR$81,1,S79)*IF(OR(Methode_384_3,Z79=0),1,AV79/Z79)/Leistungskorr*(1-Kollektor),W79*$T$130*(1-Kollektor))</f>
        <v>#REF!</v>
      </c>
      <c r="Z79" s="441">
        <f>IF(Heizung,IF(Methode_384_3,INDEX(Berechnungen!$E$79:$BR$79,1,S79),Z78-$Z$77/28),0)</f>
        <v>0</v>
      </c>
      <c r="AA79" s="441" t="e">
        <f t="shared" ca="1" si="31"/>
        <v>#VALUE!</v>
      </c>
      <c r="AB79" s="441">
        <f t="shared" si="32"/>
        <v>0</v>
      </c>
      <c r="AC79" s="441" t="e">
        <f t="shared" ca="1" si="23"/>
        <v>#VALUE!</v>
      </c>
      <c r="AD79" s="425" t="e">
        <f t="shared" ca="1" si="13"/>
        <v>#VALUE!</v>
      </c>
      <c r="AE79" s="423" t="e">
        <f t="shared" ca="1" si="14"/>
        <v>#VALUE!</v>
      </c>
      <c r="AF79" s="160" t="e">
        <f t="shared" ca="1" si="15"/>
        <v>#REF!</v>
      </c>
      <c r="AG79" s="160" t="e">
        <f ca="1">IF($AA$77*SUM($W$60:$W78)/Etaw=BedarfWW,0,MAX(MIN($AA$77*W79/Etaw,BedarfWW-$AA$77*SUM($W$60:$W78)/Etaw),0))</f>
        <v>#VALUE!</v>
      </c>
      <c r="AH79" s="440" t="e">
        <f ca="1">MAX(AF79+AG79-AD79*Nutzungsgrad-AE79*Nutzungsgrad,0)</f>
        <v>#REF!</v>
      </c>
      <c r="AI79" s="1056" t="e">
        <f>MIN(IF(AB79&gt;0,AH79/AB79,0),W79)</f>
        <v>#VALUE!</v>
      </c>
      <c r="AJ79" s="438" t="e">
        <f t="shared" si="26"/>
        <v>#VALUE!</v>
      </c>
      <c r="AK79" s="444" t="e">
        <f t="shared" ca="1" si="27"/>
        <v>#REF!</v>
      </c>
      <c r="AL79" s="444" t="e">
        <f ca="1">AE79+AD79+IF(Laufzeit_Zusatzheizung&gt;=SUM($Y$60:$Y79),Kesselleistung*$H$45*Y79,0)</f>
        <v>#VALUE!</v>
      </c>
      <c r="AM79" s="426" t="e">
        <f t="shared" si="16"/>
        <v>#VALUE!</v>
      </c>
      <c r="AN79" s="433">
        <f>IF(Neu,INDEX(WP_BIN!$T$80:$CG$80,1,S79),AN78+(AN$87-AN$78)/9)</f>
        <v>0</v>
      </c>
      <c r="AO79" s="445" t="e">
        <f t="shared" ca="1" si="28"/>
        <v>#VALUE!</v>
      </c>
      <c r="AP79" s="445" t="e">
        <f t="shared" ca="1" si="29"/>
        <v>#VALUE!</v>
      </c>
      <c r="AQ79" s="441">
        <f t="shared" ref="AQ79:AQ86" si="33">AQ78+(AQ$87-AQ$78)/9</f>
        <v>0</v>
      </c>
      <c r="AR79" s="444" t="e">
        <f t="shared" si="30"/>
        <v>#VALUE!</v>
      </c>
      <c r="AS79" s="431" t="e">
        <f t="shared" si="17"/>
        <v>#VALUE!</v>
      </c>
      <c r="AT79" s="421">
        <f t="shared" si="18"/>
        <v>0</v>
      </c>
      <c r="AU79" s="421">
        <f t="shared" si="20"/>
        <v>0</v>
      </c>
      <c r="AV79" s="1116" t="e">
        <f ca="1">INDEX(Berechnungen!$E$79:$BR$79,1,S79)</f>
        <v>#REF!</v>
      </c>
      <c r="AW79" s="65">
        <f t="shared" si="19"/>
        <v>-6</v>
      </c>
      <c r="AX79" s="162">
        <f>INDEX(WP_BIN!$T$78:$CG$78,1,$S79)</f>
        <v>27.857142857142897</v>
      </c>
      <c r="AY79" s="162" t="e">
        <f>INDEX(WP_BIN!$T$43:$CG$43,1,$S79)</f>
        <v>#DIV/0!</v>
      </c>
      <c r="AZ79" s="480">
        <f>INDEX(WP_BIN!$T$79:$CG$79,1,$S79)</f>
        <v>0</v>
      </c>
      <c r="BA79" s="480">
        <f>INDEX(WP_BIN!$T$86:$CG$86,1,$S79)</f>
        <v>0</v>
      </c>
      <c r="BB79" s="480" t="e">
        <f ca="1">INDEX(WP_BIN!$T$47:$CG$47,1,$S79)</f>
        <v>#DIV/0!</v>
      </c>
      <c r="BC79" s="480">
        <f ca="1">INDEX(WP_BIN!$T$54:$CG$54,1,$S79)</f>
        <v>0</v>
      </c>
      <c r="BE79" s="217"/>
      <c r="BG79" s="20" t="str">
        <f>IF(WW,Sprache!B124,"")</f>
        <v/>
      </c>
      <c r="BH79" s="198">
        <f>1-Z145</f>
        <v>0.95</v>
      </c>
      <c r="DC79" s="5"/>
      <c r="DD79" s="5"/>
      <c r="DE79" s="5"/>
    </row>
    <row r="80" spans="2:111" ht="15.6" hidden="1" customHeight="1" x14ac:dyDescent="0.2">
      <c r="B80" s="335" t="s">
        <v>3938</v>
      </c>
      <c r="C80" s="335"/>
      <c r="D80" s="199">
        <v>-10</v>
      </c>
      <c r="E80" s="450">
        <v>4793</v>
      </c>
      <c r="F80" s="317">
        <v>3.7</v>
      </c>
      <c r="G80" s="450">
        <v>-10</v>
      </c>
      <c r="H80" s="450">
        <v>3774</v>
      </c>
      <c r="I80" s="1012">
        <v>9</v>
      </c>
      <c r="K80" s="5"/>
      <c r="L80" s="5"/>
      <c r="M80" s="5"/>
      <c r="N80" s="5"/>
      <c r="O80" s="5"/>
      <c r="P80" s="5"/>
      <c r="Q80" s="5"/>
      <c r="R80" s="5"/>
      <c r="S80" s="5">
        <v>21</v>
      </c>
      <c r="T80" s="436" t="e">
        <f t="shared" si="21"/>
        <v>#VALUE!</v>
      </c>
      <c r="U80" s="437">
        <f>MAX(0.0162-Klimakorr*0.003*(X80/-7),0)</f>
        <v>1.6199999999999999E-2</v>
      </c>
      <c r="V80" s="438" t="e">
        <f t="shared" si="22"/>
        <v>#VALUE!</v>
      </c>
      <c r="W80" s="1058" t="e">
        <f>IF(BIN,INDEX(BIN!$B$3:$BO$364,4+(Klima-2)*11,S80),IF($M$32&gt;0,ROUND(U80*Heizperiode*$M$31/$M$32,0),ROUND(U80*Heizperiode,0)))</f>
        <v>#VALUE!</v>
      </c>
      <c r="X80" s="439">
        <v>-5</v>
      </c>
      <c r="Y80" s="160" t="e">
        <f ca="1">IF(BINkorr,INDEX(Berechnungen!$E$81:$BR$81,1,S80)*IF(OR(Methode_384_3,Z80=0),1,AV80/Z80)/Leistungskorr*(1-Kollektor),W80*$T$130*(1-Kollektor))</f>
        <v>#REF!</v>
      </c>
      <c r="Z80" s="441">
        <f>IF(Heizung,IF(Methode_384_3,INDEX(Berechnungen!$E$79:$BR$79,1,S80),Z79-$Z$77/28),0)</f>
        <v>0</v>
      </c>
      <c r="AA80" s="441" t="e">
        <f t="shared" ca="1" si="31"/>
        <v>#VALUE!</v>
      </c>
      <c r="AB80" s="441">
        <f t="shared" si="32"/>
        <v>0</v>
      </c>
      <c r="AC80" s="441" t="e">
        <f t="shared" ca="1" si="23"/>
        <v>#VALUE!</v>
      </c>
      <c r="AD80" s="425" t="e">
        <f t="shared" ca="1" si="13"/>
        <v>#VALUE!</v>
      </c>
      <c r="AE80" s="423" t="e">
        <f t="shared" ca="1" si="14"/>
        <v>#VALUE!</v>
      </c>
      <c r="AF80" s="160" t="e">
        <f t="shared" ca="1" si="15"/>
        <v>#REF!</v>
      </c>
      <c r="AG80" s="160" t="e">
        <f ca="1">IF($AA$77*SUM($W$60:$W79)/Etaw=BedarfWW,0,MAX(MIN($AA$77*W80/Etaw,BedarfWW-$AA$77*SUM($W$60:$W79)/Etaw),0))</f>
        <v>#VALUE!</v>
      </c>
      <c r="AH80" s="440" t="e">
        <f t="shared" ca="1" si="24"/>
        <v>#REF!</v>
      </c>
      <c r="AI80" s="1056" t="e">
        <f t="shared" si="25"/>
        <v>#VALUE!</v>
      </c>
      <c r="AJ80" s="438" t="e">
        <f t="shared" si="26"/>
        <v>#VALUE!</v>
      </c>
      <c r="AK80" s="444" t="e">
        <f t="shared" ca="1" si="27"/>
        <v>#REF!</v>
      </c>
      <c r="AL80" s="444" t="e">
        <f ca="1">AE80+AD80+IF(Laufzeit_Zusatzheizung&gt;=SUM($Y$60:$Y80),Kesselleistung*$H$45*Y80,0)</f>
        <v>#VALUE!</v>
      </c>
      <c r="AM80" s="426" t="e">
        <f t="shared" si="16"/>
        <v>#VALUE!</v>
      </c>
      <c r="AN80" s="433">
        <f>IF(Neu,INDEX(WP_BIN!$T$80:$CG$80,1,S80),AN79+(AN$87-AN$78)/9)</f>
        <v>0</v>
      </c>
      <c r="AO80" s="445" t="e">
        <f t="shared" ca="1" si="28"/>
        <v>#VALUE!</v>
      </c>
      <c r="AP80" s="445" t="e">
        <f t="shared" ca="1" si="29"/>
        <v>#VALUE!</v>
      </c>
      <c r="AQ80" s="441">
        <f t="shared" si="33"/>
        <v>0</v>
      </c>
      <c r="AR80" s="444" t="e">
        <f t="shared" si="30"/>
        <v>#VALUE!</v>
      </c>
      <c r="AS80" s="431" t="e">
        <f t="shared" si="17"/>
        <v>#VALUE!</v>
      </c>
      <c r="AT80" s="421">
        <f t="shared" si="18"/>
        <v>0</v>
      </c>
      <c r="AU80" s="421">
        <f t="shared" si="20"/>
        <v>0</v>
      </c>
      <c r="AV80" s="1116" t="e">
        <f ca="1">INDEX(Berechnungen!$E$79:$BR$79,1,S80)</f>
        <v>#REF!</v>
      </c>
      <c r="AW80" s="65">
        <f t="shared" si="19"/>
        <v>-5</v>
      </c>
      <c r="AX80" s="162">
        <f>INDEX(WP_BIN!$T$78:$CG$78,1,$S80)</f>
        <v>27.785714285714324</v>
      </c>
      <c r="AY80" s="162" t="e">
        <f>INDEX(WP_BIN!$T$43:$CG$43,1,$S80)</f>
        <v>#DIV/0!</v>
      </c>
      <c r="AZ80" s="480">
        <f>INDEX(WP_BIN!$T$79:$CG$79,1,$S80)</f>
        <v>0</v>
      </c>
      <c r="BA80" s="480">
        <f>INDEX(WP_BIN!$T$86:$CG$86,1,$S80)</f>
        <v>0</v>
      </c>
      <c r="BB80" s="480" t="e">
        <f ca="1">INDEX(WP_BIN!$T$47:$CG$47,1,$S80)</f>
        <v>#DIV/0!</v>
      </c>
      <c r="BC80" s="480">
        <f ca="1">INDEX(WP_BIN!$T$54:$CG$54,1,$S80)</f>
        <v>0</v>
      </c>
      <c r="BE80" s="217"/>
      <c r="BG80" s="20" t="str">
        <f>IF(WW,Sprache!B125,"")</f>
        <v/>
      </c>
      <c r="BH80" s="198">
        <f>1-Z146</f>
        <v>1</v>
      </c>
      <c r="DC80" s="5"/>
      <c r="DD80" s="5"/>
      <c r="DE80" s="5"/>
    </row>
    <row r="81" spans="2:109" ht="15.6" hidden="1" customHeight="1" x14ac:dyDescent="0.2">
      <c r="B81" s="335" t="s">
        <v>3945</v>
      </c>
      <c r="C81" s="335"/>
      <c r="D81" s="199">
        <v>-11</v>
      </c>
      <c r="E81" s="450">
        <v>4496</v>
      </c>
      <c r="F81" s="317">
        <v>3.1</v>
      </c>
      <c r="G81" s="450">
        <v>-11</v>
      </c>
      <c r="H81" s="450">
        <v>3852</v>
      </c>
      <c r="I81" s="1012">
        <v>10</v>
      </c>
      <c r="K81" s="5"/>
      <c r="L81" s="5"/>
      <c r="M81" s="5"/>
      <c r="N81" s="5"/>
      <c r="O81" s="5"/>
      <c r="P81" s="5"/>
      <c r="Q81" s="5"/>
      <c r="R81" s="5"/>
      <c r="S81" s="5">
        <v>22</v>
      </c>
      <c r="T81" s="436" t="e">
        <f t="shared" si="21"/>
        <v>#VALUE!</v>
      </c>
      <c r="U81" s="437">
        <f>0.019-Klimakorr*0.003*(X81/-7)</f>
        <v>1.9E-2</v>
      </c>
      <c r="V81" s="438" t="e">
        <f t="shared" si="22"/>
        <v>#VALUE!</v>
      </c>
      <c r="W81" s="1058" t="e">
        <f>IF(BIN,INDEX(BIN!$B$3:$BO$364,4+(Klima-2)*11,S81),IF($M$32&gt;0,ROUND(U81*Heizperiode*$M$31/$M$32,0),ROUND(U81*Heizperiode,0)))</f>
        <v>#VALUE!</v>
      </c>
      <c r="X81" s="439">
        <v>-4</v>
      </c>
      <c r="Y81" s="160" t="e">
        <f ca="1">IF(BINkorr,INDEX(Berechnungen!$E$81:$BR$81,1,S81)*IF(OR(Methode_384_3,Z81=0),1,AV81/Z81)/Leistungskorr*(1-Kollektor),W81*$T$130*(1-Kollektor))</f>
        <v>#REF!</v>
      </c>
      <c r="Z81" s="441">
        <f>IF(Heizung,IF(Methode_384_3,INDEX(Berechnungen!$E$79:$BR$79,1,S81),Z80-$Z$77/28),0)</f>
        <v>0</v>
      </c>
      <c r="AA81" s="441" t="e">
        <f t="shared" ca="1" si="31"/>
        <v>#VALUE!</v>
      </c>
      <c r="AB81" s="441">
        <f t="shared" si="32"/>
        <v>0</v>
      </c>
      <c r="AC81" s="441" t="e">
        <f t="shared" ca="1" si="23"/>
        <v>#VALUE!</v>
      </c>
      <c r="AD81" s="425" t="e">
        <f t="shared" ca="1" si="13"/>
        <v>#VALUE!</v>
      </c>
      <c r="AE81" s="423" t="e">
        <f t="shared" ca="1" si="14"/>
        <v>#VALUE!</v>
      </c>
      <c r="AF81" s="160" t="e">
        <f t="shared" ca="1" si="15"/>
        <v>#REF!</v>
      </c>
      <c r="AG81" s="160" t="e">
        <f ca="1">IF($AA$77*SUM($W$60:$W80)/Etaw=BedarfWW,0,MAX(MIN($AA$77*W81/Etaw,BedarfWW-$AA$77*SUM($W$60:$W80)/Etaw),0))</f>
        <v>#VALUE!</v>
      </c>
      <c r="AH81" s="440" t="e">
        <f t="shared" ca="1" si="24"/>
        <v>#REF!</v>
      </c>
      <c r="AI81" s="1056" t="e">
        <f t="shared" si="25"/>
        <v>#VALUE!</v>
      </c>
      <c r="AJ81" s="438" t="e">
        <f t="shared" si="26"/>
        <v>#VALUE!</v>
      </c>
      <c r="AK81" s="444" t="e">
        <f t="shared" ca="1" si="27"/>
        <v>#REF!</v>
      </c>
      <c r="AL81" s="444" t="e">
        <f ca="1">AE81+AD81+IF(Laufzeit_Zusatzheizung&gt;=SUM($Y$60:$Y81),Kesselleistung*$H$45*Y81,0)</f>
        <v>#VALUE!</v>
      </c>
      <c r="AM81" s="426" t="e">
        <f t="shared" si="16"/>
        <v>#VALUE!</v>
      </c>
      <c r="AN81" s="433">
        <f>IF(Neu,INDEX(WP_BIN!$T$80:$CG$80,1,S81),AN80+(AN$87-AN$78)/9)</f>
        <v>0</v>
      </c>
      <c r="AO81" s="445" t="e">
        <f t="shared" ca="1" si="28"/>
        <v>#VALUE!</v>
      </c>
      <c r="AP81" s="445" t="e">
        <f t="shared" ca="1" si="29"/>
        <v>#VALUE!</v>
      </c>
      <c r="AQ81" s="441">
        <f t="shared" si="33"/>
        <v>0</v>
      </c>
      <c r="AR81" s="444" t="e">
        <f t="shared" si="30"/>
        <v>#VALUE!</v>
      </c>
      <c r="AS81" s="431" t="e">
        <f t="shared" si="17"/>
        <v>#VALUE!</v>
      </c>
      <c r="AT81" s="421">
        <f t="shared" si="18"/>
        <v>0</v>
      </c>
      <c r="AU81" s="421">
        <f t="shared" si="20"/>
        <v>0</v>
      </c>
      <c r="AV81" s="1116" t="e">
        <f ca="1">INDEX(Berechnungen!$E$79:$BR$79,1,S81)</f>
        <v>#REF!</v>
      </c>
      <c r="AW81" s="65">
        <f t="shared" si="19"/>
        <v>-4</v>
      </c>
      <c r="AX81" s="162">
        <f>INDEX(WP_BIN!$T$78:$CG$78,1,$S81)</f>
        <v>27.714285714285751</v>
      </c>
      <c r="AY81" s="162" t="e">
        <f>INDEX(WP_BIN!$T$43:$CG$43,1,$S81)</f>
        <v>#DIV/0!</v>
      </c>
      <c r="AZ81" s="480">
        <f>INDEX(WP_BIN!$T$79:$CG$79,1,$S81)</f>
        <v>0</v>
      </c>
      <c r="BA81" s="480">
        <f>INDEX(WP_BIN!$T$86:$CG$86,1,$S81)</f>
        <v>0</v>
      </c>
      <c r="BB81" s="480" t="e">
        <f ca="1">INDEX(WP_BIN!$T$47:$CG$47,1,$S81)</f>
        <v>#DIV/0!</v>
      </c>
      <c r="BC81" s="480">
        <f ca="1">INDEX(WP_BIN!$T$54:$CG$54,1,$S81)</f>
        <v>0</v>
      </c>
      <c r="BE81" s="217"/>
      <c r="BG81" s="20" t="str">
        <f>IF(WW,Sprache!B152,"")</f>
        <v/>
      </c>
      <c r="BH81" s="525">
        <v>1</v>
      </c>
      <c r="DC81" s="5"/>
      <c r="DD81" s="5"/>
      <c r="DE81" s="5"/>
    </row>
    <row r="82" spans="2:109" ht="15.6" hidden="1" customHeight="1" x14ac:dyDescent="0.2">
      <c r="B82" s="335" t="s">
        <v>910</v>
      </c>
      <c r="C82" s="335"/>
      <c r="D82" s="199">
        <v>-4</v>
      </c>
      <c r="E82" s="450">
        <v>3998</v>
      </c>
      <c r="F82" s="317">
        <v>5.0999999999999996</v>
      </c>
      <c r="G82" s="450">
        <v>-4</v>
      </c>
      <c r="H82" s="450">
        <v>2739</v>
      </c>
      <c r="I82" s="1012">
        <v>11</v>
      </c>
      <c r="K82" s="5"/>
      <c r="L82" s="5"/>
      <c r="M82" s="5"/>
      <c r="N82" s="5"/>
      <c r="O82" s="5"/>
      <c r="P82" s="5"/>
      <c r="Q82" s="5"/>
      <c r="R82" s="5"/>
      <c r="S82" s="5">
        <v>23</v>
      </c>
      <c r="T82" s="436" t="e">
        <f t="shared" si="21"/>
        <v>#VALUE!</v>
      </c>
      <c r="U82" s="437">
        <f>0.0285-Klimakorr*0.003*(X82/-7)</f>
        <v>2.8500000000000001E-2</v>
      </c>
      <c r="V82" s="438" t="e">
        <f t="shared" si="22"/>
        <v>#VALUE!</v>
      </c>
      <c r="W82" s="1058" t="e">
        <f>IF(BIN,INDEX(BIN!$B$3:$BO$364,4+(Klima-2)*11,S82),IF($M$32&gt;0,ROUND(U82*Heizperiode*$M$31/$M$32,0),ROUND(U82*Heizperiode,0)))</f>
        <v>#VALUE!</v>
      </c>
      <c r="X82" s="439">
        <v>-3</v>
      </c>
      <c r="Y82" s="160" t="e">
        <f ca="1">IF(BINkorr,INDEX(Berechnungen!$E$81:$BR$81,1,S82)*IF(OR(Methode_384_3,Z82=0),1,AV82/Z82)/Leistungskorr*(1-Kollektor),W82*$T$130*(1-Kollektor))</f>
        <v>#REF!</v>
      </c>
      <c r="Z82" s="441">
        <f>IF(Heizung,IF(Methode_384_3,INDEX(Berechnungen!$E$79:$BR$79,1,S82),Z81-$Z$77/28),0)</f>
        <v>0</v>
      </c>
      <c r="AA82" s="441" t="e">
        <f t="shared" ca="1" si="31"/>
        <v>#VALUE!</v>
      </c>
      <c r="AB82" s="441">
        <f t="shared" si="32"/>
        <v>0</v>
      </c>
      <c r="AC82" s="441" t="e">
        <f t="shared" ca="1" si="23"/>
        <v>#VALUE!</v>
      </c>
      <c r="AD82" s="425" t="e">
        <f t="shared" ca="1" si="13"/>
        <v>#VALUE!</v>
      </c>
      <c r="AE82" s="423" t="e">
        <f t="shared" ca="1" si="14"/>
        <v>#VALUE!</v>
      </c>
      <c r="AF82" s="160" t="e">
        <f t="shared" ca="1" si="15"/>
        <v>#REF!</v>
      </c>
      <c r="AG82" s="160" t="e">
        <f ca="1">IF($AA$77*SUM($W$60:$W81)/Etaw=BedarfWW,0,MAX(MIN($AA$77*W82/Etaw,BedarfWW-$AA$77*SUM($W$60:$W81)/Etaw),0))</f>
        <v>#VALUE!</v>
      </c>
      <c r="AH82" s="440" t="e">
        <f t="shared" ca="1" si="24"/>
        <v>#REF!</v>
      </c>
      <c r="AI82" s="1056" t="e">
        <f t="shared" si="25"/>
        <v>#VALUE!</v>
      </c>
      <c r="AJ82" s="438" t="e">
        <f t="shared" si="26"/>
        <v>#VALUE!</v>
      </c>
      <c r="AK82" s="444" t="e">
        <f t="shared" ca="1" si="27"/>
        <v>#REF!</v>
      </c>
      <c r="AL82" s="444" t="e">
        <f ca="1">AE82+AD82+IF(Laufzeit_Zusatzheizung&gt;=SUM($Y$60:$Y82),Kesselleistung*$H$45*Y82,0)</f>
        <v>#VALUE!</v>
      </c>
      <c r="AM82" s="426" t="e">
        <f t="shared" si="16"/>
        <v>#VALUE!</v>
      </c>
      <c r="AN82" s="433">
        <f>IF(Neu,INDEX(WP_BIN!$T$80:$CG$80,1,S82),AN81+(AN$87-AN$78)/9)</f>
        <v>0</v>
      </c>
      <c r="AO82" s="445" t="e">
        <f t="shared" ca="1" si="28"/>
        <v>#VALUE!</v>
      </c>
      <c r="AP82" s="445" t="e">
        <f t="shared" ca="1" si="29"/>
        <v>#VALUE!</v>
      </c>
      <c r="AQ82" s="441">
        <f t="shared" si="33"/>
        <v>0</v>
      </c>
      <c r="AR82" s="444" t="e">
        <f t="shared" si="30"/>
        <v>#VALUE!</v>
      </c>
      <c r="AS82" s="431" t="e">
        <f t="shared" si="17"/>
        <v>#VALUE!</v>
      </c>
      <c r="AT82" s="421">
        <f t="shared" si="18"/>
        <v>0</v>
      </c>
      <c r="AU82" s="421">
        <f t="shared" si="20"/>
        <v>0</v>
      </c>
      <c r="AV82" s="1116" t="e">
        <f ca="1">INDEX(Berechnungen!$E$79:$BR$79,1,S82)</f>
        <v>#REF!</v>
      </c>
      <c r="AW82" s="65">
        <f t="shared" si="19"/>
        <v>-3</v>
      </c>
      <c r="AX82" s="162">
        <f>INDEX(WP_BIN!$T$78:$CG$78,1,$S82)</f>
        <v>27.642857142857178</v>
      </c>
      <c r="AY82" s="162" t="e">
        <f>INDEX(WP_BIN!$T$43:$CG$43,1,$S82)</f>
        <v>#DIV/0!</v>
      </c>
      <c r="AZ82" s="480">
        <f>INDEX(WP_BIN!$T$79:$CG$79,1,$S82)</f>
        <v>0</v>
      </c>
      <c r="BA82" s="480">
        <f>INDEX(WP_BIN!$T$86:$CG$86,1,$S82)</f>
        <v>0</v>
      </c>
      <c r="BB82" s="480" t="e">
        <f ca="1">INDEX(WP_BIN!$T$47:$CG$47,1,$S82)</f>
        <v>#DIV/0!</v>
      </c>
      <c r="BC82" s="480">
        <f ca="1">INDEX(WP_BIN!$T$54:$CG$54,1,$S82)</f>
        <v>0</v>
      </c>
      <c r="BE82" s="217"/>
      <c r="BG82" s="25" t="str">
        <f>IF(WW,Sprache!B153,"")</f>
        <v/>
      </c>
      <c r="BH82" s="525">
        <v>1</v>
      </c>
      <c r="DC82" s="5"/>
      <c r="DD82" s="5"/>
      <c r="DE82" s="5"/>
    </row>
    <row r="83" spans="2:109" ht="15.75" hidden="1" customHeight="1" x14ac:dyDescent="0.2">
      <c r="B83" s="335" t="s">
        <v>3952</v>
      </c>
      <c r="C83" s="335"/>
      <c r="D83" s="199">
        <v>-8</v>
      </c>
      <c r="E83" s="450">
        <v>4453</v>
      </c>
      <c r="F83" s="317">
        <v>3.7</v>
      </c>
      <c r="G83" s="450">
        <v>-8</v>
      </c>
      <c r="H83" s="450">
        <v>3410</v>
      </c>
      <c r="I83" s="1012">
        <v>12</v>
      </c>
      <c r="K83" s="5"/>
      <c r="L83" s="5"/>
      <c r="M83" s="5"/>
      <c r="N83" s="5"/>
      <c r="O83" s="5"/>
      <c r="P83" s="5"/>
      <c r="Q83" s="5"/>
      <c r="R83" s="5"/>
      <c r="S83" s="5">
        <v>24</v>
      </c>
      <c r="T83" s="436" t="e">
        <f t="shared" si="21"/>
        <v>#VALUE!</v>
      </c>
      <c r="U83" s="437">
        <f>0.0342-Klimakorr*0.003*(X83/-7)</f>
        <v>3.4200000000000001E-2</v>
      </c>
      <c r="V83" s="438" t="e">
        <f t="shared" si="22"/>
        <v>#VALUE!</v>
      </c>
      <c r="W83" s="1058" t="e">
        <f>IF(BIN,INDEX(BIN!$B$3:$BO$364,4+(Klima-2)*11,S83),IF($M$32&gt;0,ROUND(U83*Heizperiode*$M$31/$M$32,0),ROUND(U83*Heizperiode,0)))</f>
        <v>#VALUE!</v>
      </c>
      <c r="X83" s="439">
        <v>-2</v>
      </c>
      <c r="Y83" s="160" t="e">
        <f ca="1">IF(BINkorr,INDEX(Berechnungen!$E$81:$BR$81,1,S83)*IF(OR(Methode_384_3,Z83=0),1,AV83/Z83)/Leistungskorr*(1-Kollektor),W83*$T$130*(1-Kollektor))</f>
        <v>#REF!</v>
      </c>
      <c r="Z83" s="441">
        <f>IF(Heizung,IF(Methode_384_3,INDEX(Berechnungen!$E$79:$BR$79,1,S83),Z82-$Z$77/28),0)</f>
        <v>0</v>
      </c>
      <c r="AA83" s="441" t="e">
        <f t="shared" ca="1" si="31"/>
        <v>#VALUE!</v>
      </c>
      <c r="AB83" s="441">
        <f t="shared" si="32"/>
        <v>0</v>
      </c>
      <c r="AC83" s="441" t="e">
        <f t="shared" ca="1" si="23"/>
        <v>#VALUE!</v>
      </c>
      <c r="AD83" s="425" t="e">
        <f t="shared" ca="1" si="13"/>
        <v>#VALUE!</v>
      </c>
      <c r="AE83" s="423" t="e">
        <f t="shared" ca="1" si="14"/>
        <v>#VALUE!</v>
      </c>
      <c r="AF83" s="160" t="e">
        <f t="shared" ca="1" si="15"/>
        <v>#REF!</v>
      </c>
      <c r="AG83" s="160" t="e">
        <f ca="1">IF($AA$77*SUM($W$60:$W82)/Etaw=BedarfWW,0,MAX(MIN($AA$77*W83/Etaw,BedarfWW-$AA$77*SUM($W$60:$W82)/Etaw),0))</f>
        <v>#VALUE!</v>
      </c>
      <c r="AH83" s="440" t="e">
        <f t="shared" ca="1" si="24"/>
        <v>#REF!</v>
      </c>
      <c r="AI83" s="1056" t="e">
        <f t="shared" si="25"/>
        <v>#VALUE!</v>
      </c>
      <c r="AJ83" s="438" t="e">
        <f t="shared" si="26"/>
        <v>#VALUE!</v>
      </c>
      <c r="AK83" s="444" t="e">
        <f t="shared" ca="1" si="27"/>
        <v>#REF!</v>
      </c>
      <c r="AL83" s="444" t="e">
        <f ca="1">AE83+AD83+IF(Laufzeit_Zusatzheizung&gt;=SUM($Y$60:$Y83),Kesselleistung*$H$45*Y83,0)</f>
        <v>#VALUE!</v>
      </c>
      <c r="AM83" s="426" t="e">
        <f t="shared" si="16"/>
        <v>#VALUE!</v>
      </c>
      <c r="AN83" s="433">
        <f>IF(Neu,INDEX(WP_BIN!$T$80:$CG$80,1,S83),AN82+(AN$87-AN$78)/9)</f>
        <v>0</v>
      </c>
      <c r="AO83" s="445" t="e">
        <f t="shared" ca="1" si="28"/>
        <v>#VALUE!</v>
      </c>
      <c r="AP83" s="445" t="e">
        <f t="shared" ca="1" si="29"/>
        <v>#VALUE!</v>
      </c>
      <c r="AQ83" s="441">
        <f t="shared" si="33"/>
        <v>0</v>
      </c>
      <c r="AR83" s="444" t="e">
        <f t="shared" si="30"/>
        <v>#VALUE!</v>
      </c>
      <c r="AS83" s="431" t="e">
        <f t="shared" si="17"/>
        <v>#VALUE!</v>
      </c>
      <c r="AT83" s="421">
        <f t="shared" si="18"/>
        <v>0</v>
      </c>
      <c r="AU83" s="421">
        <f t="shared" si="20"/>
        <v>0</v>
      </c>
      <c r="AV83" s="1116" t="e">
        <f ca="1">INDEX(Berechnungen!$E$79:$BR$79,1,S83)</f>
        <v>#REF!</v>
      </c>
      <c r="AW83" s="65">
        <f t="shared" si="19"/>
        <v>-2</v>
      </c>
      <c r="AX83" s="162">
        <f>INDEX(WP_BIN!$T$78:$CG$78,1,$S83)</f>
        <v>27.571428571428605</v>
      </c>
      <c r="AY83" s="162" t="e">
        <f>INDEX(WP_BIN!$T$43:$CG$43,1,$S83)</f>
        <v>#DIV/0!</v>
      </c>
      <c r="AZ83" s="480">
        <f>INDEX(WP_BIN!$T$79:$CG$79,1,$S83)</f>
        <v>0</v>
      </c>
      <c r="BA83" s="480">
        <f>INDEX(WP_BIN!$T$86:$CG$86,1,$S83)</f>
        <v>0</v>
      </c>
      <c r="BB83" s="480" t="e">
        <f ca="1">INDEX(WP_BIN!$T$47:$CG$47,1,$S83)</f>
        <v>#DIV/0!</v>
      </c>
      <c r="BC83" s="480">
        <f ca="1">INDEX(WP_BIN!$T$54:$CG$54,1,$S83)</f>
        <v>0</v>
      </c>
      <c r="BE83" s="217"/>
      <c r="BG83" s="225">
        <f>J40</f>
        <v>1</v>
      </c>
      <c r="BH83" s="225">
        <f>INDEX($BH77:$BH82,BG83,1)</f>
        <v>1</v>
      </c>
      <c r="DC83" s="5"/>
      <c r="DD83" s="5"/>
      <c r="DE83" s="5"/>
    </row>
    <row r="84" spans="2:109" ht="15.75" hidden="1" customHeight="1" x14ac:dyDescent="0.2">
      <c r="B84" s="335" t="s">
        <v>913</v>
      </c>
      <c r="C84" s="335"/>
      <c r="D84" s="199">
        <v>-15</v>
      </c>
      <c r="E84" s="450">
        <v>3809</v>
      </c>
      <c r="F84" s="317">
        <v>-1.1000000000000001</v>
      </c>
      <c r="G84" s="450">
        <v>-15</v>
      </c>
      <c r="H84" s="450">
        <v>7473</v>
      </c>
      <c r="I84" s="1012">
        <v>13</v>
      </c>
      <c r="K84" s="5"/>
      <c r="L84" s="5"/>
      <c r="M84" s="5"/>
      <c r="N84" s="5"/>
      <c r="O84" s="5"/>
      <c r="P84" s="5"/>
      <c r="Q84" s="5"/>
      <c r="R84" s="5"/>
      <c r="S84" s="5">
        <v>25</v>
      </c>
      <c r="T84" s="436" t="e">
        <f t="shared" si="21"/>
        <v>#VALUE!</v>
      </c>
      <c r="U84" s="437">
        <f>0.0437-Klimakorr*0.003*(X84/-7)</f>
        <v>4.3700000000000003E-2</v>
      </c>
      <c r="V84" s="438" t="e">
        <f t="shared" si="22"/>
        <v>#VALUE!</v>
      </c>
      <c r="W84" s="1058" t="e">
        <f>IF(BIN,INDEX(BIN!$B$3:$BO$364,4+(Klima-2)*11,S84),IF($M$32&gt;0,ROUND(U84*Heizperiode*$M$31/$M$32,0),ROUND(U84*Heizperiode,0)))</f>
        <v>#VALUE!</v>
      </c>
      <c r="X84" s="439">
        <v>-1</v>
      </c>
      <c r="Y84" s="160" t="e">
        <f ca="1">IF(BINkorr,INDEX(Berechnungen!$E$81:$BR$81,1,S84)*IF(OR(Methode_384_3,Z84=0),1,AV84/Z84)/Leistungskorr*(1-Kollektor),W84*$T$130*(1-Kollektor))</f>
        <v>#REF!</v>
      </c>
      <c r="Z84" s="441">
        <f>IF(Heizung,IF(Methode_384_3,INDEX(Berechnungen!$E$79:$BR$79,1,S84),Z83-$Z$77/28),0)</f>
        <v>0</v>
      </c>
      <c r="AA84" s="441" t="e">
        <f t="shared" ca="1" si="31"/>
        <v>#VALUE!</v>
      </c>
      <c r="AB84" s="441">
        <f t="shared" si="32"/>
        <v>0</v>
      </c>
      <c r="AC84" s="441" t="e">
        <f t="shared" ca="1" si="23"/>
        <v>#VALUE!</v>
      </c>
      <c r="AD84" s="425" t="e">
        <f t="shared" ca="1" si="13"/>
        <v>#VALUE!</v>
      </c>
      <c r="AE84" s="423" t="e">
        <f t="shared" ca="1" si="14"/>
        <v>#VALUE!</v>
      </c>
      <c r="AF84" s="160" t="e">
        <f t="shared" ca="1" si="15"/>
        <v>#REF!</v>
      </c>
      <c r="AG84" s="160" t="e">
        <f ca="1">IF($AA$77*SUM($W$60:$W83)/Etaw=BedarfWW,0,MAX(MIN($AA$77*W84/Etaw,BedarfWW-$AA$77*SUM($W$60:$W83)/Etaw),0))</f>
        <v>#VALUE!</v>
      </c>
      <c r="AH84" s="440" t="e">
        <f t="shared" ca="1" si="24"/>
        <v>#REF!</v>
      </c>
      <c r="AI84" s="1056" t="e">
        <f t="shared" si="25"/>
        <v>#VALUE!</v>
      </c>
      <c r="AJ84" s="438" t="e">
        <f t="shared" si="26"/>
        <v>#VALUE!</v>
      </c>
      <c r="AK84" s="444" t="e">
        <f t="shared" ca="1" si="27"/>
        <v>#REF!</v>
      </c>
      <c r="AL84" s="444" t="e">
        <f ca="1">AE84+AD84+IF(Laufzeit_Zusatzheizung&gt;=SUM($Y$60:$Y84),Kesselleistung*$H$45*Y84,0)</f>
        <v>#VALUE!</v>
      </c>
      <c r="AM84" s="426" t="e">
        <f t="shared" si="16"/>
        <v>#VALUE!</v>
      </c>
      <c r="AN84" s="433">
        <f>IF(Neu,INDEX(WP_BIN!$T$80:$CG$80,1,S84),AN83+(AN$87-AN$78)/9)</f>
        <v>0</v>
      </c>
      <c r="AO84" s="445" t="e">
        <f t="shared" ca="1" si="28"/>
        <v>#VALUE!</v>
      </c>
      <c r="AP84" s="445" t="e">
        <f t="shared" ca="1" si="29"/>
        <v>#VALUE!</v>
      </c>
      <c r="AQ84" s="441">
        <f t="shared" si="33"/>
        <v>0</v>
      </c>
      <c r="AR84" s="444" t="e">
        <f t="shared" si="30"/>
        <v>#VALUE!</v>
      </c>
      <c r="AS84" s="431" t="e">
        <f t="shared" si="17"/>
        <v>#VALUE!</v>
      </c>
      <c r="AT84" s="421">
        <f t="shared" si="18"/>
        <v>0</v>
      </c>
      <c r="AU84" s="421">
        <f t="shared" si="20"/>
        <v>0</v>
      </c>
      <c r="AV84" s="1116" t="e">
        <f ca="1">INDEX(Berechnungen!$E$79:$BR$79,1,S84)</f>
        <v>#REF!</v>
      </c>
      <c r="AW84" s="65">
        <f t="shared" si="19"/>
        <v>-1</v>
      </c>
      <c r="AX84" s="162">
        <f>INDEX(WP_BIN!$T$78:$CG$78,1,$S84)</f>
        <v>27.500000000000032</v>
      </c>
      <c r="AY84" s="162" t="e">
        <f>INDEX(WP_BIN!$T$43:$CG$43,1,$S84)</f>
        <v>#DIV/0!</v>
      </c>
      <c r="AZ84" s="480">
        <f>INDEX(WP_BIN!$T$79:$CG$79,1,$S84)</f>
        <v>0</v>
      </c>
      <c r="BA84" s="480">
        <f>INDEX(WP_BIN!$T$86:$CG$86,1,$S84)</f>
        <v>0</v>
      </c>
      <c r="BB84" s="480" t="e">
        <f ca="1">INDEX(WP_BIN!$T$47:$CG$47,1,$S84)</f>
        <v>#DIV/0!</v>
      </c>
      <c r="BC84" s="480">
        <f ca="1">INDEX(WP_BIN!$T$54:$CG$54,1,$S84)</f>
        <v>0</v>
      </c>
      <c r="BE84" s="217"/>
      <c r="BG84" s="165">
        <f>INDEX(BG77:BG82,BG83,1)</f>
        <v>0</v>
      </c>
      <c r="BH84" s="75"/>
      <c r="DC84" s="5"/>
      <c r="DD84" s="5"/>
      <c r="DE84" s="5"/>
    </row>
    <row r="85" spans="2:109" ht="15.75" hidden="1" customHeight="1" x14ac:dyDescent="0.2">
      <c r="B85" s="335" t="s">
        <v>2353</v>
      </c>
      <c r="C85" s="335"/>
      <c r="D85" s="199">
        <v>-7</v>
      </c>
      <c r="E85" s="450">
        <v>4868</v>
      </c>
      <c r="F85" s="317">
        <v>4.2</v>
      </c>
      <c r="G85" s="450">
        <v>-7</v>
      </c>
      <c r="H85" s="450">
        <v>3316</v>
      </c>
      <c r="I85" s="1012">
        <v>14</v>
      </c>
      <c r="K85" s="5"/>
      <c r="L85" s="5"/>
      <c r="M85" s="5"/>
      <c r="N85" s="5"/>
      <c r="O85" s="5"/>
      <c r="P85" s="5"/>
      <c r="Q85" s="5"/>
      <c r="R85" s="5"/>
      <c r="S85" s="5">
        <v>26</v>
      </c>
      <c r="T85" s="436" t="e">
        <f t="shared" si="21"/>
        <v>#VALUE!</v>
      </c>
      <c r="U85" s="437">
        <f>0.0532-Klimakorr*0.003*(X85/-7)</f>
        <v>5.3199999999999997E-2</v>
      </c>
      <c r="V85" s="438" t="e">
        <f t="shared" si="22"/>
        <v>#VALUE!</v>
      </c>
      <c r="W85" s="1058" t="e">
        <f>IF(BIN,INDEX(BIN!$B$3:$BO$364,4+(Klima-2)*11,S85),IF($M$32&gt;0,ROUND(U85*Heizperiode*$M$31/$M$32,0),ROUND(U85*Heizperiode,0)))</f>
        <v>#VALUE!</v>
      </c>
      <c r="X85" s="439">
        <v>0</v>
      </c>
      <c r="Y85" s="160" t="e">
        <f ca="1">IF(BINkorr,INDEX(Berechnungen!$E$81:$BR$81,1,S85)*IF(OR(Methode_384_3,Z85=0),1,AV85/Z85)/Leistungskorr*(1-Kollektor),W85*$T$130*(1-Kollektor))</f>
        <v>#REF!</v>
      </c>
      <c r="Z85" s="441">
        <f>IF(Heizung,IF(Methode_384_3,INDEX(Berechnungen!$E$79:$BR$79,1,S85),Z84-$Z$77/28),0)</f>
        <v>0</v>
      </c>
      <c r="AA85" s="441" t="e">
        <f t="shared" ca="1" si="31"/>
        <v>#VALUE!</v>
      </c>
      <c r="AB85" s="441">
        <f t="shared" si="32"/>
        <v>0</v>
      </c>
      <c r="AC85" s="441" t="e">
        <f t="shared" ca="1" si="23"/>
        <v>#VALUE!</v>
      </c>
      <c r="AD85" s="425" t="e">
        <f t="shared" ca="1" si="13"/>
        <v>#VALUE!</v>
      </c>
      <c r="AE85" s="423" t="e">
        <f t="shared" ca="1" si="14"/>
        <v>#VALUE!</v>
      </c>
      <c r="AF85" s="160" t="e">
        <f t="shared" ca="1" si="15"/>
        <v>#REF!</v>
      </c>
      <c r="AG85" s="160" t="e">
        <f ca="1">IF($AA$77*SUM($W$60:$W84)/Etaw=BedarfWW,0,MAX(MIN($AA$77*W85/Etaw,BedarfWW-$AA$77*SUM($W$60:$W84)/Etaw),0))</f>
        <v>#VALUE!</v>
      </c>
      <c r="AH85" s="440" t="e">
        <f t="shared" ca="1" si="24"/>
        <v>#REF!</v>
      </c>
      <c r="AI85" s="1056" t="e">
        <f t="shared" si="25"/>
        <v>#VALUE!</v>
      </c>
      <c r="AJ85" s="438" t="e">
        <f t="shared" si="26"/>
        <v>#VALUE!</v>
      </c>
      <c r="AK85" s="444" t="e">
        <f t="shared" ca="1" si="27"/>
        <v>#REF!</v>
      </c>
      <c r="AL85" s="444" t="e">
        <f ca="1">AE85+AD85+IF(Laufzeit_Zusatzheizung&gt;=SUM($Y$60:$Y85),Kesselleistung*$H$45*Y85,0)</f>
        <v>#VALUE!</v>
      </c>
      <c r="AM85" s="426" t="e">
        <f t="shared" si="16"/>
        <v>#VALUE!</v>
      </c>
      <c r="AN85" s="433">
        <f>IF(Neu,INDEX(WP_BIN!$T$80:$CG$80,1,S85),AN84+(AN$87-AN$78)/9)</f>
        <v>0</v>
      </c>
      <c r="AO85" s="445" t="e">
        <f t="shared" ca="1" si="28"/>
        <v>#VALUE!</v>
      </c>
      <c r="AP85" s="445" t="e">
        <f t="shared" ca="1" si="29"/>
        <v>#VALUE!</v>
      </c>
      <c r="AQ85" s="441">
        <f t="shared" si="33"/>
        <v>0</v>
      </c>
      <c r="AR85" s="444" t="e">
        <f t="shared" si="30"/>
        <v>#VALUE!</v>
      </c>
      <c r="AS85" s="431" t="e">
        <f t="shared" si="17"/>
        <v>#VALUE!</v>
      </c>
      <c r="AT85" s="421">
        <f t="shared" si="18"/>
        <v>0</v>
      </c>
      <c r="AU85" s="421">
        <f t="shared" si="20"/>
        <v>0</v>
      </c>
      <c r="AV85" s="1116" t="e">
        <f ca="1">INDEX(Berechnungen!$E$79:$BR$79,1,S85)</f>
        <v>#REF!</v>
      </c>
      <c r="AW85" s="65">
        <f t="shared" si="19"/>
        <v>0</v>
      </c>
      <c r="AX85" s="162">
        <f>INDEX(WP_BIN!$T$78:$CG$78,1,$S85)</f>
        <v>27.428571428571459</v>
      </c>
      <c r="AY85" s="162" t="e">
        <f>INDEX(WP_BIN!$T$43:$CG$43,1,$S85)</f>
        <v>#DIV/0!</v>
      </c>
      <c r="AZ85" s="480">
        <f>INDEX(WP_BIN!$T$79:$CG$79,1,$S85)</f>
        <v>0</v>
      </c>
      <c r="BA85" s="480">
        <f>INDEX(WP_BIN!$T$86:$CG$86,1,$S85)</f>
        <v>0</v>
      </c>
      <c r="BB85" s="480" t="e">
        <f ca="1">INDEX(WP_BIN!$T$47:$CG$47,1,$S85)</f>
        <v>#DIV/0!</v>
      </c>
      <c r="BC85" s="480">
        <f ca="1">INDEX(WP_BIN!$T$54:$CG$54,1,$S85)</f>
        <v>0</v>
      </c>
      <c r="BE85" s="217"/>
      <c r="BG85" s="165" t="b">
        <f>IF(BG83&gt;2,TRUE,FALSE)</f>
        <v>0</v>
      </c>
      <c r="BH85" s="133"/>
      <c r="DC85" s="5"/>
      <c r="DD85" s="5"/>
      <c r="DE85" s="5"/>
    </row>
    <row r="86" spans="2:109" ht="15.75" hidden="1" customHeight="1" x14ac:dyDescent="0.2">
      <c r="B86" s="335" t="s">
        <v>2354</v>
      </c>
      <c r="C86" s="335"/>
      <c r="D86" s="199">
        <v>-10</v>
      </c>
      <c r="E86" s="450">
        <v>3981</v>
      </c>
      <c r="F86" s="317">
        <v>4.0999999999999996</v>
      </c>
      <c r="G86" s="450">
        <v>-10</v>
      </c>
      <c r="H86" s="450">
        <v>3786</v>
      </c>
      <c r="I86" s="1012">
        <v>15</v>
      </c>
      <c r="K86" s="5"/>
      <c r="L86" s="5"/>
      <c r="M86" s="5"/>
      <c r="N86" s="5"/>
      <c r="O86" s="5"/>
      <c r="P86" s="5"/>
      <c r="Q86" s="5"/>
      <c r="R86" s="5"/>
      <c r="S86" s="5">
        <v>27</v>
      </c>
      <c r="T86" s="436" t="e">
        <f t="shared" si="21"/>
        <v>#VALUE!</v>
      </c>
      <c r="U86" s="437">
        <f>0.0627-Klimakorr*0.003*(X86/-7)</f>
        <v>6.2700000000000006E-2</v>
      </c>
      <c r="V86" s="438" t="e">
        <f t="shared" si="22"/>
        <v>#VALUE!</v>
      </c>
      <c r="W86" s="1058" t="e">
        <f>IF(BIN,INDEX(BIN!$B$3:$BO$364,4+(Klima-2)*11,S86),IF($M$32&gt;0,ROUND(U86*Heizperiode*$M$31/$M$32,0),ROUND(U86*Heizperiode,0)))</f>
        <v>#VALUE!</v>
      </c>
      <c r="X86" s="439">
        <v>1</v>
      </c>
      <c r="Y86" s="160" t="e">
        <f ca="1">IF(BINkorr,INDEX(Berechnungen!$E$81:$BR$81,1,S86)*IF(OR(Methode_384_3,Z86=0),1,AV86/Z86)/Leistungskorr*(1-Kollektor),W86*$T$130*(1-Kollektor))</f>
        <v>#REF!</v>
      </c>
      <c r="Z86" s="441">
        <f>IF(Heizung,IF(Methode_384_3,INDEX(Berechnungen!$E$79:$BR$79,1,S86),Z85-$Z$77/28),0)</f>
        <v>0</v>
      </c>
      <c r="AA86" s="441" t="e">
        <f t="shared" ca="1" si="31"/>
        <v>#VALUE!</v>
      </c>
      <c r="AB86" s="441">
        <f t="shared" si="32"/>
        <v>0</v>
      </c>
      <c r="AC86" s="441" t="e">
        <f t="shared" ca="1" si="23"/>
        <v>#VALUE!</v>
      </c>
      <c r="AD86" s="425" t="e">
        <f t="shared" ca="1" si="13"/>
        <v>#VALUE!</v>
      </c>
      <c r="AE86" s="423" t="e">
        <f t="shared" ca="1" si="14"/>
        <v>#VALUE!</v>
      </c>
      <c r="AF86" s="160" t="e">
        <f t="shared" ca="1" si="15"/>
        <v>#REF!</v>
      </c>
      <c r="AG86" s="160" t="e">
        <f ca="1">IF($AA$77*SUM($W$60:$W85)/Etaw=BedarfWW,0,MAX(MIN($AA$77*W86/Etaw,BedarfWW-$AA$77*SUM($W$60:$W85)/Etaw),0))</f>
        <v>#VALUE!</v>
      </c>
      <c r="AH86" s="440" t="e">
        <f t="shared" ca="1" si="24"/>
        <v>#REF!</v>
      </c>
      <c r="AI86" s="1056" t="e">
        <f t="shared" si="25"/>
        <v>#VALUE!</v>
      </c>
      <c r="AJ86" s="438" t="e">
        <f t="shared" si="26"/>
        <v>#VALUE!</v>
      </c>
      <c r="AK86" s="444" t="e">
        <f t="shared" ca="1" si="27"/>
        <v>#REF!</v>
      </c>
      <c r="AL86" s="444" t="e">
        <f ca="1">AE86+AD86+IF(Laufzeit_Zusatzheizung&gt;=SUM($Y$60:$Y86),Kesselleistung*$H$45*Y86,0)</f>
        <v>#VALUE!</v>
      </c>
      <c r="AM86" s="426" t="e">
        <f t="shared" si="16"/>
        <v>#VALUE!</v>
      </c>
      <c r="AN86" s="433">
        <f>IF(Neu,INDEX(WP_BIN!$T$80:$CG$80,1,S86),AN85+(AN$87-AN$78)/9)</f>
        <v>0</v>
      </c>
      <c r="AO86" s="445" t="e">
        <f t="shared" ca="1" si="28"/>
        <v>#VALUE!</v>
      </c>
      <c r="AP86" s="445" t="e">
        <f t="shared" ca="1" si="29"/>
        <v>#VALUE!</v>
      </c>
      <c r="AQ86" s="441">
        <f t="shared" si="33"/>
        <v>0</v>
      </c>
      <c r="AR86" s="444" t="e">
        <f t="shared" si="30"/>
        <v>#VALUE!</v>
      </c>
      <c r="AS86" s="431" t="e">
        <f t="shared" si="17"/>
        <v>#VALUE!</v>
      </c>
      <c r="AT86" s="421">
        <f t="shared" si="18"/>
        <v>0</v>
      </c>
      <c r="AU86" s="421">
        <f t="shared" si="20"/>
        <v>0</v>
      </c>
      <c r="AV86" s="1116" t="e">
        <f ca="1">INDEX(Berechnungen!$E$79:$BR$79,1,S86)</f>
        <v>#REF!</v>
      </c>
      <c r="AW86" s="65">
        <f t="shared" si="19"/>
        <v>1</v>
      </c>
      <c r="AX86" s="162">
        <f>INDEX(WP_BIN!$T$78:$CG$78,1,$S86)</f>
        <v>27.357142857142886</v>
      </c>
      <c r="AY86" s="162" t="e">
        <f>INDEX(WP_BIN!$T$43:$CG$43,1,$S86)</f>
        <v>#DIV/0!</v>
      </c>
      <c r="AZ86" s="480">
        <f>INDEX(WP_BIN!$T$79:$CG$79,1,$S86)</f>
        <v>0</v>
      </c>
      <c r="BA86" s="480">
        <f>INDEX(WP_BIN!$T$86:$CG$86,1,$S86)</f>
        <v>0</v>
      </c>
      <c r="BB86" s="480" t="e">
        <f ca="1">INDEX(WP_BIN!$T$47:$CG$47,1,$S86)</f>
        <v>#DIV/0!</v>
      </c>
      <c r="BC86" s="480">
        <f ca="1">INDEX(WP_BIN!$T$54:$CG$54,1,$S86)</f>
        <v>0</v>
      </c>
      <c r="BE86" s="217"/>
      <c r="BG86" s="19"/>
      <c r="DC86" s="5"/>
      <c r="DD86" s="5"/>
      <c r="DE86" s="5"/>
    </row>
    <row r="87" spans="2:109" ht="15.75" hidden="1" customHeight="1" x14ac:dyDescent="0.2">
      <c r="B87" s="335" t="s">
        <v>2123</v>
      </c>
      <c r="C87" s="335"/>
      <c r="D87" s="199">
        <v>-1</v>
      </c>
      <c r="E87" s="450">
        <v>4101</v>
      </c>
      <c r="F87" s="317">
        <v>5.5</v>
      </c>
      <c r="G87" s="450">
        <v>-1</v>
      </c>
      <c r="H87" s="450">
        <v>2147</v>
      </c>
      <c r="I87" s="1012">
        <v>16</v>
      </c>
      <c r="K87" s="5"/>
      <c r="L87" s="5"/>
      <c r="M87" s="5"/>
      <c r="N87" s="5"/>
      <c r="O87" s="5"/>
      <c r="P87" s="5"/>
      <c r="Q87" s="5"/>
      <c r="R87" s="5"/>
      <c r="S87" s="5">
        <v>28</v>
      </c>
      <c r="T87" s="436" t="e">
        <f t="shared" si="21"/>
        <v>#VALUE!</v>
      </c>
      <c r="U87" s="437">
        <f>0.0665-Klimakorr*0.003*(X87/-7)</f>
        <v>6.6500000000000004E-2</v>
      </c>
      <c r="V87" s="438" t="e">
        <f t="shared" si="22"/>
        <v>#VALUE!</v>
      </c>
      <c r="W87" s="1058" t="e">
        <f>IF(BIN,INDEX(BIN!$B$3:$BO$364,4+(Klima-2)*11,S87),IF($M$32&gt;0,ROUND(U87*Heizperiode*$M$31/$M$32,0),ROUND(U87*Heizperiode,0)))</f>
        <v>#VALUE!</v>
      </c>
      <c r="X87" s="439">
        <v>2</v>
      </c>
      <c r="Y87" s="160" t="e">
        <f ca="1">IF(BINkorr,INDEX(Berechnungen!$E$81:$BR$81,1,S87)*IF(OR(Methode_384_3,Z87=0),1,AV87/Z87)/Leistungskorr*(1-Kollektor),W87*$T$130*(1-Kollektor))</f>
        <v>#REF!</v>
      </c>
      <c r="Z87" s="441">
        <f>IF(Heizung,IF(Methode_384_3,INDEX(Berechnungen!$E$79:$BR$79,1,S87),Z86-$Z$77/28),0)</f>
        <v>0</v>
      </c>
      <c r="AA87" s="441" t="e">
        <f t="shared" ca="1" si="31"/>
        <v>#VALUE!</v>
      </c>
      <c r="AB87" s="442">
        <f t="shared" si="32"/>
        <v>0</v>
      </c>
      <c r="AC87" s="441" t="e">
        <f t="shared" ca="1" si="23"/>
        <v>#VALUE!</v>
      </c>
      <c r="AD87" s="425" t="e">
        <f t="shared" ca="1" si="13"/>
        <v>#VALUE!</v>
      </c>
      <c r="AE87" s="423" t="e">
        <f t="shared" ca="1" si="14"/>
        <v>#VALUE!</v>
      </c>
      <c r="AF87" s="160" t="e">
        <f t="shared" ca="1" si="15"/>
        <v>#REF!</v>
      </c>
      <c r="AG87" s="160" t="e">
        <f ca="1">IF($AA$77*SUM($W$60:$W86)/Etaw=BedarfWW,0,MAX(MIN($AA$77*W87/Etaw,BedarfWW-$AA$77*SUM($W$60:$W86)/Etaw),0))</f>
        <v>#VALUE!</v>
      </c>
      <c r="AH87" s="440" t="e">
        <f t="shared" ca="1" si="24"/>
        <v>#REF!</v>
      </c>
      <c r="AI87" s="1056" t="e">
        <f t="shared" si="25"/>
        <v>#VALUE!</v>
      </c>
      <c r="AJ87" s="438" t="e">
        <f t="shared" si="26"/>
        <v>#VALUE!</v>
      </c>
      <c r="AK87" s="444" t="e">
        <f t="shared" ca="1" si="27"/>
        <v>#REF!</v>
      </c>
      <c r="AL87" s="444" t="e">
        <f ca="1">AE87+AD87+IF(Laufzeit_Zusatzheizung&gt;=SUM($Y$60:$Y87),Kesselleistung*$H$45*Y87,0)</f>
        <v>#VALUE!</v>
      </c>
      <c r="AM87" s="426" t="e">
        <f t="shared" si="16"/>
        <v>#VALUE!</v>
      </c>
      <c r="AN87" s="432">
        <f>IF(Neu,INDEX(WP_BIN!$T$80:$CG$80,1,S87),IF(WPArt=2,IF(V21&gt;0,V21,0),IF(OR(WPArt=3,WPArt=5),IF(W52&gt;0,IF(H33&lt;&gt;0,M41,I32),0),IF(WPArt=4,IF(I27&gt;0,I27,0),)))*(Etah*wh+Etaw*www)*(24-IF(Sperrzeit&lt;&gt;"",Sperrzeit,0))/24)</f>
        <v>0</v>
      </c>
      <c r="AO87" s="445" t="e">
        <f t="shared" ca="1" si="28"/>
        <v>#VALUE!</v>
      </c>
      <c r="AP87" s="445" t="e">
        <f t="shared" ca="1" si="29"/>
        <v>#VALUE!</v>
      </c>
      <c r="AQ87" s="442">
        <f>AN18*(24-IF(Sperrzeit&lt;&gt;"",Sperrzeit,0))/24*(Etah*wh+Etaw*www)</f>
        <v>0</v>
      </c>
      <c r="AR87" s="444" t="e">
        <f t="shared" si="30"/>
        <v>#VALUE!</v>
      </c>
      <c r="AS87" s="431" t="e">
        <f t="shared" si="17"/>
        <v>#VALUE!</v>
      </c>
      <c r="AT87" s="421">
        <f t="shared" si="18"/>
        <v>0</v>
      </c>
      <c r="AU87" s="421">
        <f t="shared" si="20"/>
        <v>0</v>
      </c>
      <c r="AV87" s="1116" t="e">
        <f ca="1">INDEX(Berechnungen!$E$79:$BR$79,1,S87)</f>
        <v>#REF!</v>
      </c>
      <c r="AW87" s="292">
        <f t="shared" si="19"/>
        <v>2</v>
      </c>
      <c r="AX87" s="162">
        <f>INDEX(WP_BIN!$T$78:$CG$78,1,$S87)</f>
        <v>27.285714285714313</v>
      </c>
      <c r="AY87" s="162" t="e">
        <f>INDEX(WP_BIN!$T$43:$CG$43,1,$S87)</f>
        <v>#DIV/0!</v>
      </c>
      <c r="AZ87" s="480">
        <f>INDEX(WP_BIN!$T$79:$CG$79,1,$S87)</f>
        <v>0</v>
      </c>
      <c r="BA87" s="480">
        <f>INDEX(WP_BIN!$T$86:$CG$86,1,$S87)</f>
        <v>0</v>
      </c>
      <c r="BB87" s="480" t="e">
        <f ca="1">INDEX(WP_BIN!$T$47:$CG$47,1,$S87)</f>
        <v>#DIV/0!</v>
      </c>
      <c r="BC87" s="480">
        <f ca="1">INDEX(WP_BIN!$T$54:$CG$54,1,$S87)</f>
        <v>0</v>
      </c>
      <c r="BE87" s="217"/>
      <c r="BG87" s="19"/>
      <c r="DC87" s="5"/>
      <c r="DD87" s="5"/>
      <c r="DE87" s="5"/>
    </row>
    <row r="88" spans="2:109" ht="15.75" hidden="1" customHeight="1" x14ac:dyDescent="0.2">
      <c r="B88" s="335" t="s">
        <v>2125</v>
      </c>
      <c r="C88" s="335"/>
      <c r="D88" s="199">
        <v>-1</v>
      </c>
      <c r="E88" s="450">
        <v>2644</v>
      </c>
      <c r="F88" s="317">
        <v>5.8</v>
      </c>
      <c r="G88" s="450">
        <v>-1</v>
      </c>
      <c r="H88" s="450">
        <v>2144</v>
      </c>
      <c r="I88" s="1012">
        <v>17</v>
      </c>
      <c r="K88" s="5"/>
      <c r="L88" s="5"/>
      <c r="M88" s="5"/>
      <c r="N88" s="5"/>
      <c r="O88" s="5"/>
      <c r="P88" s="5"/>
      <c r="Q88" s="5"/>
      <c r="R88" s="5"/>
      <c r="S88" s="5">
        <v>29</v>
      </c>
      <c r="T88" s="436" t="e">
        <f t="shared" si="21"/>
        <v>#VALUE!</v>
      </c>
      <c r="U88" s="437">
        <f>0.0745-Klimakorr*0.003*(X88/-7)</f>
        <v>7.4499999999999997E-2</v>
      </c>
      <c r="V88" s="438" t="e">
        <f t="shared" si="22"/>
        <v>#VALUE!</v>
      </c>
      <c r="W88" s="1058" t="e">
        <f>IF(BIN,INDEX(BIN!$B$3:$BO$364,4+(Klima-2)*11,S88),IF($M$32&gt;0,ROUND(U88*Heizperiode*$M$31/$M$32,0),ROUND(U88*Heizperiode,0)))</f>
        <v>#VALUE!</v>
      </c>
      <c r="X88" s="439">
        <v>3</v>
      </c>
      <c r="Y88" s="160" t="e">
        <f ca="1">IF(BINkorr,INDEX(Berechnungen!$E$81:$BR$81,1,S88)*IF(OR(Methode_384_3,Z88=0),1,AV88/Z88)/Leistungskorr*(1-Kollektor),W88*$T$130*(1-Kollektor))</f>
        <v>#REF!</v>
      </c>
      <c r="Z88" s="441">
        <f>IF(Heizung,IF(Methode_384_3,INDEX(Berechnungen!$E$79:$BR$79,1,S88),Z87-$Z$77/28),0)</f>
        <v>0</v>
      </c>
      <c r="AA88" s="441" t="e">
        <f t="shared" ca="1" si="31"/>
        <v>#VALUE!</v>
      </c>
      <c r="AB88" s="441">
        <f t="shared" si="32"/>
        <v>0</v>
      </c>
      <c r="AC88" s="441" t="e">
        <f t="shared" ca="1" si="23"/>
        <v>#VALUE!</v>
      </c>
      <c r="AD88" s="425" t="e">
        <f t="shared" ca="1" si="13"/>
        <v>#VALUE!</v>
      </c>
      <c r="AE88" s="423" t="e">
        <f t="shared" ca="1" si="14"/>
        <v>#VALUE!</v>
      </c>
      <c r="AF88" s="160" t="e">
        <f t="shared" ca="1" si="15"/>
        <v>#REF!</v>
      </c>
      <c r="AG88" s="160" t="e">
        <f ca="1">IF($AA$77*SUM($W$60:$W87)/Etaw=BedarfWW,0,MAX(MIN($AA$77*W88/Etaw,BedarfWW-$AA$77*SUM($W$60:$W87)/Etaw),0))</f>
        <v>#VALUE!</v>
      </c>
      <c r="AH88" s="440" t="e">
        <f t="shared" ca="1" si="24"/>
        <v>#REF!</v>
      </c>
      <c r="AI88" s="1056" t="e">
        <f t="shared" si="25"/>
        <v>#VALUE!</v>
      </c>
      <c r="AJ88" s="438" t="e">
        <f t="shared" si="26"/>
        <v>#VALUE!</v>
      </c>
      <c r="AK88" s="444" t="e">
        <f t="shared" ca="1" si="27"/>
        <v>#REF!</v>
      </c>
      <c r="AL88" s="444" t="e">
        <f ca="1">AE88+AD88+IF(Laufzeit_Zusatzheizung&gt;=SUM($Y$60:$Y88),Kesselleistung*$H$45*Y88,0)</f>
        <v>#VALUE!</v>
      </c>
      <c r="AM88" s="426" t="e">
        <f t="shared" si="16"/>
        <v>#VALUE!</v>
      </c>
      <c r="AN88" s="433">
        <f>IF(Neu,INDEX(WP_BIN!$T$80:$CG$80,1,S88),AN87+(AN$92-AN$87)/5)</f>
        <v>0</v>
      </c>
      <c r="AO88" s="445" t="e">
        <f t="shared" ca="1" si="28"/>
        <v>#VALUE!</v>
      </c>
      <c r="AP88" s="445" t="e">
        <f t="shared" ca="1" si="29"/>
        <v>#VALUE!</v>
      </c>
      <c r="AQ88" s="441">
        <f>AQ87+(AQ$92-AQ$87)/5</f>
        <v>0</v>
      </c>
      <c r="AR88" s="444" t="e">
        <f t="shared" si="30"/>
        <v>#VALUE!</v>
      </c>
      <c r="AS88" s="431" t="e">
        <f t="shared" si="17"/>
        <v>#VALUE!</v>
      </c>
      <c r="AT88" s="421">
        <f t="shared" si="18"/>
        <v>0</v>
      </c>
      <c r="AU88" s="421">
        <f t="shared" si="20"/>
        <v>0</v>
      </c>
      <c r="AV88" s="1116" t="e">
        <f ca="1">INDEX(Berechnungen!$E$79:$BR$79,1,S88)</f>
        <v>#REF!</v>
      </c>
      <c r="AW88" s="65">
        <f t="shared" si="19"/>
        <v>3</v>
      </c>
      <c r="AX88" s="162">
        <f>INDEX(WP_BIN!$T$78:$CG$78,1,$S88)</f>
        <v>27.21428571428574</v>
      </c>
      <c r="AY88" s="162" t="e">
        <f>INDEX(WP_BIN!$T$43:$CG$43,1,$S88)</f>
        <v>#DIV/0!</v>
      </c>
      <c r="AZ88" s="480">
        <f>INDEX(WP_BIN!$T$79:$CG$79,1,$S88)</f>
        <v>0</v>
      </c>
      <c r="BA88" s="480">
        <f>INDEX(WP_BIN!$T$86:$CG$86,1,$S88)</f>
        <v>0</v>
      </c>
      <c r="BB88" s="480" t="e">
        <f ca="1">INDEX(WP_BIN!$T$47:$CG$47,1,$S88)</f>
        <v>#DIV/0!</v>
      </c>
      <c r="BC88" s="480">
        <f ca="1">INDEX(WP_BIN!$T$54:$CG$54,1,$S88)</f>
        <v>0</v>
      </c>
      <c r="BE88" s="217"/>
      <c r="BG88" s="19"/>
      <c r="DC88" s="5"/>
      <c r="DD88" s="5"/>
      <c r="DE88" s="5"/>
    </row>
    <row r="89" spans="2:109" ht="15.75" hidden="1" customHeight="1" x14ac:dyDescent="0.2">
      <c r="B89" s="335" t="s">
        <v>2127</v>
      </c>
      <c r="C89" s="335"/>
      <c r="D89" s="199">
        <v>-6</v>
      </c>
      <c r="E89" s="450">
        <v>4158</v>
      </c>
      <c r="F89" s="317">
        <v>4.3</v>
      </c>
      <c r="G89" s="450">
        <v>-6</v>
      </c>
      <c r="H89" s="450">
        <v>2917</v>
      </c>
      <c r="I89" s="1012">
        <v>18</v>
      </c>
      <c r="K89" s="5"/>
      <c r="L89" s="5"/>
      <c r="M89" s="5"/>
      <c r="N89" s="5"/>
      <c r="O89" s="5"/>
      <c r="P89" s="5"/>
      <c r="Q89" s="5"/>
      <c r="R89" s="5"/>
      <c r="S89" s="5">
        <v>30</v>
      </c>
      <c r="T89" s="436" t="e">
        <f t="shared" si="21"/>
        <v>#VALUE!</v>
      </c>
      <c r="U89" s="437">
        <f>0.0778-Klimakorr*0.003*(X89/-7)</f>
        <v>7.7799999999999994E-2</v>
      </c>
      <c r="V89" s="438" t="e">
        <f t="shared" si="22"/>
        <v>#VALUE!</v>
      </c>
      <c r="W89" s="1058" t="e">
        <f>IF(BIN,INDEX(BIN!$B$3:$BO$364,4+(Klima-2)*11,S89),IF($M$32&gt;0,ROUND(U89*Heizperiode*$M$31/$M$32,0),ROUND(U89*Heizperiode,0)))</f>
        <v>#VALUE!</v>
      </c>
      <c r="X89" s="439">
        <v>4</v>
      </c>
      <c r="Y89" s="160" t="e">
        <f ca="1">IF(BINkorr,INDEX(Berechnungen!$E$81:$BR$81,1,S89)*IF(OR(Methode_384_3,Z89=0),1,AV89/Z89)/Leistungskorr*(1-Kollektor),W89*$T$130*(1-Kollektor))</f>
        <v>#REF!</v>
      </c>
      <c r="Z89" s="441">
        <f>IF(Heizung,IF(Methode_384_3,INDEX(Berechnungen!$E$79:$BR$79,1,S89),Z88-$Z$77/28),0)</f>
        <v>0</v>
      </c>
      <c r="AA89" s="441" t="e">
        <f t="shared" ca="1" si="31"/>
        <v>#VALUE!</v>
      </c>
      <c r="AB89" s="441">
        <f t="shared" si="32"/>
        <v>0</v>
      </c>
      <c r="AC89" s="441" t="e">
        <f t="shared" ca="1" si="23"/>
        <v>#VALUE!</v>
      </c>
      <c r="AD89" s="425" t="e">
        <f t="shared" ca="1" si="13"/>
        <v>#VALUE!</v>
      </c>
      <c r="AE89" s="423" t="e">
        <f t="shared" ca="1" si="14"/>
        <v>#VALUE!</v>
      </c>
      <c r="AF89" s="160" t="e">
        <f t="shared" ca="1" si="15"/>
        <v>#REF!</v>
      </c>
      <c r="AG89" s="160" t="e">
        <f ca="1">IF($AA$77*SUM($W$60:$W88)/Etaw=BedarfWW,0,MAX(MIN($AA$77*W89/Etaw,BedarfWW-$AA$77*SUM($W$60:$W88)/Etaw),0))</f>
        <v>#VALUE!</v>
      </c>
      <c r="AH89" s="440" t="e">
        <f t="shared" ca="1" si="24"/>
        <v>#REF!</v>
      </c>
      <c r="AI89" s="1056" t="e">
        <f t="shared" si="25"/>
        <v>#VALUE!</v>
      </c>
      <c r="AJ89" s="438" t="e">
        <f t="shared" si="26"/>
        <v>#VALUE!</v>
      </c>
      <c r="AK89" s="444" t="e">
        <f t="shared" ca="1" si="27"/>
        <v>#REF!</v>
      </c>
      <c r="AL89" s="444" t="e">
        <f ca="1">AE89+AD89+IF(Laufzeit_Zusatzheizung&gt;=SUM($Y$60:$Y89),Kesselleistung*$H$45*Y89,0)</f>
        <v>#VALUE!</v>
      </c>
      <c r="AM89" s="426" t="e">
        <f t="shared" si="16"/>
        <v>#VALUE!</v>
      </c>
      <c r="AN89" s="433">
        <f>IF(Neu,INDEX(WP_BIN!$T$80:$CG$80,1,S89),AN88+(AN$92-AN$87)/5)</f>
        <v>0</v>
      </c>
      <c r="AO89" s="445" t="e">
        <f t="shared" ca="1" si="28"/>
        <v>#VALUE!</v>
      </c>
      <c r="AP89" s="445" t="e">
        <f t="shared" ca="1" si="29"/>
        <v>#VALUE!</v>
      </c>
      <c r="AQ89" s="441">
        <f>AQ88+(AQ$92-AQ$87)/5</f>
        <v>0</v>
      </c>
      <c r="AR89" s="444" t="e">
        <f t="shared" si="30"/>
        <v>#VALUE!</v>
      </c>
      <c r="AS89" s="431" t="e">
        <f t="shared" si="17"/>
        <v>#VALUE!</v>
      </c>
      <c r="AT89" s="421">
        <f t="shared" si="18"/>
        <v>0</v>
      </c>
      <c r="AU89" s="421">
        <f t="shared" si="20"/>
        <v>0</v>
      </c>
      <c r="AV89" s="1116" t="e">
        <f ca="1">INDEX(Berechnungen!$E$79:$BR$79,1,S89)</f>
        <v>#REF!</v>
      </c>
      <c r="AW89" s="65">
        <f t="shared" si="19"/>
        <v>4</v>
      </c>
      <c r="AX89" s="162">
        <f>INDEX(WP_BIN!$T$78:$CG$78,1,$S89)</f>
        <v>27.142857142857167</v>
      </c>
      <c r="AY89" s="162" t="e">
        <f>INDEX(WP_BIN!$T$43:$CG$43,1,$S89)</f>
        <v>#DIV/0!</v>
      </c>
      <c r="AZ89" s="480">
        <f>INDEX(WP_BIN!$T$79:$CG$79,1,$S89)</f>
        <v>0</v>
      </c>
      <c r="BA89" s="480">
        <f>INDEX(WP_BIN!$T$86:$CG$86,1,$S89)</f>
        <v>0</v>
      </c>
      <c r="BB89" s="480" t="e">
        <f ca="1">INDEX(WP_BIN!$T$47:$CG$47,1,$S89)</f>
        <v>#DIV/0!</v>
      </c>
      <c r="BC89" s="480">
        <f ca="1">INDEX(WP_BIN!$T$54:$CG$54,1,$S89)</f>
        <v>0</v>
      </c>
      <c r="BE89" s="217"/>
      <c r="DC89" s="5"/>
      <c r="DD89" s="5"/>
      <c r="DE89" s="5"/>
    </row>
    <row r="90" spans="2:109" ht="15.75" hidden="1" customHeight="1" x14ac:dyDescent="0.2">
      <c r="B90" s="335" t="s">
        <v>2355</v>
      </c>
      <c r="C90" s="335"/>
      <c r="D90" s="199">
        <v>-3</v>
      </c>
      <c r="E90" s="450">
        <v>4513</v>
      </c>
      <c r="F90" s="317">
        <v>5.8</v>
      </c>
      <c r="G90" s="450">
        <v>-3</v>
      </c>
      <c r="H90" s="450">
        <v>2377</v>
      </c>
      <c r="I90" s="1012">
        <v>19</v>
      </c>
      <c r="K90" s="5"/>
      <c r="L90" s="5"/>
      <c r="M90" s="5"/>
      <c r="N90" s="5"/>
      <c r="O90" s="5"/>
      <c r="P90" s="5"/>
      <c r="Q90" s="5"/>
      <c r="R90" s="5"/>
      <c r="S90" s="5">
        <v>31</v>
      </c>
      <c r="T90" s="436" t="e">
        <f t="shared" si="21"/>
        <v>#VALUE!</v>
      </c>
      <c r="U90" s="437">
        <f>0.0709-Klimakorr*0.003*(X90/-7)</f>
        <v>7.0900000000000005E-2</v>
      </c>
      <c r="V90" s="438" t="e">
        <f t="shared" si="22"/>
        <v>#VALUE!</v>
      </c>
      <c r="W90" s="1058" t="e">
        <f>IF(BIN,INDEX(BIN!$B$3:$BO$364,4+(Klima-2)*11,S90),IF($M$32&gt;0,ROUND(U90*Heizperiode*$M$31/$M$32,0),ROUND(U90*Heizperiode,0)))</f>
        <v>#VALUE!</v>
      </c>
      <c r="X90" s="439">
        <v>5</v>
      </c>
      <c r="Y90" s="160" t="e">
        <f ca="1">IF(BINkorr,INDEX(Berechnungen!$E$81:$BR$81,1,S90)*IF(OR(Methode_384_3,Z90=0),1,AV90/Z90)/Leistungskorr*(1-Kollektor),W90*$T$130*(1-Kollektor))</f>
        <v>#REF!</v>
      </c>
      <c r="Z90" s="441">
        <f>IF(Heizung,IF(Methode_384_3,INDEX(Berechnungen!$E$79:$BR$79,1,S90),Z89-$Z$77/28),0)</f>
        <v>0</v>
      </c>
      <c r="AA90" s="441" t="e">
        <f t="shared" ca="1" si="31"/>
        <v>#VALUE!</v>
      </c>
      <c r="AB90" s="441">
        <f t="shared" si="32"/>
        <v>0</v>
      </c>
      <c r="AC90" s="441" t="e">
        <f t="shared" ca="1" si="23"/>
        <v>#VALUE!</v>
      </c>
      <c r="AD90" s="425" t="e">
        <f t="shared" ca="1" si="13"/>
        <v>#VALUE!</v>
      </c>
      <c r="AE90" s="423" t="e">
        <f t="shared" ca="1" si="14"/>
        <v>#VALUE!</v>
      </c>
      <c r="AF90" s="160" t="e">
        <f t="shared" ca="1" si="15"/>
        <v>#REF!</v>
      </c>
      <c r="AG90" s="160" t="e">
        <f ca="1">IF($AA$77*SUM($W$60:$W89)/Etaw=BedarfWW,0,MAX(MIN($AA$77*W90/Etaw,BedarfWW-$AA$77*SUM($W$60:$W89)/Etaw),0))</f>
        <v>#VALUE!</v>
      </c>
      <c r="AH90" s="440" t="e">
        <f t="shared" ca="1" si="24"/>
        <v>#REF!</v>
      </c>
      <c r="AI90" s="1056" t="e">
        <f t="shared" si="25"/>
        <v>#VALUE!</v>
      </c>
      <c r="AJ90" s="438" t="e">
        <f t="shared" si="26"/>
        <v>#VALUE!</v>
      </c>
      <c r="AK90" s="444" t="e">
        <f t="shared" ca="1" si="27"/>
        <v>#REF!</v>
      </c>
      <c r="AL90" s="444" t="e">
        <f ca="1">AE90+AD90+IF(Laufzeit_Zusatzheizung&gt;=SUM($Y$60:$Y90),Kesselleistung*$H$45*Y90,0)</f>
        <v>#VALUE!</v>
      </c>
      <c r="AM90" s="426" t="e">
        <f t="shared" si="16"/>
        <v>#VALUE!</v>
      </c>
      <c r="AN90" s="433">
        <f>IF(Neu,INDEX(WP_BIN!$T$80:$CG$80,1,S90),AN89+(AN$92-AN$87)/5)</f>
        <v>0</v>
      </c>
      <c r="AO90" s="445" t="e">
        <f t="shared" ca="1" si="28"/>
        <v>#VALUE!</v>
      </c>
      <c r="AP90" s="445" t="e">
        <f t="shared" ca="1" si="29"/>
        <v>#VALUE!</v>
      </c>
      <c r="AQ90" s="441">
        <f>AQ89+(AQ$92-AQ$87)/5</f>
        <v>0</v>
      </c>
      <c r="AR90" s="444" t="e">
        <f t="shared" si="30"/>
        <v>#VALUE!</v>
      </c>
      <c r="AS90" s="431" t="e">
        <f t="shared" si="17"/>
        <v>#VALUE!</v>
      </c>
      <c r="AT90" s="421">
        <f t="shared" si="18"/>
        <v>0</v>
      </c>
      <c r="AU90" s="421">
        <f t="shared" si="20"/>
        <v>0</v>
      </c>
      <c r="AV90" s="1116" t="e">
        <f ca="1">INDEX(Berechnungen!$E$79:$BR$79,1,S90)</f>
        <v>#REF!</v>
      </c>
      <c r="AW90" s="65">
        <f t="shared" si="19"/>
        <v>5</v>
      </c>
      <c r="AX90" s="162">
        <f>INDEX(WP_BIN!$T$78:$CG$78,1,$S90)</f>
        <v>27.071428571428594</v>
      </c>
      <c r="AY90" s="162" t="e">
        <f>INDEX(WP_BIN!$T$43:$CG$43,1,$S90)</f>
        <v>#DIV/0!</v>
      </c>
      <c r="AZ90" s="480">
        <f>INDEX(WP_BIN!$T$79:$CG$79,1,$S90)</f>
        <v>0</v>
      </c>
      <c r="BA90" s="480">
        <f>INDEX(WP_BIN!$T$86:$CG$86,1,$S90)</f>
        <v>0</v>
      </c>
      <c r="BB90" s="480" t="e">
        <f ca="1">INDEX(WP_BIN!$T$47:$CG$47,1,$S90)</f>
        <v>#DIV/0!</v>
      </c>
      <c r="BC90" s="480">
        <f ca="1">INDEX(WP_BIN!$T$54:$CG$54,1,$S90)</f>
        <v>0</v>
      </c>
      <c r="BE90" s="217"/>
      <c r="DC90" s="5"/>
      <c r="DD90" s="5"/>
      <c r="DE90" s="5"/>
    </row>
    <row r="91" spans="2:109" ht="15.75" hidden="1" customHeight="1" x14ac:dyDescent="0.2">
      <c r="B91" s="335" t="s">
        <v>2129</v>
      </c>
      <c r="C91" s="335"/>
      <c r="D91" s="199">
        <v>-10</v>
      </c>
      <c r="E91" s="450">
        <v>4429</v>
      </c>
      <c r="F91" s="317">
        <v>3.4</v>
      </c>
      <c r="G91" s="450">
        <v>-10</v>
      </c>
      <c r="H91" s="450">
        <v>4274</v>
      </c>
      <c r="I91" s="1012">
        <v>20</v>
      </c>
      <c r="K91" s="5"/>
      <c r="L91" s="5"/>
      <c r="M91" s="5"/>
      <c r="N91" s="5"/>
      <c r="O91" s="5"/>
      <c r="P91" s="5"/>
      <c r="Q91" s="5"/>
      <c r="R91" s="5"/>
      <c r="S91" s="5">
        <v>32</v>
      </c>
      <c r="T91" s="436" t="e">
        <f t="shared" si="21"/>
        <v>#VALUE!</v>
      </c>
      <c r="U91" s="437">
        <f>0.0741-Klimakorr*0.003*(X91/-7)</f>
        <v>7.4099999999999999E-2</v>
      </c>
      <c r="V91" s="438" t="e">
        <f t="shared" si="22"/>
        <v>#VALUE!</v>
      </c>
      <c r="W91" s="1058" t="e">
        <f>IF(BIN,INDEX(BIN!$B$3:$BO$364,4+(Klima-2)*11,S91),IF($M$32&gt;0,ROUND(U91*Heizperiode*$M$31/$M$32,0),ROUND(U91*Heizperiode,0)))</f>
        <v>#VALUE!</v>
      </c>
      <c r="X91" s="439">
        <v>6</v>
      </c>
      <c r="Y91" s="160" t="e">
        <f ca="1">IF(BINkorr,INDEX(Berechnungen!$E$81:$BR$81,1,S91)*IF(OR(Methode_384_3,Z91=0),1,AV91/Z91)/Leistungskorr*(1-Kollektor),W91*$T$130*(1-Kollektor))</f>
        <v>#REF!</v>
      </c>
      <c r="Z91" s="441">
        <f>IF(Heizung,IF(Methode_384_3,INDEX(Berechnungen!$E$79:$BR$79,1,S91),Z90-$Z$77/28),0)</f>
        <v>0</v>
      </c>
      <c r="AA91" s="441" t="e">
        <f t="shared" ca="1" si="31"/>
        <v>#VALUE!</v>
      </c>
      <c r="AB91" s="441">
        <f t="shared" si="32"/>
        <v>0</v>
      </c>
      <c r="AC91" s="441" t="e">
        <f t="shared" ca="1" si="23"/>
        <v>#VALUE!</v>
      </c>
      <c r="AD91" s="425" t="e">
        <f t="shared" ca="1" si="13"/>
        <v>#VALUE!</v>
      </c>
      <c r="AE91" s="423" t="e">
        <f t="shared" ca="1" si="14"/>
        <v>#VALUE!</v>
      </c>
      <c r="AF91" s="160" t="e">
        <f t="shared" ca="1" si="15"/>
        <v>#REF!</v>
      </c>
      <c r="AG91" s="160" t="e">
        <f ca="1">IF($AA$77*SUM($W$60:$W90)/Etaw=BedarfWW,0,MAX(MIN($AA$77*W91/Etaw,BedarfWW-$AA$77*SUM($W$60:$W90)/Etaw),0))</f>
        <v>#VALUE!</v>
      </c>
      <c r="AH91" s="440" t="e">
        <f t="shared" ca="1" si="24"/>
        <v>#REF!</v>
      </c>
      <c r="AI91" s="1056" t="e">
        <f t="shared" si="25"/>
        <v>#VALUE!</v>
      </c>
      <c r="AJ91" s="438" t="e">
        <f t="shared" si="26"/>
        <v>#VALUE!</v>
      </c>
      <c r="AK91" s="444" t="e">
        <f t="shared" ca="1" si="27"/>
        <v>#REF!</v>
      </c>
      <c r="AL91" s="444" t="e">
        <f ca="1">AE91+AD91+IF(Laufzeit_Zusatzheizung&gt;=SUM($Y$60:$Y91),Kesselleistung*$H$45*Y91,0)</f>
        <v>#VALUE!</v>
      </c>
      <c r="AM91" s="426" t="e">
        <f t="shared" si="16"/>
        <v>#VALUE!</v>
      </c>
      <c r="AN91" s="433">
        <f>IF(Neu,INDEX(WP_BIN!$T$80:$CG$80,1,S91),AN90+(AN$92-AN$87)/5)</f>
        <v>0</v>
      </c>
      <c r="AO91" s="445" t="e">
        <f t="shared" ca="1" si="28"/>
        <v>#VALUE!</v>
      </c>
      <c r="AP91" s="445" t="e">
        <f t="shared" ca="1" si="29"/>
        <v>#VALUE!</v>
      </c>
      <c r="AQ91" s="441">
        <f>AQ90+(AQ$92-AQ$87)/5</f>
        <v>0</v>
      </c>
      <c r="AR91" s="444" t="e">
        <f t="shared" si="30"/>
        <v>#VALUE!</v>
      </c>
      <c r="AS91" s="431" t="e">
        <f t="shared" si="17"/>
        <v>#VALUE!</v>
      </c>
      <c r="AT91" s="421">
        <f t="shared" si="18"/>
        <v>0</v>
      </c>
      <c r="AU91" s="421">
        <f t="shared" si="20"/>
        <v>0</v>
      </c>
      <c r="AV91" s="1116" t="e">
        <f ca="1">INDEX(Berechnungen!$E$79:$BR$79,1,S91)</f>
        <v>#REF!</v>
      </c>
      <c r="AW91" s="65">
        <f t="shared" si="19"/>
        <v>6</v>
      </c>
      <c r="AX91" s="162">
        <f>INDEX(WP_BIN!$T$78:$CG$78,1,$S91)</f>
        <v>27.000000000000021</v>
      </c>
      <c r="AY91" s="162" t="e">
        <f>INDEX(WP_BIN!$T$43:$CG$43,1,$S91)</f>
        <v>#DIV/0!</v>
      </c>
      <c r="AZ91" s="480">
        <f>INDEX(WP_BIN!$T$79:$CG$79,1,$S91)</f>
        <v>0</v>
      </c>
      <c r="BA91" s="480">
        <f>INDEX(WP_BIN!$T$86:$CG$86,1,$S91)</f>
        <v>0</v>
      </c>
      <c r="BB91" s="480" t="e">
        <f ca="1">INDEX(WP_BIN!$T$47:$CG$47,1,$S91)</f>
        <v>#DIV/0!</v>
      </c>
      <c r="BC91" s="480">
        <f ca="1">INDEX(WP_BIN!$T$54:$CG$54,1,$S91)</f>
        <v>0</v>
      </c>
      <c r="BE91" s="217"/>
      <c r="DC91" s="5"/>
      <c r="DD91" s="5"/>
      <c r="DE91" s="5"/>
    </row>
    <row r="92" spans="2:109" ht="15.75" hidden="1" customHeight="1" x14ac:dyDescent="0.2">
      <c r="B92" s="335" t="s">
        <v>2130</v>
      </c>
      <c r="C92" s="335"/>
      <c r="D92" s="199">
        <v>-5</v>
      </c>
      <c r="E92" s="450">
        <v>3767</v>
      </c>
      <c r="F92" s="317">
        <v>4.5</v>
      </c>
      <c r="G92" s="450">
        <v>-5</v>
      </c>
      <c r="H92" s="450">
        <v>2799</v>
      </c>
      <c r="I92" s="1012">
        <v>21</v>
      </c>
      <c r="K92" s="5"/>
      <c r="L92" s="5"/>
      <c r="M92" s="5"/>
      <c r="N92" s="5"/>
      <c r="O92" s="5"/>
      <c r="P92" s="5"/>
      <c r="Q92" s="5"/>
      <c r="R92" s="5"/>
      <c r="S92" s="5">
        <v>33</v>
      </c>
      <c r="T92" s="436" t="e">
        <f t="shared" si="21"/>
        <v>#VALUE!</v>
      </c>
      <c r="U92" s="437">
        <f>0.0688-Klimakorr*0.003*(X92/-7)</f>
        <v>6.88E-2</v>
      </c>
      <c r="V92" s="438" t="e">
        <f t="shared" si="22"/>
        <v>#VALUE!</v>
      </c>
      <c r="W92" s="1058" t="e">
        <f>IF(BIN,INDEX(BIN!$B$3:$BO$364,4+(Klima-2)*11,S92),IF($M$32&gt;0,ROUND(U92*Heizperiode*$M$31/$M$32,0),ROUND(U92*Heizperiode,0)))</f>
        <v>#VALUE!</v>
      </c>
      <c r="X92" s="439">
        <v>7</v>
      </c>
      <c r="Y92" s="160" t="e">
        <f ca="1">IF(BINkorr,INDEX(Berechnungen!$E$81:$BR$81,1,S92)*IF(OR(Methode_384_3,Z92=0),1,AV92/Z92)/Leistungskorr*(1-Kollektor),W92*$T$130*(1-Kollektor))</f>
        <v>#REF!</v>
      </c>
      <c r="Z92" s="441">
        <f>IF(Heizung,IF(Methode_384_3,INDEX(Berechnungen!$E$79:$BR$79,1,S92),Z91-$Z$77/28),0)</f>
        <v>0</v>
      </c>
      <c r="AA92" s="441" t="e">
        <f t="shared" ca="1" si="31"/>
        <v>#VALUE!</v>
      </c>
      <c r="AB92" s="442">
        <f t="shared" si="32"/>
        <v>0</v>
      </c>
      <c r="AC92" s="441" t="e">
        <f t="shared" ca="1" si="23"/>
        <v>#VALUE!</v>
      </c>
      <c r="AD92" s="425" t="e">
        <f t="shared" ca="1" si="13"/>
        <v>#VALUE!</v>
      </c>
      <c r="AE92" s="423" t="e">
        <f t="shared" ca="1" si="14"/>
        <v>#VALUE!</v>
      </c>
      <c r="AF92" s="160" t="e">
        <f t="shared" ca="1" si="15"/>
        <v>#REF!</v>
      </c>
      <c r="AG92" s="160" t="e">
        <f ca="1">IF($AA$77*SUM($W$60:$W91)/Etaw=BedarfWW,0,MAX(MIN($AA$77*W92/Etaw,BedarfWW-$AA$77*SUM($W$60:$W91)/Etaw),0))</f>
        <v>#VALUE!</v>
      </c>
      <c r="AH92" s="440" t="e">
        <f t="shared" ca="1" si="24"/>
        <v>#REF!</v>
      </c>
      <c r="AI92" s="1056" t="e">
        <f t="shared" si="25"/>
        <v>#VALUE!</v>
      </c>
      <c r="AJ92" s="438" t="e">
        <f t="shared" si="26"/>
        <v>#VALUE!</v>
      </c>
      <c r="AK92" s="444" t="e">
        <f t="shared" ca="1" si="27"/>
        <v>#REF!</v>
      </c>
      <c r="AL92" s="444" t="e">
        <f ca="1">AE92+AD92+IF(Laufzeit_Zusatzheizung&gt;=SUM($Y$60:$Y125),Kesselleistung*$H$45*Y92,0)</f>
        <v>#VALUE!</v>
      </c>
      <c r="AM92" s="426" t="e">
        <f t="shared" si="16"/>
        <v>#VALUE!</v>
      </c>
      <c r="AN92" s="432">
        <f>IF(Neu,INDEX(WP_BIN!$T$80:$CG$80,1,S92),IF(WPArt=2,IF(V22&gt;0,V22,1),IF(OR(WPArt=3,WPArt=5),IF(W52&gt;0,IF(H33&lt;&gt;0,M41,I32),1),IF(WPArt=4,IF(I27&gt;0,I27,1),)))*(Etah*wh+Etaw*www)*(24-IF(Sperrzeit&lt;&gt;"",Sperrzeit,0))/24)</f>
        <v>0</v>
      </c>
      <c r="AO92" s="445" t="e">
        <f t="shared" ca="1" si="28"/>
        <v>#VALUE!</v>
      </c>
      <c r="AP92" s="445" t="e">
        <f t="shared" ca="1" si="29"/>
        <v>#VALUE!</v>
      </c>
      <c r="AQ92" s="442">
        <f>AN19*(24-IF(Sperrzeit&lt;&gt;"",Sperrzeit,0))/24*(Etah*wh+Etaw*www)</f>
        <v>0</v>
      </c>
      <c r="AR92" s="444" t="e">
        <f t="shared" si="30"/>
        <v>#VALUE!</v>
      </c>
      <c r="AS92" s="431" t="e">
        <f t="shared" si="17"/>
        <v>#VALUE!</v>
      </c>
      <c r="AT92" s="421">
        <f t="shared" si="18"/>
        <v>0</v>
      </c>
      <c r="AU92" s="421">
        <f t="shared" si="20"/>
        <v>0</v>
      </c>
      <c r="AV92" s="1116" t="e">
        <f ca="1">INDEX(Berechnungen!$E$79:$BR$79,1,S92)</f>
        <v>#REF!</v>
      </c>
      <c r="AW92" s="292">
        <f t="shared" si="19"/>
        <v>7</v>
      </c>
      <c r="AX92" s="162">
        <f>INDEX(WP_BIN!$T$78:$CG$78,1,$S92)</f>
        <v>26.928571428571448</v>
      </c>
      <c r="AY92" s="162" t="e">
        <f>INDEX(WP_BIN!$T$43:$CG$43,1,$S92)</f>
        <v>#DIV/0!</v>
      </c>
      <c r="AZ92" s="480">
        <f>INDEX(WP_BIN!$T$79:$CG$79,1,$S92)</f>
        <v>0</v>
      </c>
      <c r="BA92" s="480">
        <f>INDEX(WP_BIN!$T$86:$CG$86,1,$S92)</f>
        <v>0</v>
      </c>
      <c r="BB92" s="480" t="e">
        <f ca="1">INDEX(WP_BIN!$T$47:$CG$47,1,$S92)</f>
        <v>#DIV/0!</v>
      </c>
      <c r="BC92" s="480">
        <f ca="1">INDEX(WP_BIN!$T$54:$CG$54,1,$S92)</f>
        <v>0</v>
      </c>
      <c r="BE92" s="217"/>
      <c r="BF92" s="106"/>
      <c r="DC92" s="5"/>
      <c r="DD92" s="5"/>
      <c r="DE92" s="5"/>
    </row>
    <row r="93" spans="2:109" ht="15.75" hidden="1" customHeight="1" x14ac:dyDescent="0.2">
      <c r="B93" s="335" t="s">
        <v>2356</v>
      </c>
      <c r="C93" s="335"/>
      <c r="D93" s="199">
        <v>-7</v>
      </c>
      <c r="E93" s="450">
        <v>4321</v>
      </c>
      <c r="F93" s="317">
        <v>4.0999999999999996</v>
      </c>
      <c r="G93" s="450">
        <v>-7</v>
      </c>
      <c r="H93" s="450">
        <v>2968</v>
      </c>
      <c r="I93" s="1012">
        <v>22</v>
      </c>
      <c r="K93" s="5"/>
      <c r="L93" s="5"/>
      <c r="M93" s="5"/>
      <c r="N93" s="5"/>
      <c r="O93" s="5"/>
      <c r="P93" s="5"/>
      <c r="Q93" s="5"/>
      <c r="R93" s="5"/>
      <c r="S93" s="5">
        <v>34</v>
      </c>
      <c r="T93" s="419">
        <f t="shared" si="21"/>
        <v>0</v>
      </c>
      <c r="U93" s="164"/>
      <c r="V93" s="421">
        <f t="shared" si="22"/>
        <v>0</v>
      </c>
      <c r="W93" s="1057">
        <f>IF(BIN,INDEX(BIN!$B$3:$BO$364,4+(Klima-2)*11,S93),0)</f>
        <v>0</v>
      </c>
      <c r="X93" s="159">
        <v>8</v>
      </c>
      <c r="Y93" s="160" t="e">
        <f ca="1">IF(BINkorr,INDEX(Berechnungen!$E$81:$BR$81,1,S93)*IF(OR(Methode_384_3,Z93=0),1,AV93/Z93)/Leistungskorr*(1-Kollektor),W93*$T$130*(1-Kollektor))</f>
        <v>#REF!</v>
      </c>
      <c r="Z93" s="161">
        <f>IF(Heizung,IF(Methode_384_3,INDEX(Berechnungen!$E$79:$BR$79,1,S93),IF(IF(Heizung,Z92-$Z$77/28,0)&gt;0,IF(Heizung,Z92-$Z$77/28,0),0)),0)</f>
        <v>0</v>
      </c>
      <c r="AA93" s="161" t="e">
        <f t="shared" ca="1" si="31"/>
        <v>#VALUE!</v>
      </c>
      <c r="AB93" s="161">
        <f t="shared" ref="AB93:AB110" si="34">IF(Bivalenzpunkt&lt;X93,AN93,0)</f>
        <v>0</v>
      </c>
      <c r="AC93" s="161" t="e">
        <f t="shared" ca="1" si="23"/>
        <v>#VALUE!</v>
      </c>
      <c r="AD93" s="425" t="e">
        <f t="shared" ca="1" si="13"/>
        <v>#VALUE!</v>
      </c>
      <c r="AE93" s="423" t="e">
        <f t="shared" ca="1" si="14"/>
        <v>#VALUE!</v>
      </c>
      <c r="AF93" s="160" t="e">
        <f t="shared" ca="1" si="15"/>
        <v>#REF!</v>
      </c>
      <c r="AG93" s="160" t="e">
        <f ca="1">IF($AA$77*SUM($W$60:$W92)/Etaw=BedarfWW,0,MAX(MIN($AA$77*W93/Etaw,BedarfWW-$AA$77*SUM($W$60:$W92)/Etaw),0))</f>
        <v>#VALUE!</v>
      </c>
      <c r="AH93" s="160" t="e">
        <f t="shared" ca="1" si="24"/>
        <v>#REF!</v>
      </c>
      <c r="AI93" s="1053">
        <f t="shared" si="25"/>
        <v>0</v>
      </c>
      <c r="AJ93" s="157">
        <f t="shared" si="26"/>
        <v>0</v>
      </c>
      <c r="AK93" s="162" t="e">
        <f t="shared" ca="1" si="27"/>
        <v>#REF!</v>
      </c>
      <c r="AL93" s="162" t="e">
        <f ca="1">AE93+AD93+IF(Laufzeit_Zusatzheizung&gt;=SUM($Y$60:$Y126),Kesselleistung*$H$45*Y93,0)</f>
        <v>#VALUE!</v>
      </c>
      <c r="AM93" s="426" t="e">
        <f t="shared" ca="1" si="16"/>
        <v>#VALUE!</v>
      </c>
      <c r="AN93" s="669">
        <f>IF(Neu,INDEX(WP_BIN!$T$80:$CG$80,1,S93),AZ93)</f>
        <v>0</v>
      </c>
      <c r="AO93" s="163" t="e">
        <f t="shared" ca="1" si="28"/>
        <v>#VALUE!</v>
      </c>
      <c r="AP93" s="163" t="e">
        <f t="shared" ca="1" si="29"/>
        <v>#VALUE!</v>
      </c>
      <c r="AQ93" s="161">
        <f>AQ92+(AQ$92-AQ$87)/5</f>
        <v>0</v>
      </c>
      <c r="AR93" s="162" t="e">
        <f t="shared" si="30"/>
        <v>#VALUE!</v>
      </c>
      <c r="AS93" s="423">
        <f t="shared" si="17"/>
        <v>0</v>
      </c>
      <c r="AT93" s="421">
        <f t="shared" si="18"/>
        <v>0</v>
      </c>
      <c r="AU93" s="421">
        <f t="shared" si="20"/>
        <v>0</v>
      </c>
      <c r="AV93" s="1116" t="e">
        <f ca="1">INDEX(Berechnungen!$E$79:$BR$79,1,S93)</f>
        <v>#REF!</v>
      </c>
      <c r="AW93" s="65">
        <f t="shared" si="19"/>
        <v>8</v>
      </c>
      <c r="AX93" s="162">
        <f>INDEX(WP_BIN!$T$78:$CG$78,1,$S93)</f>
        <v>26.857142857142875</v>
      </c>
      <c r="AY93" s="162" t="e">
        <f>INDEX(WP_BIN!$T$43:$CG$43,1,$S93)</f>
        <v>#DIV/0!</v>
      </c>
      <c r="AZ93" s="480">
        <f>INDEX(WP_BIN!$T$79:$CG$79,1,$S93)</f>
        <v>0</v>
      </c>
      <c r="BA93" s="480">
        <f>INDEX(WP_BIN!$T$86:$CG$86,1,$S93)</f>
        <v>0</v>
      </c>
      <c r="BB93" s="480" t="e">
        <f ca="1">INDEX(WP_BIN!$T$47:$CG$47,1,$S93)</f>
        <v>#DIV/0!</v>
      </c>
      <c r="BC93" s="480">
        <f ca="1">INDEX(WP_BIN!$T$54:$CG$54,1,$S93)</f>
        <v>0</v>
      </c>
      <c r="BE93" s="217"/>
      <c r="BF93" s="106"/>
      <c r="DC93" s="5"/>
      <c r="DD93" s="5"/>
      <c r="DE93" s="5"/>
    </row>
    <row r="94" spans="2:109" ht="15.75" hidden="1" customHeight="1" x14ac:dyDescent="0.2">
      <c r="B94" s="335" t="s">
        <v>2132</v>
      </c>
      <c r="C94" s="335"/>
      <c r="D94" s="199">
        <v>-8</v>
      </c>
      <c r="E94" s="450">
        <v>5040</v>
      </c>
      <c r="F94" s="317">
        <v>3.7</v>
      </c>
      <c r="G94" s="450">
        <v>-8</v>
      </c>
      <c r="H94" s="450">
        <v>3740</v>
      </c>
      <c r="I94" s="1012">
        <v>23</v>
      </c>
      <c r="K94" s="5"/>
      <c r="L94" s="5"/>
      <c r="M94" s="5"/>
      <c r="N94" s="5"/>
      <c r="O94" s="5"/>
      <c r="P94" s="5"/>
      <c r="Q94" s="5"/>
      <c r="R94" s="5"/>
      <c r="S94" s="5">
        <v>35</v>
      </c>
      <c r="T94" s="419">
        <f t="shared" si="21"/>
        <v>0</v>
      </c>
      <c r="U94" s="164"/>
      <c r="V94" s="421">
        <f t="shared" si="22"/>
        <v>0</v>
      </c>
      <c r="W94" s="1057">
        <f>IF(BIN,INDEX(BIN!$B$3:$BO$364,4+(Klima-2)*11,S94),0)</f>
        <v>0</v>
      </c>
      <c r="X94" s="159">
        <v>9</v>
      </c>
      <c r="Y94" s="160" t="e">
        <f ca="1">IF(BINkorr,INDEX(Berechnungen!$E$81:$BR$81,1,S94)*IF(OR(Methode_384_3,Z94=0),1,AV94/Z94)/Leistungskorr*(1-Kollektor),W94*$T$130*(1-Kollektor))</f>
        <v>#REF!</v>
      </c>
      <c r="Z94" s="161">
        <f>IF(Heizung,IF(Methode_384_3,INDEX(Berechnungen!$E$79:$BR$79,1,S94),IF(IF(Heizung,Z93-$Z$77/28,0)&gt;0,IF(Heizung,Z93-$Z$77/28,0),0)),0)</f>
        <v>0</v>
      </c>
      <c r="AA94" s="161" t="e">
        <f t="shared" ref="AA94:AA125" ca="1" si="35">IF(AG94&gt;0,$AA$77,0)</f>
        <v>#VALUE!</v>
      </c>
      <c r="AB94" s="161">
        <f t="shared" si="34"/>
        <v>0</v>
      </c>
      <c r="AC94" s="161" t="e">
        <f t="shared" ref="AC94:AC125" ca="1" si="36">MAX(Z94+AA94-AB94,0)/Nutzungsgrad</f>
        <v>#VALUE!</v>
      </c>
      <c r="AD94" s="425" t="e">
        <f t="shared" ca="1" si="13"/>
        <v>#VALUE!</v>
      </c>
      <c r="AE94" s="423" t="e">
        <f t="shared" ca="1" si="14"/>
        <v>#VALUE!</v>
      </c>
      <c r="AF94" s="160" t="e">
        <f t="shared" ca="1" si="15"/>
        <v>#REF!</v>
      </c>
      <c r="AG94" s="160" t="e">
        <f ca="1">IF($AA$77*SUM($W$60:$W93)/Etaw=BedarfWW,0,MAX(MIN($AA$77*W94/Etaw,BedarfWW-$AA$77*SUM($W$60:$W93)/Etaw),0))</f>
        <v>#VALUE!</v>
      </c>
      <c r="AH94" s="160" t="e">
        <f t="shared" ref="AH94:AH125" ca="1" si="37">MAX(AF94+AG94-AD94*Nutzungsgrad-AE94*Nutzungsgrad,0)</f>
        <v>#REF!</v>
      </c>
      <c r="AI94" s="1053">
        <f t="shared" ref="AI94:AI125" si="38">MIN(IF(AB94&gt;0,AH94/AB94,0),W94)</f>
        <v>0</v>
      </c>
      <c r="AJ94" s="157">
        <f t="shared" ref="AJ94:AJ125" si="39">Z94*W94</f>
        <v>0</v>
      </c>
      <c r="AK94" s="162" t="e">
        <f t="shared" ref="AK94:AK125" ca="1" si="40">MAX(AF94-AD94*Nutzungsgrad,0)</f>
        <v>#REF!</v>
      </c>
      <c r="AL94" s="162" t="e">
        <f ca="1">AE94+AD94+IF(Laufzeit_Zusatzheizung&gt;=SUM($Y$60:$Y127),Kesselleistung*$H$45*Y94,0)</f>
        <v>#VALUE!</v>
      </c>
      <c r="AM94" s="426" t="e">
        <f t="shared" ca="1" si="16"/>
        <v>#VALUE!</v>
      </c>
      <c r="AN94" s="669">
        <f>IF(Neu,INDEX(WP_BIN!$T$80:$CG$80,1,S94),AZ94)</f>
        <v>0</v>
      </c>
      <c r="AO94" s="163" t="e">
        <f t="shared" ref="AO94:AO125" ca="1" si="41">IF(AE94&gt;AM94,AE94-AM94,0)</f>
        <v>#VALUE!</v>
      </c>
      <c r="AP94" s="163" t="e">
        <f t="shared" ref="AP94:AP125" ca="1" si="42">AL94-AM94-AO94</f>
        <v>#VALUE!</v>
      </c>
      <c r="AQ94" s="161">
        <f t="shared" ref="AQ94:AQ125" si="43">AQ93+(AQ$92-AQ$87)/5</f>
        <v>0</v>
      </c>
      <c r="AR94" s="162" t="e">
        <f t="shared" ref="AR94:AR125" si="44">W94*$T$130</f>
        <v>#VALUE!</v>
      </c>
      <c r="AS94" s="423">
        <f t="shared" si="17"/>
        <v>0</v>
      </c>
      <c r="AT94" s="421">
        <f t="shared" si="18"/>
        <v>0</v>
      </c>
      <c r="AU94" s="421">
        <f t="shared" si="20"/>
        <v>0</v>
      </c>
      <c r="AV94" s="1116" t="e">
        <f ca="1">INDEX(Berechnungen!$E$79:$BR$79,1,S94)</f>
        <v>#REF!</v>
      </c>
      <c r="AW94" s="65">
        <f t="shared" si="19"/>
        <v>9</v>
      </c>
      <c r="AX94" s="162">
        <f>INDEX(WP_BIN!$T$78:$CG$78,1,$S94)</f>
        <v>26.785714285714302</v>
      </c>
      <c r="AY94" s="162" t="e">
        <f>INDEX(WP_BIN!$T$43:$CG$43,1,$S94)</f>
        <v>#DIV/0!</v>
      </c>
      <c r="AZ94" s="480">
        <f>INDEX(WP_BIN!$T$79:$CG$79,1,$S94)</f>
        <v>0</v>
      </c>
      <c r="BA94" s="480">
        <f>INDEX(WP_BIN!$T$86:$CG$86,1,$S94)</f>
        <v>0</v>
      </c>
      <c r="BB94" s="480" t="e">
        <f ca="1">INDEX(WP_BIN!$T$47:$CG$47,1,$S94)</f>
        <v>#DIV/0!</v>
      </c>
      <c r="BC94" s="480">
        <f ca="1">INDEX(WP_BIN!$T$54:$CG$54,1,$S94)</f>
        <v>0</v>
      </c>
      <c r="BE94" s="217"/>
      <c r="DC94" s="5"/>
      <c r="DD94" s="5"/>
      <c r="DE94" s="5"/>
    </row>
    <row r="95" spans="2:109" ht="15.75" hidden="1" customHeight="1" x14ac:dyDescent="0.2">
      <c r="B95" s="335" t="s">
        <v>2357</v>
      </c>
      <c r="C95" s="335"/>
      <c r="D95" s="199">
        <v>-18</v>
      </c>
      <c r="E95" s="450">
        <v>4018</v>
      </c>
      <c r="F95" s="317">
        <v>1.2</v>
      </c>
      <c r="G95" s="450">
        <v>-18</v>
      </c>
      <c r="H95" s="450">
        <v>6121</v>
      </c>
      <c r="I95" s="1012">
        <v>24</v>
      </c>
      <c r="K95" s="5"/>
      <c r="L95" s="5"/>
      <c r="M95" s="5"/>
      <c r="N95" s="5"/>
      <c r="O95" s="5"/>
      <c r="P95" s="5"/>
      <c r="Q95" s="5"/>
      <c r="R95" s="5"/>
      <c r="S95" s="5">
        <v>36</v>
      </c>
      <c r="T95" s="419">
        <f t="shared" si="21"/>
        <v>0</v>
      </c>
      <c r="U95" s="164"/>
      <c r="V95" s="421">
        <f t="shared" si="22"/>
        <v>0</v>
      </c>
      <c r="W95" s="1057">
        <f>IF(BIN,INDEX(BIN!$B$3:$BO$364,4+(Klima-2)*11,S95),0)</f>
        <v>0</v>
      </c>
      <c r="X95" s="159">
        <v>10</v>
      </c>
      <c r="Y95" s="160" t="e">
        <f ca="1">IF(BINkorr,INDEX(Berechnungen!$E$81:$BR$81,1,S95)*IF(OR(Methode_384_3,Z95=0),1,AV95/Z95)/Leistungskorr*(1-Kollektor),W95*$T$130*(1-Kollektor))</f>
        <v>#REF!</v>
      </c>
      <c r="Z95" s="161">
        <f>IF(Heizung,IF(Methode_384_3,INDEX(Berechnungen!$E$79:$BR$79,1,S95),IF(IF(Heizung,Z94-$Z$77/28,0)&gt;0,IF(Heizung,Z94-$Z$77/28,0),0)),0)</f>
        <v>0</v>
      </c>
      <c r="AA95" s="161" t="e">
        <f t="shared" ca="1" si="35"/>
        <v>#VALUE!</v>
      </c>
      <c r="AB95" s="161">
        <f t="shared" si="34"/>
        <v>0</v>
      </c>
      <c r="AC95" s="161" t="e">
        <f t="shared" ca="1" si="36"/>
        <v>#VALUE!</v>
      </c>
      <c r="AD95" s="425" t="e">
        <f t="shared" ca="1" si="13"/>
        <v>#VALUE!</v>
      </c>
      <c r="AE95" s="423" t="e">
        <f t="shared" ca="1" si="14"/>
        <v>#VALUE!</v>
      </c>
      <c r="AF95" s="160" t="e">
        <f t="shared" ca="1" si="15"/>
        <v>#REF!</v>
      </c>
      <c r="AG95" s="160" t="e">
        <f ca="1">IF($AA$77*SUM($W$60:$W94)/Etaw=BedarfWW,0,MAX(MIN($AA$77*W95/Etaw,BedarfWW-$AA$77*SUM($W$60:$W94)/Etaw),0))</f>
        <v>#VALUE!</v>
      </c>
      <c r="AH95" s="160" t="e">
        <f ca="1">MAX(AF95+AG95-AD95*Nutzungsgrad-AE95*Nutzungsgrad,0)</f>
        <v>#REF!</v>
      </c>
      <c r="AI95" s="1053">
        <f>MIN(IF(AB95&gt;0,AH95/AB95,0),W95)</f>
        <v>0</v>
      </c>
      <c r="AJ95" s="157">
        <f t="shared" si="39"/>
        <v>0</v>
      </c>
      <c r="AK95" s="162" t="e">
        <f t="shared" ca="1" si="40"/>
        <v>#REF!</v>
      </c>
      <c r="AL95" s="162" t="e">
        <f ca="1">AE95+AD95+IF(Laufzeit_Zusatzheizung&gt;=SUM($Y$60:$Y128),Kesselleistung*$H$45*Y95,0)</f>
        <v>#VALUE!</v>
      </c>
      <c r="AM95" s="426" t="e">
        <f t="shared" ca="1" si="16"/>
        <v>#VALUE!</v>
      </c>
      <c r="AN95" s="669">
        <f>IF(Neu,INDEX(WP_BIN!$T$80:$CG$80,1,S95),AZ95)</f>
        <v>0</v>
      </c>
      <c r="AO95" s="163" t="e">
        <f t="shared" ca="1" si="41"/>
        <v>#VALUE!</v>
      </c>
      <c r="AP95" s="163" t="e">
        <f t="shared" ca="1" si="42"/>
        <v>#VALUE!</v>
      </c>
      <c r="AQ95" s="161">
        <f t="shared" si="43"/>
        <v>0</v>
      </c>
      <c r="AR95" s="162" t="e">
        <f t="shared" si="44"/>
        <v>#VALUE!</v>
      </c>
      <c r="AS95" s="423">
        <f t="shared" si="17"/>
        <v>0</v>
      </c>
      <c r="AT95" s="421">
        <f t="shared" si="18"/>
        <v>0</v>
      </c>
      <c r="AU95" s="421">
        <f t="shared" si="20"/>
        <v>0</v>
      </c>
      <c r="AV95" s="1116" t="e">
        <f ca="1">INDEX(Berechnungen!$E$79:$BR$79,1,S95)</f>
        <v>#REF!</v>
      </c>
      <c r="AW95" s="65">
        <f t="shared" si="19"/>
        <v>10</v>
      </c>
      <c r="AX95" s="162">
        <f>INDEX(WP_BIN!$T$78:$CG$78,1,$S95)</f>
        <v>26.71428571428573</v>
      </c>
      <c r="AY95" s="162" t="e">
        <f>INDEX(WP_BIN!$T$43:$CG$43,1,$S95)</f>
        <v>#DIV/0!</v>
      </c>
      <c r="AZ95" s="480">
        <f>INDEX(WP_BIN!$T$79:$CG$79,1,$S95)</f>
        <v>0</v>
      </c>
      <c r="BA95" s="480">
        <f>INDEX(WP_BIN!$T$86:$CG$86,1,$S95)</f>
        <v>0</v>
      </c>
      <c r="BB95" s="480" t="e">
        <f ca="1">INDEX(WP_BIN!$T$47:$CG$47,1,$S95)</f>
        <v>#DIV/0!</v>
      </c>
      <c r="BC95" s="480">
        <f ca="1">INDEX(WP_BIN!$T$54:$CG$54,1,$S95)</f>
        <v>0</v>
      </c>
      <c r="BE95" s="217"/>
      <c r="BF95" s="106"/>
      <c r="DC95" s="5"/>
      <c r="DD95" s="5"/>
      <c r="DE95" s="5"/>
    </row>
    <row r="96" spans="2:109" ht="15.75" hidden="1" customHeight="1" x14ac:dyDescent="0.2">
      <c r="B96" s="335" t="s">
        <v>2358</v>
      </c>
      <c r="C96" s="335"/>
      <c r="D96" s="199">
        <v>-11</v>
      </c>
      <c r="E96" s="450">
        <v>4223</v>
      </c>
      <c r="F96" s="317">
        <v>3.3</v>
      </c>
      <c r="G96" s="450">
        <v>-11</v>
      </c>
      <c r="H96" s="450">
        <v>5132</v>
      </c>
      <c r="I96" s="1012">
        <v>25</v>
      </c>
      <c r="K96" s="5"/>
      <c r="L96" s="5"/>
      <c r="M96" s="5"/>
      <c r="N96" s="5"/>
      <c r="O96" s="5"/>
      <c r="P96" s="5"/>
      <c r="Q96" s="5"/>
      <c r="R96" s="5"/>
      <c r="S96" s="5">
        <v>37</v>
      </c>
      <c r="T96" s="419">
        <f t="shared" ref="T96:T125" si="45">W96*Z96</f>
        <v>0</v>
      </c>
      <c r="U96" s="164"/>
      <c r="V96" s="421">
        <f t="shared" ref="V96:V125" si="46">Z96*W96</f>
        <v>0</v>
      </c>
      <c r="W96" s="1057">
        <f>IF(BIN,INDEX(BIN!$B$3:$BO$364,4+(Klima-2)*11,S96),0)</f>
        <v>0</v>
      </c>
      <c r="X96" s="159">
        <v>11</v>
      </c>
      <c r="Y96" s="160" t="e">
        <f ca="1">IF(BINkorr,INDEX(Berechnungen!$E$81:$BR$81,1,S96)*IF(OR(Methode_384_3,Z96=0),1,AV96/Z96)/Leistungskorr*(1-Kollektor),W96*$T$130*(1-Kollektor))</f>
        <v>#REF!</v>
      </c>
      <c r="Z96" s="161">
        <f>IF(Heizung,IF(Methode_384_3,INDEX(Berechnungen!$E$79:$BR$79,1,S96),IF(IF(Heizung,Z95-$Z$77/28,0)&gt;0,IF(Heizung,Z95-$Z$77/28,0),0)),0)</f>
        <v>0</v>
      </c>
      <c r="AA96" s="161" t="e">
        <f t="shared" ca="1" si="35"/>
        <v>#VALUE!</v>
      </c>
      <c r="AB96" s="161">
        <f t="shared" si="34"/>
        <v>0</v>
      </c>
      <c r="AC96" s="161" t="e">
        <f t="shared" ca="1" si="36"/>
        <v>#VALUE!</v>
      </c>
      <c r="AD96" s="425" t="e">
        <f t="shared" ca="1" si="13"/>
        <v>#VALUE!</v>
      </c>
      <c r="AE96" s="423" t="e">
        <f t="shared" ca="1" si="14"/>
        <v>#VALUE!</v>
      </c>
      <c r="AF96" s="160" t="e">
        <f t="shared" ca="1" si="15"/>
        <v>#REF!</v>
      </c>
      <c r="AG96" s="160" t="e">
        <f ca="1">IF($AA$77*SUM($W$60:$W95)/Etaw=BedarfWW,0,MAX(MIN($AA$77*W96/Etaw,BedarfWW-$AA$77*SUM($W$60:$W95)/Etaw),0))</f>
        <v>#VALUE!</v>
      </c>
      <c r="AH96" s="160" t="e">
        <f t="shared" ca="1" si="37"/>
        <v>#REF!</v>
      </c>
      <c r="AI96" s="1053">
        <f t="shared" si="38"/>
        <v>0</v>
      </c>
      <c r="AJ96" s="157">
        <f t="shared" si="39"/>
        <v>0</v>
      </c>
      <c r="AK96" s="162" t="e">
        <f t="shared" ca="1" si="40"/>
        <v>#REF!</v>
      </c>
      <c r="AL96" s="162" t="e">
        <f ca="1">AE96+AD96+IF(Laufzeit_Zusatzheizung&gt;=SUM($Y$60:$Y129),Kesselleistung*$H$45*Y96,0)</f>
        <v>#VALUE!</v>
      </c>
      <c r="AM96" s="426" t="e">
        <f t="shared" ca="1" si="16"/>
        <v>#VALUE!</v>
      </c>
      <c r="AN96" s="669">
        <f>IF(Neu,INDEX(WP_BIN!$T$80:$CG$80,1,S96),AZ96)</f>
        <v>0</v>
      </c>
      <c r="AO96" s="163" t="e">
        <f t="shared" ca="1" si="41"/>
        <v>#VALUE!</v>
      </c>
      <c r="AP96" s="163" t="e">
        <f t="shared" ca="1" si="42"/>
        <v>#VALUE!</v>
      </c>
      <c r="AQ96" s="161">
        <f t="shared" si="43"/>
        <v>0</v>
      </c>
      <c r="AR96" s="162" t="e">
        <f t="shared" si="44"/>
        <v>#VALUE!</v>
      </c>
      <c r="AS96" s="423">
        <f t="shared" si="17"/>
        <v>0</v>
      </c>
      <c r="AT96" s="421">
        <f t="shared" si="18"/>
        <v>0</v>
      </c>
      <c r="AU96" s="421">
        <f t="shared" si="20"/>
        <v>0</v>
      </c>
      <c r="AV96" s="1116" t="e">
        <f ca="1">INDEX(Berechnungen!$E$79:$BR$79,1,S96)</f>
        <v>#REF!</v>
      </c>
      <c r="AW96" s="65">
        <f t="shared" si="19"/>
        <v>11</v>
      </c>
      <c r="AX96" s="162">
        <f>INDEX(WP_BIN!$T$78:$CG$78,1,$S96)</f>
        <v>26.642857142857157</v>
      </c>
      <c r="AY96" s="162" t="e">
        <f>INDEX(WP_BIN!$T$43:$CG$43,1,$S96)</f>
        <v>#DIV/0!</v>
      </c>
      <c r="AZ96" s="480">
        <f>INDEX(WP_BIN!$T$79:$CG$79,1,$S96)</f>
        <v>0</v>
      </c>
      <c r="BA96" s="480">
        <f>INDEX(WP_BIN!$T$86:$CG$86,1,$S96)</f>
        <v>0</v>
      </c>
      <c r="BB96" s="480" t="e">
        <f ca="1">INDEX(WP_BIN!$T$47:$CG$47,1,$S96)</f>
        <v>#DIV/0!</v>
      </c>
      <c r="BC96" s="480">
        <f ca="1">INDEX(WP_BIN!$T$54:$CG$54,1,$S96)</f>
        <v>0</v>
      </c>
      <c r="BE96" s="217"/>
      <c r="DC96" s="5"/>
      <c r="DD96" s="5"/>
    </row>
    <row r="97" spans="2:108" ht="15.75" hidden="1" customHeight="1" x14ac:dyDescent="0.2">
      <c r="B97" s="335" t="s">
        <v>3891</v>
      </c>
      <c r="C97" s="335"/>
      <c r="D97" s="199">
        <v>-9</v>
      </c>
      <c r="E97" s="450">
        <v>4017</v>
      </c>
      <c r="F97" s="317">
        <v>3.9</v>
      </c>
      <c r="G97" s="450">
        <v>-9</v>
      </c>
      <c r="H97" s="450">
        <v>3483</v>
      </c>
      <c r="I97" s="1012">
        <v>26</v>
      </c>
      <c r="K97" s="5"/>
      <c r="L97" s="5"/>
      <c r="M97" s="5"/>
      <c r="N97" s="5"/>
      <c r="O97" s="5"/>
      <c r="P97" s="5"/>
      <c r="Q97" s="5"/>
      <c r="R97" s="5"/>
      <c r="S97" s="5">
        <v>38</v>
      </c>
      <c r="T97" s="419">
        <f t="shared" si="45"/>
        <v>0</v>
      </c>
      <c r="U97" s="164"/>
      <c r="V97" s="421">
        <f t="shared" si="46"/>
        <v>0</v>
      </c>
      <c r="W97" s="1057">
        <f>IF(BIN,INDEX(BIN!$B$3:$BO$364,4+(Klima-2)*11,S97),0)</f>
        <v>0</v>
      </c>
      <c r="X97" s="159">
        <v>12</v>
      </c>
      <c r="Y97" s="160" t="e">
        <f ca="1">IF(BINkorr,INDEX(Berechnungen!$E$81:$BR$81,1,S97)*IF(OR(Methode_384_3,Z97=0),1,AV97/Z97)/Leistungskorr*(1-Kollektor),W97*$T$130*(1-Kollektor))</f>
        <v>#REF!</v>
      </c>
      <c r="Z97" s="161">
        <f>IF(Heizung,IF(Methode_384_3,INDEX(Berechnungen!$E$79:$BR$79,1,S97),IF(IF(Heizung,Z96-$Z$77/28,0)&gt;0,IF(Heizung,Z96-$Z$77/28,0),0)),0)</f>
        <v>0</v>
      </c>
      <c r="AA97" s="161" t="e">
        <f t="shared" ca="1" si="35"/>
        <v>#VALUE!</v>
      </c>
      <c r="AB97" s="161">
        <f t="shared" si="34"/>
        <v>0</v>
      </c>
      <c r="AC97" s="161" t="e">
        <f t="shared" ca="1" si="36"/>
        <v>#VALUE!</v>
      </c>
      <c r="AD97" s="425" t="e">
        <f t="shared" ca="1" si="13"/>
        <v>#VALUE!</v>
      </c>
      <c r="AE97" s="423" t="e">
        <f t="shared" ca="1" si="14"/>
        <v>#VALUE!</v>
      </c>
      <c r="AF97" s="160" t="e">
        <f t="shared" ca="1" si="15"/>
        <v>#REF!</v>
      </c>
      <c r="AG97" s="160" t="e">
        <f ca="1">IF($AA$77*SUM($W$60:$W96)/Etaw=BedarfWW,0,MAX(MIN($AA$77*W97/Etaw,BedarfWW-$AA$77*SUM($W$60:$W96)/Etaw),0))</f>
        <v>#VALUE!</v>
      </c>
      <c r="AH97" s="160" t="e">
        <f t="shared" ca="1" si="37"/>
        <v>#REF!</v>
      </c>
      <c r="AI97" s="1053">
        <f t="shared" si="38"/>
        <v>0</v>
      </c>
      <c r="AJ97" s="157">
        <f t="shared" si="39"/>
        <v>0</v>
      </c>
      <c r="AK97" s="162" t="e">
        <f t="shared" ca="1" si="40"/>
        <v>#REF!</v>
      </c>
      <c r="AL97" s="162" t="e">
        <f ca="1">AE97+AD97+IF(Laufzeit_Zusatzheizung&gt;=SUM($Y$60:$Y130),Kesselleistung*$H$45*Y97,0)</f>
        <v>#VALUE!</v>
      </c>
      <c r="AM97" s="426" t="e">
        <f t="shared" ca="1" si="16"/>
        <v>#VALUE!</v>
      </c>
      <c r="AN97" s="669">
        <f>IF(Neu,INDEX(WP_BIN!$T$80:$CG$80,1,S97),AZ97)</f>
        <v>0</v>
      </c>
      <c r="AO97" s="163" t="e">
        <f t="shared" ca="1" si="41"/>
        <v>#VALUE!</v>
      </c>
      <c r="AP97" s="163" t="e">
        <f t="shared" ca="1" si="42"/>
        <v>#VALUE!</v>
      </c>
      <c r="AQ97" s="161">
        <f t="shared" si="43"/>
        <v>0</v>
      </c>
      <c r="AR97" s="162" t="e">
        <f t="shared" si="44"/>
        <v>#VALUE!</v>
      </c>
      <c r="AS97" s="423">
        <f t="shared" si="17"/>
        <v>0</v>
      </c>
      <c r="AT97" s="421">
        <f t="shared" si="18"/>
        <v>0</v>
      </c>
      <c r="AU97" s="421">
        <f t="shared" si="20"/>
        <v>0</v>
      </c>
      <c r="AV97" s="1116" t="e">
        <f ca="1">INDEX(Berechnungen!$E$79:$BR$79,1,S97)</f>
        <v>#REF!</v>
      </c>
      <c r="AW97" s="65">
        <f t="shared" si="19"/>
        <v>12</v>
      </c>
      <c r="AX97" s="162">
        <f>INDEX(WP_BIN!$T$78:$CG$78,1,$S97)</f>
        <v>26.571428571428584</v>
      </c>
      <c r="AY97" s="162" t="e">
        <f>INDEX(WP_BIN!$T$43:$CG$43,1,$S97)</f>
        <v>#DIV/0!</v>
      </c>
      <c r="AZ97" s="480">
        <f>INDEX(WP_BIN!$T$79:$CG$79,1,$S97)</f>
        <v>0</v>
      </c>
      <c r="BA97" s="480">
        <f>INDEX(WP_BIN!$T$86:$CG$86,1,$S97)</f>
        <v>0</v>
      </c>
      <c r="BB97" s="480" t="e">
        <f ca="1">INDEX(WP_BIN!$T$47:$CG$47,1,$S97)</f>
        <v>#DIV/0!</v>
      </c>
      <c r="BC97" s="480">
        <f ca="1">INDEX(WP_BIN!$T$54:$CG$54,1,$S97)</f>
        <v>0</v>
      </c>
      <c r="BE97" s="217"/>
      <c r="BF97" s="106"/>
      <c r="DC97" s="5"/>
      <c r="DD97" s="5"/>
    </row>
    <row r="98" spans="2:108" ht="15.75" hidden="1" customHeight="1" x14ac:dyDescent="0.2">
      <c r="B98" s="335" t="s">
        <v>2133</v>
      </c>
      <c r="C98" s="335"/>
      <c r="D98" s="199">
        <v>-8</v>
      </c>
      <c r="E98" s="450">
        <v>4468</v>
      </c>
      <c r="F98" s="317">
        <v>4</v>
      </c>
      <c r="G98" s="450">
        <v>-8</v>
      </c>
      <c r="H98" s="450">
        <v>3310</v>
      </c>
      <c r="I98" s="1012">
        <v>27</v>
      </c>
      <c r="K98" s="5"/>
      <c r="L98" s="5"/>
      <c r="M98" s="5"/>
      <c r="N98" s="5"/>
      <c r="O98" s="5"/>
      <c r="P98" s="5"/>
      <c r="Q98" s="5"/>
      <c r="R98" s="5"/>
      <c r="S98" s="5">
        <v>39</v>
      </c>
      <c r="T98" s="419">
        <f t="shared" si="45"/>
        <v>0</v>
      </c>
      <c r="U98" s="164"/>
      <c r="V98" s="421">
        <f t="shared" si="46"/>
        <v>0</v>
      </c>
      <c r="W98" s="1057">
        <f>IF(BIN,INDEX(BIN!$B$3:$BO$364,4+(Klima-2)*11,S98),0)</f>
        <v>0</v>
      </c>
      <c r="X98" s="159">
        <v>13</v>
      </c>
      <c r="Y98" s="160" t="e">
        <f ca="1">IF(BINkorr,INDEX(Berechnungen!$E$81:$BR$81,1,S98)*IF(OR(Methode_384_3,Z98=0),1,AV98/Z98)/Leistungskorr*(1-Kollektor),W98*$T$130*(1-Kollektor))</f>
        <v>#REF!</v>
      </c>
      <c r="Z98" s="161">
        <f>IF(Heizung,IF(Methode_384_3,INDEX(Berechnungen!$E$79:$BR$79,1,S98),IF(IF(Heizung,Z97-$Z$77/28,0)&gt;0,IF(Heizung,Z97-$Z$77/28,0),0)),0)</f>
        <v>0</v>
      </c>
      <c r="AA98" s="161" t="e">
        <f t="shared" ca="1" si="35"/>
        <v>#VALUE!</v>
      </c>
      <c r="AB98" s="161">
        <f t="shared" si="34"/>
        <v>0</v>
      </c>
      <c r="AC98" s="161" t="e">
        <f t="shared" ca="1" si="36"/>
        <v>#VALUE!</v>
      </c>
      <c r="AD98" s="425" t="e">
        <f t="shared" ca="1" si="13"/>
        <v>#VALUE!</v>
      </c>
      <c r="AE98" s="423" t="e">
        <f t="shared" ca="1" si="14"/>
        <v>#VALUE!</v>
      </c>
      <c r="AF98" s="160" t="e">
        <f t="shared" ca="1" si="15"/>
        <v>#REF!</v>
      </c>
      <c r="AG98" s="160" t="e">
        <f ca="1">IF($AA$77*SUM($W$60:$W97)/Etaw=BedarfWW,0,MAX(MIN($AA$77*W98/Etaw,BedarfWW-$AA$77*SUM($W$60:$W97)/Etaw),0))</f>
        <v>#VALUE!</v>
      </c>
      <c r="AH98" s="160" t="e">
        <f t="shared" ca="1" si="37"/>
        <v>#REF!</v>
      </c>
      <c r="AI98" s="1053">
        <f t="shared" si="38"/>
        <v>0</v>
      </c>
      <c r="AJ98" s="157">
        <f t="shared" si="39"/>
        <v>0</v>
      </c>
      <c r="AK98" s="162" t="e">
        <f t="shared" ca="1" si="40"/>
        <v>#REF!</v>
      </c>
      <c r="AL98" s="162" t="e">
        <f ca="1">AE98+AD98+IF(Laufzeit_Zusatzheizung&gt;=SUM($Y$60:$Y131),Kesselleistung*$H$45*Y98,0)</f>
        <v>#VALUE!</v>
      </c>
      <c r="AM98" s="426" t="e">
        <f t="shared" ca="1" si="16"/>
        <v>#VALUE!</v>
      </c>
      <c r="AN98" s="669">
        <f>IF(Neu,INDEX(WP_BIN!$T$80:$CG$80,1,S98),AZ98)</f>
        <v>0</v>
      </c>
      <c r="AO98" s="163" t="e">
        <f t="shared" ca="1" si="41"/>
        <v>#VALUE!</v>
      </c>
      <c r="AP98" s="163" t="e">
        <f t="shared" ca="1" si="42"/>
        <v>#VALUE!</v>
      </c>
      <c r="AQ98" s="161">
        <f t="shared" si="43"/>
        <v>0</v>
      </c>
      <c r="AR98" s="162" t="e">
        <f t="shared" si="44"/>
        <v>#VALUE!</v>
      </c>
      <c r="AS98" s="423">
        <f t="shared" si="17"/>
        <v>0</v>
      </c>
      <c r="AT98" s="421">
        <f t="shared" si="18"/>
        <v>0</v>
      </c>
      <c r="AU98" s="421">
        <f t="shared" si="20"/>
        <v>0</v>
      </c>
      <c r="AV98" s="1116" t="e">
        <f ca="1">INDEX(Berechnungen!$E$79:$BR$79,1,S98)</f>
        <v>#REF!</v>
      </c>
      <c r="AW98" s="65">
        <f t="shared" si="19"/>
        <v>13</v>
      </c>
      <c r="AX98" s="162">
        <f>INDEX(WP_BIN!$T$78:$CG$78,1,$S98)</f>
        <v>26.500000000000011</v>
      </c>
      <c r="AY98" s="162" t="e">
        <f>INDEX(WP_BIN!$T$43:$CG$43,1,$S98)</f>
        <v>#DIV/0!</v>
      </c>
      <c r="AZ98" s="480">
        <f>INDEX(WP_BIN!$T$79:$CG$79,1,$S98)</f>
        <v>0</v>
      </c>
      <c r="BA98" s="480">
        <f>INDEX(WP_BIN!$T$86:$CG$86,1,$S98)</f>
        <v>0</v>
      </c>
      <c r="BB98" s="480" t="e">
        <f ca="1">INDEX(WP_BIN!$T$47:$CG$47,1,$S98)</f>
        <v>#DIV/0!</v>
      </c>
      <c r="BC98" s="480">
        <f ca="1">INDEX(WP_BIN!$T$54:$CG$54,1,$S98)</f>
        <v>0</v>
      </c>
      <c r="BE98" s="217"/>
      <c r="DC98" s="5"/>
      <c r="DD98" s="5"/>
    </row>
    <row r="99" spans="2:108" ht="15.75" hidden="1" customHeight="1" x14ac:dyDescent="0.2">
      <c r="B99" s="335" t="s">
        <v>197</v>
      </c>
      <c r="C99" s="335"/>
      <c r="D99" s="199">
        <v>-12</v>
      </c>
      <c r="E99" s="450">
        <v>4317</v>
      </c>
      <c r="F99" s="317">
        <v>2</v>
      </c>
      <c r="G99" s="450">
        <v>-12</v>
      </c>
      <c r="H99" s="450">
        <v>4158</v>
      </c>
      <c r="I99" s="1012">
        <v>28</v>
      </c>
      <c r="K99" s="5"/>
      <c r="L99" s="5"/>
      <c r="M99" s="5"/>
      <c r="N99" s="5"/>
      <c r="O99" s="5"/>
      <c r="P99" s="5"/>
      <c r="Q99" s="5"/>
      <c r="R99" s="5"/>
      <c r="S99" s="5">
        <v>40</v>
      </c>
      <c r="T99" s="419">
        <f t="shared" si="45"/>
        <v>0</v>
      </c>
      <c r="U99" s="164"/>
      <c r="V99" s="421">
        <f t="shared" si="46"/>
        <v>0</v>
      </c>
      <c r="W99" s="1057">
        <f>IF(BIN,INDEX(BIN!$B$3:$BO$364,4+(Klima-2)*11,S99),0)</f>
        <v>0</v>
      </c>
      <c r="X99" s="159">
        <v>14</v>
      </c>
      <c r="Y99" s="160" t="e">
        <f ca="1">IF(BINkorr,INDEX(Berechnungen!$E$81:$BR$81,1,S99)*IF(OR(Methode_384_3,Z99=0),1,AV99/Z99)/Leistungskorr*(1-Kollektor),W99*$T$130*(1-Kollektor))</f>
        <v>#REF!</v>
      </c>
      <c r="Z99" s="161">
        <f>IF(Heizung,IF(Methode_384_3,INDEX(Berechnungen!$E$79:$BR$79,1,S99),IF(IF(Heizung,Z98-$Z$77/28,0)&gt;0,IF(Heizung,Z98-$Z$77/28,0),0)),0)</f>
        <v>0</v>
      </c>
      <c r="AA99" s="161" t="e">
        <f t="shared" ca="1" si="35"/>
        <v>#VALUE!</v>
      </c>
      <c r="AB99" s="161">
        <f t="shared" si="34"/>
        <v>0</v>
      </c>
      <c r="AC99" s="161" t="e">
        <f t="shared" ca="1" si="36"/>
        <v>#VALUE!</v>
      </c>
      <c r="AD99" s="425" t="e">
        <f t="shared" ca="1" si="13"/>
        <v>#VALUE!</v>
      </c>
      <c r="AE99" s="423" t="e">
        <f t="shared" ca="1" si="14"/>
        <v>#VALUE!</v>
      </c>
      <c r="AF99" s="160" t="e">
        <f t="shared" ca="1" si="15"/>
        <v>#REF!</v>
      </c>
      <c r="AG99" s="160" t="e">
        <f ca="1">IF($AA$77*SUM($W$60:$W98)/Etaw=BedarfWW,0,MAX(MIN($AA$77*W99/Etaw,BedarfWW-$AA$77*SUM($W$60:$W98)/Etaw),0))</f>
        <v>#VALUE!</v>
      </c>
      <c r="AH99" s="160" t="e">
        <f t="shared" ca="1" si="37"/>
        <v>#REF!</v>
      </c>
      <c r="AI99" s="1053">
        <f t="shared" si="38"/>
        <v>0</v>
      </c>
      <c r="AJ99" s="157">
        <f t="shared" si="39"/>
        <v>0</v>
      </c>
      <c r="AK99" s="162" t="e">
        <f t="shared" ca="1" si="40"/>
        <v>#REF!</v>
      </c>
      <c r="AL99" s="162" t="e">
        <f ca="1">AE99+AD99+IF(Laufzeit_Zusatzheizung&gt;=SUM($Y$60:$Y132),Kesselleistung*$H$45*Y99,0)</f>
        <v>#VALUE!</v>
      </c>
      <c r="AM99" s="426" t="e">
        <f t="shared" ca="1" si="16"/>
        <v>#VALUE!</v>
      </c>
      <c r="AN99" s="669">
        <f>IF(Neu,INDEX(WP_BIN!$T$80:$CG$80,1,S99),AZ99)</f>
        <v>0</v>
      </c>
      <c r="AO99" s="163" t="e">
        <f t="shared" ca="1" si="41"/>
        <v>#VALUE!</v>
      </c>
      <c r="AP99" s="163" t="e">
        <f t="shared" ca="1" si="42"/>
        <v>#VALUE!</v>
      </c>
      <c r="AQ99" s="161">
        <f t="shared" si="43"/>
        <v>0</v>
      </c>
      <c r="AR99" s="162" t="e">
        <f t="shared" si="44"/>
        <v>#VALUE!</v>
      </c>
      <c r="AS99" s="423">
        <f t="shared" si="17"/>
        <v>0</v>
      </c>
      <c r="AT99" s="421">
        <f t="shared" si="18"/>
        <v>0</v>
      </c>
      <c r="AU99" s="421">
        <f t="shared" si="20"/>
        <v>0</v>
      </c>
      <c r="AV99" s="1116" t="e">
        <f ca="1">INDEX(Berechnungen!$E$79:$BR$79,1,S99)</f>
        <v>#REF!</v>
      </c>
      <c r="AW99" s="65">
        <f t="shared" si="19"/>
        <v>14</v>
      </c>
      <c r="AX99" s="162">
        <f>INDEX(WP_BIN!$T$78:$CG$78,1,$S99)</f>
        <v>26.428571428571438</v>
      </c>
      <c r="AY99" s="162" t="e">
        <f>INDEX(WP_BIN!$T$43:$CG$43,1,$S99)</f>
        <v>#DIV/0!</v>
      </c>
      <c r="AZ99" s="480">
        <f>INDEX(WP_BIN!$T$79:$CG$79,1,$S99)</f>
        <v>0</v>
      </c>
      <c r="BA99" s="480">
        <f>INDEX(WP_BIN!$T$86:$CG$86,1,$S99)</f>
        <v>0</v>
      </c>
      <c r="BB99" s="480" t="e">
        <f ca="1">INDEX(WP_BIN!$T$47:$CG$47,1,$S99)</f>
        <v>#DIV/0!</v>
      </c>
      <c r="BC99" s="480">
        <f ca="1">INDEX(WP_BIN!$T$54:$CG$54,1,$S99)</f>
        <v>0</v>
      </c>
      <c r="BE99" s="217"/>
      <c r="DC99" s="5"/>
      <c r="DD99" s="5"/>
    </row>
    <row r="100" spans="2:108" ht="15.75" hidden="1" customHeight="1" x14ac:dyDescent="0.2">
      <c r="B100" s="335" t="s">
        <v>2134</v>
      </c>
      <c r="C100" s="335"/>
      <c r="D100" s="199">
        <v>-6</v>
      </c>
      <c r="E100" s="450">
        <v>4038</v>
      </c>
      <c r="F100" s="317">
        <v>4.3</v>
      </c>
      <c r="G100" s="450">
        <v>-6</v>
      </c>
      <c r="H100" s="450">
        <v>2606</v>
      </c>
      <c r="I100" s="1012">
        <v>29</v>
      </c>
      <c r="K100" s="5"/>
      <c r="L100" s="5"/>
      <c r="M100" s="5"/>
      <c r="N100" s="5"/>
      <c r="O100" s="5"/>
      <c r="P100" s="5"/>
      <c r="Q100" s="5"/>
      <c r="R100" s="5"/>
      <c r="S100" s="5">
        <v>41</v>
      </c>
      <c r="T100" s="419">
        <f t="shared" si="45"/>
        <v>0</v>
      </c>
      <c r="U100" s="164"/>
      <c r="V100" s="421">
        <f t="shared" si="46"/>
        <v>0</v>
      </c>
      <c r="W100" s="1057">
        <f>IF(BIN,INDEX(BIN!$B$3:$BO$364,4+(Klima-2)*11,S100),0)</f>
        <v>0</v>
      </c>
      <c r="X100" s="159">
        <v>15</v>
      </c>
      <c r="Y100" s="160" t="e">
        <f ca="1">IF(BINkorr,INDEX(Berechnungen!$E$81:$BR$81,1,S100)*IF(OR(Methode_384_3,Z100=0),1,AV100/Z100)/Leistungskorr*(1-Kollektor),W100*$T$130*(1-Kollektor))</f>
        <v>#REF!</v>
      </c>
      <c r="Z100" s="161">
        <f>IF(Heizung,IF(Methode_384_3,INDEX(Berechnungen!$E$79:$BR$79,1,S100),IF(IF(Heizung,Z99-$Z$77/28,0)&gt;0,IF(Heizung,Z99-$Z$77/28,0),0)),0)</f>
        <v>0</v>
      </c>
      <c r="AA100" s="161" t="e">
        <f t="shared" ca="1" si="35"/>
        <v>#VALUE!</v>
      </c>
      <c r="AB100" s="161">
        <f t="shared" si="34"/>
        <v>0</v>
      </c>
      <c r="AC100" s="161" t="e">
        <f t="shared" ca="1" si="36"/>
        <v>#VALUE!</v>
      </c>
      <c r="AD100" s="425" t="e">
        <f t="shared" ca="1" si="13"/>
        <v>#VALUE!</v>
      </c>
      <c r="AE100" s="423" t="e">
        <f t="shared" ca="1" si="14"/>
        <v>#VALUE!</v>
      </c>
      <c r="AF100" s="160" t="e">
        <f t="shared" ca="1" si="15"/>
        <v>#REF!</v>
      </c>
      <c r="AG100" s="160" t="e">
        <f ca="1">IF($AA$77*SUM($W$60:$W99)/Etaw=BedarfWW,0,MAX(MIN($AA$77*W100/Etaw,BedarfWW-$AA$77*SUM($W$60:$W99)/Etaw),0))</f>
        <v>#VALUE!</v>
      </c>
      <c r="AH100" s="160" t="e">
        <f t="shared" ca="1" si="37"/>
        <v>#REF!</v>
      </c>
      <c r="AI100" s="1053">
        <f t="shared" si="38"/>
        <v>0</v>
      </c>
      <c r="AJ100" s="157">
        <f t="shared" si="39"/>
        <v>0</v>
      </c>
      <c r="AK100" s="162" t="e">
        <f t="shared" ca="1" si="40"/>
        <v>#REF!</v>
      </c>
      <c r="AL100" s="162" t="e">
        <f ca="1">AE100+AD100+IF(Laufzeit_Zusatzheizung&gt;=SUM($Y$60:$Y133),Kesselleistung*$H$45*Y100,0)</f>
        <v>#VALUE!</v>
      </c>
      <c r="AM100" s="426" t="e">
        <f t="shared" ca="1" si="16"/>
        <v>#VALUE!</v>
      </c>
      <c r="AN100" s="669">
        <f>IF(Neu,INDEX(WP_BIN!$T$80:$CG$80,1,S100),AZ100)</f>
        <v>0</v>
      </c>
      <c r="AO100" s="163" t="e">
        <f t="shared" ca="1" si="41"/>
        <v>#VALUE!</v>
      </c>
      <c r="AP100" s="163" t="e">
        <f t="shared" ca="1" si="42"/>
        <v>#VALUE!</v>
      </c>
      <c r="AQ100" s="161">
        <f t="shared" si="43"/>
        <v>0</v>
      </c>
      <c r="AR100" s="162" t="e">
        <f t="shared" si="44"/>
        <v>#VALUE!</v>
      </c>
      <c r="AS100" s="423">
        <f t="shared" si="17"/>
        <v>0</v>
      </c>
      <c r="AT100" s="421">
        <f t="shared" si="18"/>
        <v>0</v>
      </c>
      <c r="AU100" s="421">
        <f t="shared" si="20"/>
        <v>0</v>
      </c>
      <c r="AV100" s="1116" t="e">
        <f ca="1">INDEX(Berechnungen!$E$79:$BR$79,1,S100)</f>
        <v>#REF!</v>
      </c>
      <c r="AW100" s="65">
        <f t="shared" si="19"/>
        <v>15</v>
      </c>
      <c r="AX100" s="162">
        <f>INDEX(WP_BIN!$T$78:$CG$78,1,$S100)</f>
        <v>26.357142857142865</v>
      </c>
      <c r="AY100" s="162" t="e">
        <f>INDEX(WP_BIN!$T$43:$CG$43,1,$S100)</f>
        <v>#DIV/0!</v>
      </c>
      <c r="AZ100" s="480">
        <f>INDEX(WP_BIN!$T$79:$CG$79,1,$S100)</f>
        <v>0</v>
      </c>
      <c r="BA100" s="480">
        <f>INDEX(WP_BIN!$T$86:$CG$86,1,$S100)</f>
        <v>0</v>
      </c>
      <c r="BB100" s="480" t="e">
        <f ca="1">INDEX(WP_BIN!$T$47:$CG$47,1,$S100)</f>
        <v>#DIV/0!</v>
      </c>
      <c r="BC100" s="480">
        <f ca="1">INDEX(WP_BIN!$T$54:$CG$54,1,$S100)</f>
        <v>0</v>
      </c>
      <c r="BE100" s="217"/>
      <c r="DC100" s="5"/>
      <c r="DD100" s="5"/>
    </row>
    <row r="101" spans="2:108" ht="15.75" hidden="1" customHeight="1" x14ac:dyDescent="0.2">
      <c r="B101" s="335" t="s">
        <v>2359</v>
      </c>
      <c r="C101" s="335"/>
      <c r="D101" s="199">
        <v>-8</v>
      </c>
      <c r="E101" s="450">
        <v>4988</v>
      </c>
      <c r="F101" s="317">
        <v>4.0999999999999996</v>
      </c>
      <c r="G101" s="450">
        <v>-8</v>
      </c>
      <c r="H101" s="450">
        <v>2851</v>
      </c>
      <c r="I101" s="1012">
        <v>30</v>
      </c>
      <c r="K101" s="5"/>
      <c r="L101" s="5"/>
      <c r="M101" s="5"/>
      <c r="N101" s="5"/>
      <c r="O101" s="5"/>
      <c r="P101" s="5"/>
      <c r="Q101" s="5"/>
      <c r="R101" s="5"/>
      <c r="S101" s="5">
        <v>42</v>
      </c>
      <c r="T101" s="419">
        <f t="shared" si="45"/>
        <v>0</v>
      </c>
      <c r="U101" s="164"/>
      <c r="V101" s="421">
        <f t="shared" si="46"/>
        <v>0</v>
      </c>
      <c r="W101" s="1057">
        <f>IF(BIN,INDEX(BIN!$B$3:$BO$364,4+(Klima-2)*11,S101),0)</f>
        <v>0</v>
      </c>
      <c r="X101" s="159">
        <v>16</v>
      </c>
      <c r="Y101" s="160" t="e">
        <f ca="1">IF(BINkorr,INDEX(Berechnungen!$E$81:$BR$81,1,S101)*IF(OR(Methode_384_3,Z101=0),1,AV101/Z101)/Leistungskorr*(1-Kollektor),W101*$T$130*(1-Kollektor))</f>
        <v>#REF!</v>
      </c>
      <c r="Z101" s="161">
        <f>IF(Heizung,IF(Methode_384_3,INDEX(Berechnungen!$E$79:$BR$79,1,S101),IF(IF(Heizung,Z100-$Z$77/28,0)&gt;0,IF(Heizung,Z100-$Z$77/28,0),0)),0)</f>
        <v>0</v>
      </c>
      <c r="AA101" s="161" t="e">
        <f t="shared" ca="1" si="35"/>
        <v>#VALUE!</v>
      </c>
      <c r="AB101" s="161">
        <f t="shared" si="34"/>
        <v>0</v>
      </c>
      <c r="AC101" s="161" t="e">
        <f t="shared" ca="1" si="36"/>
        <v>#VALUE!</v>
      </c>
      <c r="AD101" s="425" t="e">
        <f t="shared" ca="1" si="13"/>
        <v>#VALUE!</v>
      </c>
      <c r="AE101" s="423" t="e">
        <f t="shared" ca="1" si="14"/>
        <v>#VALUE!</v>
      </c>
      <c r="AF101" s="160" t="e">
        <f t="shared" ca="1" si="15"/>
        <v>#REF!</v>
      </c>
      <c r="AG101" s="160" t="e">
        <f ca="1">IF($AA$77*SUM($W$60:$W100)/Etaw=BedarfWW,0,MAX(MIN($AA$77*W101/Etaw,BedarfWW-$AA$77*SUM($W$60:$W100)/Etaw),0))</f>
        <v>#VALUE!</v>
      </c>
      <c r="AH101" s="160" t="e">
        <f t="shared" ca="1" si="37"/>
        <v>#REF!</v>
      </c>
      <c r="AI101" s="1053">
        <f>MIN(IF(AB101&gt;0,AH101/AB101,0),W101)</f>
        <v>0</v>
      </c>
      <c r="AJ101" s="157">
        <f t="shared" si="39"/>
        <v>0</v>
      </c>
      <c r="AK101" s="162" t="e">
        <f t="shared" ca="1" si="40"/>
        <v>#REF!</v>
      </c>
      <c r="AL101" s="162" t="e">
        <f ca="1">AE101+AD101+IF(Laufzeit_Zusatzheizung&gt;=SUM($Y$60:$Y134),Kesselleistung*$H$45*Y101,0)</f>
        <v>#VALUE!</v>
      </c>
      <c r="AM101" s="426" t="e">
        <f t="shared" ca="1" si="16"/>
        <v>#VALUE!</v>
      </c>
      <c r="AN101" s="669">
        <f>IF(Neu,INDEX(WP_BIN!$T$80:$CG$80,1,S101),AZ101)</f>
        <v>0</v>
      </c>
      <c r="AO101" s="163" t="e">
        <f t="shared" ca="1" si="41"/>
        <v>#VALUE!</v>
      </c>
      <c r="AP101" s="163" t="e">
        <f t="shared" ca="1" si="42"/>
        <v>#VALUE!</v>
      </c>
      <c r="AQ101" s="161">
        <f t="shared" si="43"/>
        <v>0</v>
      </c>
      <c r="AR101" s="162" t="e">
        <f t="shared" si="44"/>
        <v>#VALUE!</v>
      </c>
      <c r="AS101" s="423">
        <f t="shared" si="17"/>
        <v>0</v>
      </c>
      <c r="AT101" s="421">
        <f t="shared" si="18"/>
        <v>0</v>
      </c>
      <c r="AU101" s="421">
        <f t="shared" si="20"/>
        <v>0</v>
      </c>
      <c r="AV101" s="1116" t="e">
        <f ca="1">INDEX(Berechnungen!$E$79:$BR$79,1,S101)</f>
        <v>#REF!</v>
      </c>
      <c r="AW101" s="65">
        <f t="shared" si="19"/>
        <v>16</v>
      </c>
      <c r="AX101" s="162">
        <f>INDEX(WP_BIN!$T$78:$CG$78,1,$S101)</f>
        <v>26.285714285714292</v>
      </c>
      <c r="AY101" s="162" t="e">
        <f>INDEX(WP_BIN!$T$43:$CG$43,1,$S101)</f>
        <v>#DIV/0!</v>
      </c>
      <c r="AZ101" s="480">
        <f>INDEX(WP_BIN!$T$79:$CG$79,1,$S101)</f>
        <v>0</v>
      </c>
      <c r="BA101" s="480">
        <f>INDEX(WP_BIN!$T$86:$CG$86,1,$S101)</f>
        <v>0</v>
      </c>
      <c r="BB101" s="480" t="e">
        <f ca="1">INDEX(WP_BIN!$T$47:$CG$47,1,$S101)</f>
        <v>#DIV/0!</v>
      </c>
      <c r="BC101" s="480">
        <f ca="1">INDEX(WP_BIN!$T$54:$CG$54,1,$S101)</f>
        <v>0</v>
      </c>
      <c r="BE101" s="217"/>
      <c r="DC101" s="5"/>
      <c r="DD101" s="5"/>
    </row>
    <row r="102" spans="2:108" ht="15.75" hidden="1" customHeight="1" x14ac:dyDescent="0.2">
      <c r="B102" s="335" t="s">
        <v>2360</v>
      </c>
      <c r="C102" s="335"/>
      <c r="D102" s="199">
        <v>-7</v>
      </c>
      <c r="E102" s="450">
        <v>4405</v>
      </c>
      <c r="F102" s="317">
        <v>4</v>
      </c>
      <c r="G102" s="450">
        <v>-7</v>
      </c>
      <c r="H102" s="450">
        <v>3371</v>
      </c>
      <c r="I102" s="1012">
        <v>31</v>
      </c>
      <c r="K102" s="5"/>
      <c r="L102" s="5"/>
      <c r="M102" s="5"/>
      <c r="N102" s="5"/>
      <c r="O102" s="5"/>
      <c r="P102" s="5"/>
      <c r="Q102" s="5"/>
      <c r="R102" s="5"/>
      <c r="S102" s="5">
        <v>43</v>
      </c>
      <c r="T102" s="419">
        <f t="shared" si="45"/>
        <v>0</v>
      </c>
      <c r="U102" s="164"/>
      <c r="V102" s="421">
        <f t="shared" si="46"/>
        <v>0</v>
      </c>
      <c r="W102" s="1057">
        <f>IF(BIN,INDEX(BIN!$B$3:$BO$364,4+(Klima-2)*11,S102),0)</f>
        <v>0</v>
      </c>
      <c r="X102" s="159">
        <v>17</v>
      </c>
      <c r="Y102" s="160" t="e">
        <f ca="1">IF(BINkorr,INDEX(Berechnungen!$E$81:$BR$81,1,S102)*IF(OR(Methode_384_3,Z102=0),1,AV102/Z102)/Leistungskorr*(1-Kollektor),W102*$T$130*(1-Kollektor))</f>
        <v>#REF!</v>
      </c>
      <c r="Z102" s="161">
        <f>IF(Heizung,IF(Methode_384_3,INDEX(Berechnungen!$E$79:$BR$79,1,S102),IF(IF(Heizung,Z101-$Z$77/28,0)&gt;0,IF(Heizung,Z101-$Z$77/28,0),0)),0)</f>
        <v>0</v>
      </c>
      <c r="AA102" s="161" t="e">
        <f t="shared" ca="1" si="35"/>
        <v>#VALUE!</v>
      </c>
      <c r="AB102" s="161">
        <f t="shared" si="34"/>
        <v>0</v>
      </c>
      <c r="AC102" s="161" t="e">
        <f t="shared" ca="1" si="36"/>
        <v>#VALUE!</v>
      </c>
      <c r="AD102" s="425" t="e">
        <f t="shared" ca="1" si="13"/>
        <v>#VALUE!</v>
      </c>
      <c r="AE102" s="423" t="e">
        <f t="shared" ca="1" si="14"/>
        <v>#VALUE!</v>
      </c>
      <c r="AF102" s="160" t="e">
        <f t="shared" ca="1" si="15"/>
        <v>#REF!</v>
      </c>
      <c r="AG102" s="160" t="e">
        <f ca="1">IF($AA$77*SUM($W$60:$W101)/Etaw=BedarfWW,0,MAX(MIN($AA$77*W102/Etaw,BedarfWW-$AA$77*SUM($W$60:$W101)/Etaw),0))</f>
        <v>#VALUE!</v>
      </c>
      <c r="AH102" s="160" t="e">
        <f t="shared" ca="1" si="37"/>
        <v>#REF!</v>
      </c>
      <c r="AI102" s="1053">
        <f t="shared" si="38"/>
        <v>0</v>
      </c>
      <c r="AJ102" s="157">
        <f t="shared" si="39"/>
        <v>0</v>
      </c>
      <c r="AK102" s="162" t="e">
        <f t="shared" ca="1" si="40"/>
        <v>#REF!</v>
      </c>
      <c r="AL102" s="162" t="e">
        <f ca="1">AE102+AD102+IF(Laufzeit_Zusatzheizung&gt;=SUM($Y$60:$Y135),Kesselleistung*$H$45*Y102,0)</f>
        <v>#VALUE!</v>
      </c>
      <c r="AM102" s="426" t="e">
        <f t="shared" ca="1" si="16"/>
        <v>#VALUE!</v>
      </c>
      <c r="AN102" s="669">
        <f>IF(Neu,INDEX(WP_BIN!$T$80:$CG$80,1,S102),AZ102)</f>
        <v>0</v>
      </c>
      <c r="AO102" s="163" t="e">
        <f t="shared" ca="1" si="41"/>
        <v>#VALUE!</v>
      </c>
      <c r="AP102" s="163" t="e">
        <f t="shared" ca="1" si="42"/>
        <v>#VALUE!</v>
      </c>
      <c r="AQ102" s="161">
        <f t="shared" si="43"/>
        <v>0</v>
      </c>
      <c r="AR102" s="162" t="e">
        <f t="shared" si="44"/>
        <v>#VALUE!</v>
      </c>
      <c r="AS102" s="423">
        <f t="shared" si="17"/>
        <v>0</v>
      </c>
      <c r="AT102" s="421">
        <f t="shared" si="18"/>
        <v>0</v>
      </c>
      <c r="AU102" s="421">
        <f t="shared" si="20"/>
        <v>0</v>
      </c>
      <c r="AV102" s="1116" t="e">
        <f ca="1">INDEX(Berechnungen!$E$79:$BR$79,1,S102)</f>
        <v>#REF!</v>
      </c>
      <c r="AW102" s="65">
        <f t="shared" si="19"/>
        <v>17</v>
      </c>
      <c r="AX102" s="162">
        <f>INDEX(WP_BIN!$T$78:$CG$78,1,$S102)</f>
        <v>26.214285714285719</v>
      </c>
      <c r="AY102" s="162" t="e">
        <f>INDEX(WP_BIN!$T$43:$CG$43,1,$S102)</f>
        <v>#DIV/0!</v>
      </c>
      <c r="AZ102" s="480">
        <f>INDEX(WP_BIN!$T$79:$CG$79,1,$S102)</f>
        <v>0</v>
      </c>
      <c r="BA102" s="480">
        <f>INDEX(WP_BIN!$T$86:$CG$86,1,$S102)</f>
        <v>0</v>
      </c>
      <c r="BB102" s="480" t="e">
        <f ca="1">INDEX(WP_BIN!$T$47:$CG$47,1,$S102)</f>
        <v>#DIV/0!</v>
      </c>
      <c r="BC102" s="480">
        <f ca="1">INDEX(WP_BIN!$T$54:$CG$54,1,$S102)</f>
        <v>0</v>
      </c>
      <c r="BE102" s="217"/>
      <c r="DC102" s="5"/>
      <c r="DD102" s="5"/>
    </row>
    <row r="103" spans="2:108" ht="15.75" hidden="1" customHeight="1" x14ac:dyDescent="0.2">
      <c r="B103" s="335" t="s">
        <v>3892</v>
      </c>
      <c r="C103" s="335"/>
      <c r="D103" s="199">
        <v>-11</v>
      </c>
      <c r="E103" s="450">
        <v>3894</v>
      </c>
      <c r="F103" s="317">
        <v>2.5</v>
      </c>
      <c r="G103" s="450">
        <v>-11</v>
      </c>
      <c r="H103" s="450">
        <v>5017</v>
      </c>
      <c r="I103" s="1012">
        <v>32</v>
      </c>
      <c r="K103" s="5"/>
      <c r="L103" s="5"/>
      <c r="M103" s="5"/>
      <c r="N103" s="5"/>
      <c r="O103" s="5"/>
      <c r="P103" s="5"/>
      <c r="Q103" s="5"/>
      <c r="R103" s="5"/>
      <c r="S103" s="5">
        <v>44</v>
      </c>
      <c r="T103" s="419">
        <f t="shared" si="45"/>
        <v>0</v>
      </c>
      <c r="U103" s="164"/>
      <c r="V103" s="421">
        <f t="shared" si="46"/>
        <v>0</v>
      </c>
      <c r="W103" s="1057">
        <f>IF(BIN,INDEX(BIN!$B$3:$BO$364,4+(Klima-2)*11,S103),0)</f>
        <v>0</v>
      </c>
      <c r="X103" s="159">
        <v>18</v>
      </c>
      <c r="Y103" s="160" t="e">
        <f ca="1">IF(BINkorr,INDEX(Berechnungen!$E$81:$BR$81,1,S103)*IF(OR(Methode_384_3,Z103=0),1,AV103/Z103)/Leistungskorr*(1-Kollektor),W103*$T$130*(1-Kollektor))</f>
        <v>#REF!</v>
      </c>
      <c r="Z103" s="161">
        <f>IF(Heizung,IF(Methode_384_3,INDEX(Berechnungen!$E$79:$BR$79,1,S103),IF(IF(Heizung,Z102-$Z$77/28,0)&gt;0,IF(Heizung,Z102-$Z$77/28,0),0)),0)</f>
        <v>0</v>
      </c>
      <c r="AA103" s="161" t="e">
        <f t="shared" ca="1" si="35"/>
        <v>#VALUE!</v>
      </c>
      <c r="AB103" s="161">
        <f t="shared" si="34"/>
        <v>0</v>
      </c>
      <c r="AC103" s="161" t="e">
        <f t="shared" ca="1" si="36"/>
        <v>#VALUE!</v>
      </c>
      <c r="AD103" s="425" t="e">
        <f t="shared" ca="1" si="13"/>
        <v>#VALUE!</v>
      </c>
      <c r="AE103" s="423" t="e">
        <f t="shared" ca="1" si="14"/>
        <v>#VALUE!</v>
      </c>
      <c r="AF103" s="160" t="e">
        <f t="shared" ca="1" si="15"/>
        <v>#REF!</v>
      </c>
      <c r="AG103" s="160" t="e">
        <f ca="1">IF($AA$77*SUM($W$60:$W102)/Etaw=BedarfWW,0,MAX(MIN($AA$77*W103/Etaw,BedarfWW-$AA$77*SUM($W$60:$W102)/Etaw),0))</f>
        <v>#VALUE!</v>
      </c>
      <c r="AH103" s="160" t="e">
        <f t="shared" ca="1" si="37"/>
        <v>#REF!</v>
      </c>
      <c r="AI103" s="1053">
        <f t="shared" si="38"/>
        <v>0</v>
      </c>
      <c r="AJ103" s="157">
        <f t="shared" si="39"/>
        <v>0</v>
      </c>
      <c r="AK103" s="162" t="e">
        <f t="shared" ca="1" si="40"/>
        <v>#REF!</v>
      </c>
      <c r="AL103" s="162" t="e">
        <f ca="1">AE103+AD103+IF(Laufzeit_Zusatzheizung&gt;=SUM($Y$60:$Y136),Kesselleistung*$H$45*Y103,0)</f>
        <v>#VALUE!</v>
      </c>
      <c r="AM103" s="426" t="e">
        <f t="shared" ca="1" si="16"/>
        <v>#VALUE!</v>
      </c>
      <c r="AN103" s="669">
        <f>IF(Neu,INDEX(WP_BIN!$T$80:$CG$80,1,S103),AZ103)</f>
        <v>0</v>
      </c>
      <c r="AO103" s="163" t="e">
        <f t="shared" ca="1" si="41"/>
        <v>#VALUE!</v>
      </c>
      <c r="AP103" s="163" t="e">
        <f t="shared" ca="1" si="42"/>
        <v>#VALUE!</v>
      </c>
      <c r="AQ103" s="161">
        <f t="shared" si="43"/>
        <v>0</v>
      </c>
      <c r="AR103" s="162" t="e">
        <f t="shared" si="44"/>
        <v>#VALUE!</v>
      </c>
      <c r="AS103" s="423">
        <f t="shared" si="17"/>
        <v>0</v>
      </c>
      <c r="AT103" s="421">
        <f t="shared" si="18"/>
        <v>0</v>
      </c>
      <c r="AU103" s="421">
        <f t="shared" si="20"/>
        <v>0</v>
      </c>
      <c r="AV103" s="1116" t="e">
        <f ca="1">INDEX(Berechnungen!$E$79:$BR$79,1,S103)</f>
        <v>#REF!</v>
      </c>
      <c r="AW103" s="65">
        <f t="shared" si="19"/>
        <v>18</v>
      </c>
      <c r="AX103" s="162">
        <f>INDEX(WP_BIN!$T$78:$CG$78,1,$S103)</f>
        <v>26.142857142857146</v>
      </c>
      <c r="AY103" s="162" t="e">
        <f>INDEX(WP_BIN!$T$43:$CG$43,1,$S103)</f>
        <v>#DIV/0!</v>
      </c>
      <c r="AZ103" s="480">
        <f>INDEX(WP_BIN!$T$79:$CG$79,1,$S103)</f>
        <v>0</v>
      </c>
      <c r="BA103" s="480">
        <f>INDEX(WP_BIN!$T$86:$CG$86,1,$S103)</f>
        <v>0</v>
      </c>
      <c r="BB103" s="480" t="e">
        <f ca="1">INDEX(WP_BIN!$T$47:$CG$47,1,$S103)</f>
        <v>#DIV/0!</v>
      </c>
      <c r="BC103" s="480">
        <f ca="1">INDEX(WP_BIN!$T$54:$CG$54,1,$S103)</f>
        <v>0</v>
      </c>
      <c r="BE103" s="217"/>
      <c r="DC103" s="5"/>
      <c r="DD103" s="5"/>
    </row>
    <row r="104" spans="2:108" ht="15.75" hidden="1" customHeight="1" x14ac:dyDescent="0.2">
      <c r="B104" s="315" t="s">
        <v>3893</v>
      </c>
      <c r="C104" s="315"/>
      <c r="D104" s="1006">
        <v>-8</v>
      </c>
      <c r="E104" s="451">
        <v>4010</v>
      </c>
      <c r="F104" s="463">
        <v>4.0999999999999996</v>
      </c>
      <c r="G104" s="451">
        <v>-8</v>
      </c>
      <c r="H104" s="451">
        <v>2959</v>
      </c>
      <c r="I104" s="1012">
        <v>33</v>
      </c>
      <c r="K104" s="5"/>
      <c r="L104" s="5"/>
      <c r="M104" s="5"/>
      <c r="N104" s="5"/>
      <c r="O104" s="5"/>
      <c r="P104" s="5"/>
      <c r="Q104" s="5"/>
      <c r="R104" s="5"/>
      <c r="S104" s="5">
        <v>45</v>
      </c>
      <c r="T104" s="419">
        <f t="shared" si="45"/>
        <v>0</v>
      </c>
      <c r="U104" s="164"/>
      <c r="V104" s="421">
        <f t="shared" si="46"/>
        <v>0</v>
      </c>
      <c r="W104" s="1057">
        <f>IF(BIN,INDEX(BIN!$B$3:$BO$364,4+(Klima-2)*11,S104),0)</f>
        <v>0</v>
      </c>
      <c r="X104" s="159">
        <v>19</v>
      </c>
      <c r="Y104" s="160" t="e">
        <f ca="1">IF(BINkorr,INDEX(Berechnungen!$E$81:$BR$81,1,S104)*IF(OR(Methode_384_3,Z104=0),1,AV104/Z104)/Leistungskorr*(1-Kollektor),W104*$T$130*(1-Kollektor))</f>
        <v>#REF!</v>
      </c>
      <c r="Z104" s="161">
        <f>IF(Heizung,IF(Methode_384_3,INDEX(Berechnungen!$E$79:$BR$79,1,S104),IF(IF(Heizung,Z103-$Z$77/28,0)&gt;0,IF(Heizung,Z103-$Z$77/28,0),0)),0)</f>
        <v>0</v>
      </c>
      <c r="AA104" s="161" t="e">
        <f t="shared" ca="1" si="35"/>
        <v>#VALUE!</v>
      </c>
      <c r="AB104" s="161">
        <f t="shared" si="34"/>
        <v>0</v>
      </c>
      <c r="AC104" s="161" t="e">
        <f t="shared" ca="1" si="36"/>
        <v>#VALUE!</v>
      </c>
      <c r="AD104" s="425" t="e">
        <f t="shared" ca="1" si="13"/>
        <v>#VALUE!</v>
      </c>
      <c r="AE104" s="423" t="e">
        <f t="shared" ca="1" si="14"/>
        <v>#VALUE!</v>
      </c>
      <c r="AF104" s="160" t="e">
        <f t="shared" ca="1" si="15"/>
        <v>#REF!</v>
      </c>
      <c r="AG104" s="160" t="e">
        <f ca="1">IF($AA$77*SUM($W$60:$W103)/Etaw=BedarfWW,0,MAX(MIN($AA$77*W104/Etaw,BedarfWW-$AA$77*SUM($W$60:$W103)/Etaw),0))</f>
        <v>#VALUE!</v>
      </c>
      <c r="AH104" s="160" t="e">
        <f t="shared" ca="1" si="37"/>
        <v>#REF!</v>
      </c>
      <c r="AI104" s="1053">
        <f t="shared" si="38"/>
        <v>0</v>
      </c>
      <c r="AJ104" s="157">
        <f t="shared" si="39"/>
        <v>0</v>
      </c>
      <c r="AK104" s="162" t="e">
        <f t="shared" ca="1" si="40"/>
        <v>#REF!</v>
      </c>
      <c r="AL104" s="162" t="e">
        <f ca="1">AE104+AD104+IF(Laufzeit_Zusatzheizung&gt;=SUM($Y$60:$Y137),Kesselleistung*$H$45*Y104,0)</f>
        <v>#VALUE!</v>
      </c>
      <c r="AM104" s="426" t="e">
        <f t="shared" ca="1" si="16"/>
        <v>#VALUE!</v>
      </c>
      <c r="AN104" s="669">
        <f>IF(Neu,INDEX(WP_BIN!$T$80:$CG$80,1,S104),AZ104)</f>
        <v>0</v>
      </c>
      <c r="AO104" s="163" t="e">
        <f t="shared" ca="1" si="41"/>
        <v>#VALUE!</v>
      </c>
      <c r="AP104" s="163" t="e">
        <f t="shared" ca="1" si="42"/>
        <v>#VALUE!</v>
      </c>
      <c r="AQ104" s="161">
        <f t="shared" si="43"/>
        <v>0</v>
      </c>
      <c r="AR104" s="162" t="e">
        <f t="shared" si="44"/>
        <v>#VALUE!</v>
      </c>
      <c r="AS104" s="423">
        <f t="shared" si="17"/>
        <v>0</v>
      </c>
      <c r="AT104" s="421">
        <f t="shared" si="18"/>
        <v>0</v>
      </c>
      <c r="AU104" s="421">
        <f t="shared" si="20"/>
        <v>0</v>
      </c>
      <c r="AV104" s="1116" t="e">
        <f ca="1">INDEX(Berechnungen!$E$79:$BR$79,1,S104)</f>
        <v>#REF!</v>
      </c>
      <c r="AW104" s="65">
        <f t="shared" si="19"/>
        <v>19</v>
      </c>
      <c r="AX104" s="162">
        <f>INDEX(WP_BIN!$T$78:$CG$78,1,$S104)</f>
        <v>26.071428571428573</v>
      </c>
      <c r="AY104" s="162" t="e">
        <f>INDEX(WP_BIN!$T$43:$CG$43,1,$S104)</f>
        <v>#DIV/0!</v>
      </c>
      <c r="AZ104" s="480">
        <f>INDEX(WP_BIN!$T$79:$CG$79,1,$S104)</f>
        <v>0</v>
      </c>
      <c r="BA104" s="480">
        <f>INDEX(WP_BIN!$T$86:$CG$86,1,$S104)</f>
        <v>0</v>
      </c>
      <c r="BB104" s="480" t="e">
        <f ca="1">INDEX(WP_BIN!$T$47:$CG$47,1,$S104)</f>
        <v>#DIV/0!</v>
      </c>
      <c r="BC104" s="480">
        <f ca="1">INDEX(WP_BIN!$T$54:$CG$54,1,$S104)</f>
        <v>0</v>
      </c>
      <c r="BE104" s="217"/>
      <c r="DC104" s="5"/>
      <c r="DD104" s="5"/>
    </row>
    <row r="105" spans="2:108" ht="15.75" hidden="1" customHeight="1" x14ac:dyDescent="0.2">
      <c r="B105" s="249" t="str">
        <f>IF(JAZcalc,B72,INDEX(B72:B104,Klima,1))</f>
        <v/>
      </c>
      <c r="C105" s="12" t="str">
        <f t="shared" ref="C105:H105" si="47">IF(JAZcalc,C72,INDEX(C72:C104,Klima,1))</f>
        <v/>
      </c>
      <c r="D105" s="12" t="str">
        <f t="shared" si="47"/>
        <v/>
      </c>
      <c r="E105" s="12">
        <f t="shared" si="47"/>
        <v>0</v>
      </c>
      <c r="F105" s="12" t="str">
        <f t="shared" si="47"/>
        <v/>
      </c>
      <c r="G105" s="12" t="str">
        <f t="shared" si="47"/>
        <v/>
      </c>
      <c r="H105" s="12" t="str">
        <f t="shared" si="47"/>
        <v/>
      </c>
      <c r="K105" s="5"/>
      <c r="L105" s="5"/>
      <c r="M105" s="5"/>
      <c r="N105" s="5"/>
      <c r="O105" s="5"/>
      <c r="P105" s="5"/>
      <c r="Q105" s="5"/>
      <c r="R105" s="5"/>
      <c r="S105" s="5">
        <v>46</v>
      </c>
      <c r="T105" s="419">
        <f t="shared" si="45"/>
        <v>0</v>
      </c>
      <c r="U105" s="164"/>
      <c r="V105" s="421">
        <f t="shared" si="46"/>
        <v>0</v>
      </c>
      <c r="W105" s="1057">
        <f>IF(BIN,INDEX(BIN!$B$3:$BO$364,4+(Klima-2)*11,S105),0)</f>
        <v>0</v>
      </c>
      <c r="X105" s="159">
        <v>20</v>
      </c>
      <c r="Y105" s="160" t="e">
        <f ca="1">IF(BINkorr,INDEX(Berechnungen!$E$81:$BR$81,1,S105)*IF(OR(Methode_384_3,Z105=0),1,AV105/Z105)/Leistungskorr*(1-Kollektor),W105*$T$130*(1-Kollektor))</f>
        <v>#REF!</v>
      </c>
      <c r="Z105" s="161">
        <f>IF(Heizung,IF(Methode_384_3,INDEX(Berechnungen!$E$79:$BR$79,1,S105),IF(IF(Heizung,Z104-$Z$77/28,0)&gt;0,IF(Heizung,Z104-$Z$77/28,0),0)),0)</f>
        <v>0</v>
      </c>
      <c r="AA105" s="161" t="e">
        <f t="shared" ca="1" si="35"/>
        <v>#VALUE!</v>
      </c>
      <c r="AB105" s="161">
        <f t="shared" si="34"/>
        <v>0</v>
      </c>
      <c r="AC105" s="161" t="e">
        <f t="shared" ca="1" si="36"/>
        <v>#VALUE!</v>
      </c>
      <c r="AD105" s="425" t="e">
        <f t="shared" ca="1" si="13"/>
        <v>#VALUE!</v>
      </c>
      <c r="AE105" s="423" t="e">
        <f t="shared" ca="1" si="14"/>
        <v>#VALUE!</v>
      </c>
      <c r="AF105" s="160" t="e">
        <f t="shared" ca="1" si="15"/>
        <v>#REF!</v>
      </c>
      <c r="AG105" s="160" t="e">
        <f ca="1">IF($AA$77*SUM($W$60:$W104)/Etaw=BedarfWW,0,MAX(MIN($AA$77*W105/Etaw,BedarfWW-$AA$77*SUM($W$60:$W104)/Etaw),0))</f>
        <v>#VALUE!</v>
      </c>
      <c r="AH105" s="160" t="e">
        <f t="shared" ca="1" si="37"/>
        <v>#REF!</v>
      </c>
      <c r="AI105" s="1053">
        <f t="shared" si="38"/>
        <v>0</v>
      </c>
      <c r="AJ105" s="157">
        <f t="shared" si="39"/>
        <v>0</v>
      </c>
      <c r="AK105" s="162" t="e">
        <f t="shared" ca="1" si="40"/>
        <v>#REF!</v>
      </c>
      <c r="AL105" s="162" t="e">
        <f ca="1">AE105+AD105+IF(Laufzeit_Zusatzheizung&gt;=SUM($Y$60:$Y138),Kesselleistung*$H$45*Y105,0)</f>
        <v>#VALUE!</v>
      </c>
      <c r="AM105" s="426" t="e">
        <f t="shared" ca="1" si="16"/>
        <v>#VALUE!</v>
      </c>
      <c r="AN105" s="669">
        <f>IF(Neu,INDEX(WP_BIN!$T$80:$CG$80,1,S105),AZ105)</f>
        <v>0</v>
      </c>
      <c r="AO105" s="163" t="e">
        <f t="shared" ca="1" si="41"/>
        <v>#VALUE!</v>
      </c>
      <c r="AP105" s="163" t="e">
        <f t="shared" ca="1" si="42"/>
        <v>#VALUE!</v>
      </c>
      <c r="AQ105" s="161">
        <f t="shared" si="43"/>
        <v>0</v>
      </c>
      <c r="AR105" s="162" t="e">
        <f t="shared" si="44"/>
        <v>#VALUE!</v>
      </c>
      <c r="AS105" s="423">
        <f t="shared" si="17"/>
        <v>0</v>
      </c>
      <c r="AT105" s="421">
        <f t="shared" si="18"/>
        <v>0</v>
      </c>
      <c r="AU105" s="421">
        <f t="shared" si="20"/>
        <v>0</v>
      </c>
      <c r="AV105" s="1116" t="e">
        <f ca="1">INDEX(Berechnungen!$E$79:$BR$79,1,S105)</f>
        <v>#REF!</v>
      </c>
      <c r="AW105" s="65">
        <f t="shared" si="19"/>
        <v>20</v>
      </c>
      <c r="AX105" s="162">
        <f>INDEX(WP_BIN!$T$78:$CG$78,1,$S105)</f>
        <v>26</v>
      </c>
      <c r="AY105" s="162" t="e">
        <f>INDEX(WP_BIN!$T$43:$CG$43,1,$S105)</f>
        <v>#DIV/0!</v>
      </c>
      <c r="AZ105" s="480">
        <f>INDEX(WP_BIN!$T$79:$CG$79,1,$S105)</f>
        <v>0</v>
      </c>
      <c r="BA105" s="480">
        <f>INDEX(WP_BIN!$T$86:$CG$86,1,$S105)</f>
        <v>0</v>
      </c>
      <c r="BB105" s="480" t="e">
        <f ca="1">INDEX(WP_BIN!$T$47:$CG$47,1,$S105)</f>
        <v>#DIV/0!</v>
      </c>
      <c r="BC105" s="480">
        <f ca="1">INDEX(WP_BIN!$T$54:$CG$54,1,$S105)</f>
        <v>0</v>
      </c>
      <c r="BE105" s="482"/>
      <c r="BF105" s="106"/>
      <c r="DC105" s="5"/>
      <c r="DD105" s="5"/>
    </row>
    <row r="106" spans="2:108" ht="15.75" customHeight="1" x14ac:dyDescent="0.2">
      <c r="E106" s="5"/>
      <c r="K106" s="5"/>
      <c r="L106" s="5"/>
      <c r="M106" s="5"/>
      <c r="N106" s="5"/>
      <c r="O106" s="5"/>
      <c r="P106" s="5"/>
      <c r="Q106" s="5"/>
      <c r="R106" s="5"/>
      <c r="S106" s="5">
        <v>47</v>
      </c>
      <c r="T106" s="419">
        <f t="shared" si="45"/>
        <v>0</v>
      </c>
      <c r="U106" s="164"/>
      <c r="V106" s="421">
        <f t="shared" si="46"/>
        <v>0</v>
      </c>
      <c r="W106" s="1057">
        <f>IF(BIN,INDEX(BIN!$B$3:$BO$364,4+(Klima-2)*11,S106),0)</f>
        <v>0</v>
      </c>
      <c r="X106" s="159">
        <v>21</v>
      </c>
      <c r="Y106" s="160" t="e">
        <f ca="1">IF(BINkorr,INDEX(Berechnungen!$E$81:$BR$81,1,S106)*IF(OR(Methode_384_3,Z106=0),1,AV106/Z106)/Leistungskorr*(1-Kollektor),W106*$T$130*(1-Kollektor))</f>
        <v>#REF!</v>
      </c>
      <c r="Z106" s="161">
        <f>IF(Heizung,IF(Methode_384_3,INDEX(Berechnungen!$E$79:$BR$79,1,S106),IF(IF(Heizung,Z105-$Z$77/28,0)&gt;0,IF(Heizung,Z105-$Z$77/28,0),0)),0)</f>
        <v>0</v>
      </c>
      <c r="AA106" s="161" t="e">
        <f t="shared" ca="1" si="35"/>
        <v>#VALUE!</v>
      </c>
      <c r="AB106" s="161">
        <f t="shared" si="34"/>
        <v>0</v>
      </c>
      <c r="AC106" s="161" t="e">
        <f t="shared" ca="1" si="36"/>
        <v>#VALUE!</v>
      </c>
      <c r="AD106" s="425" t="e">
        <f t="shared" ca="1" si="13"/>
        <v>#VALUE!</v>
      </c>
      <c r="AE106" s="423" t="e">
        <f t="shared" ca="1" si="14"/>
        <v>#VALUE!</v>
      </c>
      <c r="AF106" s="160" t="e">
        <f t="shared" ca="1" si="15"/>
        <v>#REF!</v>
      </c>
      <c r="AG106" s="160" t="e">
        <f ca="1">IF($AA$77*SUM($W$60:$W105)/Etaw=BedarfWW,0,MAX(MIN($AA$77*W106/Etaw,BedarfWW-$AA$77*SUM($W$60:$W105)/Etaw),0))</f>
        <v>#VALUE!</v>
      </c>
      <c r="AH106" s="160" t="e">
        <f t="shared" ca="1" si="37"/>
        <v>#REF!</v>
      </c>
      <c r="AI106" s="1053">
        <f t="shared" si="38"/>
        <v>0</v>
      </c>
      <c r="AJ106" s="157">
        <f t="shared" si="39"/>
        <v>0</v>
      </c>
      <c r="AK106" s="162" t="e">
        <f t="shared" ca="1" si="40"/>
        <v>#REF!</v>
      </c>
      <c r="AL106" s="162" t="e">
        <f ca="1">AE106+AD106+IF(Laufzeit_Zusatzheizung&gt;=SUM($Y$60:$Y139),Kesselleistung*$H$45*Y106,0)</f>
        <v>#VALUE!</v>
      </c>
      <c r="AM106" s="426" t="e">
        <f t="shared" ca="1" si="16"/>
        <v>#VALUE!</v>
      </c>
      <c r="AN106" s="669">
        <f>IF(Neu,INDEX(WP_BIN!$T$80:$CG$80,1,S106),AZ106)</f>
        <v>0</v>
      </c>
      <c r="AO106" s="163" t="e">
        <f t="shared" ca="1" si="41"/>
        <v>#VALUE!</v>
      </c>
      <c r="AP106" s="163" t="e">
        <f t="shared" ca="1" si="42"/>
        <v>#VALUE!</v>
      </c>
      <c r="AQ106" s="161">
        <f t="shared" si="43"/>
        <v>0</v>
      </c>
      <c r="AR106" s="162" t="e">
        <f t="shared" si="44"/>
        <v>#VALUE!</v>
      </c>
      <c r="AS106" s="423">
        <f t="shared" si="17"/>
        <v>0</v>
      </c>
      <c r="AT106" s="421">
        <f t="shared" si="18"/>
        <v>0</v>
      </c>
      <c r="AU106" s="421">
        <f t="shared" si="20"/>
        <v>0</v>
      </c>
      <c r="AV106" s="1116" t="e">
        <f ca="1">INDEX(Berechnungen!$E$79:$BR$79,1,S106)</f>
        <v>#REF!</v>
      </c>
      <c r="AW106" s="65">
        <f t="shared" si="19"/>
        <v>21</v>
      </c>
      <c r="AX106" s="162">
        <f>INDEX(WP_BIN!$T$78:$CG$78,1,$S106)</f>
        <v>26</v>
      </c>
      <c r="AY106" s="162" t="e">
        <f>INDEX(WP_BIN!$T$43:$CG$43,1,$S106)</f>
        <v>#DIV/0!</v>
      </c>
      <c r="AZ106" s="480">
        <f>INDEX(WP_BIN!$T$79:$CG$79,1,$S106)</f>
        <v>0</v>
      </c>
      <c r="BA106" s="480">
        <f>INDEX(WP_BIN!$T$86:$CG$86,1,$S106)</f>
        <v>0</v>
      </c>
      <c r="BB106" s="480" t="e">
        <f ca="1">INDEX(WP_BIN!$T$47:$CG$47,1,$S106)</f>
        <v>#DIV/0!</v>
      </c>
      <c r="BC106" s="480">
        <f ca="1">INDEX(WP_BIN!$T$54:$CG$54,1,$S106)</f>
        <v>0</v>
      </c>
      <c r="BE106" s="217"/>
      <c r="DC106" s="5"/>
      <c r="DD106" s="5"/>
    </row>
    <row r="107" spans="2:108" ht="15.75" customHeight="1" x14ac:dyDescent="0.2">
      <c r="K107" s="5"/>
      <c r="L107" s="5"/>
      <c r="M107" s="1100" t="s">
        <v>707</v>
      </c>
      <c r="N107" s="551"/>
      <c r="O107" s="35" t="b">
        <v>0</v>
      </c>
      <c r="P107" s="5"/>
      <c r="Q107" s="5"/>
      <c r="R107" s="5"/>
      <c r="S107" s="5">
        <v>48</v>
      </c>
      <c r="T107" s="419">
        <f t="shared" si="45"/>
        <v>0</v>
      </c>
      <c r="U107" s="164"/>
      <c r="V107" s="421">
        <f t="shared" si="46"/>
        <v>0</v>
      </c>
      <c r="W107" s="1057">
        <f>IF(BIN,INDEX(BIN!$B$3:$BO$364,4+(Klima-2)*11,S107),0)</f>
        <v>0</v>
      </c>
      <c r="X107" s="159">
        <v>22</v>
      </c>
      <c r="Y107" s="160" t="e">
        <f ca="1">IF(BINkorr,INDEX(Berechnungen!$E$81:$BR$81,1,S107)*IF(OR(Methode_384_3,Z107=0),1,AV107/Z107)/Leistungskorr*(1-Kollektor),W107*$T$130*(1-Kollektor))</f>
        <v>#REF!</v>
      </c>
      <c r="Z107" s="161">
        <f>IF(Heizung,IF(Methode_384_3,INDEX(Berechnungen!$E$79:$BR$79,1,S107),IF(IF(Heizung,Z106-$Z$77/28,0)&gt;0,IF(Heizung,Z106-$Z$77/28,0),0)),0)</f>
        <v>0</v>
      </c>
      <c r="AA107" s="161" t="e">
        <f t="shared" ca="1" si="35"/>
        <v>#VALUE!</v>
      </c>
      <c r="AB107" s="161">
        <f t="shared" si="34"/>
        <v>0</v>
      </c>
      <c r="AC107" s="161" t="e">
        <f t="shared" ca="1" si="36"/>
        <v>#VALUE!</v>
      </c>
      <c r="AD107" s="425" t="e">
        <f t="shared" ca="1" si="13"/>
        <v>#VALUE!</v>
      </c>
      <c r="AE107" s="423" t="e">
        <f t="shared" ca="1" si="14"/>
        <v>#VALUE!</v>
      </c>
      <c r="AF107" s="160" t="e">
        <f t="shared" ca="1" si="15"/>
        <v>#REF!</v>
      </c>
      <c r="AG107" s="160" t="e">
        <f ca="1">IF($AA$77*SUM($W$60:$W106)/Etaw=BedarfWW,0,MAX(MIN($AA$77*W107/Etaw,BedarfWW-$AA$77*SUM($W$60:$W106)/Etaw),0))</f>
        <v>#VALUE!</v>
      </c>
      <c r="AH107" s="160" t="e">
        <f t="shared" ca="1" si="37"/>
        <v>#REF!</v>
      </c>
      <c r="AI107" s="1053">
        <f t="shared" si="38"/>
        <v>0</v>
      </c>
      <c r="AJ107" s="157">
        <f t="shared" si="39"/>
        <v>0</v>
      </c>
      <c r="AK107" s="162" t="e">
        <f t="shared" ca="1" si="40"/>
        <v>#REF!</v>
      </c>
      <c r="AL107" s="162" t="e">
        <f ca="1">AE107+AD107+IF(Laufzeit_Zusatzheizung&gt;=SUM($Y$60:$Y140),Kesselleistung*$H$45*Y107,0)</f>
        <v>#VALUE!</v>
      </c>
      <c r="AM107" s="426" t="e">
        <f t="shared" ca="1" si="16"/>
        <v>#VALUE!</v>
      </c>
      <c r="AN107" s="669">
        <f>IF(Neu,INDEX(WP_BIN!$T$80:$CG$80,1,S107),AZ107)</f>
        <v>0</v>
      </c>
      <c r="AO107" s="163" t="e">
        <f t="shared" ca="1" si="41"/>
        <v>#VALUE!</v>
      </c>
      <c r="AP107" s="163" t="e">
        <f t="shared" ca="1" si="42"/>
        <v>#VALUE!</v>
      </c>
      <c r="AQ107" s="161">
        <f t="shared" si="43"/>
        <v>0</v>
      </c>
      <c r="AR107" s="162" t="e">
        <f t="shared" si="44"/>
        <v>#VALUE!</v>
      </c>
      <c r="AS107" s="423">
        <f t="shared" si="17"/>
        <v>0</v>
      </c>
      <c r="AT107" s="421">
        <f t="shared" si="18"/>
        <v>0</v>
      </c>
      <c r="AU107" s="421">
        <f t="shared" si="20"/>
        <v>0</v>
      </c>
      <c r="AV107" s="1116" t="e">
        <f ca="1">INDEX(Berechnungen!$E$79:$BR$79,1,S107)</f>
        <v>#REF!</v>
      </c>
      <c r="AW107" s="65">
        <f t="shared" si="19"/>
        <v>22</v>
      </c>
      <c r="AX107" s="162">
        <f>INDEX(WP_BIN!$T$78:$CG$78,1,$S107)</f>
        <v>26</v>
      </c>
      <c r="AY107" s="162" t="e">
        <f>INDEX(WP_BIN!$T$43:$CG$43,1,$S107)</f>
        <v>#DIV/0!</v>
      </c>
      <c r="AZ107" s="480">
        <f>INDEX(WP_BIN!$T$79:$CG$79,1,$S107)</f>
        <v>0</v>
      </c>
      <c r="BA107" s="480">
        <f>INDEX(WP_BIN!$T$86:$CG$86,1,$S107)</f>
        <v>0</v>
      </c>
      <c r="BB107" s="480" t="e">
        <f ca="1">INDEX(WP_BIN!$T$47:$CG$47,1,$S107)</f>
        <v>#DIV/0!</v>
      </c>
      <c r="BC107" s="480">
        <f ca="1">INDEX(WP_BIN!$T$54:$CG$54,1,$S107)</f>
        <v>0</v>
      </c>
      <c r="BE107" s="217"/>
      <c r="DC107" s="5"/>
      <c r="DD107" s="5"/>
    </row>
    <row r="108" spans="2:108" ht="15.75" customHeight="1" x14ac:dyDescent="0.2">
      <c r="K108" s="5"/>
      <c r="L108" s="5"/>
      <c r="M108" s="5"/>
      <c r="N108" s="5"/>
      <c r="O108" s="5"/>
      <c r="P108" s="5"/>
      <c r="Q108" s="5"/>
      <c r="R108" s="5"/>
      <c r="S108" s="5">
        <v>49</v>
      </c>
      <c r="T108" s="419">
        <f t="shared" si="45"/>
        <v>0</v>
      </c>
      <c r="U108" s="164"/>
      <c r="V108" s="421">
        <f t="shared" si="46"/>
        <v>0</v>
      </c>
      <c r="W108" s="1057">
        <f>IF(BIN,INDEX(BIN!$B$3:$BO$364,4+(Klima-2)*11,S108),0)</f>
        <v>0</v>
      </c>
      <c r="X108" s="159">
        <v>23</v>
      </c>
      <c r="Y108" s="160" t="e">
        <f ca="1">IF(BINkorr,INDEX(Berechnungen!$E$81:$BR$81,1,S108)*IF(OR(Methode_384_3,Z108=0),1,AV108/Z108)/Leistungskorr*(1-Kollektor),W108*$T$130*(1-Kollektor))</f>
        <v>#REF!</v>
      </c>
      <c r="Z108" s="161">
        <f>IF(Heizung,IF(Methode_384_3,INDEX(Berechnungen!$E$79:$BR$79,1,S108),IF(IF(Heizung,Z107-$Z$77/28,0)&gt;0,IF(Heizung,Z107-$Z$77/28,0),0)),0)</f>
        <v>0</v>
      </c>
      <c r="AA108" s="161" t="e">
        <f t="shared" ca="1" si="35"/>
        <v>#VALUE!</v>
      </c>
      <c r="AB108" s="161">
        <f t="shared" si="34"/>
        <v>0</v>
      </c>
      <c r="AC108" s="161" t="e">
        <f t="shared" ca="1" si="36"/>
        <v>#VALUE!</v>
      </c>
      <c r="AD108" s="425" t="e">
        <f t="shared" ca="1" si="13"/>
        <v>#VALUE!</v>
      </c>
      <c r="AE108" s="423" t="e">
        <f t="shared" ca="1" si="14"/>
        <v>#VALUE!</v>
      </c>
      <c r="AF108" s="160" t="e">
        <f t="shared" ca="1" si="15"/>
        <v>#REF!</v>
      </c>
      <c r="AG108" s="160" t="e">
        <f ca="1">IF($AA$77*SUM($W$60:$W107)/Etaw=BedarfWW,0,MAX(MIN($AA$77*W108/Etaw,BedarfWW-$AA$77*SUM($W$60:$W107)/Etaw),0))</f>
        <v>#VALUE!</v>
      </c>
      <c r="AH108" s="160" t="e">
        <f t="shared" ca="1" si="37"/>
        <v>#REF!</v>
      </c>
      <c r="AI108" s="1053">
        <f t="shared" si="38"/>
        <v>0</v>
      </c>
      <c r="AJ108" s="157">
        <f t="shared" si="39"/>
        <v>0</v>
      </c>
      <c r="AK108" s="162" t="e">
        <f t="shared" ca="1" si="40"/>
        <v>#REF!</v>
      </c>
      <c r="AL108" s="162" t="e">
        <f ca="1">AE108+AD108+IF(Laufzeit_Zusatzheizung&gt;=SUM($Y$60:$Y141),Kesselleistung*$H$45*Y108,0)</f>
        <v>#VALUE!</v>
      </c>
      <c r="AM108" s="426" t="e">
        <f t="shared" ca="1" si="16"/>
        <v>#VALUE!</v>
      </c>
      <c r="AN108" s="669">
        <f>IF(Neu,INDEX(WP_BIN!$T$80:$CG$80,1,S108),AZ108)</f>
        <v>0</v>
      </c>
      <c r="AO108" s="163" t="e">
        <f t="shared" ca="1" si="41"/>
        <v>#VALUE!</v>
      </c>
      <c r="AP108" s="163" t="e">
        <f t="shared" ca="1" si="42"/>
        <v>#VALUE!</v>
      </c>
      <c r="AQ108" s="161">
        <f t="shared" si="43"/>
        <v>0</v>
      </c>
      <c r="AR108" s="162" t="e">
        <f t="shared" si="44"/>
        <v>#VALUE!</v>
      </c>
      <c r="AS108" s="423">
        <f t="shared" si="17"/>
        <v>0</v>
      </c>
      <c r="AT108" s="421">
        <f t="shared" si="18"/>
        <v>0</v>
      </c>
      <c r="AU108" s="421">
        <f t="shared" si="20"/>
        <v>0</v>
      </c>
      <c r="AV108" s="1116" t="e">
        <f ca="1">INDEX(Berechnungen!$E$79:$BR$79,1,S108)</f>
        <v>#REF!</v>
      </c>
      <c r="AW108" s="65">
        <f t="shared" si="19"/>
        <v>23</v>
      </c>
      <c r="AX108" s="162">
        <f>INDEX(WP_BIN!$T$78:$CG$78,1,$S108)</f>
        <v>26</v>
      </c>
      <c r="AY108" s="162" t="e">
        <f>INDEX(WP_BIN!$T$43:$CG$43,1,$S108)</f>
        <v>#DIV/0!</v>
      </c>
      <c r="AZ108" s="480">
        <f>INDEX(WP_BIN!$T$79:$CG$79,1,$S108)</f>
        <v>0</v>
      </c>
      <c r="BA108" s="480">
        <f>INDEX(WP_BIN!$T$86:$CG$86,1,$S108)</f>
        <v>0</v>
      </c>
      <c r="BB108" s="480" t="e">
        <f ca="1">INDEX(WP_BIN!$T$47:$CG$47,1,$S108)</f>
        <v>#DIV/0!</v>
      </c>
      <c r="BC108" s="480">
        <f ca="1">INDEX(WP_BIN!$T$54:$CG$54,1,$S108)</f>
        <v>0</v>
      </c>
      <c r="BE108" s="217"/>
      <c r="DC108" s="5"/>
      <c r="DD108" s="5"/>
    </row>
    <row r="109" spans="2:108" ht="15.75" customHeight="1" x14ac:dyDescent="0.2">
      <c r="K109" s="5"/>
      <c r="L109" s="5"/>
      <c r="M109" s="5"/>
      <c r="N109" s="5"/>
      <c r="O109" s="5"/>
      <c r="P109" s="5"/>
      <c r="Q109" s="5"/>
      <c r="R109" s="5"/>
      <c r="S109" s="5">
        <v>50</v>
      </c>
      <c r="T109" s="419">
        <f t="shared" si="45"/>
        <v>0</v>
      </c>
      <c r="U109" s="164"/>
      <c r="V109" s="421">
        <f t="shared" si="46"/>
        <v>0</v>
      </c>
      <c r="W109" s="1057">
        <f>IF(BIN,INDEX(BIN!$B$3:$BO$364,4+(Klima-2)*11,S109),0)</f>
        <v>0</v>
      </c>
      <c r="X109" s="159">
        <v>24</v>
      </c>
      <c r="Y109" s="160" t="e">
        <f ca="1">IF(BINkorr,INDEX(Berechnungen!$E$81:$BR$81,1,S109)*IF(OR(Methode_384_3,Z109=0),1,AV109/Z109)/Leistungskorr*(1-Kollektor),W109*$T$130*(1-Kollektor))</f>
        <v>#REF!</v>
      </c>
      <c r="Z109" s="161">
        <f>IF(Heizung,IF(Methode_384_3,INDEX(Berechnungen!$E$79:$BR$79,1,S109),IF(IF(Heizung,Z108-$Z$77/28,0)&gt;0,IF(Heizung,Z108-$Z$77/28,0),0)),0)</f>
        <v>0</v>
      </c>
      <c r="AA109" s="161" t="e">
        <f t="shared" ca="1" si="35"/>
        <v>#VALUE!</v>
      </c>
      <c r="AB109" s="161">
        <f t="shared" si="34"/>
        <v>0</v>
      </c>
      <c r="AC109" s="161" t="e">
        <f t="shared" ca="1" si="36"/>
        <v>#VALUE!</v>
      </c>
      <c r="AD109" s="425" t="e">
        <f t="shared" ca="1" si="13"/>
        <v>#VALUE!</v>
      </c>
      <c r="AE109" s="423" t="e">
        <f t="shared" ca="1" si="14"/>
        <v>#VALUE!</v>
      </c>
      <c r="AF109" s="160" t="e">
        <f t="shared" ca="1" si="15"/>
        <v>#REF!</v>
      </c>
      <c r="AG109" s="160" t="e">
        <f ca="1">IF($AA$77*SUM($W$60:$W108)/Etaw=BedarfWW,0,MAX(MIN($AA$77*W109/Etaw,BedarfWW-$AA$77*SUM($W$60:$W108)/Etaw),0))</f>
        <v>#VALUE!</v>
      </c>
      <c r="AH109" s="160" t="e">
        <f t="shared" ca="1" si="37"/>
        <v>#REF!</v>
      </c>
      <c r="AI109" s="1053">
        <f t="shared" si="38"/>
        <v>0</v>
      </c>
      <c r="AJ109" s="157">
        <f t="shared" si="39"/>
        <v>0</v>
      </c>
      <c r="AK109" s="162" t="e">
        <f t="shared" ca="1" si="40"/>
        <v>#REF!</v>
      </c>
      <c r="AL109" s="162" t="e">
        <f ca="1">AE109+AD109+IF(Laufzeit_Zusatzheizung&gt;=SUM($Y$60:$Y142),Kesselleistung*$H$45*Y109,0)</f>
        <v>#VALUE!</v>
      </c>
      <c r="AM109" s="426" t="e">
        <f t="shared" ca="1" si="16"/>
        <v>#VALUE!</v>
      </c>
      <c r="AN109" s="669">
        <f>IF(Neu,INDEX(WP_BIN!$T$80:$CG$80,1,S109),AZ109)</f>
        <v>0</v>
      </c>
      <c r="AO109" s="163" t="e">
        <f t="shared" ca="1" si="41"/>
        <v>#VALUE!</v>
      </c>
      <c r="AP109" s="163" t="e">
        <f t="shared" ca="1" si="42"/>
        <v>#VALUE!</v>
      </c>
      <c r="AQ109" s="161">
        <f t="shared" si="43"/>
        <v>0</v>
      </c>
      <c r="AR109" s="162" t="e">
        <f t="shared" si="44"/>
        <v>#VALUE!</v>
      </c>
      <c r="AS109" s="423">
        <f t="shared" si="17"/>
        <v>0</v>
      </c>
      <c r="AT109" s="421">
        <f t="shared" si="18"/>
        <v>0</v>
      </c>
      <c r="AU109" s="421">
        <f t="shared" si="20"/>
        <v>0</v>
      </c>
      <c r="AV109" s="1116" t="e">
        <f ca="1">INDEX(Berechnungen!$E$79:$BR$79,1,S109)</f>
        <v>#REF!</v>
      </c>
      <c r="AW109" s="65">
        <f t="shared" si="19"/>
        <v>24</v>
      </c>
      <c r="AX109" s="162">
        <f>INDEX(WP_BIN!$T$78:$CG$78,1,$S109)</f>
        <v>26</v>
      </c>
      <c r="AY109" s="162" t="e">
        <f>INDEX(WP_BIN!$T$43:$CG$43,1,$S109)</f>
        <v>#DIV/0!</v>
      </c>
      <c r="AZ109" s="480">
        <f>INDEX(WP_BIN!$T$79:$CG$79,1,$S109)</f>
        <v>0</v>
      </c>
      <c r="BA109" s="480">
        <f>INDEX(WP_BIN!$T$86:$CG$86,1,$S109)</f>
        <v>0</v>
      </c>
      <c r="BB109" s="480" t="e">
        <f ca="1">INDEX(WP_BIN!$T$47:$CG$47,1,$S109)</f>
        <v>#DIV/0!</v>
      </c>
      <c r="BC109" s="480">
        <f ca="1">INDEX(WP_BIN!$T$54:$CG$54,1,$S109)</f>
        <v>0</v>
      </c>
      <c r="BE109" s="217"/>
      <c r="DC109" s="5"/>
      <c r="DD109" s="5"/>
    </row>
    <row r="110" spans="2:108" ht="15.75" customHeight="1" x14ac:dyDescent="0.2">
      <c r="K110" s="5"/>
      <c r="L110" s="5"/>
      <c r="M110" s="5"/>
      <c r="N110" s="5"/>
      <c r="O110" s="5"/>
      <c r="P110" s="5"/>
      <c r="Q110" s="5"/>
      <c r="R110" s="5"/>
      <c r="S110" s="5">
        <v>51</v>
      </c>
      <c r="T110" s="419">
        <f t="shared" si="45"/>
        <v>0</v>
      </c>
      <c r="U110" s="164"/>
      <c r="V110" s="421">
        <f t="shared" si="46"/>
        <v>0</v>
      </c>
      <c r="W110" s="1057">
        <f>IF(BIN,INDEX(BIN!$B$3:$BO$364,4+(Klima-2)*11,S110),0)</f>
        <v>0</v>
      </c>
      <c r="X110" s="159">
        <v>25</v>
      </c>
      <c r="Y110" s="160" t="e">
        <f ca="1">IF(BINkorr,INDEX(Berechnungen!$E$81:$BR$81,1,S110)*IF(OR(Methode_384_3,Z110=0),1,AV110/Z110)/Leistungskorr*(1-Kollektor),W110*$T$130*(1-Kollektor))</f>
        <v>#REF!</v>
      </c>
      <c r="Z110" s="161">
        <f>IF(Heizung,IF(Methode_384_3,INDEX(Berechnungen!$E$79:$BR$79,1,S110),IF(IF(Heizung,Z109-$Z$77/28,0)&gt;0,IF(Heizung,Z109-$Z$77/28,0),0)),0)</f>
        <v>0</v>
      </c>
      <c r="AA110" s="161" t="e">
        <f t="shared" ca="1" si="35"/>
        <v>#VALUE!</v>
      </c>
      <c r="AB110" s="161">
        <f t="shared" si="34"/>
        <v>0</v>
      </c>
      <c r="AC110" s="161" t="e">
        <f t="shared" ca="1" si="36"/>
        <v>#VALUE!</v>
      </c>
      <c r="AD110" s="425" t="e">
        <f t="shared" ca="1" si="13"/>
        <v>#VALUE!</v>
      </c>
      <c r="AE110" s="423" t="e">
        <f t="shared" ca="1" si="14"/>
        <v>#VALUE!</v>
      </c>
      <c r="AF110" s="160" t="e">
        <f t="shared" ca="1" si="15"/>
        <v>#REF!</v>
      </c>
      <c r="AG110" s="160" t="e">
        <f ca="1">IF($AA$77*SUM($W$60:$W109)/Etaw=BedarfWW,0,MAX(MIN($AA$77*W110/Etaw,BedarfWW-$AA$77*SUM($W$60:$W109)/Etaw),0))</f>
        <v>#VALUE!</v>
      </c>
      <c r="AH110" s="160" t="e">
        <f t="shared" ca="1" si="37"/>
        <v>#REF!</v>
      </c>
      <c r="AI110" s="1053">
        <f t="shared" si="38"/>
        <v>0</v>
      </c>
      <c r="AJ110" s="157">
        <f t="shared" si="39"/>
        <v>0</v>
      </c>
      <c r="AK110" s="162" t="e">
        <f t="shared" ca="1" si="40"/>
        <v>#REF!</v>
      </c>
      <c r="AL110" s="162" t="e">
        <f ca="1">AE110+AD110+IF(Laufzeit_Zusatzheizung&gt;=SUM($Y$60:$Y143),Kesselleistung*$H$45*Y110,0)</f>
        <v>#VALUE!</v>
      </c>
      <c r="AM110" s="426" t="e">
        <f t="shared" ca="1" si="16"/>
        <v>#VALUE!</v>
      </c>
      <c r="AN110" s="669">
        <f>IF(Neu,INDEX(WP_BIN!$T$80:$CG$80,1,S110),AZ110)</f>
        <v>0</v>
      </c>
      <c r="AO110" s="163" t="e">
        <f t="shared" ca="1" si="41"/>
        <v>#VALUE!</v>
      </c>
      <c r="AP110" s="163" t="e">
        <f t="shared" ca="1" si="42"/>
        <v>#VALUE!</v>
      </c>
      <c r="AQ110" s="161">
        <f t="shared" si="43"/>
        <v>0</v>
      </c>
      <c r="AR110" s="162" t="e">
        <f t="shared" si="44"/>
        <v>#VALUE!</v>
      </c>
      <c r="AS110" s="423">
        <f t="shared" si="17"/>
        <v>0</v>
      </c>
      <c r="AT110" s="421">
        <f t="shared" si="18"/>
        <v>0</v>
      </c>
      <c r="AU110" s="421">
        <f t="shared" si="20"/>
        <v>0</v>
      </c>
      <c r="AV110" s="1116" t="e">
        <f ca="1">INDEX(Berechnungen!$E$79:$BR$79,1,S110)</f>
        <v>#REF!</v>
      </c>
      <c r="AW110" s="65">
        <f t="shared" si="19"/>
        <v>25</v>
      </c>
      <c r="AX110" s="162">
        <f>INDEX(WP_BIN!$T$78:$CG$78,1,$S110)</f>
        <v>26</v>
      </c>
      <c r="AY110" s="162" t="e">
        <f>INDEX(WP_BIN!$T$43:$CG$43,1,$S110)</f>
        <v>#DIV/0!</v>
      </c>
      <c r="AZ110" s="480">
        <f>INDEX(WP_BIN!$T$79:$CG$79,1,$S110)</f>
        <v>0</v>
      </c>
      <c r="BA110" s="480">
        <f>INDEX(WP_BIN!$T$86:$CG$86,1,$S110)</f>
        <v>0</v>
      </c>
      <c r="BB110" s="480" t="e">
        <f ca="1">INDEX(WP_BIN!$T$47:$CG$47,1,$S110)</f>
        <v>#DIV/0!</v>
      </c>
      <c r="BC110" s="480">
        <f ca="1">INDEX(WP_BIN!$T$54:$CG$54,1,$S110)</f>
        <v>0</v>
      </c>
      <c r="BE110" s="217"/>
      <c r="DC110" s="5"/>
      <c r="DD110" s="5"/>
    </row>
    <row r="111" spans="2:108" ht="15.75" customHeight="1" x14ac:dyDescent="0.2">
      <c r="K111" s="5"/>
      <c r="L111" s="5"/>
      <c r="M111" s="5"/>
      <c r="N111" s="5"/>
      <c r="O111" s="5"/>
      <c r="P111" s="5"/>
      <c r="Q111" s="5"/>
      <c r="R111" s="5"/>
      <c r="S111" s="5">
        <v>52</v>
      </c>
      <c r="T111" s="419">
        <f t="shared" si="45"/>
        <v>0</v>
      </c>
      <c r="U111" s="164"/>
      <c r="V111" s="421">
        <f t="shared" si="46"/>
        <v>0</v>
      </c>
      <c r="W111" s="1057">
        <f>IF(BIN,INDEX(BIN!$B$3:$BO$364,4+(Klima-2)*11,S111),0)</f>
        <v>0</v>
      </c>
      <c r="X111" s="159">
        <v>26</v>
      </c>
      <c r="Y111" s="160" t="e">
        <f ca="1">IF(BINkorr,INDEX(Berechnungen!$E$81:$BR$81,1,S111)*IF(OR(Methode_384_3,Z111=0),1,AV111/Z111)/Leistungskorr*(1-Kollektor),W111*$T$130*(1-Kollektor))</f>
        <v>#REF!</v>
      </c>
      <c r="Z111" s="161">
        <f>IF(Heizung,IF(Methode_384_3,INDEX(Berechnungen!$E$79:$BR$79,1,S111),IF(IF(Heizung,Z110-$Z$77/28,0)&gt;0,IF(Heizung,Z110-$Z$77/28,0),0)),0)</f>
        <v>0</v>
      </c>
      <c r="AA111" s="161" t="e">
        <f t="shared" ca="1" si="35"/>
        <v>#VALUE!</v>
      </c>
      <c r="AB111" s="441">
        <f>AB110</f>
        <v>0</v>
      </c>
      <c r="AC111" s="161" t="e">
        <f t="shared" ca="1" si="36"/>
        <v>#VALUE!</v>
      </c>
      <c r="AD111" s="425" t="e">
        <f t="shared" ca="1" si="13"/>
        <v>#VALUE!</v>
      </c>
      <c r="AE111" s="423" t="e">
        <f t="shared" ca="1" si="14"/>
        <v>#VALUE!</v>
      </c>
      <c r="AF111" s="160" t="e">
        <f t="shared" ca="1" si="15"/>
        <v>#REF!</v>
      </c>
      <c r="AG111" s="160" t="e">
        <f ca="1">IF($AA$77*SUM($W$60:$W110)/Etaw=BedarfWW,0,MAX(MIN($AA$77*W111/Etaw,BedarfWW-$AA$77*SUM($W$60:$W110)/Etaw),0))</f>
        <v>#VALUE!</v>
      </c>
      <c r="AH111" s="160" t="e">
        <f t="shared" ca="1" si="37"/>
        <v>#REF!</v>
      </c>
      <c r="AI111" s="1053">
        <f t="shared" si="38"/>
        <v>0</v>
      </c>
      <c r="AJ111" s="157">
        <f t="shared" si="39"/>
        <v>0</v>
      </c>
      <c r="AK111" s="162" t="e">
        <f t="shared" ca="1" si="40"/>
        <v>#REF!</v>
      </c>
      <c r="AL111" s="162" t="e">
        <f ca="1">AE111+AD111+IF(Laufzeit_Zusatzheizung&gt;=SUM($Y$60:$Y144),Kesselleistung*$H$45*Y111,0)</f>
        <v>#VALUE!</v>
      </c>
      <c r="AM111" s="426" t="e">
        <f t="shared" ca="1" si="16"/>
        <v>#VALUE!</v>
      </c>
      <c r="AN111" s="669">
        <f>IF(Neu,INDEX(WP_BIN!$T$80:$CG$80,1,S111),AZ111)</f>
        <v>0</v>
      </c>
      <c r="AO111" s="163" t="e">
        <f t="shared" ca="1" si="41"/>
        <v>#VALUE!</v>
      </c>
      <c r="AP111" s="163" t="e">
        <f t="shared" ca="1" si="42"/>
        <v>#VALUE!</v>
      </c>
      <c r="AQ111" s="161">
        <f t="shared" si="43"/>
        <v>0</v>
      </c>
      <c r="AR111" s="162" t="e">
        <f t="shared" si="44"/>
        <v>#VALUE!</v>
      </c>
      <c r="AS111" s="423">
        <f t="shared" si="17"/>
        <v>0</v>
      </c>
      <c r="AT111" s="421">
        <f t="shared" si="18"/>
        <v>0</v>
      </c>
      <c r="AU111" s="421">
        <f t="shared" si="20"/>
        <v>0</v>
      </c>
      <c r="AV111" s="1116" t="e">
        <f ca="1">INDEX(Berechnungen!$E$79:$BR$79,1,S111)</f>
        <v>#REF!</v>
      </c>
      <c r="AW111" s="65">
        <f t="shared" si="19"/>
        <v>26</v>
      </c>
      <c r="AX111" s="162">
        <f>INDEX(WP_BIN!$T$78:$CG$78,1,$S111)</f>
        <v>26</v>
      </c>
      <c r="AY111" s="162" t="e">
        <f>INDEX(WP_BIN!$T$43:$CG$43,1,$S111)</f>
        <v>#DIV/0!</v>
      </c>
      <c r="AZ111" s="480">
        <f>INDEX(WP_BIN!$T$79:$CG$79,1,$S111)</f>
        <v>0</v>
      </c>
      <c r="BA111" s="480">
        <f>INDEX(WP_BIN!$T$86:$CG$86,1,$S111)</f>
        <v>0</v>
      </c>
      <c r="BB111" s="480" t="e">
        <f ca="1">INDEX(WP_BIN!$T$47:$CG$47,1,$S111)</f>
        <v>#DIV/0!</v>
      </c>
      <c r="BC111" s="480">
        <f ca="1">INDEX(WP_BIN!$T$54:$CG$54,1,$S111)</f>
        <v>0</v>
      </c>
      <c r="BE111" s="217"/>
      <c r="DC111" s="5"/>
      <c r="DD111" s="5"/>
    </row>
    <row r="112" spans="2:108" ht="15.75" customHeight="1" x14ac:dyDescent="0.2">
      <c r="K112" s="5"/>
      <c r="L112" s="5"/>
      <c r="M112" s="5"/>
      <c r="N112" s="5"/>
      <c r="O112" s="5"/>
      <c r="P112" s="5"/>
      <c r="Q112" s="5"/>
      <c r="R112" s="5"/>
      <c r="S112" s="5">
        <v>53</v>
      </c>
      <c r="T112" s="419">
        <f t="shared" si="45"/>
        <v>0</v>
      </c>
      <c r="U112" s="164"/>
      <c r="V112" s="421">
        <f t="shared" si="46"/>
        <v>0</v>
      </c>
      <c r="W112" s="1057">
        <f>IF(BIN,INDEX(BIN!$B$3:$BO$364,4+(Klima-2)*11,S112),0)</f>
        <v>0</v>
      </c>
      <c r="X112" s="159">
        <v>27</v>
      </c>
      <c r="Y112" s="160" t="e">
        <f ca="1">IF(BINkorr,INDEX(Berechnungen!$E$81:$BR$81,1,S112)*IF(OR(Methode_384_3,Z112=0),1,AV112/Z112)/Leistungskorr*(1-Kollektor),W112*$T$130*(1-Kollektor))</f>
        <v>#REF!</v>
      </c>
      <c r="Z112" s="161">
        <f>IF(Heizung,IF(Methode_384_3,INDEX(Berechnungen!$E$79:$BR$79,1,S112),IF(IF(Heizung,Z111-$Z$77/28,0)&gt;0,IF(Heizung,Z111-$Z$77/28,0),0)),0)</f>
        <v>0</v>
      </c>
      <c r="AA112" s="161" t="e">
        <f t="shared" ca="1" si="35"/>
        <v>#VALUE!</v>
      </c>
      <c r="AB112" s="441">
        <f t="shared" ref="AB112:AB125" si="48">AB111</f>
        <v>0</v>
      </c>
      <c r="AC112" s="161" t="e">
        <f t="shared" ca="1" si="36"/>
        <v>#VALUE!</v>
      </c>
      <c r="AD112" s="425" t="e">
        <f t="shared" ca="1" si="13"/>
        <v>#VALUE!</v>
      </c>
      <c r="AE112" s="423" t="e">
        <f t="shared" ca="1" si="14"/>
        <v>#VALUE!</v>
      </c>
      <c r="AF112" s="160" t="e">
        <f t="shared" ca="1" si="15"/>
        <v>#REF!</v>
      </c>
      <c r="AG112" s="160" t="e">
        <f ca="1">IF($AA$77*SUM($W$60:$W111)/Etaw=BedarfWW,0,MAX(MIN($AA$77*W112/Etaw,BedarfWW-$AA$77*SUM($W$60:$W111)/Etaw),0))</f>
        <v>#VALUE!</v>
      </c>
      <c r="AH112" s="160" t="e">
        <f t="shared" ca="1" si="37"/>
        <v>#REF!</v>
      </c>
      <c r="AI112" s="1053">
        <f t="shared" si="38"/>
        <v>0</v>
      </c>
      <c r="AJ112" s="157">
        <f t="shared" si="39"/>
        <v>0</v>
      </c>
      <c r="AK112" s="162" t="e">
        <f t="shared" ca="1" si="40"/>
        <v>#REF!</v>
      </c>
      <c r="AL112" s="162" t="e">
        <f ca="1">AE112+AD112+IF(Laufzeit_Zusatzheizung&gt;=SUM($Y$60:$Y145),Kesselleistung*$H$45*Y112,0)</f>
        <v>#VALUE!</v>
      </c>
      <c r="AM112" s="426" t="e">
        <f t="shared" ca="1" si="16"/>
        <v>#VALUE!</v>
      </c>
      <c r="AN112" s="669">
        <f>IF(Neu,INDEX(WP_BIN!$T$80:$CG$80,1,S112),AZ112)</f>
        <v>0</v>
      </c>
      <c r="AO112" s="163" t="e">
        <f t="shared" ca="1" si="41"/>
        <v>#VALUE!</v>
      </c>
      <c r="AP112" s="163" t="e">
        <f t="shared" ca="1" si="42"/>
        <v>#VALUE!</v>
      </c>
      <c r="AQ112" s="161">
        <f t="shared" si="43"/>
        <v>0</v>
      </c>
      <c r="AR112" s="162" t="e">
        <f t="shared" si="44"/>
        <v>#VALUE!</v>
      </c>
      <c r="AS112" s="423">
        <f t="shared" si="17"/>
        <v>0</v>
      </c>
      <c r="AT112" s="421">
        <f t="shared" si="18"/>
        <v>0</v>
      </c>
      <c r="AU112" s="421">
        <f t="shared" si="20"/>
        <v>0</v>
      </c>
      <c r="AV112" s="1116" t="e">
        <f ca="1">INDEX(Berechnungen!$E$79:$BR$79,1,S112)</f>
        <v>#REF!</v>
      </c>
      <c r="AW112" s="65">
        <f t="shared" si="19"/>
        <v>27</v>
      </c>
      <c r="AX112" s="162">
        <f>INDEX(WP_BIN!$T$78:$CG$78,1,$S112)</f>
        <v>26</v>
      </c>
      <c r="AY112" s="162" t="e">
        <f>INDEX(WP_BIN!$T$43:$CG$43,1,$S112)</f>
        <v>#DIV/0!</v>
      </c>
      <c r="AZ112" s="480">
        <f>INDEX(WP_BIN!$T$79:$CG$79,1,$S112)</f>
        <v>0</v>
      </c>
      <c r="BA112" s="480">
        <f>INDEX(WP_BIN!$T$86:$CG$86,1,$S112)</f>
        <v>0</v>
      </c>
      <c r="BB112" s="480" t="e">
        <f ca="1">INDEX(WP_BIN!$T$47:$CG$47,1,$S112)</f>
        <v>#DIV/0!</v>
      </c>
      <c r="BC112" s="480">
        <f ca="1">INDEX(WP_BIN!$T$54:$CG$54,1,$S112)</f>
        <v>0</v>
      </c>
      <c r="BE112" s="217"/>
      <c r="DC112" s="5"/>
      <c r="DD112" s="5"/>
    </row>
    <row r="113" spans="11:108" ht="15.75" customHeight="1" x14ac:dyDescent="0.2">
      <c r="K113" s="5"/>
      <c r="L113" s="5"/>
      <c r="M113" s="5"/>
      <c r="N113" s="5"/>
      <c r="O113" s="5"/>
      <c r="P113" s="5"/>
      <c r="Q113" s="5"/>
      <c r="R113" s="5"/>
      <c r="S113" s="5">
        <v>54</v>
      </c>
      <c r="T113" s="419">
        <f t="shared" si="45"/>
        <v>0</v>
      </c>
      <c r="U113" s="164"/>
      <c r="V113" s="421">
        <f t="shared" si="46"/>
        <v>0</v>
      </c>
      <c r="W113" s="1057">
        <f>IF(BIN,INDEX(BIN!$B$3:$BO$364,4+(Klima-2)*11,S113),0)</f>
        <v>0</v>
      </c>
      <c r="X113" s="159">
        <v>28</v>
      </c>
      <c r="Y113" s="160" t="e">
        <f ca="1">IF(BINkorr,INDEX(Berechnungen!$E$81:$BR$81,1,S113)*IF(OR(Methode_384_3,Z113=0),1,AV113/Z113)/Leistungskorr*(1-Kollektor),W113*$T$130*(1-Kollektor))</f>
        <v>#REF!</v>
      </c>
      <c r="Z113" s="161">
        <f>IF(Heizung,IF(Methode_384_3,INDEX(Berechnungen!$E$79:$BR$79,1,S113),IF(IF(Heizung,Z112-$Z$77/28,0)&gt;0,IF(Heizung,Z112-$Z$77/28,0),0)),0)</f>
        <v>0</v>
      </c>
      <c r="AA113" s="161" t="e">
        <f t="shared" ca="1" si="35"/>
        <v>#VALUE!</v>
      </c>
      <c r="AB113" s="441">
        <f t="shared" si="48"/>
        <v>0</v>
      </c>
      <c r="AC113" s="161" t="e">
        <f t="shared" ca="1" si="36"/>
        <v>#VALUE!</v>
      </c>
      <c r="AD113" s="425" t="e">
        <f t="shared" ca="1" si="13"/>
        <v>#VALUE!</v>
      </c>
      <c r="AE113" s="423" t="e">
        <f t="shared" ca="1" si="14"/>
        <v>#VALUE!</v>
      </c>
      <c r="AF113" s="160" t="e">
        <f t="shared" ca="1" si="15"/>
        <v>#REF!</v>
      </c>
      <c r="AG113" s="160" t="e">
        <f ca="1">IF($AA$77*SUM($W$60:$W112)/Etaw=BedarfWW,0,MAX(MIN($AA$77*W113/Etaw,BedarfWW-$AA$77*SUM($W$60:$W112)/Etaw),0))</f>
        <v>#VALUE!</v>
      </c>
      <c r="AH113" s="160" t="e">
        <f t="shared" ca="1" si="37"/>
        <v>#REF!</v>
      </c>
      <c r="AI113" s="1053">
        <f t="shared" si="38"/>
        <v>0</v>
      </c>
      <c r="AJ113" s="157">
        <f t="shared" si="39"/>
        <v>0</v>
      </c>
      <c r="AK113" s="162" t="e">
        <f t="shared" ca="1" si="40"/>
        <v>#REF!</v>
      </c>
      <c r="AL113" s="162" t="e">
        <f ca="1">AE113+AD113+IF(Laufzeit_Zusatzheizung&gt;=SUM($Y$60:$Y146),Kesselleistung*$H$45*Y113,0)</f>
        <v>#VALUE!</v>
      </c>
      <c r="AM113" s="426" t="e">
        <f t="shared" ca="1" si="16"/>
        <v>#VALUE!</v>
      </c>
      <c r="AN113" s="669">
        <f>IF(Neu,INDEX(WP_BIN!$T$80:$CG$80,1,S113),AZ113)</f>
        <v>0</v>
      </c>
      <c r="AO113" s="163" t="e">
        <f t="shared" ca="1" si="41"/>
        <v>#VALUE!</v>
      </c>
      <c r="AP113" s="163" t="e">
        <f t="shared" ca="1" si="42"/>
        <v>#VALUE!</v>
      </c>
      <c r="AQ113" s="161">
        <f t="shared" si="43"/>
        <v>0</v>
      </c>
      <c r="AR113" s="162" t="e">
        <f t="shared" si="44"/>
        <v>#VALUE!</v>
      </c>
      <c r="AS113" s="423">
        <f t="shared" si="17"/>
        <v>0</v>
      </c>
      <c r="AT113" s="421">
        <f t="shared" si="18"/>
        <v>0</v>
      </c>
      <c r="AU113" s="421">
        <f t="shared" si="20"/>
        <v>0</v>
      </c>
      <c r="AV113" s="1116" t="e">
        <f ca="1">INDEX(Berechnungen!$E$79:$BR$79,1,S113)</f>
        <v>#REF!</v>
      </c>
      <c r="AW113" s="65">
        <f t="shared" si="19"/>
        <v>28</v>
      </c>
      <c r="AX113" s="162">
        <f>INDEX(WP_BIN!$T$78:$CG$78,1,$S113)</f>
        <v>26</v>
      </c>
      <c r="AY113" s="162" t="e">
        <f>INDEX(WP_BIN!$T$43:$CG$43,1,$S113)</f>
        <v>#DIV/0!</v>
      </c>
      <c r="AZ113" s="480">
        <f>INDEX(WP_BIN!$T$79:$CG$79,1,$S113)</f>
        <v>0</v>
      </c>
      <c r="BA113" s="480">
        <f>INDEX(WP_BIN!$T$86:$CG$86,1,$S113)</f>
        <v>0</v>
      </c>
      <c r="BB113" s="480" t="e">
        <f ca="1">INDEX(WP_BIN!$T$47:$CG$47,1,$S113)</f>
        <v>#DIV/0!</v>
      </c>
      <c r="BC113" s="480">
        <f ca="1">INDEX(WP_BIN!$T$54:$CG$54,1,$S113)</f>
        <v>0</v>
      </c>
      <c r="BE113" s="217"/>
      <c r="DC113" s="5"/>
      <c r="DD113" s="5"/>
    </row>
    <row r="114" spans="11:108" ht="15.75" customHeight="1" x14ac:dyDescent="0.2">
      <c r="K114" s="5"/>
      <c r="L114" s="5"/>
      <c r="M114" s="5"/>
      <c r="N114" s="5"/>
      <c r="O114" s="5"/>
      <c r="P114" s="5"/>
      <c r="Q114" s="5"/>
      <c r="R114" s="5"/>
      <c r="S114" s="5">
        <v>55</v>
      </c>
      <c r="T114" s="419">
        <f t="shared" si="45"/>
        <v>0</v>
      </c>
      <c r="U114" s="164"/>
      <c r="V114" s="421">
        <f t="shared" si="46"/>
        <v>0</v>
      </c>
      <c r="W114" s="1057">
        <f>IF(BIN,INDEX(BIN!$B$3:$BO$364,4+(Klima-2)*11,S114),0)</f>
        <v>0</v>
      </c>
      <c r="X114" s="159">
        <v>29</v>
      </c>
      <c r="Y114" s="160" t="e">
        <f ca="1">IF(BINkorr,INDEX(Berechnungen!$E$81:$BR$81,1,S114)*IF(OR(Methode_384_3,Z114=0),1,AV114/Z114)/Leistungskorr*(1-Kollektor),W114*$T$130*(1-Kollektor))</f>
        <v>#REF!</v>
      </c>
      <c r="Z114" s="161">
        <f>IF(Heizung,IF(Methode_384_3,INDEX(Berechnungen!$E$79:$BR$79,1,S114),IF(IF(Heizung,Z113-$Z$77/28,0)&gt;0,IF(Heizung,Z113-$Z$77/28,0),0)),0)</f>
        <v>0</v>
      </c>
      <c r="AA114" s="161" t="e">
        <f t="shared" ca="1" si="35"/>
        <v>#VALUE!</v>
      </c>
      <c r="AB114" s="441">
        <f t="shared" si="48"/>
        <v>0</v>
      </c>
      <c r="AC114" s="161" t="e">
        <f t="shared" ca="1" si="36"/>
        <v>#VALUE!</v>
      </c>
      <c r="AD114" s="425" t="e">
        <f t="shared" ca="1" si="13"/>
        <v>#VALUE!</v>
      </c>
      <c r="AE114" s="423" t="e">
        <f t="shared" ca="1" si="14"/>
        <v>#VALUE!</v>
      </c>
      <c r="AF114" s="160" t="e">
        <f t="shared" ca="1" si="15"/>
        <v>#REF!</v>
      </c>
      <c r="AG114" s="160" t="e">
        <f ca="1">IF($AA$77*SUM($W$60:$W113)/Etaw=BedarfWW,0,MAX(MIN($AA$77*W114/Etaw,BedarfWW-$AA$77*SUM($W$60:$W113)/Etaw),0))</f>
        <v>#VALUE!</v>
      </c>
      <c r="AH114" s="160" t="e">
        <f t="shared" ca="1" si="37"/>
        <v>#REF!</v>
      </c>
      <c r="AI114" s="1053">
        <f t="shared" si="38"/>
        <v>0</v>
      </c>
      <c r="AJ114" s="157">
        <f t="shared" si="39"/>
        <v>0</v>
      </c>
      <c r="AK114" s="162" t="e">
        <f t="shared" ca="1" si="40"/>
        <v>#REF!</v>
      </c>
      <c r="AL114" s="162" t="e">
        <f ca="1">AE114+AD114+IF(Laufzeit_Zusatzheizung&gt;=SUM($Y$60:$Y147),Kesselleistung*$H$45*Y114,0)</f>
        <v>#VALUE!</v>
      </c>
      <c r="AM114" s="426" t="e">
        <f t="shared" ca="1" si="16"/>
        <v>#VALUE!</v>
      </c>
      <c r="AN114" s="669">
        <f>IF(Neu,INDEX(WP_BIN!$T$80:$CG$80,1,S114),AZ114)</f>
        <v>0</v>
      </c>
      <c r="AO114" s="163" t="e">
        <f t="shared" ca="1" si="41"/>
        <v>#VALUE!</v>
      </c>
      <c r="AP114" s="163" t="e">
        <f t="shared" ca="1" si="42"/>
        <v>#VALUE!</v>
      </c>
      <c r="AQ114" s="161">
        <f t="shared" si="43"/>
        <v>0</v>
      </c>
      <c r="AR114" s="162" t="e">
        <f t="shared" si="44"/>
        <v>#VALUE!</v>
      </c>
      <c r="AS114" s="423">
        <f t="shared" si="17"/>
        <v>0</v>
      </c>
      <c r="AT114" s="421">
        <f t="shared" si="18"/>
        <v>0</v>
      </c>
      <c r="AU114" s="421">
        <f t="shared" si="20"/>
        <v>0</v>
      </c>
      <c r="AV114" s="1116" t="e">
        <f ca="1">INDEX(Berechnungen!$E$79:$BR$79,1,S114)</f>
        <v>#REF!</v>
      </c>
      <c r="AW114" s="65">
        <f t="shared" si="19"/>
        <v>29</v>
      </c>
      <c r="AX114" s="162">
        <f>INDEX(WP_BIN!$T$78:$CG$78,1,$S114)</f>
        <v>26</v>
      </c>
      <c r="AY114" s="162" t="e">
        <f>INDEX(WP_BIN!$T$43:$CG$43,1,$S114)</f>
        <v>#DIV/0!</v>
      </c>
      <c r="AZ114" s="480">
        <f>INDEX(WP_BIN!$T$79:$CG$79,1,$S114)</f>
        <v>0</v>
      </c>
      <c r="BA114" s="480">
        <f>INDEX(WP_BIN!$T$86:$CG$86,1,$S114)</f>
        <v>0</v>
      </c>
      <c r="BB114" s="480" t="e">
        <f ca="1">INDEX(WP_BIN!$T$47:$CG$47,1,$S114)</f>
        <v>#DIV/0!</v>
      </c>
      <c r="BC114" s="480">
        <f ca="1">INDEX(WP_BIN!$T$54:$CG$54,1,$S114)</f>
        <v>0</v>
      </c>
      <c r="BE114" s="217"/>
      <c r="DC114" s="5"/>
      <c r="DD114" s="5"/>
    </row>
    <row r="115" spans="11:108" ht="15.75" customHeight="1" x14ac:dyDescent="0.2">
      <c r="K115" s="5"/>
      <c r="L115" s="5"/>
      <c r="M115" s="5"/>
      <c r="N115" s="5"/>
      <c r="O115" s="5"/>
      <c r="P115" s="5"/>
      <c r="Q115" s="5"/>
      <c r="R115" s="5"/>
      <c r="S115" s="5">
        <v>56</v>
      </c>
      <c r="T115" s="419">
        <f t="shared" si="45"/>
        <v>0</v>
      </c>
      <c r="U115" s="164"/>
      <c r="V115" s="421">
        <f t="shared" si="46"/>
        <v>0</v>
      </c>
      <c r="W115" s="1057">
        <f>IF(BIN,INDEX(BIN!$B$3:$BO$364,4+(Klima-2)*11,S115),0)</f>
        <v>0</v>
      </c>
      <c r="X115" s="159">
        <v>30</v>
      </c>
      <c r="Y115" s="160" t="e">
        <f ca="1">IF(BINkorr,INDEX(Berechnungen!$E$81:$BR$81,1,S115)*IF(OR(Methode_384_3,Z115=0),1,AV115/Z115)/Leistungskorr*(1-Kollektor),W115*$T$130*(1-Kollektor))</f>
        <v>#REF!</v>
      </c>
      <c r="Z115" s="161">
        <f>IF(Heizung,IF(Methode_384_3,INDEX(Berechnungen!$E$79:$BR$79,1,S115),IF(IF(Heizung,Z114-$Z$77/28,0)&gt;0,IF(Heizung,Z114-$Z$77/28,0),0)),0)</f>
        <v>0</v>
      </c>
      <c r="AA115" s="161" t="e">
        <f t="shared" ca="1" si="35"/>
        <v>#VALUE!</v>
      </c>
      <c r="AB115" s="441">
        <f t="shared" si="48"/>
        <v>0</v>
      </c>
      <c r="AC115" s="161" t="e">
        <f t="shared" ca="1" si="36"/>
        <v>#VALUE!</v>
      </c>
      <c r="AD115" s="425" t="e">
        <f t="shared" ca="1" si="13"/>
        <v>#VALUE!</v>
      </c>
      <c r="AE115" s="423" t="e">
        <f t="shared" ca="1" si="14"/>
        <v>#VALUE!</v>
      </c>
      <c r="AF115" s="160" t="e">
        <f t="shared" ca="1" si="15"/>
        <v>#REF!</v>
      </c>
      <c r="AG115" s="160" t="e">
        <f ca="1">IF($AA$77*SUM($W$60:$W114)/Etaw=BedarfWW,0,MAX(MIN($AA$77*W115/Etaw,BedarfWW-$AA$77*SUM($W$60:$W114)/Etaw),0))</f>
        <v>#VALUE!</v>
      </c>
      <c r="AH115" s="160" t="e">
        <f t="shared" ca="1" si="37"/>
        <v>#REF!</v>
      </c>
      <c r="AI115" s="1053">
        <f t="shared" si="38"/>
        <v>0</v>
      </c>
      <c r="AJ115" s="157">
        <f t="shared" si="39"/>
        <v>0</v>
      </c>
      <c r="AK115" s="162" t="e">
        <f t="shared" ca="1" si="40"/>
        <v>#REF!</v>
      </c>
      <c r="AL115" s="162" t="e">
        <f ca="1">AE115+AD115+IF(Laufzeit_Zusatzheizung&gt;=SUM($Y$60:$Y148),Kesselleistung*$H$45*Y115,0)</f>
        <v>#VALUE!</v>
      </c>
      <c r="AM115" s="426" t="e">
        <f t="shared" ca="1" si="16"/>
        <v>#VALUE!</v>
      </c>
      <c r="AN115" s="669">
        <f>IF(Neu,INDEX(WP_BIN!$T$80:$CG$80,1,S115),AZ115)</f>
        <v>0</v>
      </c>
      <c r="AO115" s="163" t="e">
        <f t="shared" ca="1" si="41"/>
        <v>#VALUE!</v>
      </c>
      <c r="AP115" s="163" t="e">
        <f t="shared" ca="1" si="42"/>
        <v>#VALUE!</v>
      </c>
      <c r="AQ115" s="161">
        <f t="shared" si="43"/>
        <v>0</v>
      </c>
      <c r="AR115" s="162" t="e">
        <f t="shared" si="44"/>
        <v>#VALUE!</v>
      </c>
      <c r="AS115" s="423">
        <f t="shared" si="17"/>
        <v>0</v>
      </c>
      <c r="AT115" s="421">
        <f t="shared" si="18"/>
        <v>0</v>
      </c>
      <c r="AU115" s="421">
        <f t="shared" si="20"/>
        <v>0</v>
      </c>
      <c r="AV115" s="1116" t="e">
        <f ca="1">INDEX(Berechnungen!$E$79:$BR$79,1,S115)</f>
        <v>#REF!</v>
      </c>
      <c r="AW115" s="65">
        <f t="shared" si="19"/>
        <v>30</v>
      </c>
      <c r="AX115" s="162">
        <f>INDEX(WP_BIN!$T$78:$CG$78,1,$S115)</f>
        <v>26</v>
      </c>
      <c r="AY115" s="162" t="e">
        <f>INDEX(WP_BIN!$T$43:$CG$43,1,$S115)</f>
        <v>#DIV/0!</v>
      </c>
      <c r="AZ115" s="480">
        <f>INDEX(WP_BIN!$T$79:$CG$79,1,$S115)</f>
        <v>0</v>
      </c>
      <c r="BA115" s="480">
        <f>INDEX(WP_BIN!$T$86:$CG$86,1,$S115)</f>
        <v>0</v>
      </c>
      <c r="BB115" s="480" t="e">
        <f ca="1">INDEX(WP_BIN!$T$47:$CG$47,1,$S115)</f>
        <v>#DIV/0!</v>
      </c>
      <c r="BC115" s="480">
        <f ca="1">INDEX(WP_BIN!$T$54:$CG$54,1,$S115)</f>
        <v>0</v>
      </c>
      <c r="BE115" s="217"/>
      <c r="DC115" s="5"/>
      <c r="DD115" s="5"/>
    </row>
    <row r="116" spans="11:108" ht="15.75" customHeight="1" x14ac:dyDescent="0.2">
      <c r="K116" s="5"/>
      <c r="L116" s="5"/>
      <c r="M116" s="5"/>
      <c r="N116" s="5"/>
      <c r="O116" s="5"/>
      <c r="P116" s="5"/>
      <c r="Q116" s="302"/>
      <c r="R116" s="5"/>
      <c r="S116" s="5">
        <v>57</v>
      </c>
      <c r="T116" s="419">
        <f t="shared" si="45"/>
        <v>0</v>
      </c>
      <c r="U116" s="164"/>
      <c r="V116" s="421">
        <f t="shared" si="46"/>
        <v>0</v>
      </c>
      <c r="W116" s="1057">
        <f>IF(BIN,INDEX(BIN!$B$3:$BO$364,4+(Klima-2)*11,S116),0)</f>
        <v>0</v>
      </c>
      <c r="X116" s="159">
        <v>31</v>
      </c>
      <c r="Y116" s="160" t="e">
        <f ca="1">IF(BINkorr,INDEX(Berechnungen!$E$81:$BR$81,1,S116)*IF(OR(Methode_384_3,Z116=0),1,AV116/Z116)/Leistungskorr*(1-Kollektor),W116*$T$130*(1-Kollektor))</f>
        <v>#REF!</v>
      </c>
      <c r="Z116" s="161">
        <f>IF(Heizung,IF(Methode_384_3,INDEX(Berechnungen!$E$79:$BR$79,1,S116),IF(IF(Heizung,Z115-$Z$77/28,0)&gt;0,IF(Heizung,Z115-$Z$77/28,0),0)),0)</f>
        <v>0</v>
      </c>
      <c r="AA116" s="161" t="e">
        <f t="shared" ca="1" si="35"/>
        <v>#VALUE!</v>
      </c>
      <c r="AB116" s="441">
        <f t="shared" si="48"/>
        <v>0</v>
      </c>
      <c r="AC116" s="161" t="e">
        <f t="shared" ca="1" si="36"/>
        <v>#VALUE!</v>
      </c>
      <c r="AD116" s="425" t="e">
        <f t="shared" ca="1" si="13"/>
        <v>#VALUE!</v>
      </c>
      <c r="AE116" s="423" t="e">
        <f t="shared" ca="1" si="14"/>
        <v>#VALUE!</v>
      </c>
      <c r="AF116" s="160" t="e">
        <f t="shared" ca="1" si="15"/>
        <v>#REF!</v>
      </c>
      <c r="AG116" s="160" t="e">
        <f ca="1">IF($AA$77*SUM($W$60:$W115)/Etaw=BedarfWW,0,MAX(MIN($AA$77*W116/Etaw,BedarfWW-$AA$77*SUM($W$60:$W115)/Etaw),0))</f>
        <v>#VALUE!</v>
      </c>
      <c r="AH116" s="160" t="e">
        <f t="shared" ca="1" si="37"/>
        <v>#REF!</v>
      </c>
      <c r="AI116" s="1053">
        <f t="shared" si="38"/>
        <v>0</v>
      </c>
      <c r="AJ116" s="157">
        <f t="shared" si="39"/>
        <v>0</v>
      </c>
      <c r="AK116" s="162" t="e">
        <f t="shared" ca="1" si="40"/>
        <v>#REF!</v>
      </c>
      <c r="AL116" s="162" t="e">
        <f ca="1">AE116+AD116+IF(Laufzeit_Zusatzheizung&gt;=SUM($Y$60:$Y149),Kesselleistung*$H$45*Y116,0)</f>
        <v>#VALUE!</v>
      </c>
      <c r="AM116" s="426" t="e">
        <f t="shared" ca="1" si="16"/>
        <v>#VALUE!</v>
      </c>
      <c r="AN116" s="669">
        <f>IF(Neu,INDEX(WP_BIN!$T$80:$CG$80,1,S116),AZ116)</f>
        <v>0</v>
      </c>
      <c r="AO116" s="163" t="e">
        <f t="shared" ca="1" si="41"/>
        <v>#VALUE!</v>
      </c>
      <c r="AP116" s="163" t="e">
        <f t="shared" ca="1" si="42"/>
        <v>#VALUE!</v>
      </c>
      <c r="AQ116" s="161">
        <f t="shared" si="43"/>
        <v>0</v>
      </c>
      <c r="AR116" s="162" t="e">
        <f t="shared" si="44"/>
        <v>#VALUE!</v>
      </c>
      <c r="AS116" s="423">
        <f t="shared" si="17"/>
        <v>0</v>
      </c>
      <c r="AT116" s="421">
        <f t="shared" si="18"/>
        <v>0</v>
      </c>
      <c r="AU116" s="421">
        <f t="shared" si="20"/>
        <v>0</v>
      </c>
      <c r="AV116" s="1116" t="e">
        <f ca="1">INDEX(Berechnungen!$E$79:$BR$79,1,S116)</f>
        <v>#REF!</v>
      </c>
      <c r="AW116" s="65">
        <f t="shared" si="19"/>
        <v>31</v>
      </c>
      <c r="AX116" s="162">
        <f>INDEX(WP_BIN!$T$78:$CG$78,1,$S116)</f>
        <v>26</v>
      </c>
      <c r="AY116" s="162" t="e">
        <f>INDEX(WP_BIN!$T$43:$CG$43,1,$S116)</f>
        <v>#DIV/0!</v>
      </c>
      <c r="AZ116" s="480">
        <f>INDEX(WP_BIN!$T$79:$CG$79,1,$S116)</f>
        <v>0</v>
      </c>
      <c r="BA116" s="480">
        <f>INDEX(WP_BIN!$T$86:$CG$86,1,$S116)</f>
        <v>0</v>
      </c>
      <c r="BB116" s="480" t="e">
        <f ca="1">INDEX(WP_BIN!$T$47:$CG$47,1,$S116)</f>
        <v>#DIV/0!</v>
      </c>
      <c r="BC116" s="480">
        <f ca="1">INDEX(WP_BIN!$T$54:$CG$54,1,$S116)</f>
        <v>0</v>
      </c>
      <c r="BE116" s="217"/>
      <c r="DC116" s="5"/>
      <c r="DD116" s="5"/>
    </row>
    <row r="117" spans="11:108" ht="15.75" customHeight="1" x14ac:dyDescent="0.2">
      <c r="K117" s="5"/>
      <c r="L117" s="5"/>
      <c r="M117" s="5"/>
      <c r="N117" s="5"/>
      <c r="O117" s="5"/>
      <c r="P117" s="5"/>
      <c r="Q117" s="302"/>
      <c r="R117" s="5"/>
      <c r="S117" s="5">
        <v>58</v>
      </c>
      <c r="T117" s="419">
        <f t="shared" si="45"/>
        <v>0</v>
      </c>
      <c r="U117" s="164"/>
      <c r="V117" s="421">
        <f t="shared" si="46"/>
        <v>0</v>
      </c>
      <c r="W117" s="1057">
        <f>IF(BIN,INDEX(BIN!$B$3:$BO$364,4+(Klima-2)*11,S117),0)</f>
        <v>0</v>
      </c>
      <c r="X117" s="159">
        <v>32</v>
      </c>
      <c r="Y117" s="160" t="e">
        <f ca="1">IF(BINkorr,INDEX(Berechnungen!$E$81:$BR$81,1,S117)*IF(OR(Methode_384_3,Z117=0),1,AV117/Z117)/Leistungskorr*(1-Kollektor),W117*$T$130*(1-Kollektor))</f>
        <v>#REF!</v>
      </c>
      <c r="Z117" s="161">
        <f>IF(Heizung,IF(Methode_384_3,INDEX(Berechnungen!$E$79:$BR$79,1,S117),IF(IF(Heizung,Z116-$Z$77/28,0)&gt;0,IF(Heizung,Z116-$Z$77/28,0),0)),0)</f>
        <v>0</v>
      </c>
      <c r="AA117" s="161" t="e">
        <f t="shared" ca="1" si="35"/>
        <v>#VALUE!</v>
      </c>
      <c r="AB117" s="441">
        <f t="shared" si="48"/>
        <v>0</v>
      </c>
      <c r="AC117" s="161" t="e">
        <f t="shared" ca="1" si="36"/>
        <v>#VALUE!</v>
      </c>
      <c r="AD117" s="425" t="e">
        <f t="shared" ca="1" si="13"/>
        <v>#VALUE!</v>
      </c>
      <c r="AE117" s="423" t="e">
        <f t="shared" ca="1" si="14"/>
        <v>#VALUE!</v>
      </c>
      <c r="AF117" s="160" t="e">
        <f t="shared" ca="1" si="15"/>
        <v>#REF!</v>
      </c>
      <c r="AG117" s="160" t="e">
        <f ca="1">IF($AA$77*SUM($W$60:$W116)/Etaw=BedarfWW,0,MAX(MIN($AA$77*W117/Etaw,BedarfWW-$AA$77*SUM($W$60:$W116)/Etaw),0))</f>
        <v>#VALUE!</v>
      </c>
      <c r="AH117" s="160" t="e">
        <f t="shared" ca="1" si="37"/>
        <v>#REF!</v>
      </c>
      <c r="AI117" s="1053">
        <f t="shared" si="38"/>
        <v>0</v>
      </c>
      <c r="AJ117" s="157">
        <f t="shared" si="39"/>
        <v>0</v>
      </c>
      <c r="AK117" s="162" t="e">
        <f t="shared" ca="1" si="40"/>
        <v>#REF!</v>
      </c>
      <c r="AL117" s="162" t="e">
        <f ca="1">AE117+AD117+IF(Laufzeit_Zusatzheizung&gt;=SUM($Y$60:$Y150),Kesselleistung*$H$45*Y117,0)</f>
        <v>#VALUE!</v>
      </c>
      <c r="AM117" s="426" t="e">
        <f t="shared" ca="1" si="16"/>
        <v>#VALUE!</v>
      </c>
      <c r="AN117" s="669">
        <f>IF(Neu,INDEX(WP_BIN!$T$80:$CG$80,1,S117),AZ117)</f>
        <v>0</v>
      </c>
      <c r="AO117" s="163" t="e">
        <f t="shared" ca="1" si="41"/>
        <v>#VALUE!</v>
      </c>
      <c r="AP117" s="163" t="e">
        <f t="shared" ca="1" si="42"/>
        <v>#VALUE!</v>
      </c>
      <c r="AQ117" s="161">
        <f t="shared" si="43"/>
        <v>0</v>
      </c>
      <c r="AR117" s="162" t="e">
        <f t="shared" si="44"/>
        <v>#VALUE!</v>
      </c>
      <c r="AS117" s="423">
        <f t="shared" si="17"/>
        <v>0</v>
      </c>
      <c r="AT117" s="421">
        <f t="shared" si="18"/>
        <v>0</v>
      </c>
      <c r="AU117" s="421">
        <f t="shared" si="20"/>
        <v>0</v>
      </c>
      <c r="AV117" s="1116" t="e">
        <f ca="1">INDEX(Berechnungen!$E$79:$BR$79,1,S117)</f>
        <v>#REF!</v>
      </c>
      <c r="AW117" s="65">
        <f t="shared" si="19"/>
        <v>32</v>
      </c>
      <c r="AX117" s="162">
        <f>INDEX(WP_BIN!$T$78:$CG$78,1,$S117)</f>
        <v>26</v>
      </c>
      <c r="AY117" s="162" t="e">
        <f>INDEX(WP_BIN!$T$43:$CG$43,1,$S117)</f>
        <v>#DIV/0!</v>
      </c>
      <c r="AZ117" s="480">
        <f>INDEX(WP_BIN!$T$79:$CG$79,1,$S117)</f>
        <v>0</v>
      </c>
      <c r="BA117" s="480">
        <f>INDEX(WP_BIN!$T$86:$CG$86,1,$S117)</f>
        <v>0</v>
      </c>
      <c r="BB117" s="480" t="e">
        <f ca="1">INDEX(WP_BIN!$T$47:$CG$47,1,$S117)</f>
        <v>#DIV/0!</v>
      </c>
      <c r="BC117" s="480">
        <f ca="1">INDEX(WP_BIN!$T$54:$CG$54,1,$S117)</f>
        <v>0</v>
      </c>
      <c r="BE117" s="217"/>
      <c r="DC117" s="5"/>
      <c r="DD117" s="5"/>
    </row>
    <row r="118" spans="11:108" ht="15.75" customHeight="1" x14ac:dyDescent="0.2">
      <c r="K118" s="5"/>
      <c r="L118" s="5"/>
      <c r="M118" s="5"/>
      <c r="N118" s="5"/>
      <c r="O118" s="5"/>
      <c r="P118" s="5"/>
      <c r="Q118" s="302"/>
      <c r="R118" s="5"/>
      <c r="S118" s="5">
        <v>59</v>
      </c>
      <c r="T118" s="419">
        <f t="shared" si="45"/>
        <v>0</v>
      </c>
      <c r="U118" s="164"/>
      <c r="V118" s="421">
        <f t="shared" si="46"/>
        <v>0</v>
      </c>
      <c r="W118" s="1057">
        <f>IF(BIN,INDEX(BIN!$B$3:$BO$364,4+(Klima-2)*11,S118),0)</f>
        <v>0</v>
      </c>
      <c r="X118" s="159">
        <v>33</v>
      </c>
      <c r="Y118" s="160" t="e">
        <f ca="1">IF(BINkorr,INDEX(Berechnungen!$E$81:$BR$81,1,S118)*IF(OR(Methode_384_3,Z118=0),1,AV118/Z118)/Leistungskorr*(1-Kollektor),W118*$T$130*(1-Kollektor))</f>
        <v>#REF!</v>
      </c>
      <c r="Z118" s="161">
        <f>IF(Heizung,IF(Methode_384_3,INDEX(Berechnungen!$E$79:$BR$79,1,S118),IF(IF(Heizung,Z117-$Z$77/28,0)&gt;0,IF(Heizung,Z117-$Z$77/28,0),0)),0)</f>
        <v>0</v>
      </c>
      <c r="AA118" s="161" t="e">
        <f t="shared" ca="1" si="35"/>
        <v>#VALUE!</v>
      </c>
      <c r="AB118" s="441">
        <f t="shared" si="48"/>
        <v>0</v>
      </c>
      <c r="AC118" s="161" t="e">
        <f t="shared" ca="1" si="36"/>
        <v>#VALUE!</v>
      </c>
      <c r="AD118" s="425" t="e">
        <f t="shared" ca="1" si="13"/>
        <v>#VALUE!</v>
      </c>
      <c r="AE118" s="423" t="e">
        <f t="shared" ca="1" si="14"/>
        <v>#VALUE!</v>
      </c>
      <c r="AF118" s="160" t="e">
        <f t="shared" ca="1" si="15"/>
        <v>#REF!</v>
      </c>
      <c r="AG118" s="160" t="e">
        <f ca="1">IF($AA$77*SUM($W$60:$W117)/Etaw=BedarfWW,0,MAX(MIN($AA$77*W118/Etaw,BedarfWW-$AA$77*SUM($W$60:$W117)/Etaw),0))</f>
        <v>#VALUE!</v>
      </c>
      <c r="AH118" s="160" t="e">
        <f t="shared" ca="1" si="37"/>
        <v>#REF!</v>
      </c>
      <c r="AI118" s="1053">
        <f t="shared" si="38"/>
        <v>0</v>
      </c>
      <c r="AJ118" s="157">
        <f t="shared" si="39"/>
        <v>0</v>
      </c>
      <c r="AK118" s="162" t="e">
        <f t="shared" ca="1" si="40"/>
        <v>#REF!</v>
      </c>
      <c r="AL118" s="162" t="e">
        <f ca="1">AE118+AD118+IF(Laufzeit_Zusatzheizung&gt;=SUM($Y$60:$Y151),Kesselleistung*$H$45*Y118,0)</f>
        <v>#VALUE!</v>
      </c>
      <c r="AM118" s="426" t="e">
        <f t="shared" ca="1" si="16"/>
        <v>#VALUE!</v>
      </c>
      <c r="AN118" s="669">
        <f>IF(Neu,INDEX(WP_BIN!$T$80:$CG$80,1,S118),AZ118)</f>
        <v>0</v>
      </c>
      <c r="AO118" s="163" t="e">
        <f t="shared" ca="1" si="41"/>
        <v>#VALUE!</v>
      </c>
      <c r="AP118" s="163" t="e">
        <f t="shared" ca="1" si="42"/>
        <v>#VALUE!</v>
      </c>
      <c r="AQ118" s="161">
        <f t="shared" si="43"/>
        <v>0</v>
      </c>
      <c r="AR118" s="162" t="e">
        <f t="shared" si="44"/>
        <v>#VALUE!</v>
      </c>
      <c r="AS118" s="423">
        <f t="shared" si="17"/>
        <v>0</v>
      </c>
      <c r="AT118" s="421">
        <f t="shared" si="18"/>
        <v>0</v>
      </c>
      <c r="AU118" s="421">
        <f t="shared" si="20"/>
        <v>0</v>
      </c>
      <c r="AV118" s="1116" t="e">
        <f ca="1">INDEX(Berechnungen!$E$79:$BR$79,1,S118)</f>
        <v>#REF!</v>
      </c>
      <c r="AW118" s="65">
        <f t="shared" si="19"/>
        <v>33</v>
      </c>
      <c r="AX118" s="162">
        <f>INDEX(WP_BIN!$T$78:$CG$78,1,$S118)</f>
        <v>26</v>
      </c>
      <c r="AY118" s="162" t="e">
        <f>INDEX(WP_BIN!$T$43:$CG$43,1,$S118)</f>
        <v>#DIV/0!</v>
      </c>
      <c r="AZ118" s="480">
        <f>INDEX(WP_BIN!$T$79:$CG$79,1,$S118)</f>
        <v>0</v>
      </c>
      <c r="BA118" s="480">
        <f>INDEX(WP_BIN!$T$86:$CG$86,1,$S118)</f>
        <v>0</v>
      </c>
      <c r="BB118" s="480" t="e">
        <f ca="1">INDEX(WP_BIN!$T$47:$CG$47,1,$S118)</f>
        <v>#DIV/0!</v>
      </c>
      <c r="BC118" s="480">
        <f ca="1">INDEX(WP_BIN!$T$54:$CG$54,1,$S118)</f>
        <v>0</v>
      </c>
      <c r="BE118" s="217"/>
      <c r="DC118" s="5"/>
      <c r="DD118" s="5"/>
    </row>
    <row r="119" spans="11:108" ht="15.75" customHeight="1" x14ac:dyDescent="0.2">
      <c r="K119" s="5"/>
      <c r="L119" s="5"/>
      <c r="M119" s="5"/>
      <c r="N119" s="5"/>
      <c r="O119" s="5"/>
      <c r="P119" s="5"/>
      <c r="Q119" s="302"/>
      <c r="R119" s="5"/>
      <c r="S119" s="5">
        <v>60</v>
      </c>
      <c r="T119" s="419">
        <f t="shared" si="45"/>
        <v>0</v>
      </c>
      <c r="U119" s="164"/>
      <c r="V119" s="421">
        <f t="shared" si="46"/>
        <v>0</v>
      </c>
      <c r="W119" s="1057">
        <f>IF(BIN,INDEX(BIN!$B$3:$BO$364,4+(Klima-2)*11,S119),0)</f>
        <v>0</v>
      </c>
      <c r="X119" s="159">
        <v>34</v>
      </c>
      <c r="Y119" s="160" t="e">
        <f ca="1">IF(BINkorr,INDEX(Berechnungen!$E$81:$BR$81,1,S119)*IF(OR(Methode_384_3,Z119=0),1,AV119/Z119)/Leistungskorr*(1-Kollektor),W119*$T$130*(1-Kollektor))</f>
        <v>#REF!</v>
      </c>
      <c r="Z119" s="161">
        <f>IF(Heizung,IF(Methode_384_3,INDEX(Berechnungen!$E$79:$BR$79,1,S119),IF(IF(Heizung,Z118-$Z$77/28,0)&gt;0,IF(Heizung,Z118-$Z$77/28,0),0)),0)</f>
        <v>0</v>
      </c>
      <c r="AA119" s="161" t="e">
        <f t="shared" ca="1" si="35"/>
        <v>#VALUE!</v>
      </c>
      <c r="AB119" s="441">
        <f t="shared" si="48"/>
        <v>0</v>
      </c>
      <c r="AC119" s="161" t="e">
        <f t="shared" ca="1" si="36"/>
        <v>#VALUE!</v>
      </c>
      <c r="AD119" s="425" t="e">
        <f t="shared" ca="1" si="13"/>
        <v>#VALUE!</v>
      </c>
      <c r="AE119" s="423" t="e">
        <f t="shared" ca="1" si="14"/>
        <v>#VALUE!</v>
      </c>
      <c r="AF119" s="160" t="e">
        <f t="shared" ca="1" si="15"/>
        <v>#REF!</v>
      </c>
      <c r="AG119" s="160" t="e">
        <f ca="1">IF($AA$77*SUM($W$60:$W118)/Etaw=BedarfWW,0,MAX(MIN($AA$77*W119/Etaw,BedarfWW-$AA$77*SUM($W$60:$W118)/Etaw),0))</f>
        <v>#VALUE!</v>
      </c>
      <c r="AH119" s="160" t="e">
        <f t="shared" ca="1" si="37"/>
        <v>#REF!</v>
      </c>
      <c r="AI119" s="1053">
        <f t="shared" si="38"/>
        <v>0</v>
      </c>
      <c r="AJ119" s="157">
        <f t="shared" si="39"/>
        <v>0</v>
      </c>
      <c r="AK119" s="162" t="e">
        <f t="shared" ca="1" si="40"/>
        <v>#REF!</v>
      </c>
      <c r="AL119" s="162" t="e">
        <f ca="1">AE119+AD119+IF(Laufzeit_Zusatzheizung&gt;=SUM($Y$60:$Y152),Kesselleistung*$H$45*Y119,0)</f>
        <v>#VALUE!</v>
      </c>
      <c r="AM119" s="426" t="e">
        <f t="shared" ca="1" si="16"/>
        <v>#VALUE!</v>
      </c>
      <c r="AN119" s="669">
        <f>IF(Neu,INDEX(WP_BIN!$T$80:$CG$80,1,S119),AZ119)</f>
        <v>0</v>
      </c>
      <c r="AO119" s="163" t="e">
        <f t="shared" ca="1" si="41"/>
        <v>#VALUE!</v>
      </c>
      <c r="AP119" s="163" t="e">
        <f t="shared" ca="1" si="42"/>
        <v>#VALUE!</v>
      </c>
      <c r="AQ119" s="161">
        <f t="shared" si="43"/>
        <v>0</v>
      </c>
      <c r="AR119" s="162" t="e">
        <f t="shared" si="44"/>
        <v>#VALUE!</v>
      </c>
      <c r="AS119" s="423">
        <f t="shared" si="17"/>
        <v>0</v>
      </c>
      <c r="AT119" s="421">
        <f t="shared" si="18"/>
        <v>0</v>
      </c>
      <c r="AU119" s="421">
        <f t="shared" si="20"/>
        <v>0</v>
      </c>
      <c r="AV119" s="1116" t="e">
        <f ca="1">INDEX(Berechnungen!$E$79:$BR$79,1,S119)</f>
        <v>#REF!</v>
      </c>
      <c r="AW119" s="65">
        <f t="shared" si="19"/>
        <v>34</v>
      </c>
      <c r="AX119" s="162">
        <f>INDEX(WP_BIN!$T$78:$CG$78,1,$S119)</f>
        <v>26</v>
      </c>
      <c r="AY119" s="162" t="e">
        <f>INDEX(WP_BIN!$T$43:$CG$43,1,$S119)</f>
        <v>#DIV/0!</v>
      </c>
      <c r="AZ119" s="480">
        <f>INDEX(WP_BIN!$T$79:$CG$79,1,$S119)</f>
        <v>0</v>
      </c>
      <c r="BA119" s="480">
        <f>INDEX(WP_BIN!$T$86:$CG$86,1,$S119)</f>
        <v>0</v>
      </c>
      <c r="BB119" s="480" t="e">
        <f ca="1">INDEX(WP_BIN!$T$47:$CG$47,1,$S119)</f>
        <v>#DIV/0!</v>
      </c>
      <c r="BC119" s="480">
        <f ca="1">INDEX(WP_BIN!$T$54:$CG$54,1,$S119)</f>
        <v>0</v>
      </c>
      <c r="BE119" s="217"/>
      <c r="DC119" s="5"/>
      <c r="DD119" s="5"/>
    </row>
    <row r="120" spans="11:108" ht="15.75" customHeight="1" x14ac:dyDescent="0.2">
      <c r="K120" s="5"/>
      <c r="L120" s="5"/>
      <c r="M120" s="5"/>
      <c r="N120" s="5"/>
      <c r="O120" s="5"/>
      <c r="P120" s="5"/>
      <c r="Q120" s="302"/>
      <c r="R120" s="5"/>
      <c r="S120" s="5">
        <v>61</v>
      </c>
      <c r="T120" s="419">
        <f t="shared" si="45"/>
        <v>0</v>
      </c>
      <c r="U120" s="164"/>
      <c r="V120" s="421">
        <f t="shared" si="46"/>
        <v>0</v>
      </c>
      <c r="W120" s="1057">
        <f>IF(BIN,INDEX(BIN!$B$3:$BO$364,4+(Klima-2)*11,S120),0)</f>
        <v>0</v>
      </c>
      <c r="X120" s="159">
        <v>35</v>
      </c>
      <c r="Y120" s="160" t="e">
        <f ca="1">IF(BINkorr,INDEX(Berechnungen!$E$81:$BR$81,1,S120)*IF(OR(Methode_384_3,Z120=0),1,AV120/Z120)/Leistungskorr*(1-Kollektor),W120*$T$130*(1-Kollektor))</f>
        <v>#REF!</v>
      </c>
      <c r="Z120" s="161">
        <f>IF(Heizung,IF(Methode_384_3,INDEX(Berechnungen!$E$79:$BR$79,1,S120),IF(IF(Heizung,Z119-$Z$77/28,0)&gt;0,IF(Heizung,Z119-$Z$77/28,0),0)),0)</f>
        <v>0</v>
      </c>
      <c r="AA120" s="161" t="e">
        <f t="shared" ca="1" si="35"/>
        <v>#VALUE!</v>
      </c>
      <c r="AB120" s="441">
        <f t="shared" si="48"/>
        <v>0</v>
      </c>
      <c r="AC120" s="161" t="e">
        <f t="shared" ca="1" si="36"/>
        <v>#VALUE!</v>
      </c>
      <c r="AD120" s="425" t="e">
        <f t="shared" ca="1" si="13"/>
        <v>#VALUE!</v>
      </c>
      <c r="AE120" s="423" t="e">
        <f t="shared" ca="1" si="14"/>
        <v>#VALUE!</v>
      </c>
      <c r="AF120" s="160" t="e">
        <f t="shared" ca="1" si="15"/>
        <v>#REF!</v>
      </c>
      <c r="AG120" s="160" t="e">
        <f ca="1">IF($AA$77*SUM($W$60:$W119)/Etaw=BedarfWW,0,MAX(MIN($AA$77*W120/Etaw,BedarfWW-$AA$77*SUM($W$60:$W119)/Etaw),0))</f>
        <v>#VALUE!</v>
      </c>
      <c r="AH120" s="160" t="e">
        <f t="shared" ca="1" si="37"/>
        <v>#REF!</v>
      </c>
      <c r="AI120" s="1053">
        <f t="shared" si="38"/>
        <v>0</v>
      </c>
      <c r="AJ120" s="157">
        <f t="shared" si="39"/>
        <v>0</v>
      </c>
      <c r="AK120" s="162" t="e">
        <f t="shared" ca="1" si="40"/>
        <v>#REF!</v>
      </c>
      <c r="AL120" s="162" t="e">
        <f ca="1">AE120+AD120+IF(Laufzeit_Zusatzheizung&gt;=SUM($Y$60:$Y153),Kesselleistung*$H$45*Y120,0)</f>
        <v>#VALUE!</v>
      </c>
      <c r="AM120" s="426" t="e">
        <f t="shared" ca="1" si="16"/>
        <v>#VALUE!</v>
      </c>
      <c r="AN120" s="669">
        <f>IF(Neu,INDEX(WP_BIN!$T$80:$CG$80,1,S120),AZ120)</f>
        <v>0</v>
      </c>
      <c r="AO120" s="163" t="e">
        <f t="shared" ca="1" si="41"/>
        <v>#VALUE!</v>
      </c>
      <c r="AP120" s="163" t="e">
        <f t="shared" ca="1" si="42"/>
        <v>#VALUE!</v>
      </c>
      <c r="AQ120" s="161">
        <f t="shared" si="43"/>
        <v>0</v>
      </c>
      <c r="AR120" s="162" t="e">
        <f t="shared" si="44"/>
        <v>#VALUE!</v>
      </c>
      <c r="AS120" s="423">
        <f t="shared" si="17"/>
        <v>0</v>
      </c>
      <c r="AT120" s="421">
        <f t="shared" si="18"/>
        <v>0</v>
      </c>
      <c r="AU120" s="421">
        <f t="shared" si="20"/>
        <v>0</v>
      </c>
      <c r="AV120" s="1116" t="e">
        <f ca="1">INDEX(Berechnungen!$E$79:$BR$79,1,S120)</f>
        <v>#REF!</v>
      </c>
      <c r="AW120" s="65">
        <f t="shared" si="19"/>
        <v>35</v>
      </c>
      <c r="AX120" s="162">
        <f>INDEX(WP_BIN!$T$78:$CG$78,1,$S120)</f>
        <v>26</v>
      </c>
      <c r="AY120" s="162" t="e">
        <f>INDEX(WP_BIN!$T$43:$CG$43,1,$S120)</f>
        <v>#DIV/0!</v>
      </c>
      <c r="AZ120" s="480">
        <f>INDEX(WP_BIN!$T$79:$CG$79,1,$S120)</f>
        <v>0</v>
      </c>
      <c r="BA120" s="480">
        <f>INDEX(WP_BIN!$T$86:$CG$86,1,$S120)</f>
        <v>0</v>
      </c>
      <c r="BB120" s="480" t="e">
        <f ca="1">INDEX(WP_BIN!$T$47:$CG$47,1,$S120)</f>
        <v>#DIV/0!</v>
      </c>
      <c r="BC120" s="480">
        <f ca="1">INDEX(WP_BIN!$T$54:$CG$54,1,$S120)</f>
        <v>0</v>
      </c>
      <c r="BE120" s="217"/>
      <c r="DC120" s="5"/>
      <c r="DD120" s="5"/>
    </row>
    <row r="121" spans="11:108" ht="15.75" customHeight="1" x14ac:dyDescent="0.2">
      <c r="K121" s="5"/>
      <c r="L121" s="5"/>
      <c r="M121" s="5"/>
      <c r="N121" s="5"/>
      <c r="O121" s="5"/>
      <c r="P121" s="5"/>
      <c r="Q121" s="302"/>
      <c r="R121" s="5"/>
      <c r="S121" s="5">
        <v>62</v>
      </c>
      <c r="T121" s="419">
        <f t="shared" si="45"/>
        <v>0</v>
      </c>
      <c r="U121" s="164"/>
      <c r="V121" s="421">
        <f t="shared" si="46"/>
        <v>0</v>
      </c>
      <c r="W121" s="1057">
        <f>IF(BIN,INDEX(BIN!$B$3:$BO$364,4+(Klima-2)*11,S121),0)</f>
        <v>0</v>
      </c>
      <c r="X121" s="159">
        <v>36</v>
      </c>
      <c r="Y121" s="160" t="e">
        <f ca="1">IF(BINkorr,INDEX(Berechnungen!$E$81:$BR$81,1,S121)*IF(OR(Methode_384_3,Z121=0),1,AV121/Z121)/Leistungskorr*(1-Kollektor),W121*$T$130*(1-Kollektor))</f>
        <v>#REF!</v>
      </c>
      <c r="Z121" s="161">
        <f>IF(Heizung,IF(Methode_384_3,INDEX(Berechnungen!$E$79:$BR$79,1,S121),IF(IF(Heizung,Z120-$Z$77/28,0)&gt;0,IF(Heizung,Z120-$Z$77/28,0),0)),0)</f>
        <v>0</v>
      </c>
      <c r="AA121" s="161" t="e">
        <f t="shared" ca="1" si="35"/>
        <v>#VALUE!</v>
      </c>
      <c r="AB121" s="441">
        <f t="shared" si="48"/>
        <v>0</v>
      </c>
      <c r="AC121" s="161" t="e">
        <f t="shared" ca="1" si="36"/>
        <v>#VALUE!</v>
      </c>
      <c r="AD121" s="425" t="e">
        <f t="shared" ca="1" si="13"/>
        <v>#VALUE!</v>
      </c>
      <c r="AE121" s="423" t="e">
        <f t="shared" ca="1" si="14"/>
        <v>#VALUE!</v>
      </c>
      <c r="AF121" s="160" t="e">
        <f t="shared" ca="1" si="15"/>
        <v>#REF!</v>
      </c>
      <c r="AG121" s="160" t="e">
        <f ca="1">IF($AA$77*SUM($W$60:$W120)/Etaw=BedarfWW,0,MAX(MIN($AA$77*W121/Etaw,BedarfWW-$AA$77*SUM($W$60:$W120)/Etaw),0))</f>
        <v>#VALUE!</v>
      </c>
      <c r="AH121" s="160" t="e">
        <f t="shared" ca="1" si="37"/>
        <v>#REF!</v>
      </c>
      <c r="AI121" s="1053">
        <f t="shared" si="38"/>
        <v>0</v>
      </c>
      <c r="AJ121" s="157">
        <f t="shared" si="39"/>
        <v>0</v>
      </c>
      <c r="AK121" s="162" t="e">
        <f t="shared" ca="1" si="40"/>
        <v>#REF!</v>
      </c>
      <c r="AL121" s="162" t="e">
        <f ca="1">AE121+AD121+IF(Laufzeit_Zusatzheizung&gt;=SUM($Y$60:$Y154),Kesselleistung*$H$45*Y121,0)</f>
        <v>#VALUE!</v>
      </c>
      <c r="AM121" s="426" t="e">
        <f t="shared" ca="1" si="16"/>
        <v>#VALUE!</v>
      </c>
      <c r="AN121" s="669">
        <f>IF(Neu,INDEX(WP_BIN!$T$80:$CG$80,1,S121),AZ121)</f>
        <v>0</v>
      </c>
      <c r="AO121" s="163" t="e">
        <f t="shared" ca="1" si="41"/>
        <v>#VALUE!</v>
      </c>
      <c r="AP121" s="163" t="e">
        <f t="shared" ca="1" si="42"/>
        <v>#VALUE!</v>
      </c>
      <c r="AQ121" s="161">
        <f t="shared" si="43"/>
        <v>0</v>
      </c>
      <c r="AR121" s="162" t="e">
        <f t="shared" si="44"/>
        <v>#VALUE!</v>
      </c>
      <c r="AS121" s="423">
        <f t="shared" si="17"/>
        <v>0</v>
      </c>
      <c r="AT121" s="421">
        <f t="shared" si="18"/>
        <v>0</v>
      </c>
      <c r="AU121" s="421">
        <f t="shared" si="20"/>
        <v>0</v>
      </c>
      <c r="AV121" s="1116" t="e">
        <f ca="1">INDEX(Berechnungen!$E$79:$BR$79,1,S121)</f>
        <v>#REF!</v>
      </c>
      <c r="AW121" s="65">
        <f t="shared" si="19"/>
        <v>36</v>
      </c>
      <c r="AX121" s="162">
        <f>INDEX(WP_BIN!$T$78:$CG$78,1,$S121)</f>
        <v>26</v>
      </c>
      <c r="AY121" s="162" t="e">
        <f>INDEX(WP_BIN!$T$43:$CG$43,1,$S121)</f>
        <v>#DIV/0!</v>
      </c>
      <c r="AZ121" s="480">
        <f>INDEX(WP_BIN!$T$79:$CG$79,1,$S121)</f>
        <v>0</v>
      </c>
      <c r="BA121" s="480">
        <f>INDEX(WP_BIN!$T$86:$CG$86,1,$S121)</f>
        <v>0</v>
      </c>
      <c r="BB121" s="480" t="e">
        <f ca="1">INDEX(WP_BIN!$T$47:$CG$47,1,$S121)</f>
        <v>#DIV/0!</v>
      </c>
      <c r="BC121" s="480">
        <f ca="1">INDEX(WP_BIN!$T$54:$CG$54,1,$S121)</f>
        <v>0</v>
      </c>
      <c r="BE121" s="217"/>
      <c r="DC121" s="5"/>
      <c r="DD121" s="5"/>
    </row>
    <row r="122" spans="11:108" ht="15.75" customHeight="1" x14ac:dyDescent="0.2">
      <c r="K122" s="5"/>
      <c r="L122" s="5"/>
      <c r="M122" s="5"/>
      <c r="N122" s="5"/>
      <c r="O122" s="5"/>
      <c r="P122" s="5"/>
      <c r="Q122" s="302"/>
      <c r="R122" s="5"/>
      <c r="S122" s="5">
        <v>63</v>
      </c>
      <c r="T122" s="419">
        <f t="shared" si="45"/>
        <v>0</v>
      </c>
      <c r="U122" s="164"/>
      <c r="V122" s="421">
        <f t="shared" si="46"/>
        <v>0</v>
      </c>
      <c r="W122" s="1057">
        <f>IF(BIN,INDEX(BIN!$B$3:$BO$364,4+(Klima-2)*11,S122),0)</f>
        <v>0</v>
      </c>
      <c r="X122" s="159">
        <v>37</v>
      </c>
      <c r="Y122" s="160" t="e">
        <f ca="1">IF(BINkorr,INDEX(Berechnungen!$E$81:$BR$81,1,S122)*IF(OR(Methode_384_3,Z122=0),1,AV122/Z122)/Leistungskorr*(1-Kollektor),W122*$T$130*(1-Kollektor))</f>
        <v>#REF!</v>
      </c>
      <c r="Z122" s="161">
        <f>IF(Heizung,IF(Methode_384_3,INDEX(Berechnungen!$E$79:$BR$79,1,S122),IF(IF(Heizung,Z121-$Z$77/28,0)&gt;0,IF(Heizung,Z121-$Z$77/28,0),0)),0)</f>
        <v>0</v>
      </c>
      <c r="AA122" s="161" t="e">
        <f t="shared" ca="1" si="35"/>
        <v>#VALUE!</v>
      </c>
      <c r="AB122" s="441">
        <f t="shared" si="48"/>
        <v>0</v>
      </c>
      <c r="AC122" s="161" t="e">
        <f t="shared" ca="1" si="36"/>
        <v>#VALUE!</v>
      </c>
      <c r="AD122" s="425" t="e">
        <f t="shared" ca="1" si="13"/>
        <v>#VALUE!</v>
      </c>
      <c r="AE122" s="423" t="e">
        <f t="shared" ca="1" si="14"/>
        <v>#VALUE!</v>
      </c>
      <c r="AF122" s="160" t="e">
        <f t="shared" ca="1" si="15"/>
        <v>#REF!</v>
      </c>
      <c r="AG122" s="160" t="e">
        <f ca="1">IF($AA$77*SUM($W$60:$W121)/Etaw=BedarfWW,0,MAX(MIN($AA$77*W122/Etaw,BedarfWW-$AA$77*SUM($W$60:$W121)/Etaw),0))</f>
        <v>#VALUE!</v>
      </c>
      <c r="AH122" s="160" t="e">
        <f t="shared" ca="1" si="37"/>
        <v>#REF!</v>
      </c>
      <c r="AI122" s="1053">
        <f t="shared" si="38"/>
        <v>0</v>
      </c>
      <c r="AJ122" s="157">
        <f t="shared" si="39"/>
        <v>0</v>
      </c>
      <c r="AK122" s="162" t="e">
        <f t="shared" ca="1" si="40"/>
        <v>#REF!</v>
      </c>
      <c r="AL122" s="162" t="e">
        <f ca="1">AE122+AD122+IF(Laufzeit_Zusatzheizung&gt;=SUM($Y$60:$Y155),Kesselleistung*$H$45*Y122,0)</f>
        <v>#VALUE!</v>
      </c>
      <c r="AM122" s="426" t="e">
        <f t="shared" ca="1" si="16"/>
        <v>#VALUE!</v>
      </c>
      <c r="AN122" s="669">
        <f>IF(Neu,INDEX(WP_BIN!$T$80:$CG$80,1,S122),AZ122)</f>
        <v>0</v>
      </c>
      <c r="AO122" s="163" t="e">
        <f t="shared" ca="1" si="41"/>
        <v>#VALUE!</v>
      </c>
      <c r="AP122" s="163" t="e">
        <f t="shared" ca="1" si="42"/>
        <v>#VALUE!</v>
      </c>
      <c r="AQ122" s="161">
        <f t="shared" si="43"/>
        <v>0</v>
      </c>
      <c r="AR122" s="162" t="e">
        <f t="shared" si="44"/>
        <v>#VALUE!</v>
      </c>
      <c r="AS122" s="423">
        <f t="shared" si="17"/>
        <v>0</v>
      </c>
      <c r="AT122" s="421">
        <f t="shared" si="18"/>
        <v>0</v>
      </c>
      <c r="AU122" s="421">
        <f t="shared" si="20"/>
        <v>0</v>
      </c>
      <c r="AV122" s="1116" t="e">
        <f ca="1">INDEX(Berechnungen!$E$79:$BR$79,1,S122)</f>
        <v>#REF!</v>
      </c>
      <c r="AW122" s="65">
        <f t="shared" si="19"/>
        <v>37</v>
      </c>
      <c r="AX122" s="162">
        <f>INDEX(WP_BIN!$T$78:$CG$78,1,$S122)</f>
        <v>26</v>
      </c>
      <c r="AY122" s="162" t="e">
        <f>INDEX(WP_BIN!$T$43:$CG$43,1,$S122)</f>
        <v>#DIV/0!</v>
      </c>
      <c r="AZ122" s="480">
        <f>INDEX(WP_BIN!$T$79:$CG$79,1,$S122)</f>
        <v>0</v>
      </c>
      <c r="BA122" s="480">
        <f>INDEX(WP_BIN!$T$86:$CG$86,1,$S122)</f>
        <v>0</v>
      </c>
      <c r="BB122" s="480" t="e">
        <f ca="1">INDEX(WP_BIN!$T$47:$CG$47,1,$S122)</f>
        <v>#DIV/0!</v>
      </c>
      <c r="BC122" s="480">
        <f ca="1">INDEX(WP_BIN!$T$54:$CG$54,1,$S122)</f>
        <v>0</v>
      </c>
      <c r="BE122" s="217"/>
      <c r="DC122" s="5"/>
      <c r="DD122" s="5"/>
    </row>
    <row r="123" spans="11:108" ht="15.75" customHeight="1" x14ac:dyDescent="0.2">
      <c r="K123" s="5"/>
      <c r="L123" s="5"/>
      <c r="M123" s="5"/>
      <c r="N123" s="5"/>
      <c r="O123" s="5"/>
      <c r="P123" s="5"/>
      <c r="Q123" s="302"/>
      <c r="R123" s="5"/>
      <c r="S123" s="5">
        <v>64</v>
      </c>
      <c r="T123" s="419">
        <f t="shared" si="45"/>
        <v>0</v>
      </c>
      <c r="U123" s="164"/>
      <c r="V123" s="421">
        <f t="shared" si="46"/>
        <v>0</v>
      </c>
      <c r="W123" s="1057">
        <f>IF(BIN,INDEX(BIN!$B$3:$BO$364,4+(Klima-2)*11,S123),0)</f>
        <v>0</v>
      </c>
      <c r="X123" s="159">
        <v>38</v>
      </c>
      <c r="Y123" s="160" t="e">
        <f ca="1">IF(BINkorr,INDEX(Berechnungen!$E$81:$BR$81,1,S123)*IF(OR(Methode_384_3,Z123=0),1,AV123/Z123)/Leistungskorr*(1-Kollektor),W123*$T$130*(1-Kollektor))</f>
        <v>#REF!</v>
      </c>
      <c r="Z123" s="161">
        <f>IF(Heizung,IF(Methode_384_3,INDEX(Berechnungen!$E$79:$BR$79,1,S123),IF(IF(Heizung,Z122-$Z$77/28,0)&gt;0,IF(Heizung,Z122-$Z$77/28,0),0)),0)</f>
        <v>0</v>
      </c>
      <c r="AA123" s="161" t="e">
        <f t="shared" ca="1" si="35"/>
        <v>#VALUE!</v>
      </c>
      <c r="AB123" s="441">
        <f t="shared" si="48"/>
        <v>0</v>
      </c>
      <c r="AC123" s="161" t="e">
        <f t="shared" ca="1" si="36"/>
        <v>#VALUE!</v>
      </c>
      <c r="AD123" s="425" t="e">
        <f t="shared" ca="1" si="13"/>
        <v>#VALUE!</v>
      </c>
      <c r="AE123" s="423" t="e">
        <f t="shared" ca="1" si="14"/>
        <v>#VALUE!</v>
      </c>
      <c r="AF123" s="160" t="e">
        <f t="shared" ca="1" si="15"/>
        <v>#REF!</v>
      </c>
      <c r="AG123" s="160" t="e">
        <f ca="1">IF($AA$77*SUM($W$60:$W122)/Etaw=BedarfWW,0,MAX(MIN($AA$77*W123/Etaw,BedarfWW-$AA$77*SUM($W$60:$W122)/Etaw),0))</f>
        <v>#VALUE!</v>
      </c>
      <c r="AH123" s="160" t="e">
        <f t="shared" ca="1" si="37"/>
        <v>#REF!</v>
      </c>
      <c r="AI123" s="1053">
        <f t="shared" si="38"/>
        <v>0</v>
      </c>
      <c r="AJ123" s="157">
        <f t="shared" si="39"/>
        <v>0</v>
      </c>
      <c r="AK123" s="162" t="e">
        <f t="shared" ca="1" si="40"/>
        <v>#REF!</v>
      </c>
      <c r="AL123" s="162" t="e">
        <f ca="1">AE123+AD123+IF(Laufzeit_Zusatzheizung&gt;=SUM($Y$60:$Y156),Kesselleistung*$H$45*Y123,0)</f>
        <v>#VALUE!</v>
      </c>
      <c r="AM123" s="426" t="e">
        <f t="shared" ca="1" si="16"/>
        <v>#VALUE!</v>
      </c>
      <c r="AN123" s="669">
        <f>IF(Neu,INDEX(WP_BIN!$T$80:$CG$80,1,S123),AZ123)</f>
        <v>0</v>
      </c>
      <c r="AO123" s="163" t="e">
        <f t="shared" ca="1" si="41"/>
        <v>#VALUE!</v>
      </c>
      <c r="AP123" s="163" t="e">
        <f t="shared" ca="1" si="42"/>
        <v>#VALUE!</v>
      </c>
      <c r="AQ123" s="161">
        <f t="shared" si="43"/>
        <v>0</v>
      </c>
      <c r="AR123" s="162" t="e">
        <f t="shared" si="44"/>
        <v>#VALUE!</v>
      </c>
      <c r="AS123" s="423">
        <f t="shared" si="17"/>
        <v>0</v>
      </c>
      <c r="AT123" s="421">
        <f t="shared" si="18"/>
        <v>0</v>
      </c>
      <c r="AU123" s="421">
        <f t="shared" si="20"/>
        <v>0</v>
      </c>
      <c r="AV123" s="1116" t="e">
        <f ca="1">INDEX(Berechnungen!$E$79:$BR$79,1,S123)</f>
        <v>#REF!</v>
      </c>
      <c r="AW123" s="65">
        <f t="shared" si="19"/>
        <v>38</v>
      </c>
      <c r="AX123" s="162">
        <f>INDEX(WP_BIN!$T$78:$CG$78,1,$S123)</f>
        <v>26</v>
      </c>
      <c r="AY123" s="162" t="e">
        <f>INDEX(WP_BIN!$T$43:$CG$43,1,$S123)</f>
        <v>#DIV/0!</v>
      </c>
      <c r="AZ123" s="480">
        <f>INDEX(WP_BIN!$T$79:$CG$79,1,$S123)</f>
        <v>0</v>
      </c>
      <c r="BA123" s="480">
        <f>INDEX(WP_BIN!$T$86:$CG$86,1,$S123)</f>
        <v>0</v>
      </c>
      <c r="BB123" s="480" t="e">
        <f ca="1">INDEX(WP_BIN!$T$47:$CG$47,1,$S123)</f>
        <v>#DIV/0!</v>
      </c>
      <c r="BC123" s="480">
        <f ca="1">INDEX(WP_BIN!$T$54:$CG$54,1,$S123)</f>
        <v>0</v>
      </c>
      <c r="BE123" s="217"/>
      <c r="DC123" s="5"/>
      <c r="DD123" s="5"/>
    </row>
    <row r="124" spans="11:108" ht="15.75" customHeight="1" x14ac:dyDescent="0.2">
      <c r="K124" s="5"/>
      <c r="L124" s="5"/>
      <c r="M124" s="5"/>
      <c r="N124" s="5"/>
      <c r="O124" s="5"/>
      <c r="P124" s="5"/>
      <c r="Q124" s="302"/>
      <c r="R124" s="5"/>
      <c r="S124" s="5">
        <v>65</v>
      </c>
      <c r="T124" s="419">
        <f t="shared" si="45"/>
        <v>0</v>
      </c>
      <c r="U124" s="164"/>
      <c r="V124" s="421">
        <f t="shared" si="46"/>
        <v>0</v>
      </c>
      <c r="W124" s="1057">
        <f>IF(BIN,INDEX(BIN!$B$3:$BO$364,4+(Klima-2)*11,S124),0)</f>
        <v>0</v>
      </c>
      <c r="X124" s="159">
        <v>39</v>
      </c>
      <c r="Y124" s="160" t="e">
        <f ca="1">IF(BINkorr,INDEX(Berechnungen!$E$81:$BR$81,1,S124)*IF(OR(Methode_384_3,Z124=0),1,AV124/Z124)/Leistungskorr*(1-Kollektor),W124*$T$130*(1-Kollektor))</f>
        <v>#REF!</v>
      </c>
      <c r="Z124" s="161">
        <f>IF(Heizung,IF(Methode_384_3,INDEX(Berechnungen!$E$79:$BR$79,1,S124),IF(IF(Heizung,Z123-$Z$77/28,0)&gt;0,IF(Heizung,Z123-$Z$77/28,0),0)),0)</f>
        <v>0</v>
      </c>
      <c r="AA124" s="161" t="e">
        <f t="shared" ca="1" si="35"/>
        <v>#VALUE!</v>
      </c>
      <c r="AB124" s="441">
        <f t="shared" si="48"/>
        <v>0</v>
      </c>
      <c r="AC124" s="161" t="e">
        <f t="shared" ca="1" si="36"/>
        <v>#VALUE!</v>
      </c>
      <c r="AD124" s="425" t="e">
        <f t="shared" ca="1" si="13"/>
        <v>#VALUE!</v>
      </c>
      <c r="AE124" s="423" t="e">
        <f t="shared" ca="1" si="14"/>
        <v>#VALUE!</v>
      </c>
      <c r="AF124" s="160" t="e">
        <f t="shared" ca="1" si="15"/>
        <v>#REF!</v>
      </c>
      <c r="AG124" s="160" t="e">
        <f ca="1">IF($AA$77*SUM($W$60:$W123)/Etaw=BedarfWW,0,MAX(MIN($AA$77*W124/Etaw,BedarfWW-$AA$77*SUM($W$60:$W123)/Etaw),0))</f>
        <v>#VALUE!</v>
      </c>
      <c r="AH124" s="160" t="e">
        <f t="shared" ca="1" si="37"/>
        <v>#REF!</v>
      </c>
      <c r="AI124" s="1053">
        <f t="shared" si="38"/>
        <v>0</v>
      </c>
      <c r="AJ124" s="157">
        <f t="shared" si="39"/>
        <v>0</v>
      </c>
      <c r="AK124" s="162" t="e">
        <f t="shared" ca="1" si="40"/>
        <v>#REF!</v>
      </c>
      <c r="AL124" s="162" t="e">
        <f ca="1">AE124+AD124+IF(Laufzeit_Zusatzheizung&gt;=SUM($Y$60:$Y157),Kesselleistung*$H$45*Y124,0)</f>
        <v>#VALUE!</v>
      </c>
      <c r="AM124" s="426" t="e">
        <f t="shared" ca="1" si="16"/>
        <v>#VALUE!</v>
      </c>
      <c r="AN124" s="669">
        <f>IF(Neu,INDEX(WP_BIN!$T$80:$CG$80,1,S124),AZ124)</f>
        <v>0</v>
      </c>
      <c r="AO124" s="163" t="e">
        <f t="shared" ca="1" si="41"/>
        <v>#VALUE!</v>
      </c>
      <c r="AP124" s="163" t="e">
        <f t="shared" ca="1" si="42"/>
        <v>#VALUE!</v>
      </c>
      <c r="AQ124" s="161">
        <f t="shared" si="43"/>
        <v>0</v>
      </c>
      <c r="AR124" s="162" t="e">
        <f t="shared" si="44"/>
        <v>#VALUE!</v>
      </c>
      <c r="AS124" s="423">
        <f t="shared" si="17"/>
        <v>0</v>
      </c>
      <c r="AT124" s="421">
        <f t="shared" si="18"/>
        <v>0</v>
      </c>
      <c r="AU124" s="421">
        <f t="shared" si="20"/>
        <v>0</v>
      </c>
      <c r="AV124" s="1116" t="e">
        <f ca="1">INDEX(Berechnungen!$E$79:$BR$79,1,S124)</f>
        <v>#REF!</v>
      </c>
      <c r="AW124" s="65">
        <f t="shared" si="19"/>
        <v>39</v>
      </c>
      <c r="AX124" s="162">
        <f>INDEX(WP_BIN!$T$78:$CG$78,1,$S124)</f>
        <v>26</v>
      </c>
      <c r="AY124" s="162" t="e">
        <f>INDEX(WP_BIN!$T$43:$CG$43,1,$S124)</f>
        <v>#DIV/0!</v>
      </c>
      <c r="AZ124" s="480">
        <f>INDEX(WP_BIN!$T$79:$CG$79,1,$S124)</f>
        <v>0</v>
      </c>
      <c r="BA124" s="480">
        <f>INDEX(WP_BIN!$T$86:$CG$86,1,$S124)</f>
        <v>0</v>
      </c>
      <c r="BB124" s="480" t="e">
        <f ca="1">INDEX(WP_BIN!$T$47:$CG$47,1,$S124)</f>
        <v>#DIV/0!</v>
      </c>
      <c r="BC124" s="480">
        <f ca="1">INDEX(WP_BIN!$T$54:$CG$54,1,$S124)</f>
        <v>0</v>
      </c>
      <c r="BE124" s="217"/>
      <c r="DC124" s="5"/>
      <c r="DD124" s="5"/>
    </row>
    <row r="125" spans="11:108" ht="15.75" customHeight="1" x14ac:dyDescent="0.2">
      <c r="K125" s="5"/>
      <c r="L125" s="5"/>
      <c r="M125" s="5"/>
      <c r="N125" s="5"/>
      <c r="O125" s="5"/>
      <c r="P125" s="5"/>
      <c r="Q125" s="302"/>
      <c r="R125" s="5"/>
      <c r="S125" s="5">
        <v>66</v>
      </c>
      <c r="T125" s="419">
        <f t="shared" si="45"/>
        <v>0</v>
      </c>
      <c r="U125" s="164"/>
      <c r="V125" s="421">
        <f t="shared" si="46"/>
        <v>0</v>
      </c>
      <c r="W125" s="1057">
        <f>IF(BIN,INDEX(BIN!$B$3:$BO$364,4+(Klima-2)*11,S125),0)</f>
        <v>0</v>
      </c>
      <c r="X125" s="159">
        <v>40</v>
      </c>
      <c r="Y125" s="160" t="e">
        <f ca="1">IF(BINkorr,INDEX(Berechnungen!$E$81:$BR$81,1,S125)*IF(OR(Methode_384_3,Z125=0),1,AV125/Z125)/Leistungskorr*(1-Kollektor),W125*$T$130*(1-Kollektor))</f>
        <v>#REF!</v>
      </c>
      <c r="Z125" s="161">
        <f>IF(Heizung,IF(Methode_384_3,INDEX(Berechnungen!$E$79:$BR$79,1,S125),IF(IF(Heizung,Z124-$Z$77/28,0)&gt;0,IF(Heizung,Z124-$Z$77/28,0),0)),0)</f>
        <v>0</v>
      </c>
      <c r="AA125" s="161" t="e">
        <f t="shared" ca="1" si="35"/>
        <v>#VALUE!</v>
      </c>
      <c r="AB125" s="441">
        <f t="shared" si="48"/>
        <v>0</v>
      </c>
      <c r="AC125" s="161" t="e">
        <f t="shared" ca="1" si="36"/>
        <v>#VALUE!</v>
      </c>
      <c r="AD125" s="425" t="e">
        <f ca="1">MAX(IF(AE125&gt;0,Z125*Y125/Etah/Nutzungsgrad,(Z125*Y125/Etah+AA125*Y125/Etaw-AB125*Y125)/Nutzungsgrad),0)</f>
        <v>#VALUE!</v>
      </c>
      <c r="AE125" s="423" t="e">
        <f ca="1">MAX(AA125-AB125,0)*W125/Nutzungsgrad/Etaw</f>
        <v>#VALUE!</v>
      </c>
      <c r="AF125" s="160" t="e">
        <f ca="1">Z125*Y125/Etah</f>
        <v>#REF!</v>
      </c>
      <c r="AG125" s="160" t="e">
        <f ca="1">IF($AA$77*SUM($W$60:$W124)/Etaw=BedarfWW,0,MAX(MIN($AA$77*W125/Etaw,BedarfWW-$AA$77*SUM($W$60:$W124)/Etaw),0))</f>
        <v>#VALUE!</v>
      </c>
      <c r="AH125" s="160" t="e">
        <f t="shared" ca="1" si="37"/>
        <v>#REF!</v>
      </c>
      <c r="AI125" s="1053">
        <f t="shared" si="38"/>
        <v>0</v>
      </c>
      <c r="AJ125" s="157">
        <f t="shared" si="39"/>
        <v>0</v>
      </c>
      <c r="AK125" s="162" t="e">
        <f t="shared" ca="1" si="40"/>
        <v>#REF!</v>
      </c>
      <c r="AL125" s="162" t="e">
        <f ca="1">AE125+AD125+IF(Laufzeit_Zusatzheizung&gt;=SUM($Y$60:$Y158),Kesselleistung*$H$45*Y125,0)</f>
        <v>#VALUE!</v>
      </c>
      <c r="AM125" s="426" t="e">
        <f ca="1">MIN(AL125,W125*Kesselleistung)</f>
        <v>#VALUE!</v>
      </c>
      <c r="AN125" s="669">
        <f>IF(Neu,INDEX(WP_BIN!$T$80:$CG$80,1,S125),AZ125)</f>
        <v>0</v>
      </c>
      <c r="AO125" s="163" t="e">
        <f t="shared" ca="1" si="41"/>
        <v>#VALUE!</v>
      </c>
      <c r="AP125" s="163" t="e">
        <f t="shared" ca="1" si="42"/>
        <v>#VALUE!</v>
      </c>
      <c r="AQ125" s="161">
        <f t="shared" si="43"/>
        <v>0</v>
      </c>
      <c r="AR125" s="162" t="e">
        <f t="shared" si="44"/>
        <v>#VALUE!</v>
      </c>
      <c r="AS125" s="423">
        <f>MIN(IF(AB125&gt;0,AK125/AB125,0),W125)</f>
        <v>0</v>
      </c>
      <c r="AT125" s="421">
        <f>IF(WW=TRUE,AI125-AS125,0)</f>
        <v>0</v>
      </c>
      <c r="AU125" s="421">
        <f t="shared" si="20"/>
        <v>0</v>
      </c>
      <c r="AV125" s="1116" t="e">
        <f ca="1">INDEX(Berechnungen!$E$79:$BR$79,1,S125)</f>
        <v>#REF!</v>
      </c>
      <c r="AW125" s="65">
        <f>X125</f>
        <v>40</v>
      </c>
      <c r="AX125" s="162">
        <f>INDEX(WP_BIN!$T$78:$CG$78,1,$S125)</f>
        <v>26</v>
      </c>
      <c r="AY125" s="162" t="e">
        <f>INDEX(WP_BIN!$T$43:$CG$43,1,$S125)</f>
        <v>#DIV/0!</v>
      </c>
      <c r="AZ125" s="480">
        <f>INDEX(WP_BIN!$T$79:$CG$79,1,$S125)</f>
        <v>0</v>
      </c>
      <c r="BA125" s="480">
        <f>INDEX(WP_BIN!$T$86:$CG$86,1,$S125)</f>
        <v>0</v>
      </c>
      <c r="BB125" s="480" t="e">
        <f ca="1">INDEX(WP_BIN!$T$47:$CG$47,1,$S125)</f>
        <v>#DIV/0!</v>
      </c>
      <c r="BC125" s="480">
        <f ca="1">INDEX(WP_BIN!$T$54:$CG$54,1,$S125)</f>
        <v>0</v>
      </c>
      <c r="BE125" s="217"/>
      <c r="DC125" s="5"/>
      <c r="DD125" s="5"/>
    </row>
    <row r="126" spans="11:108" ht="15.75" customHeight="1" x14ac:dyDescent="0.2">
      <c r="K126" s="5"/>
      <c r="L126" s="5"/>
      <c r="M126" s="5"/>
      <c r="N126" s="5"/>
      <c r="O126" s="5"/>
      <c r="P126" s="5"/>
      <c r="Q126" s="302"/>
      <c r="R126" s="5"/>
      <c r="S126" s="5"/>
      <c r="T126" s="436" t="e">
        <f>W126*Z126</f>
        <v>#VALUE!</v>
      </c>
      <c r="U126" s="437">
        <f>1-SUM(U60:U125)</f>
        <v>0.25950000000000006</v>
      </c>
      <c r="V126" s="438" t="e">
        <f>Z126*W126</f>
        <v>#VALUE!</v>
      </c>
      <c r="W126" s="1059" t="e">
        <f>IF(BIN,0,MIN(8760-SUM(W60:W125),IF($M$32&gt;0,ROUND(U126*Heizperiode*$M$31/$M$32,0),ROUND(U126*Heizperiode,0))))</f>
        <v>#VALUE!</v>
      </c>
      <c r="X126" s="439" t="s">
        <v>3949</v>
      </c>
      <c r="Y126" s="1110">
        <f>IF(BINkorr,0,W126*$T$130*(1-Kollektor))</f>
        <v>0</v>
      </c>
      <c r="Z126" s="441">
        <f>IF(Heizung,IF(Methode_384_3,0,IF(BINkorr,0,Z92/2)),0)</f>
        <v>0</v>
      </c>
      <c r="AA126" s="441" t="e">
        <f ca="1">IF(AG126&gt;0,$AA$77,0)</f>
        <v>#VALUE!</v>
      </c>
      <c r="AB126" s="441">
        <f>IF(Bivalenzpunkt&lt;X126,AN126,0)</f>
        <v>0</v>
      </c>
      <c r="AC126" s="441" t="e">
        <f ca="1">MAX(Z126+AA126-AB126,0)/Nutzungsgrad</f>
        <v>#VALUE!</v>
      </c>
      <c r="AD126" s="443" t="e">
        <f ca="1">MAX(IF(AE126&gt;0,Z126*Y126/Etah/Nutzungsgrad*(1+Verteilverluste),(Z126*Y126/Etah*(1+Verteilverluste)+AA126*Y126/Etaw-AB126*Y126)/Nutzungsgrad),0)</f>
        <v>#VALUE!</v>
      </c>
      <c r="AE126" s="423" t="e">
        <f ca="1">MAX(AA126-AB126,0)*W126/Nutzungsgrad/Etaw</f>
        <v>#VALUE!</v>
      </c>
      <c r="AF126" s="160">
        <f>Z126*Y126/Etah</f>
        <v>0</v>
      </c>
      <c r="AG126" s="160" t="e">
        <f ca="1">IF($AA$77*SUM($W$60:$W125)/Etaw=BedarfWW,0,MAX(MIN($AA$77*W126/Etaw,BedarfWW-$AA$77*SUM($W$60:$W125)/Etaw),0))</f>
        <v>#VALUE!</v>
      </c>
      <c r="AH126" s="440" t="e">
        <f ca="1">MAX(AF126+AG126-AD126*Nutzungsgrad-AE126*Nutzungsgrad,0)</f>
        <v>#VALUE!</v>
      </c>
      <c r="AI126" s="1056" t="e">
        <f>MIN(IF(AB126&gt;0,AH126/AB126,0),W126)</f>
        <v>#VALUE!</v>
      </c>
      <c r="AJ126" s="438" t="e">
        <f>Z126*W126</f>
        <v>#VALUE!</v>
      </c>
      <c r="AK126" s="444" t="e">
        <f ca="1">MAX(AF126-AD126*Nutzungsgrad,0)</f>
        <v>#VALUE!</v>
      </c>
      <c r="AL126" s="444" t="e">
        <f ca="1">AE126+AD126+IF(Laufzeit_Zusatzheizung&gt;=SUM($Y$60:$Y126),Kesselleistung*$H$45*Y126,0)</f>
        <v>#VALUE!</v>
      </c>
      <c r="AM126" s="444">
        <v>0</v>
      </c>
      <c r="AN126" s="441">
        <f>MAX(0,AN92+(AN$92-AN$87)/5)</f>
        <v>0</v>
      </c>
      <c r="AO126" s="445" t="e">
        <f ca="1">IF(AE126&gt;AM126,AE126-AM126,0)</f>
        <v>#VALUE!</v>
      </c>
      <c r="AP126" s="445" t="e">
        <f ca="1">AL126-AM126-AO126</f>
        <v>#VALUE!</v>
      </c>
      <c r="AQ126" s="441">
        <f>AQ92+(AQ$92-AQ$87)/5</f>
        <v>0</v>
      </c>
      <c r="AR126" s="444" t="e">
        <f>W126*$T$130</f>
        <v>#VALUE!</v>
      </c>
      <c r="AS126" s="431" t="e">
        <f>MIN(IF(AB126&gt;0,AK126/AB126,0),W126)</f>
        <v>#VALUE!</v>
      </c>
      <c r="AT126" s="421">
        <f>IF(WW=TRUE,AI126-AS126,0)</f>
        <v>0</v>
      </c>
      <c r="AU126" s="421">
        <f>IF(WW=TRUE,W126*$AT$128/8760,0)</f>
        <v>0</v>
      </c>
      <c r="DC126" s="5"/>
      <c r="DD126" s="5"/>
    </row>
    <row r="127" spans="11:108" ht="16.149999999999999" customHeight="1" x14ac:dyDescent="0.2">
      <c r="K127" s="5"/>
      <c r="L127" s="5"/>
      <c r="M127" s="5"/>
      <c r="N127" s="5"/>
      <c r="O127" s="5"/>
      <c r="P127" s="5"/>
      <c r="Q127" s="302"/>
      <c r="R127" s="5"/>
      <c r="S127" s="5"/>
      <c r="T127" s="447"/>
      <c r="U127" s="446"/>
      <c r="V127" s="448"/>
      <c r="W127" s="449" t="e">
        <f>W128-SUM(W60:W126)</f>
        <v>#VALUE!</v>
      </c>
      <c r="X127" s="439" t="s">
        <v>3950</v>
      </c>
      <c r="Y127" s="440" t="e">
        <f ca="1">W128-SUM(Y60:Y126)</f>
        <v>#REF!</v>
      </c>
      <c r="Z127" s="441">
        <v>0</v>
      </c>
      <c r="AA127" s="441" t="e">
        <f ca="1">IF(AG127&gt;0,$AA$77,0)</f>
        <v>#VALUE!</v>
      </c>
      <c r="AB127" s="441">
        <f>IF(Bivalenzpunkt&lt;X127,AN127,0)</f>
        <v>0</v>
      </c>
      <c r="AC127" s="441" t="e">
        <f ca="1">MAX(Z127+AA127-AB127,0)/Nutzungsgrad</f>
        <v>#VALUE!</v>
      </c>
      <c r="AD127" s="443" t="e">
        <f ca="1">MAX(IF(AE127&gt;0,Z127*Y127/Etah/Nutzungsgrad*(1+Verteilverluste),(Z127*Y127/Etah*(1+Verteilverluste)+AA127*Y127/Etaw-AB127*Y127)/Nutzungsgrad),0)</f>
        <v>#VALUE!</v>
      </c>
      <c r="AE127" s="423" t="e">
        <f ca="1">MAX(AA127-AB127,0)*W127/Nutzungsgrad/Etaw</f>
        <v>#VALUE!</v>
      </c>
      <c r="AF127" s="440" t="e">
        <f ca="1">Z127*Y127/Etah*(1+Verteilverluste)</f>
        <v>#REF!</v>
      </c>
      <c r="AG127" s="160" t="e">
        <f ca="1">IF($AA$77*SUM($W$60:$W126)/Etaw=BedarfWW,0,MAX(MIN($AA$77*W127/Etaw,BedarfWW-$AA$77*SUM($W$60:$W126)/Etaw),0))</f>
        <v>#VALUE!</v>
      </c>
      <c r="AH127" s="440" t="e">
        <f ca="1">MAX(AF127+AG127-AD127*Nutzungsgrad-AE127*Nutzungsgrad,0)</f>
        <v>#REF!</v>
      </c>
      <c r="AI127" s="1056">
        <f>IF(Neu,0,MIN(IF(AB127&gt;0,AH127/AB127,0),Y127,8760-SUM(AI60:AI126)))</f>
        <v>0</v>
      </c>
      <c r="AJ127" s="438"/>
      <c r="AK127" s="444" t="e">
        <f ca="1">MAX(AF127*Etah-AD127*Nutzungsgrad,0)</f>
        <v>#REF!</v>
      </c>
      <c r="AL127" s="444" t="e">
        <f ca="1">AE127+AD127+IF(Laufzeit_Zusatzheizung&gt;=SUM($Y$60:$Y127),Kesselleistung*$H$45*Y127,0)</f>
        <v>#VALUE!</v>
      </c>
      <c r="AM127" s="444">
        <v>0</v>
      </c>
      <c r="AN127" s="441">
        <f>AN126</f>
        <v>0</v>
      </c>
      <c r="AO127" s="445" t="e">
        <f ca="1">IF(AE127&gt;AM127,AE127-AM127,0)</f>
        <v>#VALUE!</v>
      </c>
      <c r="AP127" s="445" t="e">
        <f ca="1">AL127-AM127-AO127</f>
        <v>#VALUE!</v>
      </c>
      <c r="AQ127" s="441">
        <f>AQ126</f>
        <v>0</v>
      </c>
      <c r="AR127" s="438" t="e">
        <f>W128-SUM(AR60:AR126)</f>
        <v>#VALUE!</v>
      </c>
      <c r="AS127" s="440" t="e">
        <f>MIN(IF(AB127&gt;0,AK127/AB127,0),Y127,8760-SUM(AI60:AI126))</f>
        <v>#VALUE!</v>
      </c>
      <c r="AT127" s="421">
        <f>IF(WW=TRUE,AI127-AS127,0)</f>
        <v>0</v>
      </c>
      <c r="AU127" s="201"/>
      <c r="AW127" s="1223" t="s">
        <v>1673</v>
      </c>
      <c r="AX127" s="1219"/>
      <c r="AY127" s="483"/>
      <c r="AZ127" s="483"/>
      <c r="BA127" s="483"/>
      <c r="BB127" s="162" t="e">
        <f t="array" aca="1" ref="BB127" ca="1">SUM(AS60:AS125*BB60:BB125)</f>
        <v>#DIV/0!</v>
      </c>
      <c r="BC127" s="486"/>
      <c r="DC127" s="5"/>
      <c r="DD127" s="5"/>
    </row>
    <row r="128" spans="11:108" ht="16.149999999999999" customHeight="1" x14ac:dyDescent="0.2">
      <c r="K128" s="5"/>
      <c r="L128" s="5"/>
      <c r="M128" s="5"/>
      <c r="N128" s="5"/>
      <c r="O128" s="5"/>
      <c r="P128" s="5"/>
      <c r="Q128" s="302"/>
      <c r="R128" s="5"/>
      <c r="S128" s="5"/>
      <c r="T128" s="199"/>
      <c r="U128" s="200">
        <f>SUM(U60:U127)</f>
        <v>1</v>
      </c>
      <c r="V128" s="201" t="e">
        <f>SUM(V60:V126)</f>
        <v>#VALUE!</v>
      </c>
      <c r="W128" s="202">
        <v>8760</v>
      </c>
      <c r="X128" s="203" t="s">
        <v>3951</v>
      </c>
      <c r="Y128" s="201" t="e">
        <f ca="1">SUM(Y60:Y127)</f>
        <v>#REF!</v>
      </c>
      <c r="Z128" s="203"/>
      <c r="AA128" s="204"/>
      <c r="AB128" s="203"/>
      <c r="AC128" s="203"/>
      <c r="AD128" s="201" t="e">
        <f ca="1">SUM(AD60:AD127)</f>
        <v>#REF!</v>
      </c>
      <c r="AE128" s="201" t="e">
        <f ca="1">SUM(AE60:AE127)</f>
        <v>#REF!</v>
      </c>
      <c r="AF128" s="201" t="e">
        <f ca="1">SUM(AF60:AF127)</f>
        <v>#REF!</v>
      </c>
      <c r="AG128" s="201" t="e">
        <f ca="1">IF($AA$77*Y128/Etaw*(1-KollektorWW)&gt;0,$AA$77*Y128/Etaw*(1-KollektorWW),0.1)</f>
        <v>#REF!</v>
      </c>
      <c r="AH128" s="201" t="e">
        <f t="shared" ref="AH128:AM128" ca="1" si="49">SUM(AH60:AH127)</f>
        <v>#REF!</v>
      </c>
      <c r="AI128" s="201" t="e">
        <f>SUM(AI60:AI127)</f>
        <v>#VALUE!</v>
      </c>
      <c r="AJ128" s="201" t="e">
        <f t="shared" si="49"/>
        <v>#VALUE!</v>
      </c>
      <c r="AK128" s="201" t="e">
        <f t="shared" ca="1" si="49"/>
        <v>#REF!</v>
      </c>
      <c r="AL128" s="201" t="e">
        <f t="shared" ca="1" si="49"/>
        <v>#REF!</v>
      </c>
      <c r="AM128" s="201" t="e">
        <f t="shared" ca="1" si="49"/>
        <v>#REF!</v>
      </c>
      <c r="AN128" s="203"/>
      <c r="AO128" s="201" t="e">
        <f ca="1">SUM(AO60:AO127)</f>
        <v>#REF!</v>
      </c>
      <c r="AP128" s="201" t="e">
        <f ca="1">SUM(AP60:AP127)</f>
        <v>#REF!</v>
      </c>
      <c r="AQ128" s="203"/>
      <c r="AR128" s="203" t="e">
        <f>SUM(AR60:AR127)</f>
        <v>#VALUE!</v>
      </c>
      <c r="AS128" s="201" t="e">
        <f>SUM(AS60:AS127)</f>
        <v>#VALUE!</v>
      </c>
      <c r="AT128" s="201">
        <f>SUM(AT60:AT127)</f>
        <v>0</v>
      </c>
      <c r="AU128" s="201">
        <f>SUM(AU60:AU126)</f>
        <v>0</v>
      </c>
      <c r="AW128" s="485" t="s">
        <v>1672</v>
      </c>
      <c r="AX128" s="484"/>
      <c r="AY128" s="483"/>
      <c r="AZ128" s="483"/>
      <c r="BA128" s="483"/>
      <c r="BB128" s="480" t="e">
        <f t="array" aca="1" ref="BB128" ca="1">SUM(AS60:AS125*BB60:BB125)/AS128</f>
        <v>#DIV/0!</v>
      </c>
      <c r="BC128" s="483"/>
      <c r="DC128" s="5"/>
      <c r="DD128" s="5"/>
    </row>
    <row r="129" spans="11:108" ht="16.149999999999999" customHeight="1" x14ac:dyDescent="0.2">
      <c r="K129" s="5"/>
      <c r="L129" s="5"/>
      <c r="M129" s="5"/>
      <c r="N129" s="5"/>
      <c r="O129" s="5"/>
      <c r="P129" s="5"/>
      <c r="Q129" s="302"/>
      <c r="R129" s="5"/>
      <c r="S129" s="5"/>
      <c r="T129" s="210" t="s">
        <v>3953</v>
      </c>
      <c r="U129" s="30"/>
      <c r="V129" s="17" t="s">
        <v>3658</v>
      </c>
      <c r="W129" s="211" t="s">
        <v>3954</v>
      </c>
      <c r="X129" s="212" t="s">
        <v>3955</v>
      </c>
      <c r="Y129" s="213" t="e">
        <f>Heizperiode*(1-Solaranteil)</f>
        <v>#VALUE!</v>
      </c>
      <c r="Z129" s="214"/>
      <c r="AA129" s="214"/>
      <c r="AB129" s="5"/>
      <c r="AC129" s="5"/>
      <c r="AD129" s="215" t="s">
        <v>3956</v>
      </c>
      <c r="AE129" s="216" t="e">
        <f ca="1">ZusatzWW+Zusatzheizung</f>
        <v>#REF!</v>
      </c>
      <c r="AF129" s="215" t="s">
        <v>3957</v>
      </c>
      <c r="AG129" s="216" t="e">
        <f ca="1">AF128+AG128</f>
        <v>#REF!</v>
      </c>
      <c r="AH129" s="5"/>
      <c r="AI129" s="5"/>
      <c r="AJ129" s="5"/>
      <c r="AK129" s="215" t="s">
        <v>3958</v>
      </c>
      <c r="AL129" s="216" t="e">
        <f ca="1">AL128</f>
        <v>#REF!</v>
      </c>
      <c r="AM129" s="125"/>
      <c r="AN129" s="125"/>
      <c r="AO129" s="125"/>
      <c r="AP129" s="125"/>
      <c r="AQ129" s="125"/>
      <c r="AW129" s="1218" t="s">
        <v>1674</v>
      </c>
      <c r="AX129" s="1219"/>
      <c r="AY129" s="483"/>
      <c r="AZ129" s="483"/>
      <c r="BA129" s="483"/>
      <c r="BB129" s="483"/>
      <c r="BC129" s="162">
        <f t="array" aca="1" ref="BC129" ca="1">SUM(AU60:AU125*BC60:BC125)</f>
        <v>0</v>
      </c>
      <c r="DC129" s="5"/>
      <c r="DD129" s="5"/>
    </row>
    <row r="130" spans="11:108" ht="16.149999999999999" customHeight="1" x14ac:dyDescent="0.2">
      <c r="K130" s="5"/>
      <c r="L130" s="5"/>
      <c r="M130" s="5"/>
      <c r="N130" s="5"/>
      <c r="O130" s="5"/>
      <c r="P130" s="5"/>
      <c r="Q130" s="302"/>
      <c r="R130" s="5"/>
      <c r="S130" s="5"/>
      <c r="T130" s="218" t="e">
        <f>1-Solaranteil</f>
        <v>#VALUE!</v>
      </c>
      <c r="U130" s="65"/>
      <c r="V130" s="219">
        <f>Qh*EBF/3.6</f>
        <v>0</v>
      </c>
      <c r="W130" s="220" t="e">
        <f>(HGT*1.065)/(20-TaMittel)*24</f>
        <v>#VALUE!</v>
      </c>
      <c r="X130" s="221" t="s">
        <v>1677</v>
      </c>
      <c r="Y130" s="1108" t="e">
        <f>IF(V128&gt;0,IF(Qtot&gt;0,1-'WP1'!H9*(1+Verteilverluste)/Qtot,1-15/24),0)</f>
        <v>#VALUE!</v>
      </c>
      <c r="Z130" s="104">
        <f>SUMIF('WP1'!X60:X125,TaMin,'WP1'!Z60:Z125)</f>
        <v>0</v>
      </c>
      <c r="AA130" s="551" t="s">
        <v>1454</v>
      </c>
      <c r="AB130" s="35"/>
      <c r="AC130" s="5"/>
      <c r="AD130" s="5"/>
      <c r="AE130" s="5"/>
      <c r="AF130" s="5"/>
      <c r="AG130" s="125"/>
      <c r="AH130" s="19"/>
      <c r="AI130" s="19"/>
      <c r="AJ130" s="19"/>
      <c r="AK130" s="5"/>
      <c r="AL130" s="5"/>
      <c r="AM130" s="125"/>
      <c r="AN130" s="5"/>
      <c r="AW130" s="1218" t="s">
        <v>1675</v>
      </c>
      <c r="AX130" s="1219"/>
      <c r="AY130" s="483"/>
      <c r="AZ130" s="483"/>
      <c r="BA130" s="483"/>
      <c r="BB130" s="483"/>
      <c r="BC130" s="480" t="e">
        <f t="array" aca="1" ref="BC130" ca="1">SUM(AU60:AU125*BC60:BC125)/AU128</f>
        <v>#DIV/0!</v>
      </c>
      <c r="DC130" s="5"/>
      <c r="DD130" s="5"/>
    </row>
    <row r="131" spans="11:108" ht="16.149999999999999" customHeight="1" x14ac:dyDescent="0.2">
      <c r="K131" s="5"/>
      <c r="L131" s="5"/>
      <c r="M131" s="5"/>
      <c r="N131" s="5"/>
      <c r="O131" s="5"/>
      <c r="P131" s="5"/>
      <c r="Q131" s="302"/>
      <c r="R131" s="5"/>
      <c r="S131" s="5"/>
      <c r="T131" s="129"/>
      <c r="U131" s="222"/>
      <c r="V131" s="5"/>
      <c r="W131" s="129"/>
      <c r="X131" s="5"/>
      <c r="Y131" s="5"/>
      <c r="Z131" s="5"/>
      <c r="AA131" s="125"/>
      <c r="AB131" s="226"/>
      <c r="AC131" s="129"/>
      <c r="AD131" s="19"/>
      <c r="AE131" s="223"/>
      <c r="AF131" s="223"/>
      <c r="AG131" s="19"/>
      <c r="AH131" s="19"/>
      <c r="AI131" s="19"/>
      <c r="AJ131" s="5"/>
      <c r="AK131" s="5"/>
      <c r="AL131" s="125"/>
      <c r="AM131" s="125"/>
      <c r="AN131" s="125"/>
      <c r="AO131" s="125"/>
      <c r="AP131" s="125"/>
      <c r="AQ131" s="125"/>
      <c r="DC131" s="5"/>
      <c r="DD131" s="5"/>
    </row>
    <row r="132" spans="11:108" ht="16.149999999999999" customHeight="1" x14ac:dyDescent="0.2">
      <c r="K132" s="5"/>
      <c r="L132" s="5"/>
      <c r="M132" s="5"/>
      <c r="N132" s="5"/>
      <c r="O132" s="5"/>
      <c r="P132" s="5"/>
      <c r="Q132" s="302"/>
      <c r="R132" s="5"/>
      <c r="S132" s="373" t="s">
        <v>2696</v>
      </c>
      <c r="T132" s="373" t="s">
        <v>770</v>
      </c>
      <c r="U132" s="5"/>
      <c r="V132" s="5"/>
      <c r="W132" s="125"/>
      <c r="X132" s="125"/>
      <c r="Y132" s="125"/>
      <c r="Z132" s="5"/>
      <c r="AA132" s="125"/>
      <c r="AB132" s="226"/>
      <c r="AC132" s="19"/>
      <c r="AD132" s="192" t="s">
        <v>1678</v>
      </c>
      <c r="AE132" s="227" t="s">
        <v>1679</v>
      </c>
      <c r="AF132" s="227" t="s">
        <v>1680</v>
      </c>
      <c r="AG132" s="228"/>
      <c r="AH132" s="139" t="s">
        <v>1681</v>
      </c>
      <c r="AI132" s="229">
        <f>J22</f>
        <v>1</v>
      </c>
      <c r="AJ132" s="230" t="s">
        <v>1682</v>
      </c>
      <c r="AK132" s="230" t="s">
        <v>84</v>
      </c>
      <c r="AL132" s="125"/>
      <c r="AM132" s="125"/>
      <c r="AN132" s="125"/>
      <c r="AO132" s="125"/>
      <c r="AP132" s="125"/>
      <c r="AQ132" s="125"/>
      <c r="DC132" s="5"/>
      <c r="DD132" s="5"/>
    </row>
    <row r="133" spans="11:108" ht="16.149999999999999" customHeight="1" x14ac:dyDescent="0.2">
      <c r="K133" s="5"/>
      <c r="L133" s="5"/>
      <c r="M133" s="5"/>
      <c r="N133" s="5"/>
      <c r="O133" s="5"/>
      <c r="P133" s="5"/>
      <c r="Q133" s="302"/>
      <c r="R133" s="5"/>
      <c r="S133" s="30">
        <v>1</v>
      </c>
      <c r="T133" s="374"/>
      <c r="U133" s="5"/>
      <c r="V133" s="5"/>
      <c r="W133" s="5"/>
      <c r="X133" s="5"/>
      <c r="Y133" s="5"/>
      <c r="Z133" s="5"/>
      <c r="AA133" s="5"/>
      <c r="AB133" s="125"/>
      <c r="AC133" s="19"/>
      <c r="AD133" s="232" t="s">
        <v>718</v>
      </c>
      <c r="AE133" s="24" t="b">
        <v>0</v>
      </c>
      <c r="AF133" s="24" t="b">
        <v>0</v>
      </c>
      <c r="AG133" s="19"/>
      <c r="AH133" s="16" t="s">
        <v>718</v>
      </c>
      <c r="AI133" s="174" t="b">
        <v>1</v>
      </c>
      <c r="AJ133" s="365">
        <v>0</v>
      </c>
      <c r="AK133" s="368" t="b">
        <v>0</v>
      </c>
      <c r="AL133" s="19"/>
      <c r="AM133" s="19"/>
      <c r="AN133" s="19"/>
      <c r="AO133" s="19"/>
      <c r="AP133" s="19"/>
      <c r="AQ133" s="19"/>
      <c r="DC133" s="5"/>
      <c r="DD133" s="5"/>
    </row>
    <row r="134" spans="11:108" ht="16.149999999999999" customHeight="1" x14ac:dyDescent="0.2">
      <c r="K134" s="5"/>
      <c r="L134" s="5"/>
      <c r="M134" s="5"/>
      <c r="N134" s="5"/>
      <c r="O134" s="5"/>
      <c r="P134" s="5"/>
      <c r="Q134" s="302"/>
      <c r="R134" s="5"/>
      <c r="S134" s="30">
        <v>2</v>
      </c>
      <c r="T134" s="1041" t="str">
        <f>Sprache!B61&amp;" "&amp;Sprache!B264</f>
        <v>Pompe à chaleur air/eau une vitesse</v>
      </c>
      <c r="U134" s="5"/>
      <c r="V134" s="235" t="s">
        <v>1683</v>
      </c>
      <c r="W134" s="236"/>
      <c r="X134" s="236"/>
      <c r="Y134" s="236"/>
      <c r="Z134" s="237"/>
      <c r="AA134" s="5"/>
      <c r="AB134" s="5"/>
      <c r="AC134" s="19"/>
      <c r="AD134" s="238" t="str">
        <f>Sprache!B115</f>
        <v>fonctionnement chauffage monovalent</v>
      </c>
      <c r="AE134" s="29" t="b">
        <v>0</v>
      </c>
      <c r="AF134" s="29" t="b">
        <v>0</v>
      </c>
      <c r="AG134" s="5"/>
      <c r="AH134" s="20" t="str">
        <f>IF(J20=18,"",IF(Heizung=FALSE,"",Sprache!B119))</f>
        <v/>
      </c>
      <c r="AI134" s="175" t="b">
        <v>0</v>
      </c>
      <c r="AJ134" s="365">
        <v>0</v>
      </c>
      <c r="AK134" s="369" t="b">
        <v>0</v>
      </c>
      <c r="AL134" s="5"/>
      <c r="AM134" s="5"/>
      <c r="AN134" s="5"/>
      <c r="DC134" s="5"/>
      <c r="DD134" s="5"/>
    </row>
    <row r="135" spans="11:108" ht="16.149999999999999" customHeight="1" x14ac:dyDescent="0.2">
      <c r="K135" s="5"/>
      <c r="L135" s="5"/>
      <c r="M135" s="5"/>
      <c r="N135" s="5"/>
      <c r="O135" s="5"/>
      <c r="P135" s="5"/>
      <c r="Q135" s="302"/>
      <c r="R135" s="5"/>
      <c r="S135" s="30">
        <v>2</v>
      </c>
      <c r="T135" s="1041" t="str">
        <f>Sprache!B61&amp;" "&amp;Sprache!B265</f>
        <v>Pompe à chaleur air/eau 2 vitesses</v>
      </c>
      <c r="U135" s="5"/>
      <c r="V135" s="239"/>
      <c r="W135" s="240"/>
      <c r="X135" s="240"/>
      <c r="Y135" s="240"/>
      <c r="Z135" s="241"/>
      <c r="AA135" s="5" t="s">
        <v>1685</v>
      </c>
      <c r="AB135" s="5"/>
      <c r="AC135" s="19"/>
      <c r="AD135" s="238" t="str">
        <f>Sprache!B116</f>
        <v xml:space="preserve">avec chauffage électrique de secours </v>
      </c>
      <c r="AE135" s="29" t="b">
        <v>0</v>
      </c>
      <c r="AF135" s="29" t="b">
        <v>1</v>
      </c>
      <c r="AG135" s="5"/>
      <c r="AH135" s="20" t="str">
        <f>IF(J20=18,"",IF(Heizung=FALSE,"",Sprache!B118))</f>
        <v/>
      </c>
      <c r="AI135" s="175" t="b">
        <v>1</v>
      </c>
      <c r="AJ135" s="233">
        <f>Z136</f>
        <v>0.02</v>
      </c>
      <c r="AK135" s="369" t="b">
        <v>0</v>
      </c>
      <c r="AL135" s="5"/>
      <c r="AM135" s="5"/>
      <c r="AN135" s="5"/>
      <c r="DC135" s="5"/>
      <c r="DD135" s="5"/>
    </row>
    <row r="136" spans="11:108" ht="16.149999999999999" customHeight="1" x14ac:dyDescent="0.2">
      <c r="K136" s="5"/>
      <c r="L136" s="5"/>
      <c r="M136" s="5"/>
      <c r="N136" s="5"/>
      <c r="O136" s="5"/>
      <c r="P136" s="5"/>
      <c r="Q136" s="302"/>
      <c r="R136" s="5"/>
      <c r="S136" s="30">
        <v>2</v>
      </c>
      <c r="T136" s="1041" t="str">
        <f>Sprache!B61&amp;" "&amp;Sprache!B266</f>
        <v>Pompe à chaleur air/eau Plusieurs vitesses</v>
      </c>
      <c r="U136" s="5"/>
      <c r="V136" s="20" t="s">
        <v>1750</v>
      </c>
      <c r="W136" s="5"/>
      <c r="X136" s="5"/>
      <c r="Y136" s="5"/>
      <c r="Z136" s="370">
        <v>0.02</v>
      </c>
      <c r="AA136" s="371">
        <v>0.02</v>
      </c>
      <c r="AB136" s="5"/>
      <c r="AC136" s="19"/>
      <c r="AD136" s="238" t="str">
        <f>Sprache!B117</f>
        <v>Installation bivalente fossile</v>
      </c>
      <c r="AE136" s="29" t="b">
        <v>1</v>
      </c>
      <c r="AF136" s="29" t="b">
        <v>0</v>
      </c>
      <c r="AG136" s="5"/>
      <c r="AH136" s="20" t="str">
        <f>IF(J20=18,"",IF(BH57=4,IF(JAZcalc,JAZcalc!AE6,Sprache!B279),""))</f>
        <v/>
      </c>
      <c r="AI136" s="175" t="b">
        <f>IF(BH57=4,TRUE,FALSE)</f>
        <v>0</v>
      </c>
      <c r="AJ136" s="233">
        <f>Z137</f>
        <v>0.04</v>
      </c>
      <c r="AK136" s="369" t="b">
        <v>1</v>
      </c>
      <c r="AL136" s="5"/>
      <c r="AM136" s="5"/>
      <c r="AN136" s="5"/>
      <c r="DC136" s="5"/>
      <c r="DD136" s="5"/>
    </row>
    <row r="137" spans="11:108" ht="16.149999999999999" customHeight="1" x14ac:dyDescent="0.2">
      <c r="K137" s="5"/>
      <c r="L137" s="5"/>
      <c r="M137" s="5"/>
      <c r="N137" s="5"/>
      <c r="O137" s="5"/>
      <c r="P137" s="5"/>
      <c r="Q137" s="302"/>
      <c r="R137" s="5"/>
      <c r="S137" s="30">
        <v>2</v>
      </c>
      <c r="T137" s="1041" t="str">
        <f>Sprache!B61&amp;" "&amp;Sprache!B267</f>
        <v>Pompe à chaleur air/eau vitesse variable</v>
      </c>
      <c r="U137" s="5"/>
      <c r="V137" s="367" t="s">
        <v>81</v>
      </c>
      <c r="W137" s="121"/>
      <c r="X137" s="121"/>
      <c r="Y137" s="121"/>
      <c r="Z137" s="370">
        <v>0.04</v>
      </c>
      <c r="AA137" s="371">
        <v>0.04</v>
      </c>
      <c r="AB137" s="5"/>
      <c r="AC137" s="19"/>
      <c r="AD137" s="238" t="str">
        <f>Sprache!B287</f>
        <v>Installation bivalente fossile alternative</v>
      </c>
      <c r="AE137" s="21"/>
      <c r="AF137" s="21"/>
      <c r="AG137" s="5"/>
      <c r="AH137" s="20" t="str">
        <f>IF(J20=18,"",IF(BH57=4,Sprache!B280,""))</f>
        <v/>
      </c>
      <c r="AI137" s="175" t="b">
        <f>IF(BH57=4,TRUE,FALSE)</f>
        <v>0</v>
      </c>
      <c r="AJ137" s="233">
        <f>Z138</f>
        <v>0.06</v>
      </c>
      <c r="AK137" s="369" t="b">
        <v>1</v>
      </c>
      <c r="AL137" s="19"/>
      <c r="AM137" s="19"/>
      <c r="AN137" s="19"/>
      <c r="AO137" s="19"/>
      <c r="AP137" s="19"/>
      <c r="AQ137" s="19"/>
      <c r="DC137" s="5"/>
      <c r="DD137" s="5"/>
    </row>
    <row r="138" spans="11:108" ht="16.149999999999999" customHeight="1" x14ac:dyDescent="0.2">
      <c r="K138" s="5"/>
      <c r="L138" s="5"/>
      <c r="M138" s="5"/>
      <c r="N138" s="5"/>
      <c r="O138" s="5"/>
      <c r="P138" s="5"/>
      <c r="Q138" s="302"/>
      <c r="R138" s="5"/>
      <c r="S138" s="30">
        <v>3</v>
      </c>
      <c r="T138" s="1041" t="str">
        <f>Sprache!B62&amp;" "&amp;Sprache!B264</f>
        <v>Pompe à chaleur sol/eau une vitesse</v>
      </c>
      <c r="U138" s="5"/>
      <c r="V138" s="367" t="s">
        <v>82</v>
      </c>
      <c r="W138" s="121"/>
      <c r="X138" s="121"/>
      <c r="Y138" s="121"/>
      <c r="Z138" s="370">
        <v>0.06</v>
      </c>
      <c r="AA138" s="371">
        <v>0.06</v>
      </c>
      <c r="AB138" s="5"/>
      <c r="AC138" s="19"/>
      <c r="AD138" s="26"/>
      <c r="AE138" s="44"/>
      <c r="AF138" s="44"/>
      <c r="AG138" s="5"/>
      <c r="AH138" s="20" t="str">
        <f>IF(J20=18,"",IF(BH57=4,Sprache!B281,""))</f>
        <v/>
      </c>
      <c r="AI138" s="175" t="b">
        <f>IF(BH57=4,TRUE,FALSE)</f>
        <v>0</v>
      </c>
      <c r="AJ138" s="233">
        <f>Z139</f>
        <v>0.05</v>
      </c>
      <c r="AK138" s="369" t="b">
        <v>1</v>
      </c>
      <c r="AL138" s="19"/>
      <c r="AM138" s="19"/>
      <c r="AN138" s="19"/>
      <c r="AO138" s="19"/>
      <c r="AP138" s="19"/>
      <c r="AQ138" s="19"/>
      <c r="DC138" s="5"/>
      <c r="DD138" s="5"/>
    </row>
    <row r="139" spans="11:108" ht="16.149999999999999" customHeight="1" x14ac:dyDescent="0.2">
      <c r="K139" s="5"/>
      <c r="L139" s="5"/>
      <c r="M139" s="5"/>
      <c r="N139" s="5"/>
      <c r="O139" s="5"/>
      <c r="P139" s="5"/>
      <c r="Q139" s="302"/>
      <c r="R139" s="5"/>
      <c r="S139" s="30">
        <v>3</v>
      </c>
      <c r="T139" s="1041" t="str">
        <f>Sprache!B62&amp;" "&amp;Sprache!B265</f>
        <v>Pompe à chaleur sol/eau 2 vitesses</v>
      </c>
      <c r="U139" s="5"/>
      <c r="V139" s="367" t="s">
        <v>83</v>
      </c>
      <c r="W139" s="121"/>
      <c r="X139" s="121"/>
      <c r="Y139" s="121"/>
      <c r="Z139" s="370">
        <v>0.05</v>
      </c>
      <c r="AA139" s="371">
        <v>0.05</v>
      </c>
      <c r="AB139" s="5"/>
      <c r="AC139" s="19"/>
      <c r="AD139" s="224">
        <f>J23</f>
        <v>1</v>
      </c>
      <c r="AE139" s="225" t="b">
        <f>INDEX(AE133:AE136,AD139,1)</f>
        <v>0</v>
      </c>
      <c r="AF139" s="225" t="b">
        <f>INDEX(AF133:AF136,AD139,1)</f>
        <v>0</v>
      </c>
      <c r="AG139" s="5"/>
      <c r="AH139" s="20"/>
      <c r="AI139" s="21"/>
      <c r="AJ139" s="238"/>
      <c r="AK139" s="238"/>
      <c r="AL139" s="19"/>
      <c r="AM139" s="19"/>
      <c r="AN139" s="19"/>
      <c r="AO139" s="19"/>
      <c r="AP139" s="19"/>
      <c r="AQ139" s="19"/>
      <c r="DC139" s="5"/>
      <c r="DD139" s="5"/>
    </row>
    <row r="140" spans="11:108" ht="16.149999999999999" customHeight="1" x14ac:dyDescent="0.2">
      <c r="K140" s="5"/>
      <c r="L140" s="5"/>
      <c r="M140" s="5"/>
      <c r="N140" s="5"/>
      <c r="O140" s="5"/>
      <c r="P140" s="5"/>
      <c r="Q140" s="302"/>
      <c r="R140" s="5"/>
      <c r="S140" s="30">
        <v>3</v>
      </c>
      <c r="T140" s="1041" t="str">
        <f>Sprache!B62&amp;" "&amp;Sprache!B266</f>
        <v>Pompe à chaleur sol/eau Plusieurs vitesses</v>
      </c>
      <c r="U140" s="5"/>
      <c r="V140" s="20"/>
      <c r="W140" s="5"/>
      <c r="X140" s="5"/>
      <c r="Y140" s="5"/>
      <c r="Z140" s="366"/>
      <c r="AA140" s="5"/>
      <c r="AB140" s="5"/>
      <c r="AC140" s="19"/>
      <c r="AD140" s="19"/>
      <c r="AE140" s="246"/>
      <c r="AF140" s="246"/>
      <c r="AG140" s="5"/>
      <c r="AH140" s="20"/>
      <c r="AI140" s="21"/>
      <c r="AJ140" s="238"/>
      <c r="AK140" s="238"/>
      <c r="AL140" s="19"/>
      <c r="AM140" s="19"/>
      <c r="AN140" s="19"/>
      <c r="AO140" s="19"/>
      <c r="AP140" s="19"/>
      <c r="AQ140" s="19"/>
      <c r="DC140" s="5"/>
      <c r="DD140" s="5"/>
    </row>
    <row r="141" spans="11:108" ht="16.149999999999999" customHeight="1" x14ac:dyDescent="0.2">
      <c r="K141" s="5"/>
      <c r="L141" s="5"/>
      <c r="M141" s="5"/>
      <c r="N141" s="5"/>
      <c r="O141" s="5"/>
      <c r="P141" s="5"/>
      <c r="Q141" s="302"/>
      <c r="R141" s="5"/>
      <c r="S141" s="30">
        <v>3</v>
      </c>
      <c r="T141" s="1041" t="str">
        <f>Sprache!B62&amp;" "&amp;Sprache!B267</f>
        <v>Pompe à chaleur sol/eau vitesse variable</v>
      </c>
      <c r="U141" s="5"/>
      <c r="V141" s="20" t="s">
        <v>1751</v>
      </c>
      <c r="W141" s="5"/>
      <c r="X141" s="5"/>
      <c r="Y141" s="5"/>
      <c r="Z141" s="242">
        <v>0.04</v>
      </c>
      <c r="AA141" s="243">
        <v>0.04</v>
      </c>
      <c r="AB141" s="5"/>
      <c r="AC141" s="19"/>
      <c r="AD141" s="19"/>
      <c r="AE141" s="246"/>
      <c r="AF141" s="246"/>
      <c r="AG141" s="5"/>
      <c r="AH141" s="20"/>
      <c r="AI141" s="21"/>
      <c r="AJ141" s="238"/>
      <c r="AK141" s="238"/>
      <c r="AL141" s="19"/>
      <c r="AM141" s="19"/>
      <c r="AN141" s="19"/>
      <c r="AO141" s="19"/>
      <c r="AP141" s="19"/>
      <c r="AQ141" s="19"/>
      <c r="DC141" s="5"/>
      <c r="DD141" s="5"/>
    </row>
    <row r="142" spans="11:108" ht="16.149999999999999" customHeight="1" x14ac:dyDescent="0.2">
      <c r="K142" s="5"/>
      <c r="L142" s="5"/>
      <c r="M142" s="5"/>
      <c r="N142" s="5"/>
      <c r="O142" s="5"/>
      <c r="P142" s="5"/>
      <c r="Q142" s="302"/>
      <c r="R142" s="5"/>
      <c r="S142" s="30">
        <v>4</v>
      </c>
      <c r="T142" s="1041" t="str">
        <f>Sprache!B63&amp;" "&amp;Sprache!B264</f>
        <v>Pompe à chaleur eau/eau une vitesse</v>
      </c>
      <c r="U142" s="5"/>
      <c r="V142" s="20" t="s">
        <v>1752</v>
      </c>
      <c r="W142" s="5"/>
      <c r="X142" s="5"/>
      <c r="Y142" s="5"/>
      <c r="Z142" s="242">
        <v>0.02</v>
      </c>
      <c r="AA142" s="243">
        <v>0.02</v>
      </c>
      <c r="AB142" s="5"/>
      <c r="AC142" s="19"/>
      <c r="AD142" s="19"/>
      <c r="AE142" s="5"/>
      <c r="AF142" s="5"/>
      <c r="AG142" s="5"/>
      <c r="AH142" s="20"/>
      <c r="AI142" s="21"/>
      <c r="AJ142" s="238"/>
      <c r="AK142" s="238"/>
      <c r="AL142" s="5"/>
      <c r="AM142" s="5"/>
      <c r="AN142" s="5"/>
      <c r="DC142" s="5"/>
      <c r="DD142" s="5"/>
    </row>
    <row r="143" spans="11:108" ht="16.149999999999999" customHeight="1" x14ac:dyDescent="0.2">
      <c r="K143" s="5"/>
      <c r="L143" s="5"/>
      <c r="M143" s="5"/>
      <c r="N143" s="5"/>
      <c r="O143" s="5"/>
      <c r="P143" s="5"/>
      <c r="Q143" s="302"/>
      <c r="R143" s="5"/>
      <c r="S143" s="30">
        <v>4</v>
      </c>
      <c r="T143" s="1041" t="str">
        <f>Sprache!B63&amp;" "&amp;Sprache!B265</f>
        <v>Pompe à chaleur eau/eau 2 vitesses</v>
      </c>
      <c r="U143" s="5"/>
      <c r="V143" s="20" t="s">
        <v>2122</v>
      </c>
      <c r="W143" s="5"/>
      <c r="X143" s="5"/>
      <c r="Y143" s="5"/>
      <c r="Z143" s="242">
        <v>0.04</v>
      </c>
      <c r="AA143" s="243">
        <v>0.04</v>
      </c>
      <c r="AB143" s="5"/>
      <c r="AC143" s="5"/>
      <c r="AD143" s="5"/>
      <c r="AE143" s="5"/>
      <c r="AF143" s="5"/>
      <c r="AG143" s="5"/>
      <c r="AH143" s="20"/>
      <c r="AI143" s="21"/>
      <c r="AJ143" s="238"/>
      <c r="AK143" s="238"/>
      <c r="AL143" s="5"/>
      <c r="AM143" s="5"/>
      <c r="AN143" s="5"/>
      <c r="DC143" s="5"/>
      <c r="DD143" s="5"/>
    </row>
    <row r="144" spans="11:108" ht="16.149999999999999" customHeight="1" x14ac:dyDescent="0.2">
      <c r="K144" s="5"/>
      <c r="L144" s="5"/>
      <c r="M144" s="5"/>
      <c r="N144" s="5"/>
      <c r="O144" s="5"/>
      <c r="P144" s="5"/>
      <c r="Q144" s="302"/>
      <c r="R144" s="5"/>
      <c r="S144" s="30">
        <v>4</v>
      </c>
      <c r="T144" s="1041" t="str">
        <f>Sprache!B63&amp;" "&amp;Sprache!B266</f>
        <v>Pompe à chaleur eau/eau Plusieurs vitesses</v>
      </c>
      <c r="U144" s="5"/>
      <c r="V144" s="20" t="s">
        <v>2124</v>
      </c>
      <c r="W144" s="5"/>
      <c r="X144" s="5"/>
      <c r="Y144" s="5"/>
      <c r="Z144" s="242">
        <v>0.01</v>
      </c>
      <c r="AA144" s="243">
        <v>0.01</v>
      </c>
      <c r="AB144" s="5"/>
      <c r="AC144" s="5"/>
      <c r="AD144" s="5"/>
      <c r="AE144" s="5"/>
      <c r="AF144" s="19"/>
      <c r="AG144" s="5"/>
      <c r="AH144" s="20"/>
      <c r="AI144" s="21"/>
      <c r="AJ144" s="238"/>
      <c r="AK144" s="238"/>
      <c r="AL144" s="5"/>
      <c r="AM144" s="5"/>
      <c r="AN144" s="5"/>
      <c r="DC144" s="5"/>
      <c r="DD144" s="5"/>
    </row>
    <row r="145" spans="11:108" ht="16.149999999999999" customHeight="1" x14ac:dyDescent="0.2">
      <c r="K145" s="5"/>
      <c r="L145" s="5"/>
      <c r="M145" s="5"/>
      <c r="N145" s="5"/>
      <c r="O145" s="5"/>
      <c r="P145" s="5"/>
      <c r="Q145" s="302"/>
      <c r="R145" s="5"/>
      <c r="S145" s="30">
        <v>4</v>
      </c>
      <c r="T145" s="1041" t="str">
        <f>Sprache!B63&amp;" "&amp;Sprache!B267</f>
        <v>Pompe à chaleur eau/eau vitesse variable</v>
      </c>
      <c r="U145" s="5"/>
      <c r="V145" s="20" t="s">
        <v>2126</v>
      </c>
      <c r="W145" s="5"/>
      <c r="X145" s="5"/>
      <c r="Y145" s="5"/>
      <c r="Z145" s="242">
        <v>0.05</v>
      </c>
      <c r="AA145" s="243">
        <v>0.05</v>
      </c>
      <c r="AB145" s="5"/>
      <c r="AC145" s="5"/>
      <c r="AD145" s="5"/>
      <c r="AE145" s="5"/>
      <c r="AF145" s="19"/>
      <c r="AG145" s="5"/>
      <c r="AH145" s="25"/>
      <c r="AI145" s="44"/>
      <c r="AJ145" s="26"/>
      <c r="AK145" s="26"/>
      <c r="AL145" s="5"/>
      <c r="AM145" s="5"/>
      <c r="AN145" s="5"/>
      <c r="DC145" s="5"/>
      <c r="DD145" s="5"/>
    </row>
    <row r="146" spans="11:108" ht="16.149999999999999" customHeight="1" x14ac:dyDescent="0.2">
      <c r="K146" s="5"/>
      <c r="L146" s="5"/>
      <c r="M146" s="5"/>
      <c r="N146" s="5"/>
      <c r="O146" s="5"/>
      <c r="P146" s="5"/>
      <c r="Q146" s="302"/>
      <c r="R146" s="5"/>
      <c r="S146" s="30">
        <v>5</v>
      </c>
      <c r="T146" s="1041" t="str">
        <f>Sprache!B64&amp;" "&amp;Sprache!B264</f>
        <v>PAC avec collecteur terrestre une vitesse</v>
      </c>
      <c r="U146" s="5"/>
      <c r="V146" s="20" t="s">
        <v>2128</v>
      </c>
      <c r="W146" s="5"/>
      <c r="X146" s="5"/>
      <c r="Y146" s="5"/>
      <c r="Z146" s="242">
        <v>0</v>
      </c>
      <c r="AA146" s="243">
        <v>0</v>
      </c>
      <c r="AB146" s="5"/>
      <c r="AC146" s="5"/>
      <c r="AD146" s="5"/>
      <c r="AE146" s="5"/>
      <c r="AF146" s="5"/>
      <c r="AG146" s="5"/>
      <c r="AH146" s="165" t="str">
        <f>INDEX(AH133:AH145,AI132,1)</f>
        <v xml:space="preserve"> </v>
      </c>
      <c r="AI146" s="244" t="b">
        <f>INDEX(AI133:AI145,AI132,1)</f>
        <v>1</v>
      </c>
      <c r="AJ146" s="245">
        <f>INDEX(AJ133:AJ145,AI132,1)</f>
        <v>0</v>
      </c>
      <c r="AK146" s="245" t="b">
        <f>INDEX(AK133:AK145,AI132,1)</f>
        <v>0</v>
      </c>
      <c r="AL146" s="19"/>
      <c r="AM146" s="19"/>
      <c r="AN146" s="19"/>
      <c r="AO146" s="19"/>
      <c r="AP146" s="19"/>
      <c r="DC146" s="5"/>
      <c r="DD146" s="5"/>
    </row>
    <row r="147" spans="11:108" ht="16.149999999999999" customHeight="1" x14ac:dyDescent="0.2">
      <c r="K147" s="5"/>
      <c r="L147" s="5"/>
      <c r="M147" s="5"/>
      <c r="N147" s="5"/>
      <c r="O147" s="5"/>
      <c r="P147" s="5"/>
      <c r="Q147" s="302"/>
      <c r="R147" s="5"/>
      <c r="S147" s="30">
        <v>5</v>
      </c>
      <c r="T147" s="1041" t="str">
        <f>Sprache!B64&amp;" "&amp;Sprache!B265</f>
        <v>PAC avec collecteur terrestre 2 vitesses</v>
      </c>
      <c r="U147" s="5"/>
      <c r="V147" s="20" t="s">
        <v>3230</v>
      </c>
      <c r="W147" s="5"/>
      <c r="X147" s="5"/>
      <c r="Y147" s="5"/>
      <c r="Z147" s="242">
        <v>0.02</v>
      </c>
      <c r="AA147" s="243">
        <v>0.02</v>
      </c>
      <c r="AB147" s="5"/>
      <c r="AC147" s="5"/>
      <c r="AD147" s="5"/>
      <c r="AE147" s="5"/>
      <c r="AF147" s="5"/>
      <c r="AG147" s="5"/>
      <c r="AH147" s="5"/>
      <c r="AI147" s="5"/>
      <c r="AJ147" s="5"/>
      <c r="AK147" s="5"/>
      <c r="AL147" s="19"/>
      <c r="AM147" s="19"/>
      <c r="AN147" s="19"/>
      <c r="AO147" s="19"/>
      <c r="AP147" s="19"/>
      <c r="DC147" s="5"/>
      <c r="DD147" s="5"/>
    </row>
    <row r="148" spans="11:108" ht="16.149999999999999" customHeight="1" x14ac:dyDescent="0.2">
      <c r="K148" s="5"/>
      <c r="L148" s="5"/>
      <c r="M148" s="5"/>
      <c r="N148" s="5"/>
      <c r="O148" s="5"/>
      <c r="P148" s="5"/>
      <c r="Q148" s="302"/>
      <c r="R148" s="5"/>
      <c r="S148" s="30">
        <v>5</v>
      </c>
      <c r="T148" s="1041" t="str">
        <f>Sprache!B64&amp;" "&amp;Sprache!B266</f>
        <v>PAC avec collecteur terrestre Plusieurs vitesses</v>
      </c>
      <c r="V148" s="25" t="s">
        <v>3231</v>
      </c>
      <c r="W148" s="27"/>
      <c r="X148" s="27"/>
      <c r="Y148" s="27"/>
      <c r="Z148" s="247">
        <v>0.02</v>
      </c>
      <c r="AA148" s="243">
        <v>0.02</v>
      </c>
      <c r="AB148" s="258"/>
      <c r="AC148" s="258"/>
      <c r="AD148" s="258"/>
      <c r="AE148" s="258"/>
      <c r="AF148" s="258"/>
      <c r="AG148" s="258"/>
      <c r="AH148" s="258"/>
      <c r="AI148" s="258"/>
      <c r="AJ148" s="5"/>
      <c r="AK148" s="5"/>
      <c r="AL148" s="19"/>
      <c r="AM148" s="19"/>
      <c r="AN148" s="19"/>
      <c r="AO148" s="19"/>
      <c r="AP148" s="19"/>
      <c r="DC148" s="5"/>
      <c r="DD148" s="5"/>
    </row>
    <row r="149" spans="11:108" ht="16.149999999999999" customHeight="1" x14ac:dyDescent="0.2">
      <c r="K149" s="5"/>
      <c r="L149" s="5"/>
      <c r="M149" s="5"/>
      <c r="N149" s="5"/>
      <c r="O149" s="5"/>
      <c r="P149" s="5"/>
      <c r="Q149" s="302"/>
      <c r="R149" s="5"/>
      <c r="S149" s="30">
        <v>5</v>
      </c>
      <c r="T149" s="1041" t="str">
        <f>Sprache!B64&amp;" "&amp;Sprache!B267</f>
        <v>PAC avec collecteur terrestre vitesse variable</v>
      </c>
      <c r="U149" s="319"/>
      <c r="V149" s="258"/>
      <c r="W149" s="258"/>
      <c r="X149" s="258"/>
      <c r="Y149" s="258"/>
      <c r="Z149" s="258"/>
      <c r="AA149" s="258"/>
      <c r="AB149" s="258"/>
      <c r="AC149" s="258"/>
      <c r="AD149" s="258"/>
      <c r="AE149" s="258"/>
      <c r="AF149" s="258"/>
      <c r="AG149" s="258"/>
      <c r="AH149" s="258"/>
      <c r="AI149" s="19"/>
      <c r="AJ149" s="5"/>
      <c r="AK149" s="5"/>
      <c r="AL149" s="19"/>
      <c r="AM149" s="19"/>
      <c r="AN149" s="19"/>
      <c r="AO149" s="19"/>
      <c r="AP149" s="19"/>
      <c r="DC149" s="5"/>
      <c r="DD149" s="5"/>
    </row>
    <row r="150" spans="11:108" ht="16.149999999999999" customHeight="1" x14ac:dyDescent="0.25">
      <c r="K150" s="5"/>
      <c r="L150" s="5"/>
      <c r="M150" s="5"/>
      <c r="N150" s="5"/>
      <c r="O150" s="5"/>
      <c r="P150" s="5"/>
      <c r="Q150" s="302"/>
      <c r="R150" s="5"/>
      <c r="S150" s="30">
        <v>6</v>
      </c>
      <c r="T150" s="1041" t="str">
        <f>Sprache!B268</f>
        <v>PAC sur air extrait sur installation de ventilation sans récupération de chaleur</v>
      </c>
      <c r="U150" s="318" t="s">
        <v>1208</v>
      </c>
      <c r="V150" s="320"/>
      <c r="W150" s="320"/>
      <c r="X150" s="320"/>
      <c r="Y150" s="320"/>
      <c r="Z150" s="320"/>
      <c r="AA150" s="320"/>
      <c r="AB150" s="320"/>
      <c r="AC150" s="320"/>
      <c r="AD150" s="320"/>
      <c r="AE150" s="320"/>
      <c r="AF150" s="320"/>
      <c r="AG150" s="320"/>
      <c r="AH150" s="320"/>
      <c r="AI150" s="19"/>
      <c r="AJ150" s="5"/>
      <c r="AK150" s="5"/>
      <c r="AL150" s="19"/>
      <c r="AM150" s="19"/>
      <c r="AN150" s="19"/>
      <c r="AO150" s="19"/>
      <c r="AP150" s="19"/>
      <c r="DC150" s="5"/>
      <c r="DD150" s="5"/>
    </row>
    <row r="151" spans="11:108" ht="16.149999999999999" customHeight="1" x14ac:dyDescent="0.25">
      <c r="K151" s="5"/>
      <c r="L151" s="5"/>
      <c r="M151" s="5"/>
      <c r="N151" s="5"/>
      <c r="O151" s="5"/>
      <c r="P151" s="5"/>
      <c r="Q151" s="302"/>
      <c r="R151" s="5"/>
      <c r="S151" s="30">
        <v>6</v>
      </c>
      <c r="T151" s="375" t="str">
        <f>""</f>
        <v/>
      </c>
      <c r="U151" s="320"/>
      <c r="V151" s="320"/>
      <c r="W151" s="320"/>
      <c r="X151" s="320"/>
      <c r="Y151" s="320"/>
      <c r="Z151" s="320"/>
      <c r="AA151" s="320"/>
      <c r="AB151" s="320"/>
      <c r="AC151" s="320"/>
      <c r="AD151" s="320"/>
      <c r="AE151" s="320"/>
      <c r="AF151" s="320"/>
      <c r="AG151" s="320"/>
      <c r="AH151" s="320"/>
      <c r="AI151" s="19"/>
      <c r="AJ151" s="5"/>
      <c r="AK151" s="5"/>
      <c r="AL151" s="19"/>
      <c r="AM151" s="19"/>
      <c r="AN151" s="19"/>
      <c r="AO151" s="19"/>
      <c r="AP151" s="19"/>
      <c r="DC151" s="5"/>
      <c r="DD151" s="5"/>
    </row>
    <row r="152" spans="11:108" ht="16.149999999999999" customHeight="1" x14ac:dyDescent="0.25">
      <c r="K152" s="5"/>
      <c r="L152" s="5"/>
      <c r="M152" s="5"/>
      <c r="N152" s="5"/>
      <c r="O152" s="5"/>
      <c r="P152" s="5"/>
      <c r="Q152" s="302"/>
      <c r="R152" s="5"/>
      <c r="S152" s="30">
        <v>6</v>
      </c>
      <c r="T152" s="375" t="str">
        <f>""</f>
        <v/>
      </c>
      <c r="U152" s="372" t="s">
        <v>1202</v>
      </c>
      <c r="V152" s="322"/>
      <c r="W152" s="322"/>
      <c r="X152" s="340" t="s">
        <v>1212</v>
      </c>
      <c r="Y152" s="339">
        <f>IF(Azimut="",4,IF(ABS(Azimut)&gt;90,13,IF(Azimut&lt;0,ROUND(-Azimut/15,0)+7,ROUND(Azimut/15,0)+7)))</f>
        <v>7</v>
      </c>
      <c r="Z152" s="322"/>
      <c r="AA152" s="340" t="s">
        <v>1214</v>
      </c>
      <c r="AB152" s="339">
        <f>IF(Neigung="",5,IF(Neigung&gt;90,1,IF(Neigung&lt;0,10,10-ROUND(Neigung/10,0))))</f>
        <v>10</v>
      </c>
      <c r="AC152" s="344" t="s">
        <v>1207</v>
      </c>
      <c r="AD152" s="345">
        <f>(INDEX(V156:AH165,AB152,Y152)+INDEX(V156:AH165,AB152,Y153))/2/W167</f>
        <v>0.78688524590163933</v>
      </c>
      <c r="AE152" s="322"/>
      <c r="AF152" s="322"/>
      <c r="AG152" s="322"/>
      <c r="AH152" s="323"/>
      <c r="AI152" s="19"/>
      <c r="AJ152" s="5"/>
      <c r="AK152" s="5"/>
      <c r="AL152" s="19"/>
      <c r="AM152" s="19"/>
      <c r="AN152" s="19"/>
      <c r="AO152" s="19"/>
      <c r="AP152" s="19"/>
      <c r="DC152" s="5"/>
      <c r="DD152" s="5"/>
    </row>
    <row r="153" spans="11:108" ht="16.149999999999999" customHeight="1" x14ac:dyDescent="0.2">
      <c r="K153" s="5"/>
      <c r="L153" s="5"/>
      <c r="M153" s="5"/>
      <c r="N153" s="5"/>
      <c r="O153" s="5"/>
      <c r="P153" s="5"/>
      <c r="Q153" s="302"/>
      <c r="R153" s="5"/>
      <c r="S153" s="65">
        <v>6</v>
      </c>
      <c r="T153" s="376" t="str">
        <f>""</f>
        <v/>
      </c>
      <c r="U153" s="271"/>
      <c r="V153" s="55"/>
      <c r="W153" s="324"/>
      <c r="X153" s="341" t="s">
        <v>1213</v>
      </c>
      <c r="Y153" s="342">
        <f>14-Y152</f>
        <v>7</v>
      </c>
      <c r="Z153" s="324"/>
      <c r="AA153" s="324" t="s">
        <v>1203</v>
      </c>
      <c r="AB153" s="324"/>
      <c r="AC153" s="324"/>
      <c r="AD153" s="324"/>
      <c r="AE153" s="324"/>
      <c r="AF153" s="324"/>
      <c r="AG153" s="324"/>
      <c r="AH153" s="325"/>
      <c r="AI153" s="19"/>
      <c r="AJ153" s="5"/>
      <c r="AK153" s="5"/>
      <c r="AL153" s="19"/>
      <c r="AM153" s="19"/>
      <c r="AN153" s="19"/>
      <c r="AO153" s="19"/>
      <c r="AP153" s="19"/>
      <c r="DC153" s="5"/>
      <c r="DD153" s="5"/>
    </row>
    <row r="154" spans="11:108" ht="16.149999999999999" customHeight="1" x14ac:dyDescent="0.2">
      <c r="K154" s="5"/>
      <c r="L154" s="5"/>
      <c r="M154" s="5"/>
      <c r="N154" s="5"/>
      <c r="O154" s="5"/>
      <c r="P154" s="5"/>
      <c r="Q154" s="302"/>
      <c r="R154" s="129"/>
      <c r="S154" s="129"/>
      <c r="T154" s="5"/>
      <c r="U154" s="270"/>
      <c r="V154" s="324" t="s">
        <v>1204</v>
      </c>
      <c r="W154" s="324"/>
      <c r="X154" s="324"/>
      <c r="Y154" s="55"/>
      <c r="Z154" s="324"/>
      <c r="AA154" s="324"/>
      <c r="AB154" s="324"/>
      <c r="AC154" s="324"/>
      <c r="AD154" s="324"/>
      <c r="AE154" s="324"/>
      <c r="AF154" s="324"/>
      <c r="AG154" s="324"/>
      <c r="AH154" s="325" t="s">
        <v>1205</v>
      </c>
      <c r="AI154" s="19"/>
      <c r="AJ154" s="5"/>
      <c r="AK154" s="5"/>
      <c r="AL154" s="19"/>
      <c r="AM154" s="19"/>
      <c r="AN154" s="19"/>
      <c r="AO154" s="19"/>
      <c r="AP154" s="19"/>
      <c r="DC154" s="5"/>
      <c r="DD154" s="5"/>
    </row>
    <row r="155" spans="11:108" ht="16.149999999999999" customHeight="1" x14ac:dyDescent="0.2">
      <c r="Q155" s="302"/>
      <c r="R155" s="129"/>
      <c r="S155" s="129"/>
      <c r="T155" s="5"/>
      <c r="U155" s="326" t="s">
        <v>1209</v>
      </c>
      <c r="V155" s="324">
        <v>-90</v>
      </c>
      <c r="W155" s="324">
        <v>-75</v>
      </c>
      <c r="X155" s="324">
        <v>-60</v>
      </c>
      <c r="Y155" s="324">
        <v>-45</v>
      </c>
      <c r="Z155" s="324">
        <v>-30</v>
      </c>
      <c r="AA155" s="324">
        <v>-15</v>
      </c>
      <c r="AB155" s="324">
        <v>0</v>
      </c>
      <c r="AC155" s="324">
        <v>15</v>
      </c>
      <c r="AD155" s="324">
        <v>30</v>
      </c>
      <c r="AE155" s="324">
        <v>45</v>
      </c>
      <c r="AF155" s="324">
        <v>60</v>
      </c>
      <c r="AG155" s="324">
        <v>75</v>
      </c>
      <c r="AH155" s="325">
        <v>90</v>
      </c>
      <c r="AI155" s="258"/>
      <c r="AJ155" s="5"/>
      <c r="AK155" s="5"/>
      <c r="AL155" s="19"/>
      <c r="AM155" s="19"/>
      <c r="AN155" s="19"/>
      <c r="AO155" s="19"/>
      <c r="AP155" s="19"/>
      <c r="DC155" s="5"/>
      <c r="DD155" s="5"/>
    </row>
    <row r="156" spans="11:108" ht="16.149999999999999" customHeight="1" x14ac:dyDescent="0.2">
      <c r="Q156" s="302"/>
      <c r="R156" s="129"/>
      <c r="S156" s="129"/>
      <c r="T156" s="5"/>
      <c r="U156" s="326">
        <v>90</v>
      </c>
      <c r="V156" s="327">
        <v>0.57999999999999996</v>
      </c>
      <c r="W156" s="327">
        <v>0.65</v>
      </c>
      <c r="X156" s="327">
        <v>0.72</v>
      </c>
      <c r="Y156" s="327">
        <v>0.77</v>
      </c>
      <c r="Z156" s="327">
        <v>0.79</v>
      </c>
      <c r="AA156" s="327">
        <v>0.8</v>
      </c>
      <c r="AB156" s="327">
        <v>0.79</v>
      </c>
      <c r="AC156" s="327">
        <v>0.77</v>
      </c>
      <c r="AD156" s="327">
        <v>0.73</v>
      </c>
      <c r="AE156" s="327">
        <v>0.68</v>
      </c>
      <c r="AF156" s="327">
        <v>0.63</v>
      </c>
      <c r="AG156" s="327">
        <v>0.55000000000000004</v>
      </c>
      <c r="AH156" s="328">
        <v>0.47</v>
      </c>
      <c r="AI156" s="258"/>
      <c r="AJ156" s="5"/>
      <c r="AK156" s="5"/>
      <c r="AL156" s="19"/>
      <c r="AM156" s="19"/>
      <c r="AN156" s="19"/>
      <c r="AO156" s="19"/>
      <c r="AP156" s="19"/>
      <c r="DC156" s="5"/>
      <c r="DD156" s="5"/>
    </row>
    <row r="157" spans="11:108" ht="16.149999999999999" customHeight="1" x14ac:dyDescent="0.2">
      <c r="Q157" s="302"/>
      <c r="R157" s="129"/>
      <c r="S157" s="129"/>
      <c r="T157" s="5"/>
      <c r="U157" s="326">
        <v>80</v>
      </c>
      <c r="V157" s="327">
        <v>0.63</v>
      </c>
      <c r="W157" s="327">
        <v>0.71</v>
      </c>
      <c r="X157" s="327">
        <v>0.78</v>
      </c>
      <c r="Y157" s="327">
        <v>0.84</v>
      </c>
      <c r="Z157" s="327">
        <v>0.87</v>
      </c>
      <c r="AA157" s="327">
        <v>0.89</v>
      </c>
      <c r="AB157" s="327">
        <v>0.87</v>
      </c>
      <c r="AC157" s="327">
        <v>0.85</v>
      </c>
      <c r="AD157" s="327">
        <v>0.82</v>
      </c>
      <c r="AE157" s="327">
        <v>0.76</v>
      </c>
      <c r="AF157" s="327">
        <v>0.7</v>
      </c>
      <c r="AG157" s="327">
        <v>0.61</v>
      </c>
      <c r="AH157" s="328">
        <v>0.53</v>
      </c>
      <c r="AI157" s="258"/>
      <c r="AJ157" s="5"/>
      <c r="AK157" s="5"/>
      <c r="AL157" s="19"/>
      <c r="AM157" s="19"/>
      <c r="AN157" s="19"/>
      <c r="AO157" s="19"/>
      <c r="AP157" s="19"/>
      <c r="DC157" s="5"/>
      <c r="DD157" s="5"/>
    </row>
    <row r="158" spans="11:108" ht="16.149999999999999" customHeight="1" x14ac:dyDescent="0.2">
      <c r="Q158" s="302"/>
      <c r="R158" s="129"/>
      <c r="S158" s="129"/>
      <c r="T158" s="5"/>
      <c r="U158" s="326">
        <v>70</v>
      </c>
      <c r="V158" s="327">
        <v>0.68</v>
      </c>
      <c r="W158" s="327">
        <v>0.76</v>
      </c>
      <c r="X158" s="327">
        <v>0.84</v>
      </c>
      <c r="Y158" s="327">
        <v>0.9</v>
      </c>
      <c r="Z158" s="327">
        <v>0.93</v>
      </c>
      <c r="AA158" s="327">
        <v>0.95</v>
      </c>
      <c r="AB158" s="327">
        <v>0.95</v>
      </c>
      <c r="AC158" s="327">
        <v>0.92</v>
      </c>
      <c r="AD158" s="327">
        <v>0.89</v>
      </c>
      <c r="AE158" s="327">
        <v>0.83</v>
      </c>
      <c r="AF158" s="327">
        <v>0.75</v>
      </c>
      <c r="AG158" s="327">
        <v>0.66</v>
      </c>
      <c r="AH158" s="328">
        <v>0.57999999999999996</v>
      </c>
      <c r="AI158" s="258"/>
      <c r="AJ158" s="5"/>
      <c r="AK158" s="5"/>
      <c r="AL158" s="19"/>
      <c r="AM158" s="19"/>
      <c r="AN158" s="19"/>
      <c r="AO158" s="19"/>
      <c r="AP158" s="19"/>
      <c r="DC158" s="5"/>
      <c r="DD158" s="5"/>
    </row>
    <row r="159" spans="11:108" ht="16.149999999999999" customHeight="1" x14ac:dyDescent="0.2">
      <c r="Q159" s="302"/>
      <c r="R159" s="129"/>
      <c r="S159" s="129"/>
      <c r="T159" s="5"/>
      <c r="U159" s="326">
        <v>60</v>
      </c>
      <c r="V159" s="327">
        <v>0.71</v>
      </c>
      <c r="W159" s="327">
        <v>0.8</v>
      </c>
      <c r="X159" s="327">
        <v>0.87</v>
      </c>
      <c r="Y159" s="327">
        <v>0.93</v>
      </c>
      <c r="Z159" s="327">
        <v>0.96</v>
      </c>
      <c r="AA159" s="327">
        <v>0.98</v>
      </c>
      <c r="AB159" s="327">
        <v>0.97</v>
      </c>
      <c r="AC159" s="327">
        <v>0.96</v>
      </c>
      <c r="AD159" s="327">
        <v>0.92</v>
      </c>
      <c r="AE159" s="327">
        <v>0.86</v>
      </c>
      <c r="AF159" s="327">
        <v>0.8</v>
      </c>
      <c r="AG159" s="327">
        <v>0.71</v>
      </c>
      <c r="AH159" s="328">
        <v>0.62</v>
      </c>
      <c r="AI159" s="258"/>
      <c r="AJ159" s="5"/>
      <c r="AK159" s="5"/>
      <c r="AL159" s="19"/>
      <c r="AM159" s="19"/>
      <c r="AN159" s="19"/>
      <c r="AO159" s="19"/>
      <c r="AP159" s="19"/>
      <c r="DC159" s="5"/>
      <c r="DD159" s="5"/>
    </row>
    <row r="160" spans="11:108" ht="15.6" customHeight="1" x14ac:dyDescent="0.2">
      <c r="Q160" s="302"/>
      <c r="R160" s="129"/>
      <c r="S160" s="129"/>
      <c r="T160" s="5"/>
      <c r="U160" s="326">
        <v>50</v>
      </c>
      <c r="V160" s="327">
        <v>0.74</v>
      </c>
      <c r="W160" s="327">
        <v>0.82</v>
      </c>
      <c r="X160" s="327">
        <v>0.89</v>
      </c>
      <c r="Y160" s="327">
        <v>0.95</v>
      </c>
      <c r="Z160" s="327">
        <v>0.97</v>
      </c>
      <c r="AA160" s="327">
        <v>1</v>
      </c>
      <c r="AB160" s="327">
        <v>0.98</v>
      </c>
      <c r="AC160" s="327">
        <v>0.97</v>
      </c>
      <c r="AD160" s="327">
        <v>0.93</v>
      </c>
      <c r="AE160" s="327">
        <v>0.88</v>
      </c>
      <c r="AF160" s="327">
        <v>0.82</v>
      </c>
      <c r="AG160" s="327">
        <v>0.74</v>
      </c>
      <c r="AH160" s="328">
        <v>0.65</v>
      </c>
      <c r="AI160" s="258"/>
      <c r="AJ160" s="5"/>
      <c r="AK160" s="5"/>
      <c r="AL160" s="19"/>
      <c r="AM160" s="19"/>
      <c r="AN160" s="19"/>
      <c r="AO160" s="19"/>
      <c r="AP160" s="19"/>
      <c r="DC160" s="5"/>
      <c r="DD160" s="5"/>
    </row>
    <row r="161" spans="17:108" ht="16.149999999999999" customHeight="1" x14ac:dyDescent="0.2">
      <c r="Q161" s="302"/>
      <c r="R161" s="129"/>
      <c r="S161" s="129"/>
      <c r="T161" s="5"/>
      <c r="U161" s="326">
        <v>40</v>
      </c>
      <c r="V161" s="327">
        <v>0.75</v>
      </c>
      <c r="W161" s="327">
        <v>0.83</v>
      </c>
      <c r="X161" s="327">
        <v>0.89</v>
      </c>
      <c r="Y161" s="327">
        <v>0.93</v>
      </c>
      <c r="Z161" s="327">
        <v>0.96</v>
      </c>
      <c r="AA161" s="327">
        <v>0.98</v>
      </c>
      <c r="AB161" s="327">
        <v>0.97</v>
      </c>
      <c r="AC161" s="327">
        <v>0.96</v>
      </c>
      <c r="AD161" s="327">
        <v>0.93</v>
      </c>
      <c r="AE161" s="327">
        <v>0.87</v>
      </c>
      <c r="AF161" s="327">
        <v>0.83</v>
      </c>
      <c r="AG161" s="327">
        <v>0.76</v>
      </c>
      <c r="AH161" s="328">
        <v>0.67</v>
      </c>
      <c r="AI161" s="258"/>
      <c r="AJ161" s="5"/>
      <c r="AK161" s="5"/>
      <c r="AL161" s="19"/>
      <c r="AM161" s="19"/>
      <c r="AN161" s="19"/>
      <c r="AO161" s="19"/>
      <c r="AP161" s="19"/>
      <c r="DC161" s="5"/>
      <c r="DD161" s="5"/>
    </row>
    <row r="162" spans="17:108" ht="16.149999999999999" customHeight="1" x14ac:dyDescent="0.2">
      <c r="Q162" s="302"/>
      <c r="R162" s="129"/>
      <c r="S162" s="129"/>
      <c r="T162" s="5"/>
      <c r="U162" s="326">
        <v>30</v>
      </c>
      <c r="V162" s="327">
        <v>0.75</v>
      </c>
      <c r="W162" s="327">
        <v>0.82</v>
      </c>
      <c r="X162" s="327">
        <v>0.87</v>
      </c>
      <c r="Y162" s="327">
        <v>0.91</v>
      </c>
      <c r="Z162" s="327">
        <v>0.95</v>
      </c>
      <c r="AA162" s="327">
        <v>0.95</v>
      </c>
      <c r="AB162" s="327">
        <v>0.95</v>
      </c>
      <c r="AC162" s="327">
        <v>0.94</v>
      </c>
      <c r="AD162" s="327">
        <v>0.91</v>
      </c>
      <c r="AE162" s="327">
        <v>0.86</v>
      </c>
      <c r="AF162" s="327">
        <v>0.82</v>
      </c>
      <c r="AG162" s="327">
        <v>0.77</v>
      </c>
      <c r="AH162" s="328">
        <v>0.7</v>
      </c>
      <c r="AI162" s="258"/>
      <c r="AJ162" s="5"/>
      <c r="AK162" s="5"/>
      <c r="AL162" s="19"/>
      <c r="AM162" s="19"/>
      <c r="AN162" s="19"/>
      <c r="AO162" s="19"/>
      <c r="AP162" s="19"/>
      <c r="DC162" s="5"/>
      <c r="DD162" s="5"/>
    </row>
    <row r="163" spans="17:108" ht="16.149999999999999" customHeight="1" x14ac:dyDescent="0.2">
      <c r="Q163" s="302"/>
      <c r="R163" s="129"/>
      <c r="S163" s="129"/>
      <c r="T163" s="5"/>
      <c r="U163" s="326">
        <v>20</v>
      </c>
      <c r="V163" s="327">
        <v>0.75</v>
      </c>
      <c r="W163" s="327">
        <v>0.8</v>
      </c>
      <c r="X163" s="327">
        <v>0.84</v>
      </c>
      <c r="Y163" s="327">
        <v>0.87</v>
      </c>
      <c r="Z163" s="327">
        <v>0.89</v>
      </c>
      <c r="AA163" s="327">
        <v>0.9</v>
      </c>
      <c r="AB163" s="327">
        <v>0.9</v>
      </c>
      <c r="AC163" s="327">
        <v>0.89</v>
      </c>
      <c r="AD163" s="327">
        <v>0.87</v>
      </c>
      <c r="AE163" s="327">
        <v>0.84</v>
      </c>
      <c r="AF163" s="327">
        <v>0.8</v>
      </c>
      <c r="AG163" s="327">
        <v>0.76</v>
      </c>
      <c r="AH163" s="328">
        <v>0.7</v>
      </c>
      <c r="AI163" s="258"/>
      <c r="AJ163" s="5"/>
      <c r="AK163" s="5"/>
      <c r="AL163" s="19"/>
      <c r="AM163" s="19"/>
      <c r="AN163" s="19"/>
      <c r="AO163" s="19"/>
      <c r="AP163" s="19"/>
      <c r="DC163" s="5"/>
      <c r="DD163" s="5"/>
    </row>
    <row r="164" spans="17:108" ht="16.149999999999999" customHeight="1" x14ac:dyDescent="0.2">
      <c r="Q164" s="302"/>
      <c r="R164" s="129"/>
      <c r="S164" s="129"/>
      <c r="T164" s="5"/>
      <c r="U164" s="326">
        <v>10</v>
      </c>
      <c r="V164" s="327">
        <v>0.74</v>
      </c>
      <c r="W164" s="327">
        <v>0.76</v>
      </c>
      <c r="X164" s="327">
        <v>0.79</v>
      </c>
      <c r="Y164" s="327">
        <v>0.8</v>
      </c>
      <c r="Z164" s="327">
        <v>0.82</v>
      </c>
      <c r="AA164" s="327">
        <v>0.82</v>
      </c>
      <c r="AB164" s="327">
        <v>0.82</v>
      </c>
      <c r="AC164" s="327">
        <v>0.82</v>
      </c>
      <c r="AD164" s="327">
        <v>0.8</v>
      </c>
      <c r="AE164" s="327">
        <v>0.79</v>
      </c>
      <c r="AF164" s="327">
        <v>0.77</v>
      </c>
      <c r="AG164" s="327">
        <v>0.75</v>
      </c>
      <c r="AH164" s="328">
        <v>0.71</v>
      </c>
      <c r="AI164" s="258"/>
      <c r="AJ164" s="5"/>
      <c r="AK164" s="5"/>
      <c r="AL164" s="19"/>
      <c r="AM164" s="19"/>
      <c r="AN164" s="19"/>
      <c r="AO164" s="19"/>
      <c r="AP164" s="19"/>
      <c r="DC164" s="5"/>
      <c r="DD164" s="5"/>
    </row>
    <row r="165" spans="17:108" ht="16.149999999999999" customHeight="1" x14ac:dyDescent="0.2">
      <c r="Q165" s="302"/>
      <c r="R165" s="129"/>
      <c r="S165" s="129"/>
      <c r="T165" s="5"/>
      <c r="U165" s="326">
        <v>0</v>
      </c>
      <c r="V165" s="327">
        <v>0.72</v>
      </c>
      <c r="W165" s="327">
        <v>0.72</v>
      </c>
      <c r="X165" s="327">
        <v>0.72</v>
      </c>
      <c r="Y165" s="327">
        <v>0.72</v>
      </c>
      <c r="Z165" s="327">
        <v>0.72</v>
      </c>
      <c r="AA165" s="327">
        <v>0.72</v>
      </c>
      <c r="AB165" s="327">
        <v>0.72</v>
      </c>
      <c r="AC165" s="327">
        <v>0.72</v>
      </c>
      <c r="AD165" s="327">
        <v>0.72</v>
      </c>
      <c r="AE165" s="327">
        <v>0.72</v>
      </c>
      <c r="AF165" s="327">
        <v>0.72</v>
      </c>
      <c r="AG165" s="327">
        <v>0.72</v>
      </c>
      <c r="AH165" s="328">
        <v>0.72</v>
      </c>
      <c r="AI165" s="258"/>
      <c r="AJ165" s="5"/>
      <c r="AK165" s="5"/>
      <c r="AL165" s="19"/>
      <c r="AM165" s="19"/>
      <c r="AN165" s="19"/>
      <c r="AO165" s="19"/>
      <c r="AP165" s="19"/>
      <c r="DC165" s="5"/>
      <c r="DD165" s="5"/>
    </row>
    <row r="166" spans="17:108" ht="16.149999999999999" customHeight="1" x14ac:dyDescent="0.2">
      <c r="Q166" s="302"/>
      <c r="R166" s="129"/>
      <c r="S166" s="129"/>
      <c r="T166" s="5"/>
      <c r="U166" s="276"/>
      <c r="V166" s="258"/>
      <c r="W166" s="258"/>
      <c r="X166" s="258"/>
      <c r="Y166" s="258"/>
      <c r="Z166" s="258"/>
      <c r="AA166" s="258"/>
      <c r="AB166" s="258"/>
      <c r="AC166" s="258"/>
      <c r="AD166" s="258"/>
      <c r="AE166" s="258"/>
      <c r="AF166" s="258"/>
      <c r="AG166" s="258"/>
      <c r="AH166" s="329"/>
      <c r="AI166" s="258"/>
      <c r="AJ166" s="5"/>
      <c r="AK166" s="5"/>
      <c r="AL166" s="19"/>
      <c r="AM166" s="19"/>
      <c r="AN166" s="19"/>
      <c r="AO166" s="19"/>
      <c r="AP166" s="19"/>
      <c r="DC166" s="5"/>
      <c r="DD166" s="5"/>
    </row>
    <row r="167" spans="17:108" ht="16.149999999999999" customHeight="1" x14ac:dyDescent="0.2">
      <c r="Q167" s="302"/>
      <c r="R167" s="129"/>
      <c r="S167" s="129"/>
      <c r="T167" s="5"/>
      <c r="U167" s="330" t="s">
        <v>1206</v>
      </c>
      <c r="V167" s="331" t="s">
        <v>1210</v>
      </c>
      <c r="W167" s="332">
        <v>0.91500000000000004</v>
      </c>
      <c r="X167" s="27"/>
      <c r="Y167" s="27"/>
      <c r="Z167" s="27"/>
      <c r="AA167" s="333"/>
      <c r="AB167" s="333"/>
      <c r="AC167" s="333"/>
      <c r="AD167" s="333"/>
      <c r="AE167" s="333"/>
      <c r="AF167" s="333"/>
      <c r="AG167" s="333"/>
      <c r="AH167" s="334"/>
      <c r="AI167" s="258"/>
      <c r="AJ167" s="5"/>
      <c r="AK167" s="5"/>
      <c r="AL167" s="19"/>
      <c r="AM167" s="19"/>
      <c r="AN167" s="19"/>
      <c r="AO167" s="19"/>
      <c r="AP167" s="19"/>
      <c r="DC167" s="5"/>
      <c r="DD167" s="5"/>
    </row>
    <row r="168" spans="17:108" ht="16.149999999999999" customHeight="1" x14ac:dyDescent="0.2">
      <c r="Q168" s="302"/>
      <c r="R168" s="129"/>
      <c r="S168" s="129"/>
      <c r="T168" s="5"/>
      <c r="U168" s="258"/>
      <c r="V168" s="258"/>
      <c r="W168" s="258"/>
      <c r="X168" s="258"/>
      <c r="Y168" s="258"/>
      <c r="Z168" s="258"/>
      <c r="AA168" s="258"/>
      <c r="AB168" s="258"/>
      <c r="AC168" s="258"/>
      <c r="AD168" s="258"/>
      <c r="AE168" s="258"/>
      <c r="AF168" s="258"/>
      <c r="AG168" s="258"/>
      <c r="AH168" s="258"/>
      <c r="AI168" s="258"/>
      <c r="AJ168" s="5"/>
      <c r="AK168" s="5"/>
      <c r="AL168" s="19"/>
      <c r="AM168" s="19"/>
      <c r="AN168" s="19"/>
      <c r="AO168" s="19"/>
      <c r="AP168" s="19"/>
      <c r="DC168" s="5"/>
      <c r="DD168" s="5"/>
    </row>
    <row r="169" spans="17:108" ht="16.149999999999999" customHeight="1" x14ac:dyDescent="0.2">
      <c r="Q169" s="302"/>
      <c r="R169" s="129"/>
      <c r="S169" s="129"/>
      <c r="T169" s="5"/>
      <c r="U169" s="5"/>
      <c r="V169" s="5"/>
      <c r="W169" s="5"/>
      <c r="X169" s="5"/>
      <c r="Y169" s="5"/>
      <c r="Z169" s="5"/>
      <c r="AA169" s="5"/>
      <c r="AB169" s="5"/>
      <c r="AC169" s="5"/>
      <c r="AD169" s="5"/>
      <c r="AE169" s="5"/>
      <c r="AF169" s="5"/>
      <c r="AG169" s="5"/>
      <c r="AH169" s="5"/>
      <c r="AI169" s="5"/>
      <c r="AJ169" s="5"/>
      <c r="AK169" s="5"/>
      <c r="AL169" s="19"/>
      <c r="AM169" s="19"/>
      <c r="AN169" s="19"/>
      <c r="AO169" s="19"/>
      <c r="AP169" s="19"/>
      <c r="DC169" s="5"/>
      <c r="DD169" s="5"/>
    </row>
    <row r="170" spans="17:108" ht="16.149999999999999" customHeight="1" x14ac:dyDescent="0.25">
      <c r="Q170" s="302"/>
      <c r="R170" s="129"/>
      <c r="S170" s="129"/>
      <c r="T170" s="5"/>
      <c r="U170" s="321" t="s">
        <v>3484</v>
      </c>
      <c r="V170" s="322"/>
      <c r="W170" s="322"/>
      <c r="X170" s="322"/>
      <c r="Y170" s="322"/>
      <c r="Z170" s="322"/>
      <c r="AA170" s="322"/>
      <c r="AB170" s="322"/>
      <c r="AC170" s="344" t="s">
        <v>1207</v>
      </c>
      <c r="AD170" s="345">
        <f>(INDEX(V174:AH183,AB152,Y152)+INDEX(V174:AH183,AB152,Y153))/2/W185</f>
        <v>0.89729729729729724</v>
      </c>
      <c r="AE170" s="322"/>
      <c r="AF170" s="322"/>
      <c r="AG170" s="322"/>
      <c r="AH170" s="323"/>
      <c r="AI170" s="258"/>
      <c r="AJ170" s="5"/>
      <c r="AK170" s="5"/>
      <c r="AL170" s="19"/>
      <c r="AM170" s="19"/>
      <c r="AN170" s="19"/>
      <c r="AO170" s="19"/>
      <c r="AP170" s="19"/>
      <c r="DC170" s="5"/>
      <c r="DD170" s="5"/>
    </row>
    <row r="171" spans="17:108" ht="16.149999999999999" customHeight="1" x14ac:dyDescent="0.2">
      <c r="Q171" s="302"/>
      <c r="R171" s="129"/>
      <c r="S171" s="129"/>
      <c r="T171" s="5"/>
      <c r="U171" s="270"/>
      <c r="V171" s="55"/>
      <c r="W171" s="324"/>
      <c r="X171" s="324"/>
      <c r="Y171" s="324"/>
      <c r="Z171" s="324"/>
      <c r="AA171" s="324" t="s">
        <v>1203</v>
      </c>
      <c r="AB171" s="324"/>
      <c r="AC171" s="324"/>
      <c r="AD171" s="324"/>
      <c r="AE171" s="324"/>
      <c r="AF171" s="324"/>
      <c r="AG171" s="324"/>
      <c r="AH171" s="325"/>
      <c r="AI171" s="258"/>
      <c r="AJ171" s="5"/>
      <c r="AK171" s="5"/>
      <c r="AL171" s="19"/>
      <c r="AM171" s="19"/>
      <c r="AN171" s="19"/>
      <c r="AO171" s="19"/>
      <c r="AP171" s="19"/>
      <c r="DC171" s="5"/>
      <c r="DD171" s="5"/>
    </row>
    <row r="172" spans="17:108" ht="16.149999999999999" customHeight="1" x14ac:dyDescent="0.2">
      <c r="Q172" s="302"/>
      <c r="R172" s="129"/>
      <c r="S172" s="129"/>
      <c r="T172" s="5"/>
      <c r="U172" s="270"/>
      <c r="V172" s="324" t="s">
        <v>1204</v>
      </c>
      <c r="W172" s="324"/>
      <c r="X172" s="324"/>
      <c r="Y172" s="55"/>
      <c r="Z172" s="324"/>
      <c r="AA172" s="324"/>
      <c r="AB172" s="324"/>
      <c r="AC172" s="324"/>
      <c r="AD172" s="324"/>
      <c r="AE172" s="324"/>
      <c r="AF172" s="324"/>
      <c r="AG172" s="324"/>
      <c r="AH172" s="325" t="s">
        <v>1205</v>
      </c>
      <c r="AI172" s="258"/>
      <c r="AJ172" s="5"/>
      <c r="AK172" s="5"/>
      <c r="AL172" s="19"/>
      <c r="AM172" s="19"/>
      <c r="AN172" s="19"/>
      <c r="AO172" s="19"/>
      <c r="AP172" s="19"/>
      <c r="DC172" s="5"/>
      <c r="DD172" s="5"/>
    </row>
    <row r="173" spans="17:108" ht="16.149999999999999" customHeight="1" x14ac:dyDescent="0.2">
      <c r="R173" s="129"/>
      <c r="S173" s="129"/>
      <c r="T173" s="5"/>
      <c r="U173" s="326" t="s">
        <v>1209</v>
      </c>
      <c r="V173" s="324">
        <v>-90</v>
      </c>
      <c r="W173" s="324">
        <v>-75</v>
      </c>
      <c r="X173" s="324">
        <v>-60</v>
      </c>
      <c r="Y173" s="324">
        <v>-45</v>
      </c>
      <c r="Z173" s="324">
        <v>-30</v>
      </c>
      <c r="AA173" s="324">
        <v>-15</v>
      </c>
      <c r="AB173" s="324">
        <v>0</v>
      </c>
      <c r="AC173" s="324">
        <v>15</v>
      </c>
      <c r="AD173" s="324">
        <v>30</v>
      </c>
      <c r="AE173" s="324">
        <v>45</v>
      </c>
      <c r="AF173" s="324">
        <v>60</v>
      </c>
      <c r="AG173" s="324">
        <v>75</v>
      </c>
      <c r="AH173" s="325">
        <v>90</v>
      </c>
      <c r="AI173" s="258"/>
      <c r="AJ173" s="5"/>
      <c r="AK173" s="5"/>
      <c r="AL173" s="19"/>
      <c r="AM173" s="19"/>
      <c r="AN173" s="19"/>
      <c r="AO173" s="19"/>
      <c r="AP173" s="19"/>
      <c r="DC173" s="5"/>
      <c r="DD173" s="5"/>
    </row>
    <row r="174" spans="17:108" ht="16.149999999999999" customHeight="1" x14ac:dyDescent="0.2">
      <c r="R174" s="129"/>
      <c r="S174" s="129"/>
      <c r="T174" s="5"/>
      <c r="U174" s="326">
        <v>90</v>
      </c>
      <c r="V174" s="327">
        <v>0.64</v>
      </c>
      <c r="W174" s="327">
        <v>0.7</v>
      </c>
      <c r="X174" s="327">
        <v>0.74</v>
      </c>
      <c r="Y174" s="327">
        <v>0.77</v>
      </c>
      <c r="Z174" s="327">
        <v>0.78</v>
      </c>
      <c r="AA174" s="327">
        <v>0.78</v>
      </c>
      <c r="AB174" s="327">
        <v>0.77</v>
      </c>
      <c r="AC174" s="327">
        <v>0.75</v>
      </c>
      <c r="AD174" s="327">
        <v>0.73</v>
      </c>
      <c r="AE174" s="327">
        <v>0.7</v>
      </c>
      <c r="AF174" s="327">
        <v>0.66</v>
      </c>
      <c r="AG174" s="327">
        <v>0.61</v>
      </c>
      <c r="AH174" s="328">
        <v>0.55000000000000004</v>
      </c>
      <c r="AI174" s="258"/>
      <c r="AJ174" s="5"/>
      <c r="AK174" s="5"/>
      <c r="AL174" s="19"/>
      <c r="AM174" s="19"/>
      <c r="AN174" s="19"/>
      <c r="AO174" s="19"/>
      <c r="AP174" s="19"/>
      <c r="DC174" s="5"/>
      <c r="DD174" s="5"/>
    </row>
    <row r="175" spans="17:108" ht="16.149999999999999" customHeight="1" x14ac:dyDescent="0.2">
      <c r="R175" s="129"/>
      <c r="S175" s="129"/>
      <c r="T175" s="5"/>
      <c r="U175" s="326">
        <v>80</v>
      </c>
      <c r="V175" s="327">
        <v>0.69</v>
      </c>
      <c r="W175" s="327">
        <v>0.75</v>
      </c>
      <c r="X175" s="327">
        <v>0.8</v>
      </c>
      <c r="Y175" s="327">
        <v>0.83</v>
      </c>
      <c r="Z175" s="327">
        <v>0.85</v>
      </c>
      <c r="AA175" s="327">
        <v>0.85</v>
      </c>
      <c r="AB175" s="327">
        <v>0.85</v>
      </c>
      <c r="AC175" s="327">
        <v>0.83</v>
      </c>
      <c r="AD175" s="327">
        <v>0.8</v>
      </c>
      <c r="AE175" s="327">
        <v>0.76</v>
      </c>
      <c r="AF175" s="327">
        <v>0.72</v>
      </c>
      <c r="AG175" s="327">
        <v>0.67</v>
      </c>
      <c r="AH175" s="328">
        <v>0.6</v>
      </c>
      <c r="AI175" s="258"/>
      <c r="AJ175" s="5"/>
      <c r="AK175" s="5"/>
      <c r="AL175" s="19"/>
      <c r="AM175" s="19"/>
      <c r="AN175" s="19"/>
      <c r="AO175" s="19"/>
      <c r="AP175" s="19"/>
      <c r="DC175" s="5"/>
      <c r="DD175" s="5"/>
    </row>
    <row r="176" spans="17:108" ht="16.149999999999999" customHeight="1" x14ac:dyDescent="0.2">
      <c r="R176" s="129"/>
      <c r="S176" s="129"/>
      <c r="T176" s="5"/>
      <c r="U176" s="326">
        <v>70</v>
      </c>
      <c r="V176" s="327">
        <v>0.73</v>
      </c>
      <c r="W176" s="327">
        <v>0.8</v>
      </c>
      <c r="X176" s="327">
        <v>0.85</v>
      </c>
      <c r="Y176" s="327">
        <v>0.89</v>
      </c>
      <c r="Z176" s="327">
        <v>0.91</v>
      </c>
      <c r="AA176" s="327">
        <v>0.92</v>
      </c>
      <c r="AB176" s="327">
        <v>0.91</v>
      </c>
      <c r="AC176" s="327">
        <v>0.9</v>
      </c>
      <c r="AD176" s="327">
        <v>0.87</v>
      </c>
      <c r="AE176" s="327">
        <v>0.83</v>
      </c>
      <c r="AF176" s="327">
        <v>0.78</v>
      </c>
      <c r="AG176" s="327">
        <v>0.71</v>
      </c>
      <c r="AH176" s="328">
        <v>0.65</v>
      </c>
      <c r="AI176" s="258"/>
      <c r="AJ176" s="5"/>
      <c r="AK176" s="5"/>
      <c r="AL176" s="19"/>
      <c r="AM176" s="19"/>
      <c r="AN176" s="19"/>
      <c r="AO176" s="19"/>
      <c r="AP176" s="19"/>
      <c r="DC176" s="5"/>
      <c r="DD176" s="5"/>
    </row>
    <row r="177" spans="18:108" ht="16.149999999999999" customHeight="1" x14ac:dyDescent="0.2">
      <c r="R177" s="129"/>
      <c r="S177" s="129"/>
      <c r="T177" s="302"/>
      <c r="U177" s="326">
        <v>60</v>
      </c>
      <c r="V177" s="327">
        <v>0.76</v>
      </c>
      <c r="W177" s="327">
        <v>0.83</v>
      </c>
      <c r="X177" s="327">
        <v>0.88</v>
      </c>
      <c r="Y177" s="327">
        <v>0.93</v>
      </c>
      <c r="Z177" s="327">
        <v>0.95</v>
      </c>
      <c r="AA177" s="327">
        <v>0.95</v>
      </c>
      <c r="AB177" s="327">
        <v>0.95</v>
      </c>
      <c r="AC177" s="327">
        <v>0.95</v>
      </c>
      <c r="AD177" s="327">
        <v>0.92</v>
      </c>
      <c r="AE177" s="327">
        <v>0.87</v>
      </c>
      <c r="AF177" s="327">
        <v>0.82</v>
      </c>
      <c r="AG177" s="327">
        <v>0.75</v>
      </c>
      <c r="AH177" s="328">
        <v>0.69</v>
      </c>
      <c r="AI177" s="258"/>
      <c r="AJ177" s="5"/>
      <c r="AK177" s="5"/>
      <c r="AL177" s="19"/>
      <c r="AM177" s="19"/>
      <c r="AN177" s="19"/>
      <c r="AO177" s="19"/>
      <c r="AP177" s="19"/>
      <c r="DC177" s="5"/>
      <c r="DD177" s="5"/>
    </row>
    <row r="178" spans="18:108" ht="16.149999999999999" customHeight="1" x14ac:dyDescent="0.2">
      <c r="R178" s="129"/>
      <c r="S178" s="129"/>
      <c r="T178" s="302"/>
      <c r="U178" s="326">
        <v>50</v>
      </c>
      <c r="V178" s="327">
        <v>0.79</v>
      </c>
      <c r="W178" s="327">
        <v>0.85</v>
      </c>
      <c r="X178" s="327">
        <v>0.9</v>
      </c>
      <c r="Y178" s="327">
        <v>0.95</v>
      </c>
      <c r="Z178" s="327">
        <v>0.96</v>
      </c>
      <c r="AA178" s="327">
        <v>0.97</v>
      </c>
      <c r="AB178" s="327">
        <v>0.97</v>
      </c>
      <c r="AC178" s="327">
        <v>0.96</v>
      </c>
      <c r="AD178" s="327">
        <v>0.95</v>
      </c>
      <c r="AE178" s="327">
        <v>0.9</v>
      </c>
      <c r="AF178" s="327">
        <v>0.85</v>
      </c>
      <c r="AG178" s="327">
        <v>0.79</v>
      </c>
      <c r="AH178" s="328">
        <v>0.72</v>
      </c>
      <c r="AI178" s="258"/>
      <c r="AJ178" s="5"/>
      <c r="AK178" s="5"/>
      <c r="AL178" s="19"/>
      <c r="AM178" s="19"/>
      <c r="AN178" s="19"/>
      <c r="AO178" s="19"/>
      <c r="AP178" s="19"/>
      <c r="DC178" s="5"/>
      <c r="DD178" s="5"/>
    </row>
    <row r="179" spans="18:108" ht="16.149999999999999" customHeight="1" x14ac:dyDescent="0.2">
      <c r="R179" s="129"/>
      <c r="S179" s="129"/>
      <c r="T179" s="302"/>
      <c r="U179" s="326">
        <v>40</v>
      </c>
      <c r="V179" s="327">
        <v>0.81</v>
      </c>
      <c r="W179" s="327">
        <v>0.86</v>
      </c>
      <c r="X179" s="327">
        <v>0.91</v>
      </c>
      <c r="Y179" s="327">
        <v>0.95</v>
      </c>
      <c r="Z179" s="327">
        <v>0.96</v>
      </c>
      <c r="AA179" s="327">
        <v>0.99</v>
      </c>
      <c r="AB179" s="327">
        <v>0.99</v>
      </c>
      <c r="AC179" s="327">
        <v>0.97</v>
      </c>
      <c r="AD179" s="327">
        <v>0.95</v>
      </c>
      <c r="AE179" s="327">
        <v>0.92</v>
      </c>
      <c r="AF179" s="327">
        <v>0.87</v>
      </c>
      <c r="AG179" s="327">
        <v>0.81</v>
      </c>
      <c r="AH179" s="328">
        <v>0.75</v>
      </c>
      <c r="AI179" s="258"/>
      <c r="AJ179" s="5"/>
      <c r="AK179" s="5"/>
      <c r="AL179" s="19"/>
      <c r="AM179" s="19"/>
      <c r="AN179" s="19"/>
      <c r="AO179" s="19"/>
      <c r="AP179" s="19"/>
      <c r="DC179" s="5"/>
      <c r="DD179" s="5"/>
    </row>
    <row r="180" spans="18:108" ht="16.149999999999999" customHeight="1" x14ac:dyDescent="0.2">
      <c r="R180" s="129"/>
      <c r="S180" s="129"/>
      <c r="T180" s="302"/>
      <c r="U180" s="326">
        <v>30</v>
      </c>
      <c r="V180" s="327">
        <v>0.82</v>
      </c>
      <c r="W180" s="327">
        <v>0.86</v>
      </c>
      <c r="X180" s="327">
        <v>0.91</v>
      </c>
      <c r="Y180" s="327">
        <v>0.95</v>
      </c>
      <c r="Z180" s="327">
        <v>0.95</v>
      </c>
      <c r="AA180" s="327">
        <v>0.97</v>
      </c>
      <c r="AB180" s="327">
        <v>0.97</v>
      </c>
      <c r="AC180" s="327">
        <v>0.96</v>
      </c>
      <c r="AD180" s="327">
        <v>0.95</v>
      </c>
      <c r="AE180" s="327">
        <v>0.91</v>
      </c>
      <c r="AF180" s="327">
        <v>0.87</v>
      </c>
      <c r="AG180" s="327">
        <v>0.82</v>
      </c>
      <c r="AH180" s="328">
        <v>0.76</v>
      </c>
      <c r="AI180" s="258"/>
      <c r="AJ180" s="5"/>
      <c r="AK180" s="5"/>
      <c r="AL180" s="19"/>
      <c r="AM180" s="19"/>
      <c r="AN180" s="19"/>
      <c r="AO180" s="19"/>
      <c r="AP180" s="19"/>
      <c r="DC180" s="5"/>
      <c r="DD180" s="5"/>
    </row>
    <row r="181" spans="18:108" ht="16.149999999999999" customHeight="1" x14ac:dyDescent="0.2">
      <c r="R181" s="129"/>
      <c r="S181" s="129"/>
      <c r="T181" s="302"/>
      <c r="U181" s="326">
        <v>20</v>
      </c>
      <c r="V181" s="327">
        <v>0.82</v>
      </c>
      <c r="W181" s="327">
        <v>0.85</v>
      </c>
      <c r="X181" s="327">
        <v>0.89</v>
      </c>
      <c r="Y181" s="327">
        <v>0.91</v>
      </c>
      <c r="Z181" s="327">
        <v>0.93</v>
      </c>
      <c r="AA181" s="327">
        <v>0.94</v>
      </c>
      <c r="AB181" s="327">
        <v>0.94</v>
      </c>
      <c r="AC181" s="327">
        <v>0.93</v>
      </c>
      <c r="AD181" s="327">
        <v>0.92</v>
      </c>
      <c r="AE181" s="327">
        <v>0.89</v>
      </c>
      <c r="AF181" s="327">
        <v>0.86</v>
      </c>
      <c r="AG181" s="327">
        <v>0.82</v>
      </c>
      <c r="AH181" s="328">
        <v>0.78</v>
      </c>
      <c r="AI181" s="258"/>
      <c r="AJ181" s="5"/>
      <c r="AK181" s="5"/>
      <c r="AL181" s="19"/>
      <c r="AM181" s="19"/>
      <c r="AN181" s="19"/>
      <c r="AO181" s="19"/>
      <c r="AP181" s="19"/>
      <c r="DC181" s="5"/>
      <c r="DD181" s="5"/>
    </row>
    <row r="182" spans="18:108" ht="16.149999999999999" customHeight="1" x14ac:dyDescent="0.2">
      <c r="R182" s="129"/>
      <c r="S182" s="129"/>
      <c r="T182" s="302"/>
      <c r="U182" s="326">
        <v>10</v>
      </c>
      <c r="V182" s="327">
        <v>0.82</v>
      </c>
      <c r="W182" s="327">
        <v>0.84</v>
      </c>
      <c r="X182" s="327">
        <v>0.85</v>
      </c>
      <c r="Y182" s="327">
        <v>0.87</v>
      </c>
      <c r="Z182" s="327">
        <v>0.87</v>
      </c>
      <c r="AA182" s="327">
        <v>0.89</v>
      </c>
      <c r="AB182" s="327">
        <v>0.89</v>
      </c>
      <c r="AC182" s="327">
        <v>0.88</v>
      </c>
      <c r="AD182" s="327">
        <v>0.87</v>
      </c>
      <c r="AE182" s="327">
        <v>0.85</v>
      </c>
      <c r="AF182" s="327">
        <v>0.84</v>
      </c>
      <c r="AG182" s="327">
        <v>0.83</v>
      </c>
      <c r="AH182" s="328">
        <v>0.8</v>
      </c>
      <c r="AI182" s="258"/>
      <c r="AJ182" s="5"/>
      <c r="AK182" s="5"/>
      <c r="AL182" s="19"/>
      <c r="AM182" s="19"/>
      <c r="AN182" s="19"/>
      <c r="AO182" s="19"/>
      <c r="AP182" s="19"/>
      <c r="DC182" s="5"/>
      <c r="DD182" s="5"/>
    </row>
    <row r="183" spans="18:108" ht="16.149999999999999" customHeight="1" x14ac:dyDescent="0.2">
      <c r="R183" s="129"/>
      <c r="S183" s="129"/>
      <c r="T183" s="302"/>
      <c r="U183" s="326">
        <v>0</v>
      </c>
      <c r="V183" s="327">
        <v>0.83</v>
      </c>
      <c r="W183" s="327">
        <v>0.83</v>
      </c>
      <c r="X183" s="327">
        <v>0.83</v>
      </c>
      <c r="Y183" s="327">
        <v>0.83</v>
      </c>
      <c r="Z183" s="327">
        <v>0.83</v>
      </c>
      <c r="AA183" s="327">
        <v>0.83</v>
      </c>
      <c r="AB183" s="327">
        <v>0.83</v>
      </c>
      <c r="AC183" s="327">
        <v>0.83</v>
      </c>
      <c r="AD183" s="327">
        <v>0.83</v>
      </c>
      <c r="AE183" s="327">
        <v>0.83</v>
      </c>
      <c r="AF183" s="327">
        <v>0.83</v>
      </c>
      <c r="AG183" s="327">
        <v>0.83</v>
      </c>
      <c r="AH183" s="328">
        <v>0.83</v>
      </c>
      <c r="AI183" s="258"/>
      <c r="AJ183" s="5"/>
      <c r="AK183" s="5"/>
      <c r="AL183" s="19"/>
      <c r="AM183" s="19"/>
      <c r="AN183" s="19"/>
      <c r="AO183" s="19"/>
      <c r="AP183" s="19"/>
      <c r="DC183" s="5"/>
      <c r="DD183" s="5"/>
    </row>
    <row r="184" spans="18:108" ht="16.149999999999999" customHeight="1" x14ac:dyDescent="0.25">
      <c r="R184" s="129"/>
      <c r="S184" s="129"/>
      <c r="T184" s="302"/>
      <c r="U184" s="335"/>
      <c r="V184" s="251"/>
      <c r="W184" s="320"/>
      <c r="X184" s="320"/>
      <c r="Y184" s="320"/>
      <c r="Z184" s="320"/>
      <c r="AA184" s="320"/>
      <c r="AB184" s="320"/>
      <c r="AC184" s="320"/>
      <c r="AD184" s="320"/>
      <c r="AE184" s="320"/>
      <c r="AF184" s="320"/>
      <c r="AG184" s="320"/>
      <c r="AH184" s="336"/>
      <c r="AI184" s="320"/>
      <c r="AJ184" s="5"/>
      <c r="AK184" s="5"/>
      <c r="AL184" s="19"/>
      <c r="AM184" s="19"/>
      <c r="AN184" s="19"/>
      <c r="AO184" s="19"/>
      <c r="AP184" s="19"/>
      <c r="DC184" s="5"/>
      <c r="DD184" s="5"/>
    </row>
    <row r="185" spans="18:108" ht="16.149999999999999" customHeight="1" x14ac:dyDescent="0.25">
      <c r="R185" s="129"/>
      <c r="S185" s="129"/>
      <c r="T185" s="302"/>
      <c r="U185" s="330" t="s">
        <v>1206</v>
      </c>
      <c r="V185" s="331" t="s">
        <v>1210</v>
      </c>
      <c r="W185" s="332">
        <v>0.92500000000000004</v>
      </c>
      <c r="X185" s="27"/>
      <c r="Y185" s="27"/>
      <c r="Z185" s="27"/>
      <c r="AA185" s="27"/>
      <c r="AB185" s="337"/>
      <c r="AC185" s="337"/>
      <c r="AD185" s="337"/>
      <c r="AE185" s="337"/>
      <c r="AF185" s="337"/>
      <c r="AG185" s="337"/>
      <c r="AH185" s="338"/>
      <c r="AI185" s="320"/>
      <c r="AJ185" s="5"/>
      <c r="AK185" s="5"/>
      <c r="AL185" s="19"/>
      <c r="AM185" s="19"/>
      <c r="AN185" s="19"/>
      <c r="AO185" s="19"/>
      <c r="AP185" s="19"/>
      <c r="DC185" s="5"/>
      <c r="DD185" s="5"/>
    </row>
    <row r="186" spans="18:108" ht="16.149999999999999" customHeight="1" x14ac:dyDescent="0.2">
      <c r="R186" s="129"/>
      <c r="S186" s="129"/>
      <c r="T186" s="302"/>
      <c r="U186" s="5"/>
      <c r="V186" s="5"/>
      <c r="W186" s="5"/>
      <c r="X186" s="5"/>
      <c r="Y186" s="5"/>
      <c r="Z186" s="5"/>
      <c r="AA186" s="258"/>
      <c r="AB186" s="258"/>
      <c r="AC186" s="258"/>
      <c r="AD186" s="258"/>
      <c r="AE186" s="258"/>
      <c r="AF186" s="258"/>
      <c r="AG186" s="258"/>
      <c r="AH186" s="258"/>
      <c r="AI186" s="258"/>
      <c r="AJ186" s="5"/>
      <c r="AK186" s="5"/>
      <c r="AL186" s="19"/>
      <c r="AM186" s="19"/>
      <c r="AN186" s="19"/>
      <c r="AO186" s="19"/>
      <c r="AP186" s="19"/>
      <c r="DC186" s="5"/>
      <c r="DD186" s="5"/>
    </row>
    <row r="187" spans="18:108" ht="16.149999999999999" customHeight="1" x14ac:dyDescent="0.2">
      <c r="R187" s="129"/>
      <c r="S187" s="129"/>
      <c r="T187" s="302"/>
      <c r="U187" s="302"/>
      <c r="V187" s="302"/>
      <c r="W187" s="5"/>
      <c r="X187" s="5"/>
      <c r="Y187" s="5"/>
      <c r="Z187" s="5"/>
      <c r="AA187" s="5"/>
      <c r="AB187" s="5"/>
      <c r="AC187" s="5"/>
      <c r="AD187" s="5"/>
      <c r="AE187" s="5"/>
      <c r="AF187" s="5"/>
      <c r="AG187" s="5"/>
      <c r="AH187" s="5"/>
      <c r="AI187" s="5"/>
      <c r="AJ187" s="5"/>
      <c r="AK187" s="5"/>
      <c r="AL187" s="19"/>
      <c r="AM187" s="19"/>
      <c r="AN187" s="19"/>
      <c r="AO187" s="19"/>
      <c r="AP187" s="19"/>
      <c r="DC187" s="5"/>
      <c r="DD187" s="5"/>
    </row>
    <row r="188" spans="18:108" ht="16.149999999999999" customHeight="1" x14ac:dyDescent="0.2">
      <c r="R188" s="129"/>
      <c r="S188" s="129"/>
      <c r="T188" s="302"/>
      <c r="U188" s="302"/>
      <c r="V188" s="302"/>
      <c r="W188" s="5"/>
      <c r="X188" s="5"/>
      <c r="Y188" s="5"/>
      <c r="Z188" s="5"/>
      <c r="AA188" s="5"/>
      <c r="AB188" s="5"/>
      <c r="AC188" s="5"/>
      <c r="AD188" s="5"/>
      <c r="AE188" s="5"/>
      <c r="AF188" s="5"/>
      <c r="AG188" s="5"/>
      <c r="AH188" s="5"/>
      <c r="AI188" s="5"/>
      <c r="AJ188" s="5"/>
      <c r="AK188" s="5"/>
      <c r="AL188" s="19"/>
      <c r="AM188" s="19"/>
      <c r="AN188" s="19"/>
      <c r="AO188" s="19"/>
      <c r="AP188" s="19"/>
      <c r="DC188" s="5"/>
      <c r="DD188" s="5"/>
    </row>
    <row r="189" spans="18:108" ht="16.149999999999999" customHeight="1" x14ac:dyDescent="0.2">
      <c r="R189" s="129"/>
      <c r="S189" s="129"/>
      <c r="T189" s="302"/>
      <c r="U189" s="302"/>
      <c r="V189" s="302"/>
      <c r="W189" s="5"/>
      <c r="X189" s="5"/>
      <c r="Y189" s="5"/>
      <c r="Z189" s="5"/>
      <c r="AA189" s="5"/>
      <c r="AB189" s="5"/>
      <c r="AC189" s="5"/>
      <c r="AD189" s="5"/>
      <c r="AE189" s="5"/>
      <c r="AF189" s="5"/>
      <c r="AG189" s="5"/>
      <c r="AH189" s="5"/>
      <c r="AI189" s="5"/>
      <c r="AJ189" s="5"/>
      <c r="AK189" s="5"/>
      <c r="AL189" s="19"/>
      <c r="AM189" s="19"/>
      <c r="AN189" s="19"/>
      <c r="AO189" s="19"/>
      <c r="AP189" s="19"/>
      <c r="DC189" s="5"/>
      <c r="DD189" s="5"/>
    </row>
    <row r="190" spans="18:108" ht="16.149999999999999" customHeight="1" x14ac:dyDescent="0.2">
      <c r="R190" s="129"/>
      <c r="S190" s="129"/>
      <c r="T190" s="302"/>
      <c r="U190" s="302"/>
      <c r="V190" s="302"/>
      <c r="W190" s="5"/>
      <c r="X190" s="5"/>
      <c r="Y190" s="5"/>
      <c r="Z190" s="5"/>
      <c r="AA190" s="5"/>
      <c r="AB190" s="5"/>
      <c r="AC190" s="5"/>
      <c r="AD190" s="5"/>
      <c r="AE190" s="5"/>
      <c r="AF190" s="5"/>
      <c r="AG190" s="5"/>
      <c r="AH190" s="5"/>
      <c r="AI190" s="5"/>
      <c r="AJ190" s="5"/>
      <c r="AK190" s="5"/>
      <c r="AL190" s="19"/>
      <c r="AM190" s="19"/>
      <c r="AN190" s="19"/>
      <c r="AO190" s="19"/>
      <c r="AP190" s="19"/>
      <c r="DC190" s="5"/>
      <c r="DD190" s="5"/>
    </row>
    <row r="191" spans="18:108" ht="16.149999999999999" customHeight="1" x14ac:dyDescent="0.2">
      <c r="R191" s="129"/>
      <c r="S191" s="129"/>
      <c r="T191" s="302"/>
      <c r="U191" s="302"/>
      <c r="V191" s="302"/>
      <c r="W191" s="5"/>
      <c r="X191" s="5"/>
      <c r="Y191" s="5"/>
      <c r="Z191" s="5"/>
      <c r="AA191" s="5"/>
      <c r="AB191" s="5"/>
      <c r="AC191" s="5"/>
      <c r="AD191" s="5"/>
      <c r="AE191" s="5"/>
      <c r="AF191" s="5"/>
      <c r="AG191" s="5"/>
      <c r="AH191" s="5"/>
      <c r="AI191" s="5"/>
      <c r="AJ191" s="5"/>
      <c r="AK191" s="5"/>
      <c r="AL191" s="19"/>
      <c r="AM191" s="19"/>
      <c r="AN191" s="19"/>
      <c r="AO191" s="19"/>
      <c r="AP191" s="19"/>
      <c r="DC191" s="5"/>
      <c r="DD191" s="5"/>
    </row>
    <row r="192" spans="18:108" ht="16.149999999999999" customHeight="1" x14ac:dyDescent="0.2">
      <c r="R192" s="129"/>
      <c r="S192" s="129"/>
      <c r="T192" s="302"/>
      <c r="U192" s="302"/>
      <c r="V192" s="302"/>
      <c r="W192" s="5"/>
      <c r="X192" s="5"/>
      <c r="Y192" s="5"/>
      <c r="Z192" s="5"/>
      <c r="AA192" s="5"/>
      <c r="AB192" s="5"/>
      <c r="AC192" s="5"/>
      <c r="AD192" s="5"/>
      <c r="AE192" s="5"/>
      <c r="AF192" s="5"/>
      <c r="AG192" s="5"/>
      <c r="AH192" s="5"/>
      <c r="AI192" s="5"/>
      <c r="AJ192" s="5"/>
      <c r="AK192" s="5"/>
      <c r="AL192" s="19"/>
      <c r="AM192" s="19"/>
      <c r="AN192" s="19"/>
      <c r="AO192" s="19"/>
      <c r="AP192" s="19"/>
      <c r="DC192" s="5"/>
      <c r="DD192" s="5"/>
    </row>
    <row r="193" spans="18:108" ht="16.149999999999999" customHeight="1" x14ac:dyDescent="0.2">
      <c r="R193" s="129"/>
      <c r="S193" s="129"/>
      <c r="T193" s="302"/>
      <c r="U193" s="302"/>
      <c r="V193" s="302"/>
      <c r="W193" s="5"/>
      <c r="X193" s="5"/>
      <c r="Y193" s="5"/>
      <c r="Z193" s="5"/>
      <c r="AA193" s="5"/>
      <c r="AB193" s="5"/>
      <c r="AC193" s="5"/>
      <c r="AD193" s="5"/>
      <c r="AE193" s="5"/>
      <c r="AF193" s="5"/>
      <c r="AG193" s="5"/>
      <c r="AH193" s="5"/>
      <c r="AI193" s="5"/>
      <c r="AJ193" s="5"/>
      <c r="AK193" s="5"/>
      <c r="AL193" s="19"/>
      <c r="AM193" s="19"/>
      <c r="AN193" s="19"/>
      <c r="AO193" s="19"/>
      <c r="AP193" s="19"/>
      <c r="DC193" s="5"/>
      <c r="DD193" s="5"/>
    </row>
    <row r="194" spans="18:108" ht="16.149999999999999" customHeight="1" x14ac:dyDescent="0.2">
      <c r="R194" s="129"/>
      <c r="S194" s="129"/>
      <c r="T194" s="302"/>
      <c r="U194" s="302"/>
      <c r="V194" s="302"/>
      <c r="W194" s="5"/>
      <c r="X194" s="5"/>
      <c r="Y194" s="5"/>
      <c r="Z194" s="5"/>
      <c r="AA194" s="5"/>
      <c r="AB194" s="5"/>
      <c r="AC194" s="5"/>
      <c r="AD194" s="5"/>
      <c r="AE194" s="5"/>
      <c r="AF194" s="5"/>
      <c r="AG194" s="5"/>
      <c r="AH194" s="5"/>
      <c r="AI194" s="5"/>
      <c r="AJ194" s="5"/>
      <c r="AK194" s="5"/>
      <c r="AL194" s="19"/>
      <c r="AM194" s="19"/>
      <c r="AN194" s="19"/>
      <c r="AO194" s="19"/>
      <c r="AP194" s="19"/>
      <c r="DC194" s="5"/>
      <c r="DD194" s="5"/>
    </row>
    <row r="195" spans="18:108" ht="16.149999999999999" customHeight="1" x14ac:dyDescent="0.2">
      <c r="R195" s="129"/>
      <c r="S195" s="129"/>
      <c r="T195" s="302"/>
      <c r="U195" s="302"/>
      <c r="V195" s="302"/>
      <c r="W195" s="5"/>
      <c r="X195" s="5"/>
      <c r="Y195" s="5"/>
      <c r="Z195" s="5"/>
      <c r="AA195" s="5"/>
      <c r="AB195" s="5"/>
      <c r="AC195" s="5"/>
      <c r="AD195" s="5"/>
      <c r="AE195" s="5"/>
      <c r="AF195" s="5"/>
      <c r="AG195" s="5"/>
      <c r="AH195" s="5"/>
      <c r="AI195" s="5"/>
      <c r="AJ195" s="5"/>
      <c r="AK195" s="5"/>
      <c r="AL195" s="19"/>
      <c r="AM195" s="19"/>
      <c r="AN195" s="19"/>
      <c r="AO195" s="19"/>
      <c r="AP195" s="19"/>
      <c r="DC195" s="5"/>
      <c r="DD195" s="5"/>
    </row>
    <row r="196" spans="18:108" ht="16.149999999999999" customHeight="1" x14ac:dyDescent="0.2">
      <c r="R196" s="129"/>
      <c r="S196" s="129"/>
      <c r="T196" s="302"/>
      <c r="U196" s="302"/>
      <c r="V196" s="302"/>
      <c r="W196" s="5"/>
      <c r="X196" s="5"/>
      <c r="Y196" s="5"/>
      <c r="Z196" s="5"/>
      <c r="AA196" s="5"/>
      <c r="AB196" s="5"/>
      <c r="AC196" s="5"/>
      <c r="AD196" s="5"/>
      <c r="AE196" s="5"/>
      <c r="AF196" s="5"/>
      <c r="AG196" s="5"/>
      <c r="AH196" s="5"/>
      <c r="AI196" s="5"/>
      <c r="AJ196" s="5"/>
      <c r="AK196" s="5"/>
      <c r="AL196" s="19"/>
      <c r="AM196" s="19"/>
      <c r="AN196" s="19"/>
      <c r="AO196" s="19"/>
      <c r="AP196" s="19"/>
      <c r="DC196" s="5"/>
      <c r="DD196" s="5"/>
    </row>
    <row r="197" spans="18:108" ht="16.149999999999999" customHeight="1" x14ac:dyDescent="0.2">
      <c r="R197" s="129"/>
      <c r="S197" s="129"/>
      <c r="T197" s="302"/>
      <c r="U197" s="302"/>
      <c r="V197" s="302"/>
      <c r="W197" s="5"/>
      <c r="X197" s="5"/>
      <c r="Y197" s="5"/>
      <c r="Z197" s="5"/>
      <c r="AA197" s="5"/>
      <c r="AB197" s="5"/>
      <c r="AC197" s="5"/>
      <c r="AD197" s="5"/>
      <c r="AE197" s="5"/>
      <c r="AF197" s="5"/>
      <c r="AG197" s="5"/>
      <c r="AH197" s="5"/>
      <c r="AI197" s="5"/>
      <c r="AJ197" s="5"/>
      <c r="AK197" s="5"/>
      <c r="AL197" s="19"/>
      <c r="AM197" s="19"/>
      <c r="AN197" s="19"/>
      <c r="AO197" s="19"/>
      <c r="AP197" s="19"/>
      <c r="DC197" s="5"/>
      <c r="DD197" s="5"/>
    </row>
    <row r="198" spans="18:108" ht="16.149999999999999" customHeight="1" x14ac:dyDescent="0.2">
      <c r="R198" s="129"/>
      <c r="S198" s="129"/>
      <c r="T198" s="302"/>
      <c r="U198" s="302"/>
      <c r="V198" s="302"/>
      <c r="W198" s="5"/>
      <c r="X198" s="5"/>
      <c r="Y198" s="5"/>
      <c r="Z198" s="5"/>
      <c r="AA198" s="5"/>
      <c r="AB198" s="5"/>
      <c r="AC198" s="5"/>
      <c r="AD198" s="5"/>
      <c r="AE198" s="5"/>
      <c r="AF198" s="5"/>
      <c r="AG198" s="5"/>
      <c r="AH198" s="5"/>
      <c r="AI198" s="5"/>
      <c r="AJ198" s="5"/>
      <c r="AK198" s="5"/>
      <c r="AL198" s="19"/>
      <c r="AM198" s="19"/>
      <c r="AN198" s="19"/>
      <c r="AO198" s="19"/>
      <c r="AP198" s="19"/>
      <c r="DC198" s="5"/>
      <c r="DD198" s="5"/>
    </row>
    <row r="199" spans="18:108" ht="16.149999999999999" customHeight="1" x14ac:dyDescent="0.2">
      <c r="R199" s="129"/>
      <c r="S199" s="129"/>
      <c r="T199" s="302"/>
      <c r="U199" s="302"/>
      <c r="V199" s="302"/>
      <c r="W199" s="5"/>
      <c r="X199" s="5"/>
      <c r="Y199" s="5"/>
      <c r="Z199" s="5"/>
      <c r="AA199" s="5"/>
      <c r="AB199" s="5"/>
      <c r="AC199" s="5"/>
      <c r="AD199" s="5"/>
      <c r="AE199" s="5"/>
      <c r="AF199" s="5"/>
      <c r="AG199" s="5"/>
      <c r="AH199" s="5"/>
      <c r="AI199" s="5"/>
      <c r="AJ199" s="5"/>
      <c r="AK199" s="5"/>
      <c r="AL199" s="19"/>
      <c r="AM199" s="19"/>
      <c r="AN199" s="19"/>
      <c r="AO199" s="19"/>
      <c r="AP199" s="19"/>
      <c r="DC199" s="5"/>
      <c r="DD199" s="5"/>
    </row>
    <row r="200" spans="18:108" ht="16.149999999999999" customHeight="1" x14ac:dyDescent="0.2">
      <c r="R200" s="129"/>
      <c r="S200" s="129"/>
      <c r="T200" s="302"/>
      <c r="U200" s="302"/>
      <c r="V200" s="302"/>
      <c r="W200" s="5"/>
      <c r="X200" s="5"/>
      <c r="Y200" s="5"/>
      <c r="Z200" s="5"/>
      <c r="AA200" s="5"/>
      <c r="AB200" s="5"/>
      <c r="AC200" s="5"/>
      <c r="AD200" s="5"/>
      <c r="AE200" s="5"/>
      <c r="AF200" s="5"/>
      <c r="AG200" s="5"/>
      <c r="AH200" s="5"/>
      <c r="AI200" s="5"/>
      <c r="AJ200" s="5"/>
      <c r="AK200" s="5"/>
      <c r="AL200" s="19"/>
      <c r="AM200" s="19"/>
      <c r="AN200" s="19"/>
      <c r="AO200" s="19"/>
      <c r="AP200" s="19"/>
      <c r="DC200" s="5"/>
      <c r="DD200" s="5"/>
    </row>
    <row r="201" spans="18:108" ht="16.149999999999999" customHeight="1" x14ac:dyDescent="0.2">
      <c r="R201" s="129"/>
      <c r="S201" s="129"/>
      <c r="T201" s="302"/>
      <c r="U201" s="302"/>
      <c r="V201" s="302"/>
      <c r="W201" s="5"/>
      <c r="X201" s="5"/>
      <c r="Y201" s="5"/>
      <c r="Z201" s="5"/>
      <c r="AA201" s="5"/>
      <c r="AB201" s="5"/>
      <c r="AC201" s="5"/>
      <c r="AD201" s="5"/>
      <c r="AE201" s="5"/>
      <c r="AF201" s="5"/>
      <c r="AG201" s="5"/>
      <c r="AH201" s="5"/>
      <c r="AI201" s="5"/>
      <c r="AJ201" s="5"/>
      <c r="AK201" s="5"/>
      <c r="AL201" s="19"/>
      <c r="AM201" s="19"/>
      <c r="AN201" s="19"/>
      <c r="AO201" s="19"/>
      <c r="AP201" s="19"/>
      <c r="DC201" s="5"/>
      <c r="DD201" s="5"/>
    </row>
    <row r="202" spans="18:108" ht="16.149999999999999" customHeight="1" x14ac:dyDescent="0.2">
      <c r="R202" s="129"/>
      <c r="S202" s="129"/>
      <c r="T202" s="302"/>
      <c r="U202" s="302"/>
      <c r="V202" s="302"/>
      <c r="W202" s="5"/>
      <c r="X202" s="5"/>
      <c r="Y202" s="5"/>
      <c r="Z202" s="5"/>
      <c r="AA202" s="5"/>
      <c r="AB202" s="5"/>
      <c r="AC202" s="5"/>
      <c r="AD202" s="5"/>
      <c r="AE202" s="5"/>
      <c r="AF202" s="5"/>
      <c r="AG202" s="5"/>
      <c r="AH202" s="5"/>
      <c r="AI202" s="5"/>
      <c r="AJ202" s="5"/>
      <c r="AK202" s="5"/>
      <c r="AL202" s="19"/>
      <c r="AM202" s="19"/>
      <c r="AN202" s="19"/>
      <c r="AO202" s="19"/>
      <c r="AP202" s="19"/>
      <c r="DC202" s="5"/>
      <c r="DD202" s="5"/>
    </row>
    <row r="203" spans="18:108" ht="16.149999999999999" customHeight="1" x14ac:dyDescent="0.2">
      <c r="R203" s="129"/>
      <c r="S203" s="129"/>
      <c r="T203" s="302"/>
      <c r="U203" s="302"/>
      <c r="V203" s="302"/>
      <c r="W203" s="5"/>
      <c r="X203" s="5"/>
      <c r="Y203" s="5"/>
      <c r="Z203" s="5"/>
      <c r="AA203" s="5"/>
      <c r="AB203" s="5"/>
      <c r="AC203" s="5"/>
      <c r="AD203" s="5"/>
      <c r="AE203" s="5"/>
      <c r="AF203" s="5"/>
      <c r="AG203" s="5"/>
      <c r="AH203" s="5"/>
      <c r="AI203" s="5"/>
      <c r="AJ203" s="5"/>
      <c r="AK203" s="5"/>
      <c r="AL203" s="19"/>
      <c r="AM203" s="19"/>
      <c r="AN203" s="19"/>
      <c r="AO203" s="19"/>
      <c r="AP203" s="19"/>
      <c r="DC203" s="5"/>
      <c r="DD203" s="5"/>
    </row>
    <row r="204" spans="18:108" ht="16.149999999999999" customHeight="1" x14ac:dyDescent="0.2">
      <c r="R204" s="129"/>
      <c r="S204" s="129"/>
      <c r="T204" s="302"/>
      <c r="U204" s="302"/>
      <c r="V204" s="302"/>
      <c r="W204" s="5"/>
      <c r="X204" s="5"/>
      <c r="Y204" s="5"/>
      <c r="Z204" s="5"/>
      <c r="AA204" s="5"/>
      <c r="AB204" s="5"/>
      <c r="AC204" s="5"/>
      <c r="AD204" s="5"/>
      <c r="AE204" s="5"/>
      <c r="AF204" s="5"/>
      <c r="AG204" s="5"/>
      <c r="AH204" s="5"/>
      <c r="AI204" s="5"/>
      <c r="AJ204" s="5"/>
      <c r="AK204" s="5"/>
      <c r="AL204" s="19"/>
      <c r="AM204" s="19"/>
      <c r="AN204" s="19"/>
      <c r="AO204" s="19"/>
      <c r="AP204" s="19"/>
      <c r="DC204" s="5"/>
      <c r="DD204" s="5"/>
    </row>
    <row r="205" spans="18:108" ht="16.149999999999999" customHeight="1" x14ac:dyDescent="0.2">
      <c r="R205" s="129"/>
      <c r="S205" s="129"/>
      <c r="T205" s="302"/>
      <c r="U205" s="302"/>
      <c r="V205" s="302"/>
      <c r="W205" s="5"/>
      <c r="X205" s="5"/>
      <c r="Y205" s="5"/>
      <c r="Z205" s="5"/>
      <c r="AA205" s="5"/>
      <c r="AB205" s="5"/>
      <c r="AC205" s="5"/>
      <c r="AD205" s="5"/>
      <c r="AE205" s="5"/>
      <c r="AF205" s="5"/>
      <c r="AG205" s="5"/>
      <c r="AH205" s="5"/>
      <c r="AI205" s="5"/>
      <c r="AJ205" s="5"/>
      <c r="AK205" s="5"/>
      <c r="AL205" s="19"/>
      <c r="AM205" s="19"/>
      <c r="AN205" s="19"/>
      <c r="AO205" s="19"/>
      <c r="AP205" s="19"/>
      <c r="DC205" s="5"/>
      <c r="DD205" s="5"/>
    </row>
    <row r="206" spans="18:108" ht="16.149999999999999" customHeight="1" x14ac:dyDescent="0.2">
      <c r="R206" s="129"/>
      <c r="S206" s="129"/>
      <c r="T206" s="302"/>
      <c r="U206" s="302"/>
      <c r="V206" s="302"/>
      <c r="W206" s="5"/>
      <c r="X206" s="5"/>
      <c r="Y206" s="5"/>
      <c r="Z206" s="5"/>
      <c r="AA206" s="5"/>
      <c r="AB206" s="5"/>
      <c r="AC206" s="5"/>
      <c r="AD206" s="5"/>
      <c r="AE206" s="5"/>
      <c r="AF206" s="5"/>
      <c r="AG206" s="5"/>
      <c r="AH206" s="5"/>
      <c r="AI206" s="5"/>
      <c r="AJ206" s="5"/>
      <c r="AK206" s="5"/>
      <c r="AL206" s="19"/>
      <c r="AM206" s="19"/>
      <c r="AN206" s="19"/>
      <c r="AO206" s="19"/>
      <c r="AP206" s="19"/>
      <c r="DC206" s="5"/>
      <c r="DD206" s="5"/>
    </row>
    <row r="207" spans="18:108" ht="16.149999999999999" customHeight="1" x14ac:dyDescent="0.2">
      <c r="R207" s="129"/>
      <c r="S207" s="129"/>
      <c r="T207" s="302"/>
      <c r="U207" s="302"/>
      <c r="V207" s="302"/>
      <c r="W207" s="5"/>
      <c r="X207" s="5"/>
      <c r="Y207" s="5"/>
      <c r="Z207" s="5"/>
      <c r="AA207" s="5"/>
      <c r="AB207" s="5"/>
      <c r="AC207" s="5"/>
      <c r="AD207" s="5"/>
      <c r="AE207" s="5"/>
      <c r="AF207" s="5"/>
      <c r="AG207" s="5"/>
      <c r="AH207" s="5"/>
      <c r="AI207" s="5"/>
      <c r="AJ207" s="5"/>
      <c r="AK207" s="5"/>
      <c r="AL207" s="19"/>
      <c r="AM207" s="19"/>
      <c r="AN207" s="19"/>
      <c r="AO207" s="19"/>
      <c r="AP207" s="19"/>
      <c r="DC207" s="5"/>
      <c r="DD207" s="5"/>
    </row>
    <row r="208" spans="18:108" ht="16.149999999999999" customHeight="1" x14ac:dyDescent="0.2">
      <c r="R208" s="129"/>
      <c r="S208" s="129"/>
      <c r="T208" s="302"/>
      <c r="U208" s="302"/>
      <c r="V208" s="302"/>
      <c r="W208" s="5"/>
      <c r="X208" s="5"/>
      <c r="Y208" s="5"/>
      <c r="Z208" s="5"/>
      <c r="AA208" s="5"/>
      <c r="AB208" s="5"/>
      <c r="AC208" s="5"/>
      <c r="AD208" s="5"/>
      <c r="AE208" s="5"/>
      <c r="AF208" s="5"/>
      <c r="AG208" s="5"/>
      <c r="AH208" s="5"/>
      <c r="AI208" s="5"/>
      <c r="AJ208" s="5"/>
      <c r="AK208" s="5"/>
      <c r="AL208" s="19"/>
      <c r="AM208" s="19"/>
      <c r="AN208" s="19"/>
      <c r="AO208" s="19"/>
      <c r="AP208" s="19"/>
      <c r="DC208" s="5"/>
      <c r="DD208" s="5"/>
    </row>
    <row r="209" spans="18:108" x14ac:dyDescent="0.2">
      <c r="R209" s="129"/>
      <c r="S209" s="129"/>
      <c r="T209" s="302"/>
      <c r="U209" s="302"/>
      <c r="V209" s="302"/>
      <c r="W209" s="5"/>
      <c r="X209" s="5"/>
      <c r="Y209" s="5"/>
      <c r="Z209" s="5"/>
      <c r="AA209" s="5"/>
      <c r="AB209" s="5"/>
      <c r="AC209" s="5"/>
      <c r="AD209" s="5"/>
      <c r="AE209" s="5"/>
      <c r="AF209" s="5"/>
      <c r="AG209" s="5"/>
      <c r="AH209" s="5"/>
      <c r="AI209" s="5"/>
      <c r="AJ209" s="5"/>
      <c r="AK209" s="5"/>
      <c r="AL209" s="19"/>
      <c r="AM209" s="19"/>
      <c r="AN209" s="19"/>
      <c r="AO209" s="19"/>
      <c r="AP209" s="19"/>
      <c r="DC209" s="5"/>
      <c r="DD209" s="5"/>
    </row>
    <row r="210" spans="18:108" x14ac:dyDescent="0.2">
      <c r="R210" s="129"/>
      <c r="S210" s="129"/>
      <c r="T210" s="302"/>
      <c r="U210" s="302"/>
      <c r="V210" s="302"/>
      <c r="W210" s="5"/>
      <c r="X210" s="5"/>
      <c r="Y210" s="5"/>
      <c r="Z210" s="5"/>
      <c r="AA210" s="5"/>
      <c r="AB210" s="5"/>
      <c r="AC210" s="5"/>
      <c r="AD210" s="5"/>
      <c r="AE210" s="5"/>
      <c r="AF210" s="5"/>
      <c r="AG210" s="5"/>
      <c r="AH210" s="5"/>
      <c r="AI210" s="5"/>
      <c r="AJ210" s="5"/>
      <c r="AK210" s="5"/>
      <c r="AL210" s="19"/>
      <c r="AM210" s="19"/>
      <c r="AN210" s="19"/>
      <c r="AO210" s="19"/>
      <c r="AP210" s="19"/>
      <c r="DC210" s="5"/>
      <c r="DD210" s="5"/>
    </row>
    <row r="211" spans="18:108" x14ac:dyDescent="0.2">
      <c r="R211" s="129"/>
      <c r="S211" s="129"/>
      <c r="T211" s="302"/>
      <c r="U211" s="302"/>
      <c r="V211" s="302"/>
      <c r="W211" s="5"/>
      <c r="X211" s="5"/>
      <c r="Y211" s="5"/>
      <c r="Z211" s="5"/>
      <c r="AA211" s="5"/>
      <c r="AB211" s="5"/>
      <c r="AC211" s="5"/>
      <c r="AD211" s="5"/>
      <c r="AE211" s="5"/>
      <c r="AF211" s="5"/>
      <c r="AG211" s="5"/>
      <c r="AH211" s="5"/>
      <c r="AI211" s="5"/>
      <c r="AJ211" s="5"/>
      <c r="AK211" s="5"/>
      <c r="AL211" s="19"/>
      <c r="AM211" s="19"/>
      <c r="AN211" s="19"/>
      <c r="AO211" s="19"/>
      <c r="AP211" s="19"/>
      <c r="DC211" s="5"/>
      <c r="DD211" s="5"/>
    </row>
    <row r="212" spans="18:108" x14ac:dyDescent="0.2">
      <c r="R212" s="129"/>
      <c r="S212" s="129"/>
      <c r="T212" s="302"/>
      <c r="U212" s="302"/>
      <c r="V212" s="302"/>
      <c r="W212" s="5"/>
      <c r="X212" s="5"/>
      <c r="Y212" s="5"/>
      <c r="Z212" s="5"/>
      <c r="AA212" s="5"/>
      <c r="AB212" s="5"/>
      <c r="AC212" s="5"/>
      <c r="AD212" s="5"/>
      <c r="AE212" s="5"/>
      <c r="AF212" s="5"/>
      <c r="AG212" s="5"/>
      <c r="AH212" s="5"/>
      <c r="AI212" s="5"/>
      <c r="AJ212" s="5"/>
      <c r="AK212" s="5"/>
      <c r="AL212" s="19"/>
      <c r="AM212" s="19"/>
      <c r="AN212" s="19"/>
      <c r="AO212" s="19"/>
      <c r="AP212" s="19"/>
      <c r="DC212" s="5"/>
      <c r="DD212" s="5"/>
    </row>
    <row r="213" spans="18:108" x14ac:dyDescent="0.2">
      <c r="R213" s="129"/>
      <c r="S213" s="129"/>
      <c r="T213" s="302"/>
      <c r="U213" s="302"/>
      <c r="V213" s="302"/>
      <c r="W213" s="5"/>
      <c r="X213" s="5"/>
      <c r="Y213" s="5"/>
      <c r="Z213" s="5"/>
      <c r="AA213" s="5"/>
      <c r="AB213" s="5"/>
      <c r="AC213" s="5"/>
      <c r="AD213" s="5"/>
      <c r="AE213" s="5"/>
      <c r="AF213" s="5"/>
      <c r="AG213" s="5"/>
      <c r="AH213" s="5"/>
      <c r="AI213" s="5"/>
      <c r="AJ213" s="5"/>
      <c r="AK213" s="5"/>
      <c r="AL213" s="19"/>
      <c r="AM213" s="19"/>
      <c r="AN213" s="19"/>
      <c r="AO213" s="19"/>
      <c r="AP213" s="19"/>
      <c r="DC213" s="5"/>
      <c r="DD213" s="5"/>
    </row>
    <row r="214" spans="18:108" x14ac:dyDescent="0.2">
      <c r="R214" s="129"/>
      <c r="S214" s="129"/>
      <c r="T214" s="302"/>
      <c r="U214" s="302"/>
      <c r="V214" s="302"/>
      <c r="W214" s="5"/>
      <c r="X214" s="5"/>
      <c r="Y214" s="5"/>
      <c r="Z214" s="5"/>
      <c r="AA214" s="5"/>
      <c r="AB214" s="5"/>
      <c r="AC214" s="5"/>
      <c r="AD214" s="5"/>
      <c r="AE214" s="5"/>
      <c r="AF214" s="5"/>
      <c r="AG214" s="5"/>
      <c r="AH214" s="5"/>
      <c r="AI214" s="5"/>
      <c r="AJ214" s="5"/>
      <c r="AK214" s="5"/>
      <c r="AL214" s="19"/>
      <c r="AM214" s="19"/>
      <c r="AN214" s="19"/>
      <c r="AO214" s="19"/>
      <c r="AP214" s="19"/>
      <c r="DC214" s="5"/>
      <c r="DD214" s="5"/>
    </row>
    <row r="215" spans="18:108" x14ac:dyDescent="0.2">
      <c r="R215" s="129"/>
      <c r="S215" s="129"/>
      <c r="T215" s="302"/>
      <c r="U215" s="302"/>
      <c r="V215" s="302"/>
      <c r="W215" s="5"/>
      <c r="X215" s="5"/>
      <c r="Y215" s="5"/>
      <c r="Z215" s="5"/>
      <c r="AA215" s="5"/>
      <c r="AB215" s="5"/>
      <c r="AC215" s="5"/>
      <c r="AD215" s="5"/>
      <c r="AE215" s="5"/>
      <c r="AF215" s="5"/>
      <c r="AG215" s="5"/>
      <c r="AH215" s="5"/>
      <c r="AI215" s="5"/>
      <c r="AJ215" s="5"/>
      <c r="AK215" s="5"/>
      <c r="AL215" s="19"/>
      <c r="AM215" s="19"/>
      <c r="AN215" s="19"/>
      <c r="AO215" s="19"/>
      <c r="AP215" s="19"/>
      <c r="DC215" s="5"/>
      <c r="DD215" s="5"/>
    </row>
    <row r="216" spans="18:108" x14ac:dyDescent="0.2">
      <c r="R216" s="129"/>
      <c r="S216" s="129"/>
      <c r="T216" s="302"/>
      <c r="U216" s="302"/>
      <c r="V216" s="302"/>
      <c r="W216" s="5"/>
      <c r="X216" s="5"/>
      <c r="Y216" s="5"/>
      <c r="Z216" s="5"/>
      <c r="AA216" s="5"/>
      <c r="AB216" s="5"/>
      <c r="AC216" s="5"/>
      <c r="AD216" s="5"/>
      <c r="AE216" s="5"/>
      <c r="AF216" s="5"/>
      <c r="AG216" s="5"/>
      <c r="AH216" s="5"/>
      <c r="AI216" s="5"/>
      <c r="AJ216" s="5"/>
      <c r="AK216" s="5"/>
      <c r="AL216" s="19"/>
      <c r="AM216" s="19"/>
      <c r="AN216" s="19"/>
      <c r="AO216" s="19"/>
      <c r="AP216" s="19"/>
      <c r="DC216" s="5"/>
      <c r="DD216" s="5"/>
    </row>
    <row r="217" spans="18:108" x14ac:dyDescent="0.2">
      <c r="R217" s="129"/>
      <c r="S217" s="129"/>
      <c r="T217" s="302"/>
      <c r="U217" s="302"/>
      <c r="V217" s="302"/>
      <c r="W217" s="5"/>
      <c r="X217" s="5"/>
      <c r="Y217" s="5"/>
      <c r="Z217" s="5"/>
      <c r="AA217" s="5"/>
      <c r="AB217" s="5"/>
      <c r="AC217" s="5"/>
      <c r="AD217" s="5"/>
      <c r="AE217" s="5"/>
      <c r="AF217" s="5"/>
      <c r="AG217" s="5"/>
      <c r="AH217" s="5"/>
      <c r="AI217" s="5"/>
      <c r="AJ217" s="5"/>
      <c r="AK217" s="5"/>
      <c r="AL217" s="19"/>
      <c r="AM217" s="19"/>
      <c r="AN217" s="19"/>
      <c r="AO217" s="19"/>
      <c r="AP217" s="19"/>
      <c r="DC217" s="5"/>
      <c r="DD217" s="5"/>
    </row>
    <row r="218" spans="18:108" x14ac:dyDescent="0.2">
      <c r="R218" s="129"/>
      <c r="S218" s="129"/>
      <c r="T218" s="302"/>
      <c r="U218" s="302"/>
      <c r="V218" s="302"/>
      <c r="W218" s="5"/>
      <c r="X218" s="5"/>
      <c r="Y218" s="5"/>
      <c r="Z218" s="5"/>
      <c r="AA218" s="5"/>
      <c r="AB218" s="5"/>
      <c r="AC218" s="5"/>
      <c r="AD218" s="5"/>
      <c r="AE218" s="5"/>
      <c r="AF218" s="5"/>
      <c r="AG218" s="5"/>
      <c r="AH218" s="5"/>
      <c r="AI218" s="5"/>
      <c r="AJ218" s="5"/>
      <c r="AK218" s="5"/>
      <c r="AL218" s="19"/>
      <c r="AM218" s="19"/>
      <c r="AN218" s="19"/>
      <c r="AO218" s="19"/>
      <c r="AP218" s="19"/>
      <c r="DC218" s="5"/>
      <c r="DD218" s="5"/>
    </row>
    <row r="219" spans="18:108" x14ac:dyDescent="0.2">
      <c r="R219" s="129"/>
      <c r="S219" s="129"/>
      <c r="T219" s="302"/>
      <c r="U219" s="302"/>
      <c r="V219" s="302"/>
      <c r="W219" s="5"/>
      <c r="X219" s="5"/>
      <c r="Y219" s="5"/>
      <c r="Z219" s="5"/>
      <c r="AA219" s="5"/>
      <c r="AB219" s="5"/>
      <c r="AC219" s="5"/>
      <c r="AD219" s="5"/>
      <c r="AE219" s="5"/>
      <c r="AF219" s="5"/>
      <c r="AG219" s="5"/>
      <c r="AH219" s="5"/>
      <c r="AI219" s="5"/>
      <c r="AJ219" s="5"/>
      <c r="AK219" s="5"/>
      <c r="AL219" s="19"/>
      <c r="AM219" s="19"/>
      <c r="AN219" s="19"/>
      <c r="AO219" s="19"/>
      <c r="AP219" s="19"/>
      <c r="DC219" s="5"/>
      <c r="DD219" s="5"/>
    </row>
    <row r="220" spans="18:108" x14ac:dyDescent="0.2">
      <c r="R220" s="129"/>
      <c r="S220" s="129"/>
      <c r="T220" s="302"/>
      <c r="U220" s="302"/>
      <c r="V220" s="302"/>
      <c r="W220" s="5"/>
      <c r="X220" s="5"/>
      <c r="Y220" s="5"/>
      <c r="Z220" s="5"/>
      <c r="AA220" s="5"/>
      <c r="AB220" s="5"/>
      <c r="AC220" s="5"/>
      <c r="AD220" s="5"/>
      <c r="AE220" s="5"/>
      <c r="AF220" s="5"/>
      <c r="AG220" s="5"/>
      <c r="AH220" s="5"/>
      <c r="AI220" s="5"/>
      <c r="AJ220" s="5"/>
      <c r="AK220" s="5"/>
      <c r="AL220" s="19"/>
      <c r="AM220" s="19"/>
      <c r="AN220" s="19"/>
      <c r="AO220" s="19"/>
      <c r="AP220" s="19"/>
      <c r="DC220" s="5"/>
      <c r="DD220" s="5"/>
    </row>
    <row r="221" spans="18:108" x14ac:dyDescent="0.2">
      <c r="R221" s="129"/>
      <c r="S221" s="129"/>
      <c r="T221" s="302"/>
      <c r="U221" s="302"/>
      <c r="V221" s="302"/>
      <c r="W221" s="5"/>
      <c r="X221" s="5"/>
      <c r="Y221" s="5"/>
      <c r="Z221" s="5"/>
      <c r="AA221" s="5"/>
      <c r="AB221" s="5"/>
      <c r="AC221" s="5"/>
      <c r="AD221" s="5"/>
      <c r="AE221" s="5"/>
      <c r="AF221" s="5"/>
      <c r="AG221" s="5"/>
      <c r="AH221" s="5"/>
      <c r="AI221" s="5"/>
      <c r="AJ221" s="5"/>
      <c r="AK221" s="5"/>
      <c r="AL221" s="19"/>
      <c r="AM221" s="19"/>
      <c r="AN221" s="19"/>
      <c r="AO221" s="19"/>
      <c r="AP221" s="19"/>
      <c r="DC221" s="5"/>
      <c r="DD221" s="5"/>
    </row>
    <row r="222" spans="18:108" x14ac:dyDescent="0.2">
      <c r="R222" s="129"/>
      <c r="S222" s="129"/>
      <c r="T222" s="302"/>
      <c r="U222" s="302"/>
      <c r="V222" s="302"/>
      <c r="W222" s="5"/>
      <c r="X222" s="5"/>
      <c r="Y222" s="5"/>
      <c r="Z222" s="5"/>
      <c r="AA222" s="5"/>
      <c r="AB222" s="5"/>
      <c r="AC222" s="5"/>
      <c r="AD222" s="5"/>
      <c r="AE222" s="5"/>
      <c r="AF222" s="5"/>
      <c r="AG222" s="5"/>
      <c r="AH222" s="5"/>
      <c r="AI222" s="5"/>
      <c r="AJ222" s="5"/>
      <c r="AK222" s="5"/>
      <c r="AL222" s="19"/>
      <c r="AM222" s="19"/>
      <c r="AN222" s="19"/>
      <c r="AO222" s="19"/>
      <c r="AP222" s="19"/>
      <c r="DC222" s="5"/>
      <c r="DD222" s="5"/>
    </row>
    <row r="223" spans="18:108" x14ac:dyDescent="0.2">
      <c r="R223" s="129"/>
      <c r="S223" s="129"/>
      <c r="T223" s="302"/>
      <c r="U223" s="302"/>
      <c r="V223" s="302"/>
      <c r="W223" s="5"/>
      <c r="X223" s="5"/>
      <c r="Y223" s="5"/>
      <c r="Z223" s="5"/>
      <c r="AA223" s="5"/>
      <c r="AB223" s="5"/>
      <c r="AC223" s="5"/>
      <c r="AD223" s="5"/>
      <c r="AE223" s="5"/>
      <c r="AF223" s="5"/>
      <c r="AG223" s="5"/>
      <c r="AH223" s="5"/>
      <c r="AI223" s="5"/>
      <c r="AJ223" s="5"/>
      <c r="AK223" s="5"/>
      <c r="AL223" s="19"/>
      <c r="AM223" s="19"/>
      <c r="AN223" s="19"/>
      <c r="AO223" s="19"/>
      <c r="AP223" s="19"/>
      <c r="DC223" s="5"/>
      <c r="DD223" s="5"/>
    </row>
    <row r="224" spans="18:108" x14ac:dyDescent="0.2">
      <c r="R224" s="129"/>
      <c r="S224" s="129"/>
      <c r="T224" s="302"/>
      <c r="U224" s="302"/>
      <c r="V224" s="302"/>
      <c r="W224" s="5"/>
      <c r="X224" s="5"/>
      <c r="Y224" s="5"/>
      <c r="Z224" s="5"/>
      <c r="AA224" s="5"/>
      <c r="AB224" s="5"/>
      <c r="AC224" s="5"/>
      <c r="AD224" s="5"/>
      <c r="AE224" s="5"/>
      <c r="AF224" s="5"/>
      <c r="AG224" s="5"/>
      <c r="AH224" s="5"/>
      <c r="AI224" s="5"/>
      <c r="AJ224" s="5"/>
      <c r="AK224" s="5"/>
      <c r="AL224" s="19"/>
      <c r="AM224" s="19"/>
      <c r="AN224" s="19"/>
      <c r="AO224" s="19"/>
      <c r="AP224" s="19"/>
      <c r="DC224" s="5"/>
      <c r="DD224" s="5"/>
    </row>
    <row r="225" spans="18:108" x14ac:dyDescent="0.2">
      <c r="R225" s="129"/>
      <c r="S225" s="129"/>
      <c r="T225" s="302"/>
      <c r="U225" s="302"/>
      <c r="V225" s="302"/>
      <c r="W225" s="5"/>
      <c r="X225" s="5"/>
      <c r="Y225" s="5"/>
      <c r="Z225" s="5"/>
      <c r="AA225" s="5"/>
      <c r="AB225" s="5"/>
      <c r="AC225" s="5"/>
      <c r="AD225" s="5"/>
      <c r="AE225" s="5"/>
      <c r="AF225" s="5"/>
      <c r="AG225" s="5"/>
      <c r="AH225" s="5"/>
      <c r="AI225" s="5"/>
      <c r="AJ225" s="5"/>
      <c r="AK225" s="5"/>
      <c r="AL225" s="19"/>
      <c r="AM225" s="19"/>
      <c r="AN225" s="19"/>
      <c r="AO225" s="19"/>
      <c r="AP225" s="19"/>
      <c r="DC225" s="5"/>
      <c r="DD225" s="5"/>
    </row>
    <row r="226" spans="18:108" x14ac:dyDescent="0.2">
      <c r="R226" s="129"/>
      <c r="S226" s="129"/>
      <c r="T226" s="302"/>
      <c r="U226" s="302"/>
      <c r="V226" s="302"/>
      <c r="W226" s="5"/>
      <c r="X226" s="5"/>
      <c r="Y226" s="5"/>
      <c r="Z226" s="5"/>
      <c r="AA226" s="5"/>
      <c r="AB226" s="5"/>
      <c r="AC226" s="5"/>
      <c r="AD226" s="5"/>
      <c r="AE226" s="5"/>
      <c r="AF226" s="5"/>
      <c r="AG226" s="5"/>
      <c r="AH226" s="5"/>
      <c r="AI226" s="5"/>
      <c r="AJ226" s="5"/>
      <c r="AK226" s="5"/>
      <c r="AL226" s="19"/>
      <c r="AM226" s="19"/>
      <c r="AN226" s="19"/>
      <c r="AO226" s="19"/>
      <c r="AP226" s="19"/>
      <c r="DC226" s="5"/>
      <c r="DD226" s="5"/>
    </row>
    <row r="227" spans="18:108" x14ac:dyDescent="0.2">
      <c r="R227" s="129"/>
      <c r="S227" s="129"/>
      <c r="T227" s="302"/>
      <c r="U227" s="302"/>
      <c r="V227" s="302"/>
      <c r="W227" s="5"/>
      <c r="X227" s="5"/>
      <c r="Y227" s="5"/>
      <c r="Z227" s="5"/>
      <c r="AA227" s="5"/>
      <c r="AB227" s="5"/>
      <c r="AC227" s="5"/>
      <c r="AD227" s="5"/>
      <c r="AE227" s="5"/>
      <c r="AF227" s="5"/>
      <c r="AG227" s="5"/>
      <c r="AH227" s="5"/>
      <c r="AI227" s="5"/>
      <c r="AJ227" s="5"/>
      <c r="AK227" s="5"/>
      <c r="AL227" s="19"/>
      <c r="AM227" s="19"/>
      <c r="AN227" s="19"/>
      <c r="AO227" s="19"/>
      <c r="AP227" s="19"/>
      <c r="DC227" s="5"/>
      <c r="DD227" s="5"/>
    </row>
    <row r="228" spans="18:108" x14ac:dyDescent="0.2">
      <c r="R228" s="129"/>
      <c r="S228" s="129"/>
      <c r="T228" s="302"/>
      <c r="U228" s="302"/>
      <c r="V228" s="302"/>
      <c r="W228" s="5"/>
      <c r="X228" s="5"/>
      <c r="Y228" s="5"/>
      <c r="Z228" s="5"/>
      <c r="AA228" s="5"/>
      <c r="AB228" s="5"/>
      <c r="AC228" s="5"/>
      <c r="AD228" s="5"/>
      <c r="AE228" s="5"/>
      <c r="AF228" s="5"/>
      <c r="AG228" s="5"/>
      <c r="AH228" s="5"/>
      <c r="AI228" s="5"/>
      <c r="AJ228" s="5"/>
      <c r="AK228" s="5"/>
      <c r="AL228" s="19"/>
      <c r="AM228" s="19"/>
      <c r="AN228" s="19"/>
      <c r="AO228" s="19"/>
      <c r="AP228" s="19"/>
      <c r="DC228" s="5"/>
      <c r="DD228" s="5"/>
    </row>
    <row r="229" spans="18:108" x14ac:dyDescent="0.2">
      <c r="R229" s="129"/>
      <c r="S229" s="129"/>
      <c r="T229" s="302"/>
      <c r="U229" s="302"/>
      <c r="V229" s="302"/>
      <c r="W229" s="5"/>
      <c r="X229" s="5"/>
      <c r="Y229" s="5"/>
      <c r="Z229" s="5"/>
      <c r="AA229" s="5"/>
      <c r="AB229" s="5"/>
      <c r="AC229" s="5"/>
      <c r="AD229" s="5"/>
      <c r="AE229" s="5"/>
      <c r="AF229" s="5"/>
      <c r="AG229" s="5"/>
      <c r="AH229" s="5"/>
      <c r="AI229" s="5"/>
      <c r="AJ229" s="5"/>
      <c r="AK229" s="5"/>
      <c r="AL229" s="19"/>
      <c r="AM229" s="19"/>
      <c r="AN229" s="19"/>
      <c r="AO229" s="19"/>
      <c r="AP229" s="19"/>
      <c r="DC229" s="5"/>
      <c r="DD229" s="5"/>
    </row>
    <row r="230" spans="18:108" x14ac:dyDescent="0.2">
      <c r="R230" s="129"/>
      <c r="S230" s="129"/>
      <c r="T230" s="302"/>
      <c r="U230" s="302"/>
      <c r="V230" s="302"/>
      <c r="W230" s="5"/>
      <c r="X230" s="5"/>
      <c r="Y230" s="5"/>
      <c r="Z230" s="5"/>
      <c r="AA230" s="5"/>
      <c r="AB230" s="5"/>
      <c r="AC230" s="5"/>
      <c r="AD230" s="5"/>
      <c r="AE230" s="5"/>
      <c r="AF230" s="5"/>
      <c r="AG230" s="5"/>
      <c r="AH230" s="5"/>
      <c r="AI230" s="5"/>
      <c r="AJ230" s="5"/>
      <c r="AK230" s="5"/>
      <c r="AL230" s="19"/>
      <c r="AM230" s="19"/>
      <c r="AN230" s="19"/>
      <c r="AO230" s="19"/>
      <c r="AP230" s="19"/>
      <c r="DC230" s="5"/>
      <c r="DD230" s="5"/>
    </row>
    <row r="231" spans="18:108" x14ac:dyDescent="0.2">
      <c r="R231" s="129"/>
      <c r="S231" s="129"/>
      <c r="T231" s="302"/>
      <c r="U231" s="302"/>
      <c r="V231" s="302"/>
      <c r="W231" s="5"/>
      <c r="X231" s="5"/>
      <c r="Y231" s="5"/>
      <c r="Z231" s="5"/>
      <c r="AA231" s="5"/>
      <c r="AB231" s="5"/>
      <c r="AC231" s="5"/>
      <c r="AD231" s="5"/>
      <c r="AE231" s="5"/>
      <c r="AF231" s="5"/>
      <c r="AG231" s="5"/>
      <c r="AH231" s="5"/>
      <c r="AI231" s="5"/>
      <c r="AJ231" s="5"/>
      <c r="AK231" s="5"/>
      <c r="AL231" s="19"/>
      <c r="AM231" s="19"/>
      <c r="AN231" s="19"/>
      <c r="AO231" s="19"/>
      <c r="AP231" s="19"/>
      <c r="DC231" s="5"/>
      <c r="DD231" s="5"/>
    </row>
    <row r="232" spans="18:108" x14ac:dyDescent="0.2">
      <c r="R232" s="129"/>
      <c r="S232" s="129"/>
      <c r="T232" s="302"/>
      <c r="U232" s="302"/>
      <c r="V232" s="302"/>
      <c r="W232" s="5"/>
      <c r="X232" s="5"/>
      <c r="Y232" s="5"/>
      <c r="Z232" s="5"/>
      <c r="AA232" s="5"/>
      <c r="AB232" s="5"/>
      <c r="AC232" s="5"/>
      <c r="AD232" s="5"/>
      <c r="AE232" s="5"/>
      <c r="AF232" s="5"/>
      <c r="AG232" s="5"/>
      <c r="AH232" s="5"/>
      <c r="AI232" s="5"/>
      <c r="AJ232" s="5"/>
      <c r="AK232" s="5"/>
      <c r="AL232" s="19"/>
      <c r="AM232" s="19"/>
      <c r="AN232" s="19"/>
      <c r="AO232" s="19"/>
      <c r="AP232" s="19"/>
      <c r="DC232" s="5"/>
      <c r="DD232" s="5"/>
    </row>
    <row r="233" spans="18:108" x14ac:dyDescent="0.2">
      <c r="R233" s="129"/>
      <c r="S233" s="129"/>
      <c r="T233" s="302"/>
      <c r="U233" s="302"/>
      <c r="V233" s="302"/>
      <c r="W233" s="5"/>
      <c r="X233" s="5"/>
      <c r="Y233" s="5"/>
      <c r="Z233" s="5"/>
      <c r="AA233" s="5"/>
      <c r="AB233" s="5"/>
      <c r="AC233" s="5"/>
      <c r="AD233" s="5"/>
      <c r="AE233" s="5"/>
      <c r="AF233" s="5"/>
      <c r="AG233" s="5"/>
      <c r="AH233" s="5"/>
      <c r="AI233" s="5"/>
      <c r="AJ233" s="5"/>
      <c r="AK233" s="5"/>
      <c r="AL233" s="19"/>
      <c r="AM233" s="19"/>
      <c r="AN233" s="19"/>
      <c r="AO233" s="19"/>
      <c r="AP233" s="19"/>
      <c r="DC233" s="5"/>
      <c r="DD233" s="5"/>
    </row>
    <row r="234" spans="18:108" x14ac:dyDescent="0.2">
      <c r="R234" s="129"/>
      <c r="S234" s="129"/>
      <c r="T234" s="5"/>
      <c r="U234" s="5"/>
      <c r="V234" s="5"/>
      <c r="W234" s="5"/>
      <c r="X234" s="5"/>
      <c r="Y234" s="5"/>
      <c r="Z234" s="5"/>
      <c r="AA234" s="5"/>
      <c r="AB234" s="5"/>
      <c r="AC234" s="5"/>
      <c r="AD234" s="5"/>
      <c r="AE234" s="5"/>
      <c r="AF234" s="5"/>
      <c r="AG234" s="5"/>
      <c r="AH234" s="5"/>
      <c r="AI234" s="5"/>
      <c r="AJ234" s="5"/>
      <c r="AK234" s="5"/>
      <c r="AL234" s="19"/>
      <c r="AM234" s="19"/>
      <c r="AN234" s="19"/>
      <c r="AO234" s="19"/>
      <c r="AP234" s="19"/>
      <c r="DC234" s="5"/>
      <c r="DD234" s="5"/>
    </row>
    <row r="235" spans="18:108" x14ac:dyDescent="0.2">
      <c r="R235" s="129"/>
      <c r="S235" s="129"/>
      <c r="T235" s="5"/>
      <c r="U235" s="5"/>
      <c r="V235" s="5"/>
      <c r="W235" s="5"/>
      <c r="X235" s="5"/>
      <c r="Y235" s="5"/>
      <c r="Z235" s="5"/>
      <c r="AA235" s="5"/>
      <c r="AB235" s="5"/>
      <c r="AC235" s="5"/>
      <c r="AD235" s="5"/>
      <c r="AE235" s="5"/>
      <c r="AF235" s="5"/>
      <c r="AG235" s="5"/>
      <c r="AH235" s="5"/>
      <c r="AI235" s="5"/>
      <c r="AJ235" s="5"/>
      <c r="AK235" s="5"/>
      <c r="AL235" s="19"/>
      <c r="AM235" s="19"/>
      <c r="AN235" s="19"/>
      <c r="AO235" s="19"/>
      <c r="AP235" s="19"/>
      <c r="DC235" s="5"/>
      <c r="DD235" s="5"/>
    </row>
    <row r="236" spans="18:108" x14ac:dyDescent="0.2">
      <c r="R236" s="129"/>
      <c r="S236" s="129"/>
      <c r="T236" s="5"/>
      <c r="U236" s="5"/>
      <c r="V236" s="5"/>
      <c r="W236" s="5"/>
      <c r="X236" s="5"/>
      <c r="Y236" s="5"/>
      <c r="Z236" s="5"/>
      <c r="AA236" s="5"/>
      <c r="AB236" s="5"/>
      <c r="AC236" s="5"/>
      <c r="AD236" s="5"/>
      <c r="AE236" s="5"/>
      <c r="AF236" s="5"/>
      <c r="AG236" s="5"/>
      <c r="AH236" s="5"/>
      <c r="AI236" s="5"/>
      <c r="AJ236" s="5"/>
      <c r="AK236" s="5"/>
      <c r="AL236" s="19"/>
      <c r="AM236" s="19"/>
      <c r="AN236" s="19"/>
      <c r="AO236" s="19"/>
      <c r="AP236" s="19"/>
      <c r="DC236" s="5"/>
      <c r="DD236" s="5"/>
    </row>
    <row r="237" spans="18:108" x14ac:dyDescent="0.2">
      <c r="R237" s="129"/>
      <c r="S237" s="129"/>
      <c r="T237" s="5"/>
      <c r="U237" s="5"/>
      <c r="V237" s="5"/>
      <c r="W237" s="5"/>
      <c r="X237" s="5"/>
      <c r="Y237" s="5"/>
      <c r="Z237" s="5"/>
      <c r="AA237" s="5"/>
      <c r="AB237" s="5"/>
      <c r="AC237" s="5"/>
      <c r="AD237" s="5"/>
      <c r="AE237" s="5"/>
      <c r="AF237" s="5"/>
      <c r="AG237" s="5"/>
      <c r="AH237" s="5"/>
      <c r="AI237" s="5"/>
      <c r="AJ237" s="5"/>
      <c r="AK237" s="5"/>
      <c r="AL237" s="19"/>
      <c r="AM237" s="19"/>
      <c r="AN237" s="19"/>
      <c r="AO237" s="19"/>
      <c r="AP237" s="19"/>
      <c r="DC237" s="5"/>
      <c r="DD237" s="5"/>
    </row>
    <row r="238" spans="18:108" x14ac:dyDescent="0.2">
      <c r="R238" s="129"/>
      <c r="S238" s="129"/>
      <c r="T238" s="5"/>
      <c r="U238" s="5"/>
      <c r="V238" s="5"/>
      <c r="W238" s="5"/>
      <c r="X238" s="5"/>
      <c r="Y238" s="5"/>
      <c r="Z238" s="5"/>
      <c r="AA238" s="5"/>
      <c r="AB238" s="5"/>
      <c r="AC238" s="5"/>
      <c r="AD238" s="5"/>
      <c r="AE238" s="5"/>
      <c r="AF238" s="5"/>
      <c r="AG238" s="5"/>
      <c r="AH238" s="5"/>
      <c r="AI238" s="5"/>
      <c r="AJ238" s="5"/>
      <c r="AK238" s="5"/>
      <c r="AL238" s="19"/>
      <c r="AM238" s="19"/>
      <c r="AN238" s="19"/>
      <c r="AO238" s="19"/>
      <c r="AP238" s="19"/>
      <c r="DC238" s="5"/>
      <c r="DD238" s="5"/>
    </row>
    <row r="239" spans="18:108" x14ac:dyDescent="0.2">
      <c r="R239" s="129"/>
      <c r="S239" s="129"/>
      <c r="T239" s="5"/>
      <c r="U239" s="5"/>
      <c r="V239" s="5"/>
      <c r="W239" s="5"/>
      <c r="X239" s="5"/>
      <c r="Y239" s="5"/>
      <c r="Z239" s="5"/>
      <c r="AA239" s="5"/>
      <c r="AB239" s="5"/>
      <c r="AC239" s="5"/>
      <c r="AD239" s="5"/>
      <c r="AE239" s="5"/>
      <c r="AF239" s="5"/>
      <c r="AG239" s="5"/>
      <c r="AH239" s="5"/>
      <c r="AI239" s="5"/>
      <c r="AJ239" s="5"/>
      <c r="AK239" s="5"/>
      <c r="AL239" s="19"/>
      <c r="AM239" s="19"/>
      <c r="AN239" s="19"/>
      <c r="AO239" s="19"/>
      <c r="AP239" s="19"/>
      <c r="DC239" s="5"/>
      <c r="DD239" s="5"/>
    </row>
    <row r="240" spans="18:108" x14ac:dyDescent="0.2">
      <c r="R240" s="129"/>
      <c r="S240" s="129"/>
      <c r="T240" s="5"/>
      <c r="U240" s="5"/>
      <c r="V240" s="5"/>
      <c r="W240" s="5"/>
      <c r="X240" s="5"/>
      <c r="Y240" s="5"/>
      <c r="Z240" s="5"/>
      <c r="AA240" s="5"/>
      <c r="AB240" s="5"/>
      <c r="AC240" s="5"/>
      <c r="AD240" s="5"/>
      <c r="AE240" s="5"/>
      <c r="AF240" s="5"/>
      <c r="AG240" s="5"/>
      <c r="AH240" s="5"/>
      <c r="AI240" s="5"/>
      <c r="AJ240" s="5"/>
      <c r="AK240" s="5"/>
      <c r="AL240" s="19"/>
      <c r="AM240" s="19"/>
      <c r="AN240" s="19"/>
      <c r="AO240" s="19"/>
      <c r="AP240" s="19"/>
      <c r="DC240" s="5"/>
      <c r="DD240" s="5"/>
    </row>
    <row r="241" spans="18:108" x14ac:dyDescent="0.2">
      <c r="R241" s="129"/>
      <c r="S241" s="129"/>
      <c r="T241" s="5"/>
      <c r="U241" s="5"/>
      <c r="V241" s="5"/>
      <c r="W241" s="5"/>
      <c r="X241" s="5"/>
      <c r="Y241" s="5"/>
      <c r="Z241" s="5"/>
      <c r="AA241" s="5"/>
      <c r="AB241" s="5"/>
      <c r="AC241" s="5"/>
      <c r="AD241" s="5"/>
      <c r="AE241" s="5"/>
      <c r="AF241" s="5"/>
      <c r="AG241" s="5"/>
      <c r="AH241" s="5"/>
      <c r="AI241" s="5"/>
      <c r="AJ241" s="5"/>
      <c r="AK241" s="5"/>
      <c r="AL241" s="19"/>
      <c r="AM241" s="19"/>
      <c r="AN241" s="19"/>
      <c r="AO241" s="19"/>
      <c r="AP241" s="19"/>
      <c r="DC241" s="5"/>
      <c r="DD241" s="5"/>
    </row>
    <row r="242" spans="18:108" x14ac:dyDescent="0.2">
      <c r="R242" s="129"/>
      <c r="S242" s="129"/>
      <c r="T242" s="5"/>
      <c r="U242" s="5"/>
      <c r="V242" s="5"/>
      <c r="W242" s="5"/>
      <c r="X242" s="5"/>
      <c r="Y242" s="5"/>
      <c r="Z242" s="5"/>
      <c r="AA242" s="5"/>
      <c r="AB242" s="5"/>
      <c r="AC242" s="5"/>
      <c r="AD242" s="5"/>
      <c r="AE242" s="5"/>
      <c r="AF242" s="5"/>
      <c r="AG242" s="5"/>
      <c r="AH242" s="5"/>
      <c r="AI242" s="5"/>
      <c r="AJ242" s="5"/>
      <c r="AK242" s="5"/>
      <c r="AL242" s="19"/>
      <c r="AM242" s="19"/>
      <c r="AN242" s="19"/>
      <c r="AO242" s="19"/>
      <c r="AP242" s="19"/>
      <c r="DC242" s="5"/>
      <c r="DD242" s="5"/>
    </row>
    <row r="243" spans="18:108" x14ac:dyDescent="0.2">
      <c r="R243" s="129"/>
      <c r="S243" s="129"/>
      <c r="T243" s="5"/>
      <c r="U243" s="5"/>
      <c r="V243" s="5"/>
      <c r="W243" s="5"/>
      <c r="X243" s="5"/>
      <c r="Y243" s="5"/>
      <c r="Z243" s="5"/>
      <c r="AA243" s="5"/>
      <c r="AB243" s="5"/>
      <c r="AC243" s="5"/>
      <c r="AD243" s="5"/>
      <c r="AE243" s="5"/>
      <c r="AF243" s="5"/>
      <c r="AG243" s="5"/>
      <c r="AH243" s="5"/>
      <c r="AI243" s="5"/>
      <c r="AJ243" s="5"/>
      <c r="AK243" s="5"/>
      <c r="AL243" s="19"/>
      <c r="AM243" s="19"/>
      <c r="AN243" s="19"/>
      <c r="AO243" s="19"/>
      <c r="AP243" s="19"/>
      <c r="DC243" s="5"/>
      <c r="DD243" s="5"/>
    </row>
    <row r="244" spans="18:108" x14ac:dyDescent="0.2">
      <c r="R244" s="129"/>
      <c r="S244" s="129"/>
      <c r="T244" s="5"/>
      <c r="U244" s="5"/>
      <c r="V244" s="5"/>
      <c r="W244" s="5"/>
      <c r="X244" s="5"/>
      <c r="Y244" s="5"/>
      <c r="Z244" s="5"/>
      <c r="AA244" s="5"/>
      <c r="AB244" s="5"/>
      <c r="AC244" s="5"/>
      <c r="AD244" s="5"/>
      <c r="AE244" s="5"/>
      <c r="AF244" s="5"/>
      <c r="AG244" s="5"/>
      <c r="AH244" s="5"/>
      <c r="AI244" s="5"/>
      <c r="AJ244" s="5"/>
      <c r="AK244" s="5"/>
      <c r="AL244" s="19"/>
      <c r="AM244" s="19"/>
      <c r="AN244" s="19"/>
      <c r="AO244" s="19"/>
      <c r="AP244" s="19"/>
      <c r="DC244" s="5"/>
      <c r="DD244" s="5"/>
    </row>
    <row r="245" spans="18:108" x14ac:dyDescent="0.2">
      <c r="R245" s="129"/>
      <c r="S245" s="129"/>
      <c r="T245" s="5"/>
      <c r="U245" s="5"/>
      <c r="V245" s="5"/>
      <c r="W245" s="5"/>
      <c r="X245" s="5"/>
      <c r="Y245" s="5"/>
      <c r="Z245" s="5"/>
      <c r="AA245" s="5"/>
      <c r="AB245" s="5"/>
      <c r="AC245" s="5"/>
      <c r="AD245" s="5"/>
      <c r="AE245" s="5"/>
      <c r="AF245" s="5"/>
      <c r="AG245" s="5"/>
      <c r="AH245" s="5"/>
      <c r="AI245" s="5"/>
      <c r="AJ245" s="5"/>
      <c r="AK245" s="5"/>
      <c r="AL245" s="19"/>
      <c r="AM245" s="19"/>
      <c r="AN245" s="19"/>
      <c r="AO245" s="19"/>
      <c r="AP245" s="19"/>
      <c r="DC245" s="5"/>
      <c r="DD245" s="5"/>
    </row>
    <row r="246" spans="18:108" x14ac:dyDescent="0.2">
      <c r="R246" s="129"/>
      <c r="S246" s="129"/>
      <c r="T246" s="5"/>
      <c r="U246" s="5"/>
      <c r="V246" s="5"/>
      <c r="W246" s="5"/>
      <c r="X246" s="5"/>
      <c r="Y246" s="5"/>
      <c r="Z246" s="5"/>
      <c r="AA246" s="5"/>
      <c r="AB246" s="5"/>
      <c r="AC246" s="5"/>
      <c r="AD246" s="5"/>
      <c r="AE246" s="5"/>
      <c r="AF246" s="5"/>
      <c r="AG246" s="5"/>
      <c r="AH246" s="5"/>
      <c r="AI246" s="5"/>
      <c r="AJ246" s="5"/>
      <c r="AK246" s="5"/>
      <c r="AL246" s="19"/>
      <c r="AM246" s="19"/>
      <c r="AN246" s="19"/>
      <c r="AO246" s="19"/>
      <c r="AP246" s="19"/>
      <c r="DC246" s="5"/>
      <c r="DD246" s="5"/>
    </row>
    <row r="247" spans="18:108" x14ac:dyDescent="0.2">
      <c r="R247" s="129"/>
      <c r="S247" s="129"/>
      <c r="T247" s="5"/>
      <c r="U247" s="5"/>
      <c r="V247" s="5"/>
      <c r="W247" s="5"/>
      <c r="X247" s="5"/>
      <c r="Y247" s="5"/>
      <c r="Z247" s="5"/>
      <c r="AA247" s="5"/>
      <c r="AB247" s="5"/>
      <c r="AC247" s="5"/>
      <c r="AD247" s="5"/>
      <c r="AE247" s="5"/>
      <c r="AF247" s="5"/>
      <c r="AG247" s="5"/>
      <c r="AH247" s="5"/>
      <c r="AI247" s="5"/>
      <c r="AJ247" s="5"/>
      <c r="AK247" s="5"/>
      <c r="AL247" s="19"/>
      <c r="AM247" s="19"/>
      <c r="AN247" s="19"/>
      <c r="AO247" s="19"/>
      <c r="AP247" s="19"/>
      <c r="DC247" s="5"/>
      <c r="DD247" s="5"/>
    </row>
    <row r="248" spans="18:108" x14ac:dyDescent="0.2">
      <c r="R248" s="129"/>
      <c r="S248" s="129"/>
      <c r="T248" s="5"/>
      <c r="U248" s="5"/>
      <c r="V248" s="5"/>
      <c r="W248" s="5"/>
      <c r="X248" s="5"/>
      <c r="Y248" s="5"/>
      <c r="Z248" s="5"/>
      <c r="AA248" s="5"/>
      <c r="AB248" s="5"/>
      <c r="AC248" s="5"/>
      <c r="AD248" s="5"/>
      <c r="AE248" s="5"/>
      <c r="AF248" s="5"/>
      <c r="AG248" s="5"/>
      <c r="AH248" s="5"/>
      <c r="AI248" s="5"/>
      <c r="AJ248" s="5"/>
      <c r="AK248" s="5"/>
      <c r="AL248" s="19"/>
      <c r="AM248" s="19"/>
      <c r="AN248" s="19"/>
      <c r="AO248" s="19"/>
      <c r="AP248" s="19"/>
      <c r="DC248" s="5"/>
      <c r="DD248" s="5"/>
    </row>
    <row r="249" spans="18:108" x14ac:dyDescent="0.2">
      <c r="R249" s="129"/>
      <c r="S249" s="129"/>
      <c r="T249" s="5"/>
      <c r="U249" s="5"/>
      <c r="V249" s="5"/>
      <c r="W249" s="5"/>
      <c r="X249" s="5"/>
      <c r="Y249" s="5"/>
      <c r="Z249" s="5"/>
      <c r="AA249" s="5"/>
      <c r="AB249" s="5"/>
      <c r="AC249" s="5"/>
      <c r="AD249" s="5"/>
      <c r="AE249" s="5"/>
      <c r="AF249" s="5"/>
      <c r="AG249" s="5"/>
      <c r="AH249" s="5"/>
      <c r="AI249" s="5"/>
      <c r="AJ249" s="5"/>
      <c r="AK249" s="5"/>
      <c r="AL249" s="19"/>
      <c r="AM249" s="19"/>
      <c r="AN249" s="19"/>
      <c r="AO249" s="19"/>
      <c r="AP249" s="19"/>
      <c r="DC249" s="5"/>
      <c r="DD249" s="5"/>
    </row>
    <row r="250" spans="18:108" x14ac:dyDescent="0.2">
      <c r="R250" s="129"/>
      <c r="S250" s="129"/>
      <c r="T250" s="5"/>
      <c r="U250" s="5"/>
      <c r="V250" s="5"/>
      <c r="W250" s="5"/>
      <c r="X250" s="5"/>
      <c r="Y250" s="5"/>
      <c r="Z250" s="5"/>
      <c r="AA250" s="5"/>
      <c r="AB250" s="5"/>
      <c r="AC250" s="5"/>
      <c r="AD250" s="5"/>
      <c r="AE250" s="5"/>
      <c r="AF250" s="5"/>
      <c r="AG250" s="5"/>
      <c r="AH250" s="5"/>
      <c r="AI250" s="5"/>
      <c r="AJ250" s="5"/>
      <c r="AK250" s="5"/>
      <c r="AL250" s="19"/>
      <c r="AM250" s="19"/>
      <c r="AN250" s="19"/>
      <c r="AO250" s="19"/>
      <c r="AP250" s="19"/>
      <c r="DC250" s="5"/>
      <c r="DD250" s="5"/>
    </row>
    <row r="251" spans="18:108" x14ac:dyDescent="0.2">
      <c r="R251" s="129"/>
      <c r="S251" s="129"/>
      <c r="T251" s="5"/>
      <c r="U251" s="5"/>
      <c r="V251" s="5"/>
      <c r="W251" s="5"/>
      <c r="X251" s="5"/>
      <c r="Y251" s="5"/>
      <c r="Z251" s="5"/>
      <c r="AA251" s="5"/>
      <c r="AB251" s="5"/>
      <c r="AC251" s="5"/>
      <c r="AD251" s="5"/>
      <c r="AE251" s="5"/>
      <c r="AF251" s="5"/>
      <c r="AG251" s="5"/>
      <c r="AH251" s="5"/>
      <c r="AI251" s="5"/>
      <c r="AJ251" s="5"/>
      <c r="AK251" s="5"/>
      <c r="AL251" s="19"/>
      <c r="AM251" s="19"/>
      <c r="AN251" s="19"/>
      <c r="AO251" s="19"/>
      <c r="AP251" s="19"/>
      <c r="DC251" s="5"/>
      <c r="DD251" s="5"/>
    </row>
    <row r="252" spans="18:108" x14ac:dyDescent="0.2">
      <c r="R252" s="129"/>
      <c r="S252" s="129"/>
      <c r="T252" s="5"/>
      <c r="U252" s="5"/>
      <c r="V252" s="5"/>
      <c r="W252" s="5"/>
      <c r="X252" s="5"/>
      <c r="Y252" s="5"/>
      <c r="Z252" s="5"/>
      <c r="AA252" s="5"/>
      <c r="AB252" s="5"/>
      <c r="AC252" s="5"/>
      <c r="AD252" s="5"/>
      <c r="AE252" s="5"/>
      <c r="AF252" s="5"/>
      <c r="AG252" s="5"/>
      <c r="AH252" s="5"/>
      <c r="AI252" s="5"/>
      <c r="AJ252" s="5"/>
      <c r="AK252" s="5"/>
      <c r="AL252" s="19"/>
      <c r="AM252" s="19"/>
      <c r="AN252" s="19"/>
      <c r="AO252" s="19"/>
      <c r="AP252" s="19"/>
      <c r="DC252" s="5"/>
      <c r="DD252" s="5"/>
    </row>
    <row r="253" spans="18:108" x14ac:dyDescent="0.2">
      <c r="R253" s="129"/>
      <c r="S253" s="129"/>
      <c r="T253" s="5"/>
      <c r="U253" s="5"/>
      <c r="V253" s="5"/>
      <c r="W253" s="5"/>
      <c r="X253" s="5"/>
      <c r="Y253" s="5"/>
      <c r="Z253" s="5"/>
      <c r="AA253" s="5"/>
      <c r="AB253" s="5"/>
      <c r="AC253" s="5"/>
      <c r="AD253" s="5"/>
      <c r="AE253" s="5"/>
      <c r="AF253" s="5"/>
      <c r="AG253" s="5"/>
      <c r="AH253" s="5"/>
      <c r="AI253" s="5"/>
      <c r="AJ253" s="5"/>
      <c r="AK253" s="5"/>
      <c r="AL253" s="19"/>
      <c r="AM253" s="19"/>
      <c r="AN253" s="19"/>
      <c r="AO253" s="19"/>
      <c r="AP253" s="19"/>
      <c r="DC253" s="5"/>
      <c r="DD253" s="5"/>
    </row>
    <row r="254" spans="18:108" x14ac:dyDescent="0.2">
      <c r="R254" s="129"/>
      <c r="S254" s="129"/>
      <c r="T254" s="5"/>
      <c r="U254" s="5"/>
      <c r="V254" s="5"/>
      <c r="W254" s="5"/>
      <c r="X254" s="5"/>
      <c r="Y254" s="5"/>
      <c r="Z254" s="5"/>
      <c r="AA254" s="5"/>
      <c r="AB254" s="5"/>
      <c r="AC254" s="5"/>
      <c r="AD254" s="5"/>
      <c r="AE254" s="5"/>
      <c r="AF254" s="5"/>
      <c r="AG254" s="5"/>
      <c r="AH254" s="5"/>
      <c r="AI254" s="5"/>
      <c r="AJ254" s="5"/>
      <c r="AK254" s="5"/>
      <c r="AL254" s="19"/>
      <c r="AM254" s="19"/>
      <c r="AN254" s="19"/>
      <c r="AO254" s="19"/>
      <c r="AP254" s="19"/>
      <c r="DC254" s="5"/>
      <c r="DD254" s="5"/>
    </row>
    <row r="255" spans="18:108" x14ac:dyDescent="0.2">
      <c r="R255" s="129"/>
      <c r="S255" s="129"/>
      <c r="T255" s="5"/>
      <c r="U255" s="5"/>
      <c r="V255" s="5"/>
      <c r="W255" s="5"/>
      <c r="X255" s="5"/>
      <c r="Y255" s="5"/>
      <c r="Z255" s="5"/>
      <c r="AA255" s="5"/>
      <c r="AB255" s="5"/>
      <c r="AC255" s="5"/>
      <c r="AD255" s="5"/>
      <c r="AE255" s="5"/>
      <c r="AF255" s="5"/>
      <c r="AG255" s="5"/>
      <c r="AH255" s="5"/>
      <c r="AI255" s="5"/>
      <c r="AJ255" s="5"/>
      <c r="AK255" s="5"/>
      <c r="AL255" s="19"/>
      <c r="AM255" s="19"/>
      <c r="AN255" s="19"/>
      <c r="AO255" s="19"/>
      <c r="AP255" s="19"/>
      <c r="DC255" s="5"/>
      <c r="DD255" s="5"/>
    </row>
    <row r="256" spans="18:108" x14ac:dyDescent="0.2">
      <c r="R256" s="129"/>
      <c r="S256" s="129"/>
      <c r="T256" s="5"/>
      <c r="U256" s="5"/>
      <c r="V256" s="5"/>
      <c r="W256" s="5"/>
      <c r="X256" s="5"/>
      <c r="Y256" s="5"/>
      <c r="Z256" s="5"/>
      <c r="AA256" s="5"/>
      <c r="AB256" s="5"/>
      <c r="AC256" s="5"/>
      <c r="AD256" s="5"/>
      <c r="AE256" s="5"/>
      <c r="AF256" s="5"/>
      <c r="AG256" s="5"/>
      <c r="AH256" s="5"/>
      <c r="AI256" s="5"/>
      <c r="AJ256" s="5"/>
      <c r="AK256" s="5"/>
      <c r="AL256" s="19"/>
      <c r="AM256" s="19"/>
      <c r="AN256" s="19"/>
      <c r="AO256" s="19"/>
      <c r="AP256" s="19"/>
      <c r="DC256" s="5"/>
      <c r="DD256" s="5"/>
    </row>
    <row r="257" spans="18:108" x14ac:dyDescent="0.2">
      <c r="R257" s="129"/>
      <c r="S257" s="129"/>
      <c r="T257" s="5"/>
      <c r="U257" s="5"/>
      <c r="V257" s="5"/>
      <c r="W257" s="5"/>
      <c r="X257" s="5"/>
      <c r="Y257" s="5"/>
      <c r="Z257" s="5"/>
      <c r="AA257" s="5"/>
      <c r="AB257" s="5"/>
      <c r="AC257" s="5"/>
      <c r="AD257" s="5"/>
      <c r="AE257" s="5"/>
      <c r="AF257" s="5"/>
      <c r="AG257" s="5"/>
      <c r="AH257" s="5"/>
      <c r="AI257" s="5"/>
      <c r="AJ257" s="5"/>
      <c r="AK257" s="5"/>
      <c r="AL257" s="19"/>
      <c r="AM257" s="19"/>
      <c r="AN257" s="19"/>
      <c r="AO257" s="19"/>
      <c r="AP257" s="19"/>
      <c r="DC257" s="5"/>
      <c r="DD257" s="5"/>
    </row>
    <row r="258" spans="18:108" x14ac:dyDescent="0.2">
      <c r="R258" s="129"/>
      <c r="S258" s="129"/>
      <c r="T258" s="5"/>
      <c r="U258" s="5"/>
      <c r="V258" s="5"/>
      <c r="W258" s="5"/>
      <c r="X258" s="5"/>
      <c r="Y258" s="5"/>
      <c r="Z258" s="5"/>
      <c r="AA258" s="5"/>
      <c r="AB258" s="5"/>
      <c r="AC258" s="5"/>
      <c r="AD258" s="5"/>
      <c r="AE258" s="5"/>
      <c r="AF258" s="5"/>
      <c r="AG258" s="5"/>
      <c r="AH258" s="5"/>
      <c r="AI258" s="5"/>
      <c r="AJ258" s="5"/>
      <c r="AK258" s="5"/>
      <c r="AL258" s="19"/>
      <c r="AM258" s="19"/>
      <c r="AN258" s="19"/>
      <c r="AO258" s="19"/>
      <c r="AP258" s="19"/>
      <c r="DC258" s="5"/>
      <c r="DD258" s="5"/>
    </row>
    <row r="259" spans="18:108" x14ac:dyDescent="0.2">
      <c r="R259" s="129"/>
      <c r="S259" s="129"/>
      <c r="T259" s="5"/>
      <c r="U259" s="5"/>
      <c r="V259" s="5"/>
      <c r="W259" s="5"/>
      <c r="X259" s="5"/>
      <c r="Y259" s="5"/>
      <c r="Z259" s="5"/>
      <c r="AA259" s="5"/>
      <c r="AB259" s="5"/>
      <c r="AC259" s="5"/>
      <c r="AD259" s="5"/>
      <c r="AE259" s="5"/>
      <c r="AF259" s="5"/>
      <c r="AG259" s="5"/>
      <c r="AH259" s="5"/>
      <c r="AI259" s="5"/>
      <c r="AJ259" s="5"/>
      <c r="AK259" s="5"/>
      <c r="AL259" s="19"/>
      <c r="AM259" s="19"/>
      <c r="AN259" s="19"/>
      <c r="AO259" s="19"/>
      <c r="AP259" s="19"/>
      <c r="DC259" s="5"/>
      <c r="DD259" s="5"/>
    </row>
    <row r="260" spans="18:108" x14ac:dyDescent="0.2">
      <c r="R260" s="129"/>
      <c r="S260" s="129"/>
      <c r="T260" s="5"/>
      <c r="U260" s="5"/>
      <c r="V260" s="5"/>
      <c r="W260" s="5"/>
      <c r="X260" s="5"/>
      <c r="Y260" s="5"/>
      <c r="Z260" s="5"/>
      <c r="AA260" s="5"/>
      <c r="AB260" s="5"/>
      <c r="AC260" s="5"/>
      <c r="AD260" s="5"/>
      <c r="AE260" s="5"/>
      <c r="AF260" s="5"/>
      <c r="AG260" s="5"/>
      <c r="AH260" s="5"/>
      <c r="AI260" s="5"/>
      <c r="AJ260" s="5"/>
      <c r="AK260" s="5"/>
      <c r="AL260" s="19"/>
      <c r="AM260" s="19"/>
      <c r="AN260" s="19"/>
      <c r="AO260" s="19"/>
      <c r="AP260" s="19"/>
      <c r="DC260" s="5"/>
      <c r="DD260" s="5"/>
    </row>
    <row r="261" spans="18:108" x14ac:dyDescent="0.2">
      <c r="R261" s="129"/>
      <c r="S261" s="129"/>
      <c r="T261" s="5"/>
      <c r="U261" s="5"/>
      <c r="V261" s="5"/>
      <c r="W261" s="5"/>
      <c r="X261" s="5"/>
      <c r="Y261" s="5"/>
      <c r="Z261" s="5"/>
      <c r="AA261" s="5"/>
      <c r="AB261" s="5"/>
      <c r="AC261" s="5"/>
      <c r="AD261" s="5"/>
      <c r="AE261" s="5"/>
      <c r="AF261" s="5"/>
      <c r="AG261" s="5"/>
      <c r="AH261" s="5"/>
      <c r="AI261" s="5"/>
      <c r="AJ261" s="5"/>
      <c r="AK261" s="5"/>
      <c r="AL261" s="19"/>
      <c r="AM261" s="19"/>
      <c r="AN261" s="19"/>
      <c r="AO261" s="19"/>
      <c r="AP261" s="19"/>
      <c r="DC261" s="5"/>
      <c r="DD261" s="5"/>
    </row>
    <row r="262" spans="18:108" x14ac:dyDescent="0.2">
      <c r="R262" s="129"/>
      <c r="S262" s="129"/>
      <c r="T262" s="5"/>
      <c r="U262" s="5"/>
      <c r="V262" s="5"/>
      <c r="W262" s="5"/>
      <c r="X262" s="5"/>
      <c r="Y262" s="5"/>
      <c r="Z262" s="5"/>
      <c r="AA262" s="5"/>
      <c r="AB262" s="5"/>
      <c r="AC262" s="5"/>
      <c r="AD262" s="5"/>
      <c r="AE262" s="5"/>
      <c r="AF262" s="5"/>
      <c r="AG262" s="5"/>
      <c r="AH262" s="5"/>
      <c r="AI262" s="5"/>
      <c r="AJ262" s="5"/>
      <c r="AK262" s="5"/>
      <c r="AL262" s="19"/>
      <c r="AM262" s="19"/>
      <c r="AN262" s="19"/>
      <c r="AO262" s="19"/>
      <c r="AP262" s="19"/>
      <c r="DC262" s="5"/>
      <c r="DD262" s="5"/>
    </row>
    <row r="263" spans="18:108" x14ac:dyDescent="0.2">
      <c r="R263" s="129"/>
      <c r="S263" s="129"/>
      <c r="T263" s="5"/>
      <c r="U263" s="5"/>
      <c r="V263" s="5"/>
      <c r="W263" s="5"/>
      <c r="X263" s="5"/>
      <c r="Y263" s="5"/>
      <c r="Z263" s="5"/>
      <c r="AA263" s="5"/>
      <c r="AB263" s="5"/>
      <c r="AC263" s="5"/>
      <c r="AD263" s="5"/>
      <c r="AE263" s="5"/>
      <c r="AF263" s="5"/>
      <c r="AG263" s="5"/>
      <c r="AH263" s="5"/>
      <c r="AI263" s="5"/>
      <c r="AJ263" s="5"/>
      <c r="AK263" s="5"/>
      <c r="AL263" s="19"/>
      <c r="AM263" s="19"/>
      <c r="AN263" s="19"/>
      <c r="AO263" s="19"/>
      <c r="AP263" s="19"/>
      <c r="DC263" s="5"/>
      <c r="DD263" s="5"/>
    </row>
    <row r="264" spans="18:108" x14ac:dyDescent="0.2">
      <c r="R264" s="129"/>
      <c r="S264" s="129"/>
      <c r="T264" s="5"/>
      <c r="U264" s="5"/>
      <c r="V264" s="5"/>
      <c r="W264" s="5"/>
      <c r="X264" s="5"/>
      <c r="Y264" s="5"/>
      <c r="Z264" s="5"/>
      <c r="AA264" s="5"/>
      <c r="AB264" s="5"/>
      <c r="AC264" s="5"/>
      <c r="AD264" s="5"/>
      <c r="AE264" s="5"/>
      <c r="AF264" s="5"/>
      <c r="AG264" s="5"/>
      <c r="AH264" s="5"/>
      <c r="AI264" s="5"/>
      <c r="AJ264" s="5"/>
      <c r="AK264" s="5"/>
      <c r="AL264" s="19"/>
      <c r="AM264" s="19"/>
      <c r="AN264" s="19"/>
      <c r="AO264" s="19"/>
      <c r="AP264" s="19"/>
      <c r="DC264" s="5"/>
      <c r="DD264" s="5"/>
    </row>
    <row r="265" spans="18:108" x14ac:dyDescent="0.2">
      <c r="R265" s="129"/>
      <c r="S265" s="129"/>
      <c r="T265" s="5"/>
      <c r="U265" s="5"/>
      <c r="V265" s="5"/>
      <c r="W265" s="5"/>
      <c r="X265" s="5"/>
      <c r="Y265" s="5"/>
      <c r="Z265" s="5"/>
      <c r="AA265" s="5"/>
      <c r="AB265" s="5"/>
      <c r="AC265" s="5"/>
      <c r="AD265" s="5"/>
      <c r="AE265" s="5"/>
      <c r="AF265" s="5"/>
      <c r="AG265" s="5"/>
      <c r="AH265" s="5"/>
      <c r="AI265" s="5"/>
      <c r="AJ265" s="5"/>
      <c r="AK265" s="5"/>
      <c r="AL265" s="19"/>
      <c r="AM265" s="19"/>
      <c r="AN265" s="19"/>
      <c r="AO265" s="19"/>
      <c r="AP265" s="19"/>
      <c r="DC265" s="5"/>
      <c r="DD265" s="5"/>
    </row>
    <row r="266" spans="18:108" x14ac:dyDescent="0.2">
      <c r="R266" s="129"/>
      <c r="S266" s="129"/>
      <c r="T266" s="5"/>
      <c r="U266" s="5"/>
      <c r="V266" s="5"/>
      <c r="W266" s="5"/>
      <c r="X266" s="5"/>
      <c r="Y266" s="5"/>
      <c r="Z266" s="5"/>
      <c r="AA266" s="5"/>
      <c r="AB266" s="5"/>
      <c r="AC266" s="5"/>
      <c r="AD266" s="5"/>
      <c r="AE266" s="5"/>
      <c r="AF266" s="5"/>
      <c r="AG266" s="5"/>
      <c r="AH266" s="5"/>
      <c r="AI266" s="5"/>
      <c r="AJ266" s="5"/>
      <c r="AK266" s="5"/>
      <c r="AL266" s="19"/>
      <c r="AM266" s="19"/>
      <c r="AN266" s="19"/>
      <c r="AO266" s="19"/>
      <c r="AP266" s="19"/>
      <c r="DC266" s="5"/>
      <c r="DD266" s="5"/>
    </row>
    <row r="267" spans="18:108" x14ac:dyDescent="0.2">
      <c r="R267" s="129"/>
      <c r="S267" s="129"/>
      <c r="T267" s="5"/>
      <c r="U267" s="5"/>
      <c r="V267" s="5"/>
      <c r="W267" s="5"/>
      <c r="X267" s="5"/>
      <c r="Y267" s="5"/>
      <c r="Z267" s="5"/>
      <c r="AA267" s="5"/>
      <c r="AB267" s="5"/>
      <c r="AC267" s="5"/>
      <c r="AD267" s="5"/>
      <c r="AE267" s="5"/>
      <c r="AF267" s="5"/>
      <c r="AG267" s="5"/>
      <c r="AH267" s="5"/>
      <c r="AI267" s="5"/>
      <c r="AJ267" s="5"/>
      <c r="AK267" s="5"/>
      <c r="AL267" s="19"/>
      <c r="AM267" s="19"/>
      <c r="AN267" s="19"/>
      <c r="AO267" s="19"/>
      <c r="AP267" s="19"/>
      <c r="DC267" s="5"/>
      <c r="DD267" s="5"/>
    </row>
    <row r="268" spans="18:108" x14ac:dyDescent="0.2">
      <c r="R268" s="129"/>
      <c r="S268" s="129"/>
      <c r="T268" s="5"/>
      <c r="U268" s="5"/>
      <c r="V268" s="5"/>
      <c r="W268" s="5"/>
      <c r="X268" s="5"/>
      <c r="Y268" s="5"/>
      <c r="Z268" s="5"/>
      <c r="AA268" s="5"/>
      <c r="AB268" s="5"/>
      <c r="AC268" s="5"/>
      <c r="AD268" s="5"/>
      <c r="AE268" s="5"/>
      <c r="AF268" s="5"/>
      <c r="AG268" s="5"/>
      <c r="AH268" s="5"/>
      <c r="AI268" s="5"/>
      <c r="AJ268" s="5"/>
      <c r="AK268" s="5"/>
      <c r="AL268" s="19"/>
      <c r="AM268" s="19"/>
      <c r="AN268" s="19"/>
      <c r="AO268" s="19"/>
      <c r="AP268" s="19"/>
      <c r="DC268" s="5"/>
      <c r="DD268" s="5"/>
    </row>
    <row r="269" spans="18:108" x14ac:dyDescent="0.2">
      <c r="R269" s="129"/>
      <c r="S269" s="129"/>
      <c r="T269" s="5"/>
      <c r="U269" s="5"/>
      <c r="V269" s="5"/>
      <c r="W269" s="5"/>
      <c r="X269" s="5"/>
      <c r="Y269" s="5"/>
      <c r="Z269" s="5"/>
      <c r="AA269" s="5"/>
      <c r="AB269" s="5"/>
      <c r="AC269" s="5"/>
      <c r="AD269" s="5"/>
      <c r="AE269" s="5"/>
      <c r="AF269" s="5"/>
      <c r="AG269" s="5"/>
      <c r="AH269" s="5"/>
      <c r="AI269" s="5"/>
      <c r="AJ269" s="5"/>
      <c r="AK269" s="5"/>
      <c r="AL269" s="19"/>
      <c r="AM269" s="19"/>
      <c r="AN269" s="19"/>
      <c r="AO269" s="19"/>
      <c r="AP269" s="19"/>
      <c r="DC269" s="5"/>
      <c r="DD269" s="5"/>
    </row>
    <row r="270" spans="18:108" x14ac:dyDescent="0.2">
      <c r="R270" s="129"/>
      <c r="S270" s="129"/>
      <c r="T270" s="5"/>
      <c r="U270" s="5"/>
      <c r="V270" s="5"/>
      <c r="W270" s="5"/>
      <c r="X270" s="5"/>
      <c r="Y270" s="5"/>
      <c r="Z270" s="5"/>
      <c r="AA270" s="5"/>
      <c r="AB270" s="5"/>
      <c r="AC270" s="5"/>
      <c r="AD270" s="5"/>
      <c r="AE270" s="5"/>
      <c r="AF270" s="5"/>
      <c r="AG270" s="5"/>
      <c r="AH270" s="5"/>
      <c r="AI270" s="5"/>
      <c r="AJ270" s="5"/>
      <c r="AK270" s="5"/>
      <c r="AL270" s="19"/>
      <c r="AM270" s="19"/>
      <c r="AN270" s="19"/>
      <c r="AO270" s="19"/>
      <c r="AP270" s="19"/>
      <c r="DC270" s="5"/>
      <c r="DD270" s="5"/>
    </row>
    <row r="271" spans="18:108" x14ac:dyDescent="0.2">
      <c r="R271" s="129"/>
      <c r="S271" s="129"/>
      <c r="T271" s="5"/>
      <c r="U271" s="5"/>
      <c r="V271" s="5"/>
      <c r="W271" s="5"/>
      <c r="X271" s="5"/>
      <c r="Y271" s="5"/>
      <c r="Z271" s="5"/>
      <c r="AA271" s="5"/>
      <c r="AB271" s="5"/>
      <c r="AC271" s="5"/>
      <c r="AD271" s="5"/>
      <c r="AE271" s="5"/>
      <c r="AF271" s="5"/>
      <c r="AG271" s="5"/>
      <c r="AH271" s="5"/>
      <c r="AI271" s="5"/>
      <c r="AJ271" s="5"/>
      <c r="AK271" s="5"/>
      <c r="AL271" s="19"/>
      <c r="AM271" s="19"/>
      <c r="AN271" s="19"/>
      <c r="AO271" s="19"/>
      <c r="AP271" s="19"/>
      <c r="DC271" s="5"/>
      <c r="DD271" s="5"/>
    </row>
    <row r="272" spans="18:108" x14ac:dyDescent="0.2">
      <c r="R272" s="129"/>
      <c r="S272" s="129"/>
      <c r="T272" s="5"/>
      <c r="U272" s="5"/>
      <c r="V272" s="5"/>
      <c r="W272" s="5"/>
      <c r="X272" s="5"/>
      <c r="Y272" s="5"/>
      <c r="Z272" s="5"/>
      <c r="AA272" s="5"/>
      <c r="AB272" s="5"/>
      <c r="AC272" s="5"/>
      <c r="AD272" s="5"/>
      <c r="AE272" s="5"/>
      <c r="AF272" s="5"/>
      <c r="AG272" s="5"/>
      <c r="AH272" s="5"/>
      <c r="AI272" s="5"/>
      <c r="AJ272" s="5"/>
      <c r="AK272" s="5"/>
      <c r="AL272" s="19"/>
      <c r="AM272" s="19"/>
      <c r="AN272" s="19"/>
      <c r="AO272" s="19"/>
      <c r="AP272" s="19"/>
      <c r="DC272" s="5"/>
      <c r="DD272" s="5"/>
    </row>
    <row r="273" spans="18:108" x14ac:dyDescent="0.2">
      <c r="R273" s="129"/>
      <c r="S273" s="129"/>
      <c r="T273" s="5"/>
      <c r="U273" s="5"/>
      <c r="V273" s="5"/>
      <c r="W273" s="5"/>
      <c r="X273" s="5"/>
      <c r="Y273" s="5"/>
      <c r="Z273" s="5"/>
      <c r="AA273" s="5"/>
      <c r="AB273" s="5"/>
      <c r="AC273" s="5"/>
      <c r="AD273" s="5"/>
      <c r="AE273" s="5"/>
      <c r="AF273" s="5"/>
      <c r="AG273" s="5"/>
      <c r="AH273" s="5"/>
      <c r="AI273" s="5"/>
      <c r="AJ273" s="5"/>
      <c r="AK273" s="5"/>
      <c r="AL273" s="19"/>
      <c r="AM273" s="19"/>
      <c r="AN273" s="19"/>
      <c r="AO273" s="19"/>
      <c r="AP273" s="19"/>
      <c r="DC273" s="5"/>
      <c r="DD273" s="5"/>
    </row>
    <row r="274" spans="18:108" x14ac:dyDescent="0.2">
      <c r="R274" s="129"/>
      <c r="S274" s="129"/>
      <c r="T274" s="5"/>
      <c r="U274" s="5"/>
      <c r="V274" s="5"/>
      <c r="W274" s="5"/>
      <c r="X274" s="5"/>
      <c r="Y274" s="5"/>
      <c r="Z274" s="5"/>
      <c r="AA274" s="5"/>
      <c r="AB274" s="5"/>
      <c r="AC274" s="5"/>
      <c r="AD274" s="5"/>
      <c r="AE274" s="5"/>
      <c r="AF274" s="5"/>
      <c r="AG274" s="5"/>
      <c r="AH274" s="5"/>
      <c r="AI274" s="5"/>
      <c r="AJ274" s="5"/>
      <c r="AK274" s="5"/>
      <c r="AL274" s="19"/>
      <c r="AM274" s="19"/>
      <c r="AN274" s="19"/>
      <c r="AO274" s="19"/>
      <c r="AP274" s="19"/>
      <c r="DC274" s="5"/>
      <c r="DD274" s="5"/>
    </row>
    <row r="275" spans="18:108" x14ac:dyDescent="0.2">
      <c r="R275" s="129"/>
      <c r="S275" s="129"/>
      <c r="T275" s="5"/>
      <c r="U275" s="5"/>
      <c r="V275" s="5"/>
      <c r="W275" s="5"/>
      <c r="X275" s="5"/>
      <c r="Y275" s="5"/>
      <c r="Z275" s="5"/>
      <c r="AA275" s="5"/>
      <c r="AB275" s="5"/>
      <c r="AC275" s="5"/>
      <c r="AD275" s="5"/>
      <c r="AE275" s="5"/>
      <c r="AF275" s="5"/>
      <c r="AG275" s="5"/>
      <c r="AH275" s="5"/>
      <c r="AI275" s="5"/>
      <c r="AJ275" s="5"/>
      <c r="AK275" s="5"/>
      <c r="AL275" s="19"/>
      <c r="AM275" s="19"/>
      <c r="AN275" s="19"/>
      <c r="AO275" s="19"/>
      <c r="AP275" s="19"/>
      <c r="DC275" s="5"/>
      <c r="DD275" s="5"/>
    </row>
    <row r="276" spans="18:108" x14ac:dyDescent="0.2">
      <c r="R276" s="129"/>
      <c r="S276" s="129"/>
      <c r="T276" s="5"/>
      <c r="U276" s="5"/>
      <c r="V276" s="5"/>
      <c r="W276" s="5"/>
      <c r="X276" s="5"/>
      <c r="Y276" s="5"/>
      <c r="Z276" s="5"/>
      <c r="AA276" s="5"/>
      <c r="AB276" s="5"/>
      <c r="AC276" s="5"/>
      <c r="AD276" s="5"/>
      <c r="AE276" s="5"/>
      <c r="AF276" s="5"/>
      <c r="AG276" s="5"/>
      <c r="AH276" s="5"/>
      <c r="AI276" s="5"/>
      <c r="AJ276" s="5"/>
      <c r="AK276" s="5"/>
      <c r="AL276" s="19"/>
      <c r="AM276" s="19"/>
      <c r="AN276" s="19"/>
      <c r="AO276" s="19"/>
      <c r="AP276" s="19"/>
      <c r="DC276" s="5"/>
      <c r="DD276" s="5"/>
    </row>
    <row r="277" spans="18:108" x14ac:dyDescent="0.2">
      <c r="R277" s="129"/>
      <c r="S277" s="129"/>
      <c r="T277" s="5"/>
      <c r="U277" s="5"/>
      <c r="V277" s="5"/>
      <c r="W277" s="5"/>
      <c r="X277" s="5"/>
      <c r="Y277" s="5"/>
      <c r="Z277" s="5"/>
      <c r="AA277" s="5"/>
      <c r="AB277" s="5"/>
      <c r="AC277" s="5"/>
      <c r="AD277" s="5"/>
      <c r="AE277" s="5"/>
      <c r="AF277" s="5"/>
      <c r="AG277" s="5"/>
      <c r="AH277" s="5"/>
      <c r="AI277" s="5"/>
      <c r="AJ277" s="5"/>
      <c r="AK277" s="5"/>
      <c r="AL277" s="19"/>
      <c r="AM277" s="19"/>
      <c r="AN277" s="19"/>
      <c r="AO277" s="19"/>
      <c r="AP277" s="19"/>
      <c r="DC277" s="5"/>
      <c r="DD277" s="5"/>
    </row>
    <row r="278" spans="18:108" x14ac:dyDescent="0.2">
      <c r="R278" s="129"/>
      <c r="S278" s="129"/>
      <c r="T278" s="5"/>
      <c r="U278" s="5"/>
      <c r="V278" s="5"/>
      <c r="W278" s="5"/>
      <c r="X278" s="5"/>
      <c r="Y278" s="5"/>
      <c r="Z278" s="5"/>
      <c r="AA278" s="5"/>
      <c r="AB278" s="5"/>
      <c r="AC278" s="5"/>
      <c r="AD278" s="5"/>
      <c r="AE278" s="5"/>
      <c r="AF278" s="5"/>
      <c r="AG278" s="5"/>
      <c r="AH278" s="5"/>
      <c r="AI278" s="5"/>
      <c r="AJ278" s="5"/>
      <c r="AK278" s="5"/>
      <c r="AL278" s="19"/>
      <c r="AM278" s="19"/>
      <c r="AN278" s="19"/>
      <c r="AO278" s="19"/>
      <c r="AP278" s="19"/>
      <c r="DC278" s="5"/>
      <c r="DD278" s="5"/>
    </row>
    <row r="279" spans="18:108" x14ac:dyDescent="0.2">
      <c r="R279" s="129"/>
      <c r="S279" s="129"/>
      <c r="T279" s="5"/>
      <c r="U279" s="5"/>
      <c r="V279" s="5"/>
      <c r="W279" s="5"/>
      <c r="X279" s="5"/>
      <c r="Y279" s="5"/>
      <c r="Z279" s="5"/>
      <c r="AA279" s="5"/>
      <c r="AB279" s="5"/>
      <c r="AC279" s="5"/>
      <c r="AD279" s="5"/>
      <c r="AE279" s="5"/>
      <c r="AF279" s="5"/>
      <c r="AG279" s="5"/>
      <c r="AH279" s="5"/>
      <c r="AI279" s="5"/>
      <c r="AJ279" s="5"/>
      <c r="AK279" s="5"/>
      <c r="AL279" s="19"/>
      <c r="AM279" s="19"/>
      <c r="AN279" s="19"/>
      <c r="AO279" s="19"/>
      <c r="AP279" s="19"/>
      <c r="DC279" s="5"/>
      <c r="DD279" s="5"/>
    </row>
    <row r="280" spans="18:108" x14ac:dyDescent="0.2">
      <c r="R280" s="129"/>
      <c r="S280" s="129"/>
      <c r="T280" s="5"/>
      <c r="U280" s="5"/>
      <c r="V280" s="5"/>
      <c r="W280" s="5"/>
      <c r="X280" s="5"/>
      <c r="Y280" s="5"/>
      <c r="Z280" s="5"/>
      <c r="AA280" s="5"/>
      <c r="AB280" s="5"/>
      <c r="AC280" s="5"/>
      <c r="AD280" s="5"/>
      <c r="AE280" s="5"/>
      <c r="AF280" s="5"/>
      <c r="AG280" s="5"/>
      <c r="AH280" s="5"/>
      <c r="AI280" s="5"/>
      <c r="AJ280" s="5"/>
      <c r="AK280" s="5"/>
      <c r="AL280" s="19"/>
      <c r="AM280" s="19"/>
      <c r="AN280" s="19"/>
      <c r="AO280" s="19"/>
      <c r="AP280" s="19"/>
      <c r="DC280" s="5"/>
      <c r="DD280" s="5"/>
    </row>
    <row r="281" spans="18:108" x14ac:dyDescent="0.2">
      <c r="R281" s="129"/>
      <c r="S281" s="129"/>
      <c r="T281" s="5"/>
      <c r="U281" s="5"/>
      <c r="V281" s="5"/>
      <c r="W281" s="5"/>
      <c r="X281" s="5"/>
      <c r="Y281" s="5"/>
      <c r="Z281" s="5"/>
      <c r="AA281" s="5"/>
      <c r="AB281" s="5"/>
      <c r="AC281" s="5"/>
      <c r="AD281" s="5"/>
      <c r="AE281" s="5"/>
      <c r="AF281" s="5"/>
      <c r="AG281" s="5"/>
      <c r="AH281" s="5"/>
      <c r="AI281" s="5"/>
      <c r="AJ281" s="5"/>
      <c r="AK281" s="5"/>
      <c r="AL281" s="19"/>
      <c r="AM281" s="19"/>
      <c r="AN281" s="19"/>
      <c r="AO281" s="19"/>
      <c r="AP281" s="19"/>
      <c r="DC281" s="5"/>
      <c r="DD281" s="5"/>
    </row>
    <row r="282" spans="18:108" x14ac:dyDescent="0.2">
      <c r="R282" s="129"/>
      <c r="S282" s="129"/>
      <c r="T282" s="5"/>
      <c r="U282" s="5"/>
      <c r="V282" s="5"/>
      <c r="W282" s="5"/>
      <c r="X282" s="5"/>
      <c r="Y282" s="5"/>
      <c r="Z282" s="5"/>
      <c r="AA282" s="5"/>
      <c r="AB282" s="5"/>
      <c r="AC282" s="5"/>
      <c r="AD282" s="5"/>
      <c r="AE282" s="5"/>
      <c r="AF282" s="5"/>
      <c r="AG282" s="5"/>
      <c r="AH282" s="5"/>
      <c r="AI282" s="5"/>
      <c r="AJ282" s="5"/>
      <c r="AK282" s="5"/>
      <c r="AL282" s="19"/>
      <c r="AM282" s="19"/>
      <c r="AN282" s="19"/>
      <c r="AO282" s="19"/>
      <c r="AP282" s="19"/>
      <c r="DC282" s="5"/>
      <c r="DD282" s="5"/>
    </row>
    <row r="283" spans="18:108" x14ac:dyDescent="0.2">
      <c r="R283" s="129"/>
      <c r="S283" s="129"/>
      <c r="T283" s="5"/>
      <c r="U283" s="5"/>
      <c r="V283" s="5"/>
      <c r="W283" s="5"/>
      <c r="X283" s="5"/>
      <c r="Y283" s="5"/>
      <c r="Z283" s="5"/>
      <c r="AA283" s="5"/>
      <c r="AB283" s="5"/>
      <c r="AC283" s="5"/>
      <c r="AD283" s="5"/>
      <c r="AE283" s="5"/>
      <c r="AF283" s="5"/>
      <c r="AG283" s="5"/>
      <c r="AH283" s="5"/>
      <c r="AI283" s="5"/>
      <c r="AJ283" s="5"/>
      <c r="AK283" s="5"/>
      <c r="AL283" s="19"/>
      <c r="AM283" s="19"/>
      <c r="AN283" s="19"/>
      <c r="AO283" s="19"/>
      <c r="AP283" s="19"/>
      <c r="DC283" s="5"/>
      <c r="DD283" s="5"/>
    </row>
    <row r="284" spans="18:108" x14ac:dyDescent="0.2">
      <c r="R284" s="129"/>
      <c r="S284" s="129"/>
      <c r="T284" s="5"/>
      <c r="U284" s="5"/>
      <c r="V284" s="5"/>
      <c r="W284" s="5"/>
      <c r="X284" s="5"/>
      <c r="Y284" s="5"/>
      <c r="Z284" s="5"/>
      <c r="AA284" s="5"/>
      <c r="AB284" s="5"/>
      <c r="AC284" s="5"/>
      <c r="AD284" s="5"/>
      <c r="AE284" s="5"/>
      <c r="AF284" s="5"/>
      <c r="AG284" s="5"/>
      <c r="AH284" s="5"/>
      <c r="AI284" s="5"/>
      <c r="AJ284" s="5"/>
      <c r="AK284" s="5"/>
      <c r="AL284" s="19"/>
      <c r="AM284" s="19"/>
      <c r="AN284" s="19"/>
      <c r="AO284" s="19"/>
      <c r="AP284" s="19"/>
      <c r="DC284" s="5"/>
      <c r="DD284" s="5"/>
    </row>
    <row r="285" spans="18:108" x14ac:dyDescent="0.2">
      <c r="R285" s="129"/>
      <c r="S285" s="129"/>
      <c r="T285" s="5"/>
      <c r="U285" s="5"/>
      <c r="V285" s="5"/>
      <c r="W285" s="5"/>
      <c r="X285" s="5"/>
      <c r="Y285" s="5"/>
      <c r="Z285" s="5"/>
      <c r="AA285" s="5"/>
      <c r="AB285" s="5"/>
      <c r="AC285" s="5"/>
      <c r="AD285" s="5"/>
      <c r="AE285" s="5"/>
      <c r="AF285" s="5"/>
      <c r="AG285" s="5"/>
      <c r="AH285" s="5"/>
      <c r="AI285" s="5"/>
      <c r="AJ285" s="5"/>
      <c r="AK285" s="5"/>
      <c r="AL285" s="19"/>
      <c r="AM285" s="19"/>
      <c r="AN285" s="19"/>
      <c r="AO285" s="19"/>
      <c r="AP285" s="19"/>
      <c r="DC285" s="5"/>
      <c r="DD285" s="5"/>
    </row>
    <row r="286" spans="18:108" x14ac:dyDescent="0.2">
      <c r="R286" s="129"/>
      <c r="S286" s="129"/>
      <c r="T286" s="5"/>
      <c r="U286" s="5"/>
      <c r="V286" s="5"/>
      <c r="W286" s="5"/>
      <c r="X286" s="5"/>
      <c r="Y286" s="5"/>
      <c r="Z286" s="5"/>
      <c r="AA286" s="5"/>
      <c r="AB286" s="5"/>
      <c r="AC286" s="5"/>
      <c r="AD286" s="5"/>
      <c r="AE286" s="5"/>
      <c r="AF286" s="5"/>
      <c r="AG286" s="5"/>
      <c r="AH286" s="5"/>
      <c r="AI286" s="5"/>
      <c r="AJ286" s="5"/>
      <c r="AK286" s="5"/>
      <c r="AL286" s="19"/>
      <c r="AM286" s="19"/>
      <c r="AN286" s="19"/>
      <c r="AO286" s="19"/>
      <c r="AP286" s="19"/>
      <c r="DC286" s="5"/>
      <c r="DD286" s="5"/>
    </row>
    <row r="287" spans="18:108" x14ac:dyDescent="0.2">
      <c r="R287" s="129"/>
      <c r="S287" s="129"/>
      <c r="T287" s="5"/>
      <c r="U287" s="5"/>
      <c r="V287" s="5"/>
      <c r="W287" s="5"/>
      <c r="X287" s="5"/>
      <c r="Y287" s="5"/>
      <c r="Z287" s="5"/>
      <c r="AA287" s="5"/>
      <c r="AB287" s="5"/>
      <c r="AC287" s="5"/>
      <c r="AD287" s="5"/>
      <c r="AE287" s="5"/>
      <c r="AF287" s="5"/>
      <c r="AG287" s="5"/>
      <c r="AH287" s="5"/>
      <c r="AI287" s="5"/>
      <c r="AJ287" s="5"/>
      <c r="AK287" s="5"/>
      <c r="AL287" s="19"/>
      <c r="AM287" s="19"/>
      <c r="AN287" s="19"/>
      <c r="AO287" s="19"/>
      <c r="AP287" s="19"/>
      <c r="DC287" s="5"/>
      <c r="DD287" s="5"/>
    </row>
    <row r="288" spans="18:108" x14ac:dyDescent="0.2">
      <c r="R288" s="129"/>
      <c r="S288" s="129"/>
      <c r="T288" s="5"/>
      <c r="U288" s="5"/>
      <c r="V288" s="5"/>
      <c r="W288" s="5"/>
      <c r="X288" s="5"/>
      <c r="Y288" s="5"/>
      <c r="Z288" s="5"/>
      <c r="AA288" s="5"/>
      <c r="AB288" s="5"/>
      <c r="AC288" s="5"/>
      <c r="AD288" s="5"/>
      <c r="AE288" s="5"/>
      <c r="AF288" s="5"/>
      <c r="AG288" s="5"/>
      <c r="AH288" s="5"/>
      <c r="AI288" s="5"/>
      <c r="AJ288" s="5"/>
      <c r="AK288" s="5"/>
      <c r="AL288" s="19"/>
      <c r="AM288" s="19"/>
      <c r="AN288" s="19"/>
      <c r="AO288" s="19"/>
      <c r="AP288" s="19"/>
      <c r="DC288" s="5"/>
      <c r="DD288" s="5"/>
    </row>
    <row r="289" spans="18:108" x14ac:dyDescent="0.2">
      <c r="R289" s="129"/>
      <c r="S289" s="129"/>
      <c r="T289" s="5"/>
      <c r="U289" s="5"/>
      <c r="V289" s="5"/>
      <c r="W289" s="5"/>
      <c r="X289" s="5"/>
      <c r="Y289" s="5"/>
      <c r="Z289" s="5"/>
      <c r="AA289" s="5"/>
      <c r="AB289" s="5"/>
      <c r="AC289" s="5"/>
      <c r="AD289" s="5"/>
      <c r="AE289" s="5"/>
      <c r="AF289" s="5"/>
      <c r="AG289" s="5"/>
      <c r="AH289" s="5"/>
      <c r="AI289" s="5"/>
      <c r="AJ289" s="5"/>
      <c r="AK289" s="5"/>
      <c r="AL289" s="19"/>
      <c r="AM289" s="19"/>
      <c r="AN289" s="19"/>
      <c r="AO289" s="19"/>
      <c r="AP289" s="19"/>
      <c r="DC289" s="5"/>
      <c r="DD289" s="5"/>
    </row>
    <row r="290" spans="18:108" x14ac:dyDescent="0.2">
      <c r="R290" s="129"/>
      <c r="S290" s="129"/>
      <c r="T290" s="5"/>
      <c r="U290" s="5"/>
      <c r="V290" s="5"/>
      <c r="W290" s="5"/>
      <c r="X290" s="5"/>
      <c r="Y290" s="5"/>
      <c r="Z290" s="5"/>
      <c r="AA290" s="5"/>
      <c r="AB290" s="5"/>
      <c r="AC290" s="5"/>
      <c r="AD290" s="5"/>
      <c r="AE290" s="5"/>
      <c r="AF290" s="5"/>
      <c r="AG290" s="5"/>
      <c r="AH290" s="5"/>
      <c r="AI290" s="5"/>
      <c r="AJ290" s="5"/>
      <c r="AK290" s="5"/>
      <c r="AL290" s="19"/>
      <c r="AM290" s="19"/>
      <c r="AN290" s="19"/>
      <c r="AO290" s="19"/>
      <c r="AP290" s="19"/>
      <c r="DC290" s="5"/>
      <c r="DD290" s="5"/>
    </row>
    <row r="291" spans="18:108" x14ac:dyDescent="0.2">
      <c r="R291" s="129"/>
      <c r="S291" s="129"/>
      <c r="T291" s="5"/>
      <c r="U291" s="5"/>
      <c r="V291" s="5"/>
      <c r="W291" s="5"/>
      <c r="X291" s="5"/>
      <c r="Y291" s="5"/>
      <c r="Z291" s="5"/>
      <c r="AA291" s="5"/>
      <c r="AB291" s="5"/>
      <c r="AC291" s="5"/>
      <c r="AD291" s="5"/>
      <c r="AE291" s="5"/>
      <c r="AF291" s="5"/>
      <c r="AG291" s="5"/>
      <c r="AH291" s="5"/>
      <c r="AI291" s="5"/>
      <c r="AJ291" s="5"/>
      <c r="AK291" s="5"/>
      <c r="AL291" s="19"/>
      <c r="AM291" s="19"/>
      <c r="AN291" s="19"/>
      <c r="AO291" s="19"/>
      <c r="AP291" s="19"/>
      <c r="DC291" s="5"/>
      <c r="DD291" s="5"/>
    </row>
    <row r="292" spans="18:108" x14ac:dyDescent="0.2">
      <c r="R292" s="129"/>
      <c r="S292" s="129"/>
      <c r="T292" s="5"/>
      <c r="U292" s="5"/>
      <c r="V292" s="5"/>
      <c r="W292" s="5"/>
      <c r="X292" s="5"/>
      <c r="Y292" s="5"/>
      <c r="Z292" s="5"/>
      <c r="AA292" s="5"/>
      <c r="AB292" s="5"/>
      <c r="AC292" s="5"/>
      <c r="AD292" s="5"/>
      <c r="AE292" s="5"/>
      <c r="AF292" s="5"/>
      <c r="AG292" s="5"/>
      <c r="AH292" s="5"/>
      <c r="AI292" s="5"/>
      <c r="AJ292" s="5"/>
      <c r="AK292" s="5"/>
      <c r="AL292" s="19"/>
      <c r="AM292" s="19"/>
      <c r="AN292" s="19"/>
      <c r="AO292" s="19"/>
      <c r="AP292" s="19"/>
      <c r="DC292" s="5"/>
      <c r="DD292" s="5"/>
    </row>
    <row r="293" spans="18:108" x14ac:dyDescent="0.2">
      <c r="R293" s="129"/>
      <c r="S293" s="129"/>
      <c r="T293" s="5"/>
      <c r="U293" s="5"/>
      <c r="V293" s="5"/>
      <c r="W293" s="5"/>
      <c r="X293" s="5"/>
      <c r="Y293" s="5"/>
      <c r="Z293" s="5"/>
      <c r="AA293" s="5"/>
      <c r="AB293" s="5"/>
      <c r="AC293" s="5"/>
      <c r="AD293" s="5"/>
      <c r="AE293" s="5"/>
      <c r="AF293" s="5"/>
      <c r="AG293" s="5"/>
      <c r="AH293" s="5"/>
      <c r="AI293" s="5"/>
      <c r="AJ293" s="5"/>
      <c r="AK293" s="5"/>
      <c r="AL293" s="19"/>
      <c r="AM293" s="19"/>
      <c r="AN293" s="19"/>
      <c r="AO293" s="19"/>
      <c r="AP293" s="19"/>
      <c r="DC293" s="5"/>
      <c r="DD293" s="5"/>
    </row>
    <row r="294" spans="18:108" x14ac:dyDescent="0.2">
      <c r="R294" s="129"/>
      <c r="S294" s="129"/>
      <c r="T294" s="5"/>
      <c r="U294" s="5"/>
      <c r="V294" s="5"/>
      <c r="W294" s="5"/>
      <c r="X294" s="5"/>
      <c r="Y294" s="5"/>
      <c r="Z294" s="5"/>
      <c r="AA294" s="5"/>
      <c r="AB294" s="5"/>
      <c r="AC294" s="5"/>
      <c r="AD294" s="5"/>
      <c r="AE294" s="5"/>
      <c r="AF294" s="5"/>
      <c r="AG294" s="5"/>
      <c r="AH294" s="5"/>
      <c r="AI294" s="5"/>
      <c r="AJ294" s="5"/>
      <c r="AK294" s="5"/>
      <c r="AL294" s="19"/>
      <c r="AM294" s="19"/>
      <c r="AN294" s="19"/>
      <c r="AO294" s="19"/>
      <c r="AP294" s="19"/>
      <c r="DC294" s="5"/>
      <c r="DD294" s="5"/>
    </row>
    <row r="295" spans="18:108" x14ac:dyDescent="0.2">
      <c r="R295" s="129"/>
      <c r="S295" s="129"/>
      <c r="T295" s="5"/>
      <c r="U295" s="5"/>
      <c r="V295" s="5"/>
      <c r="W295" s="5"/>
      <c r="X295" s="5"/>
      <c r="Y295" s="5"/>
      <c r="Z295" s="5"/>
      <c r="AA295" s="5"/>
      <c r="AB295" s="5"/>
      <c r="AC295" s="5"/>
      <c r="AD295" s="5"/>
      <c r="AE295" s="5"/>
      <c r="AF295" s="5"/>
      <c r="AG295" s="5"/>
      <c r="AH295" s="5"/>
      <c r="AI295" s="5"/>
      <c r="AJ295" s="5"/>
      <c r="AK295" s="5"/>
      <c r="AL295" s="19"/>
      <c r="AM295" s="19"/>
      <c r="AN295" s="19"/>
      <c r="AO295" s="19"/>
      <c r="AP295" s="19"/>
      <c r="DC295" s="5"/>
      <c r="DD295" s="5"/>
    </row>
    <row r="296" spans="18:108" x14ac:dyDescent="0.2">
      <c r="R296" s="129"/>
      <c r="S296" s="129"/>
      <c r="T296" s="5"/>
      <c r="U296" s="5"/>
      <c r="V296" s="5"/>
      <c r="W296" s="5"/>
      <c r="X296" s="5"/>
      <c r="Y296" s="5"/>
      <c r="Z296" s="5"/>
      <c r="AA296" s="5"/>
      <c r="AB296" s="5"/>
      <c r="AC296" s="5"/>
      <c r="AD296" s="5"/>
      <c r="AE296" s="5"/>
      <c r="AF296" s="5"/>
      <c r="AG296" s="5"/>
      <c r="AH296" s="5"/>
      <c r="AI296" s="5"/>
      <c r="AJ296" s="5"/>
      <c r="AK296" s="5"/>
      <c r="AL296" s="19"/>
      <c r="AM296" s="19"/>
      <c r="AN296" s="19"/>
      <c r="AO296" s="19"/>
      <c r="AP296" s="19"/>
      <c r="DC296" s="5"/>
      <c r="DD296" s="5"/>
    </row>
    <row r="297" spans="18:108" x14ac:dyDescent="0.2">
      <c r="R297" s="129"/>
      <c r="S297" s="129"/>
      <c r="T297" s="5"/>
      <c r="U297" s="5"/>
      <c r="V297" s="5"/>
      <c r="W297" s="5"/>
      <c r="X297" s="5"/>
      <c r="Y297" s="5"/>
      <c r="Z297" s="5"/>
      <c r="AA297" s="5"/>
      <c r="AB297" s="5"/>
      <c r="AC297" s="5"/>
      <c r="AD297" s="5"/>
      <c r="AE297" s="5"/>
      <c r="AF297" s="5"/>
      <c r="AG297" s="5"/>
      <c r="AH297" s="5"/>
      <c r="AI297" s="5"/>
      <c r="AJ297" s="5"/>
      <c r="AK297" s="5"/>
      <c r="AL297" s="19"/>
      <c r="AM297" s="19"/>
      <c r="AN297" s="19"/>
      <c r="AO297" s="19"/>
      <c r="AP297" s="19"/>
      <c r="DC297" s="5"/>
      <c r="DD297" s="5"/>
    </row>
    <row r="298" spans="18:108" x14ac:dyDescent="0.2">
      <c r="R298" s="129"/>
      <c r="S298" s="129"/>
      <c r="T298" s="5"/>
      <c r="U298" s="5"/>
      <c r="V298" s="5"/>
      <c r="W298" s="5"/>
      <c r="X298" s="5"/>
      <c r="Y298" s="5"/>
      <c r="Z298" s="5"/>
      <c r="AA298" s="5"/>
      <c r="AB298" s="5"/>
      <c r="AC298" s="5"/>
      <c r="AD298" s="5"/>
      <c r="AE298" s="5"/>
      <c r="AF298" s="5"/>
      <c r="AG298" s="5"/>
      <c r="AH298" s="5"/>
      <c r="AI298" s="5"/>
      <c r="AJ298" s="5"/>
      <c r="AK298" s="5"/>
      <c r="AL298" s="19"/>
      <c r="AM298" s="19"/>
      <c r="AN298" s="19"/>
      <c r="AO298" s="19"/>
      <c r="AP298" s="19"/>
      <c r="DC298" s="5"/>
      <c r="DD298" s="5"/>
    </row>
    <row r="299" spans="18:108" x14ac:dyDescent="0.2">
      <c r="R299" s="129"/>
      <c r="S299" s="129"/>
      <c r="T299" s="5"/>
      <c r="U299" s="5"/>
      <c r="V299" s="5"/>
      <c r="W299" s="5"/>
      <c r="X299" s="5"/>
      <c r="Y299" s="5"/>
      <c r="Z299" s="5"/>
      <c r="AA299" s="5"/>
      <c r="AB299" s="5"/>
      <c r="AC299" s="5"/>
      <c r="AD299" s="5"/>
      <c r="AE299" s="5"/>
      <c r="AF299" s="5"/>
      <c r="AG299" s="5"/>
      <c r="AH299" s="5"/>
      <c r="AI299" s="5"/>
      <c r="AJ299" s="5"/>
      <c r="AK299" s="5"/>
      <c r="AL299" s="19"/>
      <c r="AM299" s="19"/>
      <c r="AN299" s="19"/>
      <c r="AO299" s="19"/>
      <c r="AP299" s="19"/>
      <c r="DC299" s="5"/>
      <c r="DD299" s="5"/>
    </row>
    <row r="300" spans="18:108" x14ac:dyDescent="0.2">
      <c r="R300" s="129"/>
      <c r="S300" s="129"/>
      <c r="T300" s="5"/>
      <c r="U300" s="5"/>
      <c r="V300" s="5"/>
      <c r="W300" s="5"/>
      <c r="X300" s="5"/>
      <c r="Y300" s="5"/>
      <c r="Z300" s="5"/>
      <c r="AA300" s="5"/>
      <c r="AB300" s="5"/>
      <c r="AC300" s="5"/>
      <c r="AD300" s="5"/>
      <c r="AE300" s="5"/>
      <c r="AF300" s="5"/>
      <c r="AG300" s="5"/>
      <c r="AH300" s="5"/>
      <c r="AI300" s="5"/>
      <c r="AJ300" s="5"/>
      <c r="AK300" s="5"/>
      <c r="AL300" s="19"/>
      <c r="AM300" s="19"/>
      <c r="AN300" s="19"/>
      <c r="AO300" s="19"/>
      <c r="AP300" s="19"/>
      <c r="DC300" s="5"/>
      <c r="DD300" s="5"/>
    </row>
    <row r="301" spans="18:108" x14ac:dyDescent="0.2">
      <c r="R301" s="129"/>
      <c r="S301" s="129"/>
      <c r="T301" s="5"/>
      <c r="U301" s="5"/>
      <c r="V301" s="5"/>
      <c r="W301" s="5"/>
      <c r="X301" s="5"/>
      <c r="Y301" s="5"/>
      <c r="Z301" s="5"/>
      <c r="AA301" s="5"/>
      <c r="AB301" s="5"/>
      <c r="AC301" s="5"/>
      <c r="AD301" s="5"/>
      <c r="AE301" s="5"/>
      <c r="AF301" s="5"/>
      <c r="AG301" s="5"/>
      <c r="AH301" s="5"/>
      <c r="AI301" s="5"/>
      <c r="AJ301" s="5"/>
      <c r="AK301" s="5"/>
      <c r="AL301" s="19"/>
      <c r="AM301" s="19"/>
      <c r="AN301" s="19"/>
      <c r="AO301" s="19"/>
      <c r="AP301" s="19"/>
      <c r="DC301" s="5"/>
      <c r="DD301" s="5"/>
    </row>
    <row r="302" spans="18:108" x14ac:dyDescent="0.2">
      <c r="R302" s="129"/>
      <c r="S302" s="129"/>
      <c r="T302" s="5"/>
      <c r="U302" s="5"/>
      <c r="V302" s="5"/>
      <c r="W302" s="5"/>
      <c r="X302" s="5"/>
      <c r="Y302" s="5"/>
      <c r="Z302" s="5"/>
      <c r="AA302" s="5"/>
      <c r="AB302" s="5"/>
      <c r="AC302" s="5"/>
      <c r="AD302" s="5"/>
      <c r="AE302" s="5"/>
      <c r="AF302" s="5"/>
      <c r="AG302" s="5"/>
      <c r="AH302" s="5"/>
      <c r="AI302" s="5"/>
      <c r="AJ302" s="5"/>
      <c r="AK302" s="5"/>
      <c r="AL302" s="19"/>
      <c r="AM302" s="19"/>
      <c r="AN302" s="19"/>
      <c r="AO302" s="19"/>
      <c r="AP302" s="19"/>
      <c r="DC302" s="5"/>
      <c r="DD302" s="5"/>
    </row>
    <row r="303" spans="18:108" x14ac:dyDescent="0.2">
      <c r="R303" s="129"/>
      <c r="S303" s="129"/>
      <c r="T303" s="5"/>
      <c r="U303" s="5"/>
      <c r="V303" s="5"/>
      <c r="W303" s="5"/>
      <c r="X303" s="5"/>
      <c r="Y303" s="5"/>
      <c r="Z303" s="5"/>
      <c r="AA303" s="5"/>
      <c r="AB303" s="5"/>
      <c r="AC303" s="5"/>
      <c r="AD303" s="5"/>
      <c r="AE303" s="5"/>
      <c r="AF303" s="5"/>
      <c r="AG303" s="5"/>
      <c r="AH303" s="5"/>
      <c r="AI303" s="5"/>
      <c r="AJ303" s="5"/>
      <c r="AK303" s="5"/>
      <c r="AL303" s="19"/>
      <c r="AM303" s="19"/>
      <c r="AN303" s="19"/>
      <c r="AO303" s="19"/>
      <c r="AP303" s="19"/>
      <c r="DC303" s="5"/>
      <c r="DD303" s="5"/>
    </row>
    <row r="304" spans="18:108" x14ac:dyDescent="0.2">
      <c r="R304" s="129"/>
      <c r="S304" s="129"/>
      <c r="T304" s="5"/>
      <c r="U304" s="5"/>
      <c r="V304" s="5"/>
      <c r="W304" s="5"/>
      <c r="X304" s="5"/>
      <c r="Y304" s="5"/>
      <c r="Z304" s="5"/>
      <c r="AA304" s="5"/>
      <c r="AB304" s="5"/>
      <c r="AC304" s="5"/>
      <c r="AD304" s="5"/>
      <c r="AE304" s="5"/>
      <c r="AF304" s="5"/>
      <c r="AG304" s="5"/>
      <c r="AH304" s="5"/>
      <c r="AI304" s="5"/>
      <c r="AJ304" s="5"/>
      <c r="AK304" s="5"/>
      <c r="AL304" s="19"/>
      <c r="AM304" s="19"/>
      <c r="AN304" s="19"/>
      <c r="AO304" s="19"/>
      <c r="AP304" s="19"/>
      <c r="DC304" s="5"/>
      <c r="DD304" s="5"/>
    </row>
    <row r="305" spans="18:108" x14ac:dyDescent="0.2">
      <c r="R305" s="129"/>
      <c r="S305" s="129"/>
      <c r="T305" s="5"/>
      <c r="U305" s="5"/>
      <c r="V305" s="5"/>
      <c r="W305" s="5"/>
      <c r="X305" s="5"/>
      <c r="Y305" s="5"/>
      <c r="Z305" s="5"/>
      <c r="AA305" s="5"/>
      <c r="AB305" s="5"/>
      <c r="AC305" s="5"/>
      <c r="AD305" s="5"/>
      <c r="AE305" s="5"/>
      <c r="AF305" s="5"/>
      <c r="AG305" s="5"/>
      <c r="AH305" s="5"/>
      <c r="AI305" s="5"/>
      <c r="AJ305" s="5"/>
      <c r="AK305" s="5"/>
      <c r="AL305" s="19"/>
      <c r="AM305" s="19"/>
      <c r="AN305" s="19"/>
      <c r="AO305" s="19"/>
      <c r="AP305" s="19"/>
      <c r="DC305" s="5"/>
      <c r="DD305" s="5"/>
    </row>
    <row r="306" spans="18:108" x14ac:dyDescent="0.2">
      <c r="R306" s="129"/>
      <c r="S306" s="129"/>
      <c r="T306" s="5"/>
      <c r="U306" s="5"/>
      <c r="V306" s="5"/>
      <c r="W306" s="5"/>
      <c r="X306" s="5"/>
      <c r="Y306" s="5"/>
      <c r="Z306" s="5"/>
      <c r="AA306" s="5"/>
      <c r="AB306" s="5"/>
      <c r="AC306" s="5"/>
      <c r="AD306" s="5"/>
      <c r="AE306" s="5"/>
      <c r="AF306" s="5"/>
      <c r="AG306" s="5"/>
      <c r="AH306" s="5"/>
      <c r="AI306" s="5"/>
      <c r="AJ306" s="5"/>
      <c r="AK306" s="5"/>
      <c r="AL306" s="19"/>
      <c r="AM306" s="19"/>
      <c r="AN306" s="19"/>
      <c r="AO306" s="19"/>
      <c r="AP306" s="19"/>
      <c r="DC306" s="5"/>
      <c r="DD306" s="5"/>
    </row>
    <row r="307" spans="18:108" x14ac:dyDescent="0.2">
      <c r="R307" s="129"/>
      <c r="S307" s="129"/>
      <c r="T307" s="5"/>
      <c r="U307" s="5"/>
      <c r="V307" s="5"/>
      <c r="W307" s="5"/>
      <c r="X307" s="5"/>
      <c r="Y307" s="5"/>
      <c r="Z307" s="5"/>
      <c r="AA307" s="5"/>
      <c r="AB307" s="5"/>
      <c r="AC307" s="5"/>
      <c r="AD307" s="5"/>
      <c r="AE307" s="5"/>
      <c r="AF307" s="5"/>
      <c r="AG307" s="5"/>
      <c r="AH307" s="5"/>
      <c r="AI307" s="5"/>
      <c r="AJ307" s="5"/>
      <c r="AK307" s="5"/>
      <c r="AL307" s="19"/>
      <c r="AM307" s="19"/>
      <c r="AN307" s="19"/>
      <c r="AO307" s="19"/>
      <c r="AP307" s="19"/>
      <c r="DC307" s="5"/>
      <c r="DD307" s="5"/>
    </row>
    <row r="308" spans="18:108" x14ac:dyDescent="0.2">
      <c r="R308" s="129"/>
      <c r="S308" s="129"/>
      <c r="T308" s="5"/>
      <c r="U308" s="5"/>
      <c r="V308" s="5"/>
      <c r="W308" s="5"/>
      <c r="X308" s="5"/>
      <c r="Y308" s="5"/>
      <c r="Z308" s="5"/>
      <c r="AA308" s="5"/>
      <c r="AB308" s="5"/>
      <c r="AC308" s="5"/>
      <c r="AD308" s="5"/>
      <c r="AE308" s="5"/>
      <c r="AF308" s="5"/>
      <c r="AG308" s="5"/>
      <c r="AH308" s="5"/>
      <c r="AI308" s="5"/>
      <c r="AJ308" s="5"/>
      <c r="AK308" s="5"/>
      <c r="AL308" s="19"/>
      <c r="AM308" s="19"/>
      <c r="AN308" s="19"/>
      <c r="AO308" s="19"/>
      <c r="AP308" s="19"/>
      <c r="DC308" s="5"/>
      <c r="DD308" s="5"/>
    </row>
    <row r="309" spans="18:108" x14ac:dyDescent="0.2">
      <c r="R309" s="129"/>
      <c r="S309" s="129"/>
      <c r="T309" s="5"/>
      <c r="U309" s="5"/>
      <c r="V309" s="5"/>
      <c r="W309" s="5"/>
      <c r="X309" s="5"/>
      <c r="Y309" s="5"/>
      <c r="Z309" s="5"/>
      <c r="AA309" s="5"/>
      <c r="AB309" s="5"/>
      <c r="AC309" s="5"/>
      <c r="AD309" s="5"/>
      <c r="AE309" s="5"/>
      <c r="AF309" s="5"/>
      <c r="AG309" s="5"/>
      <c r="AH309" s="5"/>
      <c r="AI309" s="5"/>
      <c r="AJ309" s="5"/>
      <c r="AK309" s="5"/>
      <c r="AL309" s="19"/>
      <c r="AM309" s="19"/>
      <c r="AN309" s="19"/>
      <c r="AO309" s="19"/>
      <c r="AP309" s="19"/>
      <c r="DC309" s="5"/>
      <c r="DD309" s="5"/>
    </row>
    <row r="310" spans="18:108" x14ac:dyDescent="0.2">
      <c r="R310" s="129"/>
      <c r="S310" s="129"/>
      <c r="T310" s="5"/>
      <c r="U310" s="5"/>
      <c r="V310" s="5"/>
      <c r="W310" s="5"/>
      <c r="X310" s="5"/>
      <c r="Y310" s="5"/>
      <c r="Z310" s="5"/>
      <c r="AA310" s="5"/>
      <c r="AB310" s="5"/>
      <c r="AC310" s="5"/>
      <c r="AD310" s="5"/>
      <c r="AE310" s="5"/>
      <c r="AF310" s="5"/>
      <c r="AG310" s="5"/>
      <c r="AH310" s="5"/>
      <c r="AI310" s="5"/>
      <c r="AJ310" s="5"/>
      <c r="AK310" s="5"/>
      <c r="AL310" s="19"/>
      <c r="AM310" s="19"/>
      <c r="AN310" s="19"/>
      <c r="AO310" s="19"/>
      <c r="AP310" s="19"/>
      <c r="DC310" s="5"/>
      <c r="DD310" s="5"/>
    </row>
    <row r="311" spans="18:108" x14ac:dyDescent="0.2">
      <c r="R311" s="129"/>
      <c r="S311" s="129"/>
      <c r="T311" s="5"/>
      <c r="U311" s="5"/>
      <c r="V311" s="5"/>
      <c r="W311" s="5"/>
      <c r="X311" s="5"/>
      <c r="Y311" s="5"/>
      <c r="Z311" s="5"/>
      <c r="AA311" s="5"/>
      <c r="AB311" s="5"/>
      <c r="AC311" s="5"/>
      <c r="AD311" s="5"/>
      <c r="AE311" s="5"/>
      <c r="AF311" s="5"/>
      <c r="AG311" s="5"/>
      <c r="AH311" s="5"/>
      <c r="AI311" s="5"/>
      <c r="AJ311" s="5"/>
      <c r="AK311" s="5"/>
      <c r="AL311" s="19"/>
      <c r="AM311" s="19"/>
      <c r="AN311" s="19"/>
      <c r="AO311" s="19"/>
      <c r="AP311" s="19"/>
      <c r="DC311" s="5"/>
      <c r="DD311" s="5"/>
    </row>
    <row r="312" spans="18:108" x14ac:dyDescent="0.2">
      <c r="R312" s="129"/>
      <c r="S312" s="129"/>
      <c r="T312" s="5"/>
      <c r="U312" s="5"/>
      <c r="V312" s="5"/>
      <c r="W312" s="5"/>
      <c r="X312" s="5"/>
      <c r="Y312" s="5"/>
      <c r="Z312" s="5"/>
      <c r="AA312" s="5"/>
      <c r="AB312" s="5"/>
      <c r="AC312" s="5"/>
      <c r="AD312" s="5"/>
      <c r="AE312" s="5"/>
      <c r="AF312" s="5"/>
      <c r="AG312" s="5"/>
      <c r="AH312" s="5"/>
      <c r="AI312" s="5"/>
      <c r="AJ312" s="5"/>
      <c r="AK312" s="5"/>
      <c r="AL312" s="19"/>
      <c r="AM312" s="19"/>
      <c r="AN312" s="19"/>
      <c r="AO312" s="19"/>
      <c r="AP312" s="19"/>
      <c r="DC312" s="5"/>
      <c r="DD312" s="5"/>
    </row>
    <row r="313" spans="18:108" x14ac:dyDescent="0.2">
      <c r="R313" s="129"/>
      <c r="S313" s="129"/>
      <c r="T313" s="5"/>
      <c r="U313" s="5"/>
      <c r="V313" s="5"/>
      <c r="W313" s="5"/>
      <c r="X313" s="5"/>
      <c r="Y313" s="5"/>
      <c r="Z313" s="5"/>
      <c r="AA313" s="5"/>
      <c r="AB313" s="5"/>
      <c r="AC313" s="5"/>
      <c r="AD313" s="5"/>
      <c r="AE313" s="5"/>
      <c r="AF313" s="5"/>
      <c r="AG313" s="5"/>
      <c r="AH313" s="5"/>
      <c r="AI313" s="5"/>
      <c r="AJ313" s="5"/>
      <c r="AK313" s="5"/>
      <c r="AL313" s="19"/>
      <c r="AM313" s="19"/>
      <c r="AN313" s="19"/>
      <c r="AO313" s="19"/>
      <c r="AP313" s="19"/>
      <c r="DC313" s="5"/>
      <c r="DD313" s="5"/>
    </row>
    <row r="314" spans="18:108" x14ac:dyDescent="0.2">
      <c r="R314" s="129"/>
      <c r="S314" s="129"/>
      <c r="T314" s="5"/>
      <c r="U314" s="5"/>
      <c r="V314" s="5"/>
      <c r="W314" s="5"/>
      <c r="X314" s="5"/>
      <c r="Y314" s="5"/>
      <c r="Z314" s="5"/>
      <c r="AA314" s="5"/>
      <c r="AB314" s="5"/>
      <c r="AC314" s="5"/>
      <c r="AD314" s="5"/>
      <c r="AE314" s="5"/>
      <c r="AF314" s="5"/>
      <c r="AG314" s="5"/>
      <c r="AH314" s="5"/>
      <c r="AI314" s="5"/>
      <c r="AJ314" s="5"/>
      <c r="AK314" s="5"/>
      <c r="AL314" s="19"/>
      <c r="AM314" s="19"/>
      <c r="AN314" s="19"/>
      <c r="AO314" s="19"/>
      <c r="AP314" s="19"/>
      <c r="DC314" s="5"/>
      <c r="DD314" s="5"/>
    </row>
    <row r="315" spans="18:108" x14ac:dyDescent="0.2">
      <c r="R315" s="129"/>
      <c r="S315" s="129"/>
      <c r="T315" s="5"/>
      <c r="U315" s="5"/>
      <c r="V315" s="5"/>
      <c r="W315" s="5"/>
      <c r="X315" s="5"/>
      <c r="Y315" s="5"/>
      <c r="Z315" s="5"/>
      <c r="AA315" s="5"/>
      <c r="AB315" s="5"/>
      <c r="AC315" s="5"/>
      <c r="AD315" s="5"/>
      <c r="AE315" s="5"/>
      <c r="AF315" s="5"/>
      <c r="AG315" s="5"/>
      <c r="AH315" s="5"/>
      <c r="AI315" s="5"/>
      <c r="AJ315" s="5"/>
      <c r="AK315" s="5"/>
      <c r="AL315" s="19"/>
      <c r="AM315" s="19"/>
      <c r="AN315" s="19"/>
      <c r="AO315" s="19"/>
      <c r="AP315" s="19"/>
      <c r="DC315" s="5"/>
      <c r="DD315" s="5"/>
    </row>
    <row r="316" spans="18:108" x14ac:dyDescent="0.2">
      <c r="R316" s="129"/>
      <c r="S316" s="129"/>
      <c r="T316" s="5"/>
      <c r="U316" s="5"/>
      <c r="V316" s="5"/>
      <c r="W316" s="5"/>
      <c r="X316" s="5"/>
      <c r="Y316" s="5"/>
      <c r="Z316" s="5"/>
      <c r="AA316" s="5"/>
      <c r="AB316" s="5"/>
      <c r="AC316" s="5"/>
      <c r="AD316" s="5"/>
      <c r="AE316" s="5"/>
      <c r="AF316" s="5"/>
      <c r="AG316" s="5"/>
      <c r="AH316" s="5"/>
      <c r="AI316" s="5"/>
      <c r="AJ316" s="5"/>
      <c r="AK316" s="5"/>
      <c r="AL316" s="19"/>
      <c r="AM316" s="19"/>
      <c r="AN316" s="19"/>
      <c r="AO316" s="19"/>
      <c r="AP316" s="19"/>
      <c r="DC316" s="5"/>
      <c r="DD316" s="5"/>
    </row>
    <row r="317" spans="18:108" x14ac:dyDescent="0.2">
      <c r="R317" s="129"/>
      <c r="S317" s="129"/>
      <c r="T317" s="5"/>
      <c r="U317" s="5"/>
      <c r="V317" s="5"/>
      <c r="W317" s="5"/>
      <c r="X317" s="5"/>
      <c r="Y317" s="5"/>
      <c r="Z317" s="5"/>
      <c r="AA317" s="5"/>
      <c r="AB317" s="5"/>
      <c r="AC317" s="5"/>
      <c r="AD317" s="5"/>
      <c r="AE317" s="5"/>
      <c r="AF317" s="5"/>
      <c r="AG317" s="5"/>
      <c r="AH317" s="5"/>
      <c r="AI317" s="5"/>
      <c r="AJ317" s="5"/>
      <c r="AK317" s="5"/>
      <c r="AL317" s="19"/>
      <c r="AM317" s="19"/>
      <c r="AN317" s="19"/>
      <c r="AO317" s="19"/>
      <c r="AP317" s="19"/>
      <c r="DC317" s="5"/>
      <c r="DD317" s="5"/>
    </row>
    <row r="318" spans="18:108" x14ac:dyDescent="0.2">
      <c r="R318" s="129"/>
      <c r="S318" s="129"/>
      <c r="T318" s="5"/>
      <c r="U318" s="5"/>
      <c r="V318" s="5"/>
      <c r="W318" s="5"/>
      <c r="X318" s="5"/>
      <c r="Y318" s="5"/>
      <c r="Z318" s="5"/>
      <c r="AA318" s="5"/>
      <c r="AB318" s="5"/>
      <c r="AC318" s="5"/>
      <c r="AD318" s="5"/>
      <c r="AE318" s="5"/>
      <c r="AF318" s="5"/>
      <c r="AG318" s="5"/>
      <c r="AH318" s="5"/>
      <c r="AI318" s="5"/>
      <c r="AJ318" s="5"/>
      <c r="AK318" s="5"/>
      <c r="AL318" s="19"/>
      <c r="AM318" s="19"/>
      <c r="AN318" s="19"/>
      <c r="AO318" s="19"/>
      <c r="AP318" s="19"/>
      <c r="DC318" s="5"/>
      <c r="DD318" s="5"/>
    </row>
    <row r="319" spans="18:108" x14ac:dyDescent="0.2">
      <c r="R319" s="129"/>
      <c r="S319" s="129"/>
      <c r="T319" s="5"/>
      <c r="U319" s="5"/>
      <c r="V319" s="5"/>
      <c r="W319" s="5"/>
      <c r="X319" s="5"/>
      <c r="Y319" s="5"/>
      <c r="Z319" s="5"/>
      <c r="AA319" s="5"/>
      <c r="AB319" s="5"/>
      <c r="AC319" s="5"/>
      <c r="AD319" s="5"/>
      <c r="AE319" s="5"/>
      <c r="AF319" s="5"/>
      <c r="AG319" s="5"/>
      <c r="AH319" s="5"/>
      <c r="AI319" s="5"/>
      <c r="AJ319" s="5"/>
      <c r="AK319" s="5"/>
      <c r="AL319" s="19"/>
      <c r="AM319" s="19"/>
      <c r="AN319" s="19"/>
      <c r="AO319" s="19"/>
      <c r="AP319" s="19"/>
      <c r="DC319" s="5"/>
      <c r="DD319" s="5"/>
    </row>
    <row r="320" spans="18:108" x14ac:dyDescent="0.2">
      <c r="R320" s="129"/>
      <c r="S320" s="129"/>
      <c r="T320" s="5"/>
      <c r="U320" s="5"/>
      <c r="V320" s="5"/>
      <c r="W320" s="5"/>
      <c r="X320" s="5"/>
      <c r="Y320" s="5"/>
      <c r="Z320" s="5"/>
      <c r="AA320" s="5"/>
      <c r="AB320" s="5"/>
      <c r="AC320" s="5"/>
      <c r="AD320" s="5"/>
      <c r="AE320" s="5"/>
      <c r="AF320" s="5"/>
      <c r="AG320" s="5"/>
      <c r="AH320" s="5"/>
      <c r="AI320" s="5"/>
      <c r="AJ320" s="5"/>
      <c r="AK320" s="5"/>
      <c r="AL320" s="19"/>
      <c r="AM320" s="19"/>
      <c r="AN320" s="19"/>
      <c r="AO320" s="19"/>
      <c r="AP320" s="19"/>
      <c r="DC320" s="5"/>
      <c r="DD320" s="5"/>
    </row>
    <row r="321" spans="18:108" x14ac:dyDescent="0.2">
      <c r="R321" s="129"/>
      <c r="S321" s="129"/>
      <c r="T321" s="5"/>
      <c r="U321" s="5"/>
      <c r="V321" s="5"/>
      <c r="W321" s="5"/>
      <c r="X321" s="5"/>
      <c r="Y321" s="5"/>
      <c r="Z321" s="5"/>
      <c r="AA321" s="5"/>
      <c r="AB321" s="5"/>
      <c r="AC321" s="5"/>
      <c r="AD321" s="5"/>
      <c r="AE321" s="5"/>
      <c r="AF321" s="5"/>
      <c r="AG321" s="5"/>
      <c r="AH321" s="5"/>
      <c r="AI321" s="5"/>
      <c r="AJ321" s="5"/>
      <c r="AK321" s="5"/>
      <c r="AL321" s="19"/>
      <c r="AM321" s="19"/>
      <c r="AN321" s="19"/>
      <c r="AO321" s="19"/>
      <c r="AP321" s="19"/>
      <c r="DC321" s="5"/>
      <c r="DD321" s="5"/>
    </row>
    <row r="322" spans="18:108" x14ac:dyDescent="0.2">
      <c r="R322" s="129"/>
      <c r="S322" s="129"/>
      <c r="T322" s="5"/>
      <c r="U322" s="5"/>
      <c r="V322" s="5"/>
      <c r="W322" s="5"/>
      <c r="X322" s="5"/>
      <c r="Y322" s="5"/>
      <c r="Z322" s="5"/>
      <c r="AA322" s="5"/>
      <c r="AB322" s="5"/>
      <c r="AC322" s="5"/>
      <c r="AD322" s="5"/>
      <c r="AE322" s="5"/>
      <c r="AF322" s="5"/>
      <c r="AG322" s="5"/>
      <c r="AH322" s="5"/>
      <c r="AI322" s="5"/>
      <c r="AJ322" s="5"/>
      <c r="AK322" s="5"/>
      <c r="AL322" s="19"/>
      <c r="AM322" s="19"/>
      <c r="AN322" s="19"/>
      <c r="AO322" s="19"/>
      <c r="AP322" s="19"/>
      <c r="DC322" s="5"/>
      <c r="DD322" s="5"/>
    </row>
    <row r="323" spans="18:108" x14ac:dyDescent="0.2">
      <c r="R323" s="129"/>
      <c r="S323" s="129"/>
      <c r="T323" s="5"/>
      <c r="U323" s="5"/>
      <c r="V323" s="5"/>
      <c r="W323" s="5"/>
      <c r="X323" s="5"/>
      <c r="Y323" s="5"/>
      <c r="Z323" s="5"/>
      <c r="AA323" s="5"/>
      <c r="AB323" s="5"/>
      <c r="AC323" s="5"/>
      <c r="AD323" s="5"/>
      <c r="AE323" s="5"/>
      <c r="AF323" s="5"/>
      <c r="AG323" s="5"/>
      <c r="AH323" s="5"/>
      <c r="AI323" s="5"/>
      <c r="AJ323" s="5"/>
      <c r="AK323" s="5"/>
      <c r="AL323" s="19"/>
      <c r="AM323" s="19"/>
      <c r="AN323" s="19"/>
      <c r="AO323" s="19"/>
      <c r="AP323" s="19"/>
      <c r="DC323" s="5"/>
      <c r="DD323" s="5"/>
    </row>
    <row r="324" spans="18:108" x14ac:dyDescent="0.2">
      <c r="R324" s="129"/>
      <c r="S324" s="129"/>
      <c r="T324" s="5"/>
      <c r="U324" s="5"/>
      <c r="V324" s="5"/>
      <c r="W324" s="5"/>
      <c r="X324" s="5"/>
      <c r="Y324" s="5"/>
      <c r="Z324" s="5"/>
      <c r="AA324" s="5"/>
      <c r="AB324" s="5"/>
      <c r="AC324" s="5"/>
      <c r="AD324" s="5"/>
      <c r="AE324" s="5"/>
      <c r="AF324" s="5"/>
      <c r="AG324" s="5"/>
      <c r="AH324" s="5"/>
      <c r="AI324" s="5"/>
      <c r="AJ324" s="5"/>
      <c r="AK324" s="5"/>
      <c r="AL324" s="19"/>
      <c r="AM324" s="19"/>
      <c r="AN324" s="19"/>
      <c r="AO324" s="19"/>
      <c r="AP324" s="19"/>
      <c r="DC324" s="5"/>
      <c r="DD324" s="5"/>
    </row>
    <row r="325" spans="18:108" x14ac:dyDescent="0.2">
      <c r="R325" s="129"/>
      <c r="S325" s="129"/>
      <c r="T325" s="5"/>
      <c r="U325" s="5"/>
      <c r="V325" s="5"/>
      <c r="W325" s="5"/>
      <c r="X325" s="5"/>
      <c r="Y325" s="5"/>
      <c r="Z325" s="5"/>
      <c r="AA325" s="5"/>
      <c r="AB325" s="5"/>
      <c r="AC325" s="5"/>
      <c r="AD325" s="5"/>
      <c r="AE325" s="5"/>
      <c r="AF325" s="5"/>
      <c r="AG325" s="5"/>
      <c r="AH325" s="5"/>
      <c r="AI325" s="5"/>
      <c r="AJ325" s="5"/>
      <c r="AK325" s="5"/>
      <c r="AL325" s="19"/>
      <c r="AM325" s="19"/>
      <c r="AN325" s="19"/>
      <c r="AO325" s="19"/>
      <c r="AP325" s="19"/>
      <c r="DC325" s="5"/>
      <c r="DD325" s="5"/>
    </row>
    <row r="326" spans="18:108" x14ac:dyDescent="0.2">
      <c r="R326" s="129"/>
      <c r="S326" s="129"/>
      <c r="T326" s="5"/>
      <c r="U326" s="5"/>
      <c r="V326" s="5"/>
      <c r="W326" s="5"/>
      <c r="X326" s="5"/>
      <c r="Y326" s="5"/>
      <c r="Z326" s="5"/>
      <c r="AA326" s="5"/>
      <c r="AB326" s="5"/>
      <c r="AC326" s="5"/>
      <c r="AD326" s="5"/>
      <c r="AE326" s="5"/>
      <c r="AF326" s="5"/>
      <c r="AG326" s="5"/>
      <c r="AH326" s="5"/>
      <c r="AI326" s="5"/>
      <c r="AJ326" s="5"/>
      <c r="AK326" s="5"/>
      <c r="AL326" s="19"/>
      <c r="AM326" s="19"/>
      <c r="AN326" s="19"/>
      <c r="AO326" s="19"/>
      <c r="AP326" s="19"/>
      <c r="DC326" s="5"/>
      <c r="DD326" s="5"/>
    </row>
    <row r="327" spans="18:108" x14ac:dyDescent="0.2">
      <c r="R327" s="129"/>
      <c r="S327" s="129"/>
      <c r="T327" s="5"/>
      <c r="U327" s="5"/>
      <c r="V327" s="5"/>
      <c r="W327" s="5"/>
      <c r="X327" s="5"/>
      <c r="Y327" s="5"/>
      <c r="Z327" s="5"/>
      <c r="AA327" s="5"/>
      <c r="AB327" s="5"/>
      <c r="AC327" s="5"/>
      <c r="AD327" s="5"/>
      <c r="AE327" s="5"/>
      <c r="AF327" s="5"/>
      <c r="AG327" s="5"/>
      <c r="AH327" s="5"/>
      <c r="AI327" s="5"/>
      <c r="AJ327" s="5"/>
      <c r="AK327" s="5"/>
      <c r="AL327" s="19"/>
      <c r="AM327" s="19"/>
      <c r="AN327" s="19"/>
      <c r="AO327" s="19"/>
      <c r="AP327" s="19"/>
      <c r="DC327" s="5"/>
      <c r="DD327" s="5"/>
    </row>
    <row r="328" spans="18:108" x14ac:dyDescent="0.2">
      <c r="R328" s="129"/>
      <c r="S328" s="129"/>
      <c r="T328" s="5"/>
      <c r="U328" s="5"/>
      <c r="V328" s="5"/>
      <c r="W328" s="5"/>
      <c r="X328" s="5"/>
      <c r="Y328" s="5"/>
      <c r="Z328" s="5"/>
      <c r="AA328" s="5"/>
      <c r="AB328" s="5"/>
      <c r="AC328" s="5"/>
      <c r="AD328" s="5"/>
      <c r="AE328" s="5"/>
      <c r="AF328" s="5"/>
      <c r="AG328" s="5"/>
      <c r="AH328" s="5"/>
      <c r="AI328" s="5"/>
      <c r="AJ328" s="5"/>
      <c r="AK328" s="5"/>
      <c r="AL328" s="19"/>
      <c r="AM328" s="19"/>
      <c r="AN328" s="19"/>
      <c r="AO328" s="19"/>
      <c r="AP328" s="19"/>
      <c r="DC328" s="5"/>
      <c r="DD328" s="5"/>
    </row>
    <row r="329" spans="18:108" x14ac:dyDescent="0.2">
      <c r="R329" s="129"/>
      <c r="S329" s="129"/>
      <c r="T329" s="5"/>
      <c r="U329" s="5"/>
      <c r="V329" s="5"/>
      <c r="W329" s="5"/>
      <c r="X329" s="5"/>
      <c r="Y329" s="5"/>
      <c r="Z329" s="5"/>
      <c r="AA329" s="5"/>
      <c r="AB329" s="5"/>
      <c r="AC329" s="5"/>
      <c r="AD329" s="5"/>
      <c r="AE329" s="5"/>
      <c r="AF329" s="5"/>
      <c r="AG329" s="5"/>
      <c r="AH329" s="5"/>
      <c r="AI329" s="5"/>
      <c r="AJ329" s="5"/>
      <c r="AK329" s="5"/>
      <c r="AL329" s="19"/>
      <c r="AM329" s="19"/>
      <c r="AN329" s="19"/>
      <c r="AO329" s="19"/>
      <c r="AP329" s="19"/>
      <c r="DC329" s="5"/>
      <c r="DD329" s="5"/>
    </row>
    <row r="330" spans="18:108" x14ac:dyDescent="0.2">
      <c r="R330" s="129"/>
      <c r="S330" s="129"/>
      <c r="T330" s="5"/>
      <c r="U330" s="5"/>
      <c r="V330" s="5"/>
      <c r="W330" s="5"/>
      <c r="X330" s="5"/>
      <c r="Y330" s="5"/>
      <c r="Z330" s="5"/>
      <c r="AA330" s="5"/>
      <c r="AB330" s="5"/>
      <c r="AC330" s="5"/>
      <c r="AD330" s="5"/>
      <c r="AE330" s="5"/>
      <c r="AF330" s="5"/>
      <c r="AG330" s="5"/>
      <c r="AH330" s="5"/>
      <c r="AI330" s="5"/>
      <c r="AJ330" s="5"/>
      <c r="AK330" s="5"/>
      <c r="AL330" s="19"/>
      <c r="AM330" s="19"/>
      <c r="AN330" s="19"/>
      <c r="AO330" s="19"/>
      <c r="AP330" s="19"/>
      <c r="DC330" s="5"/>
      <c r="DD330" s="5"/>
    </row>
    <row r="331" spans="18:108" x14ac:dyDescent="0.2">
      <c r="R331" s="129"/>
      <c r="S331" s="129"/>
      <c r="T331" s="5"/>
      <c r="U331" s="5"/>
      <c r="V331" s="5"/>
      <c r="W331" s="5"/>
      <c r="X331" s="5"/>
      <c r="Y331" s="5"/>
      <c r="Z331" s="5"/>
      <c r="AA331" s="5"/>
      <c r="AB331" s="5"/>
      <c r="AC331" s="5"/>
      <c r="AD331" s="5"/>
      <c r="AE331" s="5"/>
      <c r="AF331" s="5"/>
      <c r="AG331" s="5"/>
      <c r="AH331" s="5"/>
      <c r="AI331" s="5"/>
      <c r="AJ331" s="5"/>
      <c r="AK331" s="5"/>
      <c r="AL331" s="19"/>
      <c r="AM331" s="19"/>
      <c r="AN331" s="19"/>
      <c r="AO331" s="19"/>
      <c r="AP331" s="19"/>
      <c r="DC331" s="5"/>
      <c r="DD331" s="5"/>
    </row>
    <row r="332" spans="18:108" x14ac:dyDescent="0.2">
      <c r="R332" s="129"/>
      <c r="S332" s="129"/>
      <c r="T332" s="5"/>
      <c r="U332" s="5"/>
      <c r="V332" s="5"/>
      <c r="W332" s="5"/>
      <c r="X332" s="5"/>
      <c r="Y332" s="5"/>
      <c r="Z332" s="5"/>
      <c r="AA332" s="5"/>
      <c r="AB332" s="5"/>
      <c r="AC332" s="5"/>
      <c r="AD332" s="5"/>
      <c r="AE332" s="5"/>
      <c r="AF332" s="5"/>
      <c r="AG332" s="5"/>
      <c r="AH332" s="5"/>
      <c r="AI332" s="5"/>
      <c r="AJ332" s="5"/>
      <c r="AK332" s="5"/>
      <c r="AL332" s="19"/>
      <c r="AM332" s="19"/>
      <c r="AN332" s="19"/>
      <c r="AO332" s="19"/>
      <c r="AP332" s="19"/>
      <c r="DC332" s="5"/>
      <c r="DD332" s="5"/>
    </row>
    <row r="333" spans="18:108" x14ac:dyDescent="0.2">
      <c r="R333" s="5"/>
      <c r="S333" s="5"/>
      <c r="T333" s="5"/>
      <c r="U333" s="5"/>
      <c r="V333" s="5"/>
      <c r="W333" s="5"/>
      <c r="X333" s="5"/>
      <c r="Y333" s="5"/>
      <c r="Z333" s="5"/>
      <c r="AA333" s="5"/>
      <c r="AB333" s="5"/>
      <c r="AC333" s="5"/>
      <c r="AD333" s="5"/>
      <c r="AE333" s="5"/>
      <c r="AF333" s="5"/>
      <c r="AG333" s="5"/>
      <c r="AH333" s="5"/>
      <c r="AI333" s="5"/>
      <c r="AJ333" s="19"/>
      <c r="AK333" s="19"/>
      <c r="AL333" s="19"/>
      <c r="AM333" s="19"/>
      <c r="AN333" s="19"/>
    </row>
    <row r="334" spans="18:108" x14ac:dyDescent="0.2">
      <c r="R334" s="5"/>
      <c r="S334" s="5"/>
      <c r="T334" s="5"/>
      <c r="U334" s="5"/>
      <c r="V334" s="5"/>
      <c r="W334" s="5"/>
      <c r="X334" s="5"/>
      <c r="Y334" s="5"/>
      <c r="Z334" s="5"/>
      <c r="AA334" s="5"/>
      <c r="AB334" s="5"/>
      <c r="AC334" s="5"/>
      <c r="AD334" s="5"/>
      <c r="AE334" s="5"/>
      <c r="AF334" s="5"/>
      <c r="AG334" s="5"/>
      <c r="AH334" s="5"/>
      <c r="AI334" s="5"/>
      <c r="AJ334" s="19"/>
      <c r="AK334" s="19"/>
      <c r="AL334" s="19"/>
      <c r="AM334" s="19"/>
      <c r="AN334" s="19"/>
    </row>
    <row r="335" spans="18:108" x14ac:dyDescent="0.2">
      <c r="R335" s="5"/>
      <c r="S335" s="5"/>
      <c r="T335" s="5"/>
      <c r="U335" s="5"/>
      <c r="V335" s="5"/>
      <c r="W335" s="5"/>
      <c r="X335" s="5"/>
      <c r="Y335" s="5"/>
      <c r="Z335" s="5"/>
      <c r="AA335" s="5"/>
      <c r="AB335" s="5"/>
      <c r="AC335" s="5"/>
      <c r="AD335" s="5"/>
      <c r="AE335" s="5"/>
      <c r="AF335" s="5"/>
      <c r="AG335" s="5"/>
      <c r="AH335" s="5"/>
      <c r="AI335" s="5"/>
      <c r="AJ335" s="19"/>
      <c r="AK335" s="19"/>
      <c r="AL335" s="19"/>
      <c r="AM335" s="19"/>
      <c r="AN335" s="19"/>
    </row>
    <row r="336" spans="18:108" x14ac:dyDescent="0.2">
      <c r="R336" s="5"/>
      <c r="S336" s="5"/>
      <c r="T336" s="5"/>
      <c r="U336" s="5"/>
      <c r="V336" s="5"/>
      <c r="W336" s="5"/>
      <c r="X336" s="5"/>
      <c r="Y336" s="5"/>
      <c r="Z336" s="5"/>
      <c r="AA336" s="5"/>
      <c r="AB336" s="5"/>
      <c r="AC336" s="5"/>
      <c r="AD336" s="5"/>
      <c r="AE336" s="5"/>
      <c r="AF336" s="5"/>
      <c r="AG336" s="5"/>
      <c r="AH336" s="5"/>
      <c r="AI336" s="5"/>
      <c r="AJ336" s="19"/>
      <c r="AK336" s="19"/>
      <c r="AL336" s="19"/>
      <c r="AM336" s="19"/>
      <c r="AN336" s="19"/>
    </row>
    <row r="337" spans="18:40" x14ac:dyDescent="0.2">
      <c r="R337" s="5"/>
      <c r="S337" s="5"/>
      <c r="T337" s="5"/>
      <c r="U337" s="5"/>
      <c r="V337" s="5"/>
      <c r="W337" s="5"/>
      <c r="X337" s="5"/>
      <c r="Y337" s="5"/>
      <c r="Z337" s="5"/>
      <c r="AA337" s="5"/>
      <c r="AB337" s="5"/>
      <c r="AC337" s="5"/>
      <c r="AD337" s="5"/>
      <c r="AE337" s="5"/>
      <c r="AF337" s="5"/>
      <c r="AG337" s="5"/>
      <c r="AH337" s="5"/>
      <c r="AI337" s="5"/>
      <c r="AJ337" s="19"/>
      <c r="AK337" s="19"/>
      <c r="AL337" s="19"/>
      <c r="AM337" s="19"/>
      <c r="AN337" s="19"/>
    </row>
    <row r="338" spans="18:40" x14ac:dyDescent="0.2">
      <c r="R338" s="5"/>
      <c r="S338" s="5"/>
      <c r="T338" s="5"/>
      <c r="U338" s="5"/>
      <c r="V338" s="5"/>
      <c r="W338" s="5"/>
      <c r="X338" s="5"/>
      <c r="Y338" s="5"/>
      <c r="Z338" s="5"/>
      <c r="AA338" s="5"/>
      <c r="AB338" s="5"/>
      <c r="AC338" s="5"/>
      <c r="AD338" s="5"/>
      <c r="AE338" s="5"/>
      <c r="AF338" s="5"/>
      <c r="AG338" s="5"/>
      <c r="AH338" s="5"/>
      <c r="AI338" s="5"/>
      <c r="AJ338" s="19"/>
      <c r="AK338" s="19"/>
      <c r="AL338" s="19"/>
      <c r="AM338" s="19"/>
      <c r="AN338" s="19"/>
    </row>
    <row r="339" spans="18:40" x14ac:dyDescent="0.2">
      <c r="R339" s="5"/>
      <c r="S339" s="5"/>
      <c r="T339" s="5"/>
      <c r="U339" s="5"/>
      <c r="V339" s="5"/>
      <c r="W339" s="5"/>
      <c r="X339" s="5"/>
      <c r="Y339" s="5"/>
      <c r="Z339" s="5"/>
      <c r="AA339" s="5"/>
      <c r="AB339" s="5"/>
      <c r="AC339" s="5"/>
      <c r="AD339" s="5"/>
      <c r="AE339" s="5"/>
      <c r="AF339" s="5"/>
      <c r="AG339" s="5"/>
      <c r="AH339" s="5"/>
      <c r="AI339" s="5"/>
      <c r="AJ339" s="19"/>
      <c r="AK339" s="19"/>
      <c r="AL339" s="19"/>
      <c r="AM339" s="19"/>
      <c r="AN339" s="19"/>
    </row>
    <row r="340" spans="18:40" x14ac:dyDescent="0.2">
      <c r="R340" s="5"/>
      <c r="S340" s="5"/>
      <c r="T340" s="5"/>
      <c r="U340" s="5"/>
      <c r="V340" s="5"/>
      <c r="W340" s="5"/>
      <c r="X340" s="5"/>
      <c r="Y340" s="5"/>
      <c r="Z340" s="5"/>
      <c r="AA340" s="5"/>
      <c r="AB340" s="5"/>
      <c r="AC340" s="5"/>
      <c r="AD340" s="5"/>
      <c r="AE340" s="5"/>
      <c r="AF340" s="5"/>
      <c r="AG340" s="5"/>
      <c r="AH340" s="5"/>
      <c r="AI340" s="5"/>
      <c r="AJ340" s="19"/>
      <c r="AK340" s="19"/>
      <c r="AL340" s="19"/>
      <c r="AM340" s="19"/>
      <c r="AN340" s="19"/>
    </row>
    <row r="341" spans="18:40" x14ac:dyDescent="0.2">
      <c r="R341" s="5"/>
      <c r="S341" s="5"/>
      <c r="T341" s="5"/>
      <c r="U341" s="5"/>
      <c r="V341" s="5"/>
      <c r="W341" s="5"/>
      <c r="X341" s="5"/>
      <c r="Y341" s="5"/>
      <c r="Z341" s="5"/>
      <c r="AA341" s="5"/>
      <c r="AB341" s="5"/>
      <c r="AC341" s="5"/>
      <c r="AD341" s="5"/>
      <c r="AE341" s="5"/>
      <c r="AF341" s="5"/>
      <c r="AG341" s="5"/>
      <c r="AH341" s="5"/>
      <c r="AI341" s="5"/>
      <c r="AJ341" s="19"/>
      <c r="AK341" s="19"/>
      <c r="AL341" s="19"/>
      <c r="AM341" s="19"/>
      <c r="AN341" s="19"/>
    </row>
    <row r="342" spans="18:40" x14ac:dyDescent="0.2">
      <c r="R342" s="5"/>
      <c r="S342" s="5"/>
      <c r="T342" s="5"/>
      <c r="U342" s="5"/>
      <c r="V342" s="5"/>
      <c r="W342" s="5"/>
      <c r="X342" s="5"/>
      <c r="Y342" s="5"/>
      <c r="Z342" s="5"/>
      <c r="AA342" s="5"/>
      <c r="AB342" s="5"/>
      <c r="AC342" s="5"/>
      <c r="AD342" s="5"/>
      <c r="AE342" s="5"/>
      <c r="AF342" s="5"/>
      <c r="AG342" s="5"/>
      <c r="AH342" s="5"/>
      <c r="AI342" s="5"/>
      <c r="AJ342" s="19"/>
      <c r="AK342" s="19"/>
      <c r="AL342" s="19"/>
      <c r="AM342" s="19"/>
      <c r="AN342" s="19"/>
    </row>
    <row r="343" spans="18:40" x14ac:dyDescent="0.2">
      <c r="R343" s="5"/>
      <c r="S343" s="5"/>
      <c r="T343" s="5"/>
      <c r="U343" s="5"/>
      <c r="V343" s="5"/>
      <c r="W343" s="5"/>
      <c r="X343" s="5"/>
      <c r="Y343" s="5"/>
      <c r="Z343" s="5"/>
      <c r="AA343" s="5"/>
      <c r="AB343" s="5"/>
      <c r="AC343" s="5"/>
      <c r="AD343" s="5"/>
      <c r="AE343" s="5"/>
      <c r="AF343" s="5"/>
      <c r="AG343" s="5"/>
      <c r="AH343" s="5"/>
      <c r="AI343" s="5"/>
      <c r="AJ343" s="19"/>
      <c r="AK343" s="19"/>
      <c r="AL343" s="19"/>
      <c r="AM343" s="19"/>
      <c r="AN343" s="19"/>
    </row>
    <row r="344" spans="18:40" x14ac:dyDescent="0.2">
      <c r="R344" s="5"/>
      <c r="S344" s="5"/>
      <c r="T344" s="5"/>
      <c r="U344" s="5"/>
      <c r="V344" s="5"/>
      <c r="W344" s="5"/>
      <c r="X344" s="5"/>
      <c r="Y344" s="5"/>
      <c r="Z344" s="5"/>
      <c r="AA344" s="5"/>
      <c r="AB344" s="5"/>
      <c r="AC344" s="5"/>
      <c r="AD344" s="5"/>
      <c r="AE344" s="5"/>
      <c r="AF344" s="5"/>
      <c r="AG344" s="5"/>
      <c r="AH344" s="5"/>
      <c r="AI344" s="5"/>
      <c r="AJ344" s="19"/>
      <c r="AK344" s="19"/>
      <c r="AL344" s="19"/>
      <c r="AM344" s="19"/>
      <c r="AN344" s="19"/>
    </row>
    <row r="345" spans="18:40" x14ac:dyDescent="0.2">
      <c r="R345" s="5"/>
      <c r="S345" s="5"/>
      <c r="T345" s="5"/>
      <c r="U345" s="5"/>
      <c r="V345" s="5"/>
      <c r="W345" s="5"/>
      <c r="X345" s="5"/>
      <c r="Y345" s="5"/>
      <c r="Z345" s="5"/>
      <c r="AA345" s="5"/>
      <c r="AB345" s="5"/>
      <c r="AC345" s="5"/>
      <c r="AD345" s="5"/>
      <c r="AE345" s="5"/>
      <c r="AF345" s="5"/>
      <c r="AG345" s="5"/>
      <c r="AH345" s="5"/>
      <c r="AI345" s="5"/>
      <c r="AJ345" s="19"/>
      <c r="AK345" s="19"/>
      <c r="AL345" s="19"/>
      <c r="AM345" s="19"/>
      <c r="AN345" s="19"/>
    </row>
    <row r="346" spans="18:40" x14ac:dyDescent="0.2">
      <c r="R346" s="5"/>
      <c r="S346" s="5"/>
      <c r="T346" s="5"/>
      <c r="U346" s="5"/>
      <c r="V346" s="5"/>
      <c r="W346" s="5"/>
      <c r="X346" s="5"/>
      <c r="Y346" s="5"/>
      <c r="Z346" s="5"/>
      <c r="AA346" s="5"/>
      <c r="AB346" s="5"/>
      <c r="AC346" s="5"/>
      <c r="AD346" s="5"/>
      <c r="AE346" s="5"/>
      <c r="AF346" s="5"/>
      <c r="AG346" s="5"/>
      <c r="AH346" s="5"/>
      <c r="AI346" s="5"/>
      <c r="AJ346" s="19"/>
      <c r="AK346" s="19"/>
      <c r="AL346" s="19"/>
      <c r="AM346" s="19"/>
      <c r="AN346" s="19"/>
    </row>
    <row r="347" spans="18:40" x14ac:dyDescent="0.2">
      <c r="R347" s="5"/>
      <c r="S347" s="5"/>
      <c r="T347" s="5"/>
      <c r="U347" s="5"/>
      <c r="V347" s="5"/>
      <c r="W347" s="5"/>
      <c r="X347" s="5"/>
      <c r="Y347" s="5"/>
      <c r="Z347" s="5"/>
      <c r="AA347" s="5"/>
      <c r="AB347" s="5"/>
      <c r="AC347" s="5"/>
      <c r="AD347" s="5"/>
      <c r="AE347" s="5"/>
      <c r="AF347" s="5"/>
      <c r="AG347" s="5"/>
      <c r="AH347" s="5"/>
      <c r="AI347" s="5"/>
      <c r="AJ347" s="19"/>
      <c r="AK347" s="19"/>
      <c r="AL347" s="19"/>
      <c r="AM347" s="19"/>
      <c r="AN347" s="19"/>
    </row>
    <row r="348" spans="18:40" x14ac:dyDescent="0.2">
      <c r="R348" s="5"/>
      <c r="S348" s="5"/>
      <c r="T348" s="5"/>
      <c r="U348" s="5"/>
      <c r="V348" s="5"/>
      <c r="W348" s="5"/>
      <c r="X348" s="5"/>
      <c r="Y348" s="5"/>
      <c r="Z348" s="5"/>
      <c r="AA348" s="5"/>
      <c r="AB348" s="5"/>
      <c r="AC348" s="5"/>
      <c r="AD348" s="5"/>
      <c r="AE348" s="5"/>
      <c r="AF348" s="5"/>
      <c r="AG348" s="5"/>
      <c r="AH348" s="5"/>
      <c r="AI348" s="5"/>
      <c r="AJ348" s="19"/>
      <c r="AK348" s="19"/>
      <c r="AL348" s="19"/>
      <c r="AM348" s="19"/>
      <c r="AN348" s="19"/>
    </row>
    <row r="349" spans="18:40" x14ac:dyDescent="0.2">
      <c r="R349" s="5"/>
      <c r="S349" s="5"/>
      <c r="T349" s="5"/>
      <c r="U349" s="5"/>
      <c r="V349" s="5"/>
      <c r="W349" s="5"/>
      <c r="X349" s="5"/>
      <c r="Y349" s="5"/>
      <c r="Z349" s="5"/>
      <c r="AA349" s="5"/>
      <c r="AB349" s="5"/>
      <c r="AC349" s="5"/>
      <c r="AD349" s="5"/>
      <c r="AE349" s="5"/>
      <c r="AF349" s="5"/>
      <c r="AG349" s="5"/>
      <c r="AH349" s="5"/>
      <c r="AI349" s="5"/>
      <c r="AJ349" s="19"/>
      <c r="AK349" s="19"/>
      <c r="AL349" s="19"/>
      <c r="AM349" s="19"/>
      <c r="AN349" s="19"/>
    </row>
    <row r="350" spans="18:40" x14ac:dyDescent="0.2">
      <c r="R350" s="5"/>
      <c r="S350" s="5"/>
      <c r="T350" s="5"/>
      <c r="U350" s="5"/>
      <c r="V350" s="5"/>
      <c r="W350" s="5"/>
      <c r="X350" s="5"/>
      <c r="Y350" s="5"/>
      <c r="Z350" s="5"/>
      <c r="AA350" s="5"/>
      <c r="AB350" s="5"/>
      <c r="AC350" s="5"/>
      <c r="AD350" s="5"/>
      <c r="AE350" s="5"/>
      <c r="AF350" s="5"/>
      <c r="AG350" s="5"/>
      <c r="AH350" s="5"/>
      <c r="AI350" s="5"/>
      <c r="AJ350" s="19"/>
      <c r="AK350" s="19"/>
      <c r="AL350" s="19"/>
      <c r="AM350" s="19"/>
      <c r="AN350" s="19"/>
    </row>
    <row r="351" spans="18:40" x14ac:dyDescent="0.2">
      <c r="R351" s="5"/>
      <c r="S351" s="5"/>
      <c r="T351" s="5"/>
      <c r="U351" s="5"/>
      <c r="V351" s="5"/>
      <c r="W351" s="5"/>
      <c r="X351" s="5"/>
      <c r="Y351" s="5"/>
      <c r="Z351" s="5"/>
      <c r="AA351" s="5"/>
      <c r="AB351" s="5"/>
      <c r="AC351" s="5"/>
      <c r="AD351" s="5"/>
      <c r="AE351" s="5"/>
      <c r="AF351" s="5"/>
      <c r="AG351" s="5"/>
      <c r="AH351" s="5"/>
      <c r="AI351" s="5"/>
      <c r="AJ351" s="19"/>
      <c r="AK351" s="19"/>
      <c r="AL351" s="19"/>
      <c r="AM351" s="19"/>
      <c r="AN351" s="19"/>
    </row>
    <row r="352" spans="18:40" x14ac:dyDescent="0.2">
      <c r="R352" s="5"/>
      <c r="S352" s="5"/>
      <c r="T352" s="5"/>
      <c r="U352" s="5"/>
      <c r="V352" s="5"/>
      <c r="W352" s="5"/>
      <c r="X352" s="5"/>
      <c r="Y352" s="5"/>
      <c r="Z352" s="5"/>
      <c r="AA352" s="5"/>
      <c r="AB352" s="5"/>
      <c r="AC352" s="5"/>
      <c r="AD352" s="5"/>
      <c r="AE352" s="5"/>
      <c r="AF352" s="5"/>
      <c r="AG352" s="5"/>
      <c r="AH352" s="5"/>
      <c r="AI352" s="5"/>
      <c r="AJ352" s="19"/>
      <c r="AK352" s="19"/>
      <c r="AL352" s="19"/>
      <c r="AM352" s="19"/>
      <c r="AN352" s="19"/>
    </row>
    <row r="353" spans="18:40" x14ac:dyDescent="0.2">
      <c r="R353" s="5"/>
      <c r="S353" s="5"/>
      <c r="T353" s="5"/>
      <c r="U353" s="5"/>
      <c r="V353" s="5"/>
      <c r="W353" s="5"/>
      <c r="X353" s="5"/>
      <c r="Y353" s="5"/>
      <c r="Z353" s="5"/>
      <c r="AA353" s="5"/>
      <c r="AB353" s="5"/>
      <c r="AC353" s="5"/>
      <c r="AD353" s="5"/>
      <c r="AE353" s="5"/>
      <c r="AF353" s="5"/>
      <c r="AG353" s="5"/>
      <c r="AH353" s="5"/>
      <c r="AI353" s="5"/>
      <c r="AJ353" s="19"/>
      <c r="AK353" s="19"/>
      <c r="AL353" s="19"/>
      <c r="AM353" s="19"/>
      <c r="AN353" s="19"/>
    </row>
    <row r="354" spans="18:40" x14ac:dyDescent="0.2">
      <c r="R354" s="5"/>
      <c r="S354" s="5"/>
      <c r="T354" s="5"/>
      <c r="U354" s="5"/>
      <c r="V354" s="5"/>
      <c r="W354" s="5"/>
      <c r="X354" s="5"/>
      <c r="Y354" s="5"/>
      <c r="Z354" s="5"/>
      <c r="AA354" s="5"/>
      <c r="AB354" s="5"/>
      <c r="AC354" s="5"/>
      <c r="AD354" s="5"/>
      <c r="AE354" s="5"/>
      <c r="AF354" s="5"/>
      <c r="AG354" s="5"/>
      <c r="AH354" s="5"/>
      <c r="AI354" s="5"/>
      <c r="AJ354" s="19"/>
      <c r="AK354" s="19"/>
      <c r="AL354" s="19"/>
      <c r="AM354" s="19"/>
      <c r="AN354" s="19"/>
    </row>
    <row r="355" spans="18:40" x14ac:dyDescent="0.2">
      <c r="R355" s="5"/>
      <c r="S355" s="5"/>
      <c r="T355" s="5"/>
      <c r="U355" s="5"/>
      <c r="V355" s="5"/>
      <c r="W355" s="5"/>
      <c r="X355" s="5"/>
      <c r="Y355" s="5"/>
      <c r="Z355" s="5"/>
      <c r="AA355" s="5"/>
      <c r="AB355" s="5"/>
      <c r="AC355" s="5"/>
      <c r="AD355" s="5"/>
      <c r="AE355" s="5"/>
      <c r="AF355" s="5"/>
      <c r="AG355" s="5"/>
      <c r="AH355" s="5"/>
      <c r="AI355" s="5"/>
      <c r="AJ355" s="19"/>
      <c r="AK355" s="19"/>
      <c r="AL355" s="19"/>
      <c r="AM355" s="19"/>
      <c r="AN355" s="19"/>
    </row>
    <row r="356" spans="18:40" x14ac:dyDescent="0.2">
      <c r="R356" s="5"/>
      <c r="S356" s="5"/>
      <c r="T356" s="5"/>
      <c r="U356" s="5"/>
      <c r="V356" s="5"/>
      <c r="W356" s="5"/>
      <c r="X356" s="5"/>
      <c r="Y356" s="5"/>
      <c r="Z356" s="5"/>
      <c r="AA356" s="5"/>
      <c r="AB356" s="5"/>
      <c r="AC356" s="5"/>
      <c r="AD356" s="5"/>
      <c r="AE356" s="5"/>
      <c r="AF356" s="5"/>
      <c r="AG356" s="5"/>
      <c r="AH356" s="5"/>
      <c r="AI356" s="5"/>
      <c r="AJ356" s="19"/>
      <c r="AK356" s="19"/>
      <c r="AL356" s="19"/>
      <c r="AM356" s="19"/>
      <c r="AN356" s="19"/>
    </row>
    <row r="357" spans="18:40" x14ac:dyDescent="0.2">
      <c r="R357" s="5"/>
      <c r="S357" s="5"/>
      <c r="T357" s="5"/>
      <c r="U357" s="5"/>
      <c r="V357" s="5"/>
      <c r="W357" s="5"/>
      <c r="X357" s="5"/>
      <c r="Y357" s="5"/>
      <c r="Z357" s="5"/>
      <c r="AA357" s="5"/>
      <c r="AB357" s="5"/>
      <c r="AC357" s="5"/>
      <c r="AD357" s="5"/>
      <c r="AE357" s="5"/>
      <c r="AF357" s="5"/>
      <c r="AG357" s="5"/>
      <c r="AH357" s="5"/>
      <c r="AI357" s="5"/>
      <c r="AJ357" s="19"/>
      <c r="AK357" s="19"/>
      <c r="AL357" s="19"/>
      <c r="AM357" s="19"/>
      <c r="AN357" s="19"/>
    </row>
    <row r="358" spans="18:40" x14ac:dyDescent="0.2">
      <c r="R358" s="5"/>
      <c r="S358" s="5"/>
      <c r="T358" s="5"/>
      <c r="U358" s="5"/>
      <c r="V358" s="5"/>
      <c r="W358" s="5"/>
      <c r="X358" s="5"/>
      <c r="Y358" s="5"/>
      <c r="Z358" s="5"/>
      <c r="AA358" s="5"/>
      <c r="AB358" s="5"/>
      <c r="AC358" s="5"/>
      <c r="AD358" s="5"/>
      <c r="AE358" s="5"/>
      <c r="AF358" s="5"/>
      <c r="AG358" s="5"/>
      <c r="AH358" s="5"/>
      <c r="AI358" s="5"/>
      <c r="AJ358" s="19"/>
      <c r="AK358" s="19"/>
      <c r="AL358" s="19"/>
      <c r="AM358" s="19"/>
      <c r="AN358" s="19"/>
    </row>
    <row r="359" spans="18:40" x14ac:dyDescent="0.2">
      <c r="R359" s="5"/>
      <c r="S359" s="5"/>
      <c r="T359" s="5"/>
      <c r="U359" s="5"/>
      <c r="V359" s="5"/>
      <c r="W359" s="5"/>
      <c r="X359" s="5"/>
      <c r="Y359" s="5"/>
      <c r="Z359" s="5"/>
      <c r="AA359" s="5"/>
      <c r="AB359" s="5"/>
      <c r="AC359" s="5"/>
      <c r="AD359" s="5"/>
      <c r="AE359" s="5"/>
      <c r="AF359" s="5"/>
      <c r="AG359" s="5"/>
      <c r="AH359" s="5"/>
      <c r="AI359" s="5"/>
      <c r="AJ359" s="19"/>
      <c r="AK359" s="19"/>
      <c r="AL359" s="19"/>
      <c r="AM359" s="19"/>
      <c r="AN359" s="19"/>
    </row>
    <row r="360" spans="18:40" x14ac:dyDescent="0.2">
      <c r="R360" s="5"/>
      <c r="S360" s="5"/>
      <c r="T360" s="5"/>
      <c r="U360" s="5"/>
      <c r="V360" s="5"/>
      <c r="W360" s="5"/>
      <c r="X360" s="5"/>
      <c r="Y360" s="5"/>
      <c r="Z360" s="5"/>
      <c r="AA360" s="5"/>
      <c r="AB360" s="5"/>
      <c r="AC360" s="5"/>
      <c r="AD360" s="5"/>
      <c r="AE360" s="5"/>
      <c r="AF360" s="5"/>
      <c r="AG360" s="5"/>
      <c r="AH360" s="5"/>
      <c r="AI360" s="5"/>
      <c r="AJ360" s="19"/>
      <c r="AK360" s="19"/>
      <c r="AL360" s="19"/>
      <c r="AM360" s="19"/>
      <c r="AN360" s="19"/>
    </row>
    <row r="361" spans="18:40" x14ac:dyDescent="0.2">
      <c r="R361" s="5"/>
      <c r="S361" s="5"/>
      <c r="T361" s="5"/>
      <c r="U361" s="5"/>
      <c r="V361" s="5"/>
      <c r="W361" s="5"/>
      <c r="X361" s="5"/>
      <c r="Y361" s="5"/>
      <c r="Z361" s="5"/>
      <c r="AA361" s="5"/>
      <c r="AB361" s="5"/>
      <c r="AC361" s="5"/>
      <c r="AD361" s="5"/>
      <c r="AE361" s="5"/>
      <c r="AF361" s="5"/>
      <c r="AG361" s="5"/>
      <c r="AH361" s="5"/>
      <c r="AI361" s="5"/>
      <c r="AJ361" s="19"/>
      <c r="AK361" s="19"/>
      <c r="AL361" s="19"/>
      <c r="AM361" s="19"/>
      <c r="AN361" s="19"/>
    </row>
    <row r="362" spans="18:40" x14ac:dyDescent="0.2">
      <c r="R362" s="5"/>
      <c r="S362" s="5"/>
      <c r="T362" s="5"/>
      <c r="U362" s="5"/>
      <c r="V362" s="5"/>
      <c r="W362" s="5"/>
      <c r="X362" s="5"/>
      <c r="Y362" s="5"/>
      <c r="Z362" s="5"/>
      <c r="AA362" s="5"/>
      <c r="AB362" s="5"/>
      <c r="AC362" s="5"/>
      <c r="AD362" s="5"/>
      <c r="AE362" s="5"/>
      <c r="AF362" s="5"/>
      <c r="AG362" s="5"/>
      <c r="AH362" s="5"/>
      <c r="AI362" s="5"/>
      <c r="AJ362" s="19"/>
      <c r="AK362" s="19"/>
      <c r="AL362" s="19"/>
      <c r="AM362" s="19"/>
      <c r="AN362" s="19"/>
    </row>
    <row r="363" spans="18:40" x14ac:dyDescent="0.2">
      <c r="R363" s="5"/>
      <c r="S363" s="5"/>
      <c r="T363" s="5"/>
      <c r="U363" s="5"/>
      <c r="V363" s="5"/>
      <c r="W363" s="5"/>
      <c r="X363" s="5"/>
      <c r="Y363" s="5"/>
      <c r="Z363" s="5"/>
      <c r="AA363" s="5"/>
      <c r="AB363" s="5"/>
      <c r="AC363" s="5"/>
      <c r="AD363" s="5"/>
      <c r="AE363" s="5"/>
      <c r="AF363" s="5"/>
      <c r="AG363" s="5"/>
      <c r="AH363" s="5"/>
      <c r="AI363" s="5"/>
      <c r="AJ363" s="19"/>
      <c r="AK363" s="19"/>
      <c r="AL363" s="19"/>
      <c r="AM363" s="19"/>
      <c r="AN363" s="19"/>
    </row>
    <row r="364" spans="18:40" x14ac:dyDescent="0.2">
      <c r="R364" s="5"/>
      <c r="S364" s="5"/>
      <c r="T364" s="5"/>
      <c r="U364" s="5"/>
      <c r="V364" s="5"/>
      <c r="W364" s="5"/>
      <c r="X364" s="5"/>
      <c r="Y364" s="5"/>
      <c r="Z364" s="5"/>
      <c r="AA364" s="5"/>
      <c r="AB364" s="5"/>
      <c r="AC364" s="5"/>
      <c r="AD364" s="5"/>
      <c r="AE364" s="5"/>
      <c r="AF364" s="5"/>
      <c r="AG364" s="5"/>
      <c r="AH364" s="5"/>
      <c r="AI364" s="5"/>
      <c r="AJ364" s="19"/>
      <c r="AK364" s="19"/>
      <c r="AL364" s="19"/>
      <c r="AM364" s="19"/>
      <c r="AN364" s="19"/>
    </row>
    <row r="365" spans="18:40" x14ac:dyDescent="0.2">
      <c r="R365" s="5"/>
      <c r="S365" s="5"/>
      <c r="T365" s="5"/>
      <c r="U365" s="5"/>
      <c r="V365" s="5"/>
      <c r="W365" s="5"/>
      <c r="X365" s="5"/>
      <c r="Y365" s="5"/>
      <c r="Z365" s="5"/>
      <c r="AA365" s="5"/>
      <c r="AB365" s="5"/>
      <c r="AC365" s="5"/>
      <c r="AD365" s="5"/>
      <c r="AE365" s="5"/>
      <c r="AF365" s="5"/>
      <c r="AG365" s="5"/>
      <c r="AH365" s="5"/>
      <c r="AI365" s="5"/>
      <c r="AJ365" s="19"/>
      <c r="AK365" s="19"/>
      <c r="AL365" s="19"/>
      <c r="AM365" s="19"/>
      <c r="AN365" s="19"/>
    </row>
    <row r="366" spans="18:40" x14ac:dyDescent="0.2">
      <c r="R366" s="5"/>
      <c r="S366" s="5"/>
      <c r="T366" s="5"/>
      <c r="U366" s="5"/>
      <c r="V366" s="5"/>
      <c r="W366" s="5"/>
      <c r="X366" s="5"/>
      <c r="Y366" s="5"/>
      <c r="Z366" s="5"/>
      <c r="AA366" s="5"/>
      <c r="AB366" s="5"/>
      <c r="AC366" s="5"/>
      <c r="AD366" s="5"/>
      <c r="AE366" s="5"/>
      <c r="AF366" s="5"/>
      <c r="AG366" s="5"/>
      <c r="AH366" s="5"/>
      <c r="AI366" s="5"/>
      <c r="AJ366" s="19"/>
      <c r="AK366" s="19"/>
      <c r="AL366" s="19"/>
      <c r="AM366" s="19"/>
      <c r="AN366" s="19"/>
    </row>
    <row r="367" spans="18:40" x14ac:dyDescent="0.2">
      <c r="R367" s="5"/>
      <c r="S367" s="5"/>
      <c r="T367" s="5"/>
      <c r="U367" s="5"/>
      <c r="V367" s="5"/>
      <c r="W367" s="5"/>
      <c r="X367" s="5"/>
      <c r="Y367" s="5"/>
      <c r="Z367" s="5"/>
      <c r="AA367" s="5"/>
      <c r="AB367" s="5"/>
      <c r="AC367" s="5"/>
      <c r="AD367" s="5"/>
      <c r="AE367" s="5"/>
      <c r="AF367" s="5"/>
      <c r="AG367" s="5"/>
      <c r="AH367" s="5"/>
      <c r="AI367" s="5"/>
      <c r="AJ367" s="19"/>
      <c r="AK367" s="19"/>
      <c r="AL367" s="19"/>
      <c r="AM367" s="19"/>
      <c r="AN367" s="19"/>
    </row>
    <row r="368" spans="18:40" x14ac:dyDescent="0.2">
      <c r="R368" s="5"/>
      <c r="S368" s="5"/>
      <c r="T368" s="5"/>
      <c r="U368" s="5"/>
      <c r="V368" s="5"/>
      <c r="W368" s="5"/>
      <c r="X368" s="5"/>
      <c r="Y368" s="5"/>
      <c r="Z368" s="5"/>
      <c r="AA368" s="5"/>
      <c r="AB368" s="5"/>
      <c r="AC368" s="5"/>
      <c r="AD368" s="5"/>
      <c r="AE368" s="5"/>
      <c r="AF368" s="5"/>
      <c r="AG368" s="5"/>
      <c r="AH368" s="5"/>
      <c r="AI368" s="5"/>
      <c r="AJ368" s="19"/>
      <c r="AK368" s="19"/>
      <c r="AL368" s="19"/>
      <c r="AM368" s="19"/>
      <c r="AN368" s="19"/>
    </row>
    <row r="369" spans="18:40" x14ac:dyDescent="0.2">
      <c r="R369" s="5"/>
      <c r="S369" s="5"/>
      <c r="T369" s="5"/>
      <c r="U369" s="5"/>
      <c r="V369" s="5"/>
      <c r="W369" s="5"/>
      <c r="X369" s="5"/>
      <c r="Y369" s="5"/>
      <c r="Z369" s="5"/>
      <c r="AA369" s="5"/>
      <c r="AB369" s="5"/>
      <c r="AC369" s="5"/>
      <c r="AD369" s="5"/>
      <c r="AE369" s="5"/>
      <c r="AF369" s="5"/>
      <c r="AG369" s="5"/>
      <c r="AH369" s="5"/>
      <c r="AI369" s="5"/>
      <c r="AJ369" s="19"/>
      <c r="AK369" s="19"/>
      <c r="AL369" s="19"/>
      <c r="AM369" s="19"/>
      <c r="AN369" s="19"/>
    </row>
    <row r="370" spans="18:40" x14ac:dyDescent="0.2">
      <c r="R370" s="5"/>
      <c r="S370" s="5"/>
      <c r="T370" s="5"/>
      <c r="U370" s="5"/>
      <c r="V370" s="5"/>
      <c r="W370" s="5"/>
      <c r="X370" s="5"/>
      <c r="Y370" s="5"/>
      <c r="Z370" s="5"/>
      <c r="AA370" s="5"/>
      <c r="AB370" s="5"/>
      <c r="AC370" s="5"/>
      <c r="AD370" s="5"/>
      <c r="AE370" s="5"/>
      <c r="AF370" s="5"/>
      <c r="AG370" s="5"/>
      <c r="AH370" s="5"/>
      <c r="AI370" s="5"/>
      <c r="AJ370" s="19"/>
      <c r="AK370" s="19"/>
      <c r="AL370" s="19"/>
      <c r="AM370" s="19"/>
      <c r="AN370" s="19"/>
    </row>
    <row r="371" spans="18:40" x14ac:dyDescent="0.2">
      <c r="R371" s="5"/>
      <c r="S371" s="5"/>
      <c r="T371" s="5"/>
      <c r="U371" s="5"/>
      <c r="V371" s="5"/>
      <c r="W371" s="5"/>
      <c r="X371" s="5"/>
      <c r="Y371" s="5"/>
      <c r="Z371" s="5"/>
      <c r="AA371" s="5"/>
      <c r="AB371" s="5"/>
      <c r="AC371" s="5"/>
      <c r="AD371" s="5"/>
      <c r="AE371" s="5"/>
      <c r="AF371" s="5"/>
      <c r="AG371" s="5"/>
      <c r="AH371" s="5"/>
      <c r="AI371" s="5"/>
      <c r="AJ371" s="19"/>
      <c r="AK371" s="19"/>
      <c r="AL371" s="19"/>
      <c r="AM371" s="19"/>
      <c r="AN371" s="19"/>
    </row>
    <row r="372" spans="18:40" x14ac:dyDescent="0.2">
      <c r="R372" s="5"/>
      <c r="S372" s="5"/>
      <c r="T372" s="5"/>
      <c r="U372" s="5"/>
      <c r="V372" s="5"/>
      <c r="W372" s="5"/>
      <c r="X372" s="5"/>
      <c r="Y372" s="5"/>
      <c r="Z372" s="5"/>
      <c r="AA372" s="5"/>
      <c r="AB372" s="5"/>
      <c r="AC372" s="5"/>
      <c r="AD372" s="5"/>
      <c r="AE372" s="5"/>
      <c r="AF372" s="5"/>
      <c r="AG372" s="5"/>
      <c r="AH372" s="5"/>
      <c r="AI372" s="5"/>
      <c r="AJ372" s="19"/>
      <c r="AK372" s="19"/>
      <c r="AL372" s="19"/>
      <c r="AM372" s="19"/>
      <c r="AN372" s="19"/>
    </row>
    <row r="373" spans="18:40" x14ac:dyDescent="0.2">
      <c r="R373" s="5"/>
      <c r="S373" s="5"/>
      <c r="T373" s="5"/>
      <c r="U373" s="5"/>
      <c r="V373" s="5"/>
      <c r="W373" s="5"/>
      <c r="X373" s="5"/>
      <c r="Y373" s="5"/>
      <c r="Z373" s="5"/>
      <c r="AA373" s="5"/>
      <c r="AB373" s="5"/>
      <c r="AC373" s="5"/>
      <c r="AD373" s="5"/>
      <c r="AE373" s="5"/>
      <c r="AF373" s="5"/>
      <c r="AG373" s="5"/>
      <c r="AH373" s="5"/>
      <c r="AI373" s="5"/>
      <c r="AJ373" s="19"/>
      <c r="AK373" s="19"/>
      <c r="AL373" s="19"/>
      <c r="AM373" s="19"/>
      <c r="AN373" s="19"/>
    </row>
    <row r="374" spans="18:40" x14ac:dyDescent="0.2">
      <c r="R374" s="5"/>
      <c r="S374" s="5"/>
      <c r="T374" s="5"/>
      <c r="U374" s="5"/>
      <c r="V374" s="5"/>
      <c r="W374" s="5"/>
      <c r="X374" s="5"/>
      <c r="Y374" s="5"/>
      <c r="Z374" s="5"/>
      <c r="AA374" s="5"/>
      <c r="AB374" s="5"/>
      <c r="AC374" s="5"/>
      <c r="AD374" s="5"/>
      <c r="AE374" s="5"/>
      <c r="AF374" s="5"/>
      <c r="AG374" s="5"/>
      <c r="AH374" s="5"/>
      <c r="AI374" s="5"/>
      <c r="AJ374" s="19"/>
      <c r="AK374" s="19"/>
      <c r="AL374" s="19"/>
      <c r="AM374" s="19"/>
      <c r="AN374" s="19"/>
    </row>
    <row r="375" spans="18:40" x14ac:dyDescent="0.2">
      <c r="R375" s="5"/>
      <c r="S375" s="5"/>
      <c r="T375" s="5"/>
      <c r="U375" s="5"/>
      <c r="V375" s="5"/>
      <c r="W375" s="5"/>
      <c r="X375" s="5"/>
      <c r="Y375" s="5"/>
      <c r="Z375" s="5"/>
      <c r="AA375" s="5"/>
      <c r="AB375" s="5"/>
      <c r="AC375" s="5"/>
      <c r="AD375" s="5"/>
      <c r="AE375" s="5"/>
      <c r="AF375" s="5"/>
      <c r="AG375" s="5"/>
      <c r="AH375" s="5"/>
      <c r="AI375" s="5"/>
      <c r="AJ375" s="19"/>
      <c r="AK375" s="19"/>
      <c r="AL375" s="19"/>
      <c r="AM375" s="19"/>
      <c r="AN375" s="19"/>
    </row>
    <row r="376" spans="18:40" x14ac:dyDescent="0.2">
      <c r="R376" s="5"/>
      <c r="S376" s="5"/>
      <c r="T376" s="5"/>
      <c r="U376" s="5"/>
      <c r="V376" s="5"/>
      <c r="W376" s="5"/>
      <c r="X376" s="5"/>
      <c r="Y376" s="5"/>
      <c r="Z376" s="5"/>
      <c r="AA376" s="5"/>
      <c r="AB376" s="5"/>
      <c r="AC376" s="5"/>
      <c r="AD376" s="5"/>
      <c r="AE376" s="5"/>
      <c r="AF376" s="5"/>
      <c r="AG376" s="5"/>
      <c r="AH376" s="5"/>
      <c r="AI376" s="5"/>
      <c r="AJ376" s="19"/>
      <c r="AK376" s="19"/>
      <c r="AL376" s="19"/>
      <c r="AM376" s="19"/>
      <c r="AN376" s="19"/>
    </row>
    <row r="377" spans="18:40" x14ac:dyDescent="0.2">
      <c r="R377" s="5"/>
      <c r="S377" s="5"/>
      <c r="T377" s="5"/>
      <c r="U377" s="5"/>
      <c r="V377" s="5"/>
      <c r="W377" s="5"/>
      <c r="X377" s="5"/>
      <c r="Y377" s="5"/>
      <c r="Z377" s="5"/>
      <c r="AA377" s="5"/>
      <c r="AB377" s="5"/>
      <c r="AC377" s="5"/>
      <c r="AD377" s="5"/>
      <c r="AE377" s="5"/>
      <c r="AF377" s="5"/>
      <c r="AG377" s="5"/>
      <c r="AH377" s="5"/>
      <c r="AI377" s="5"/>
      <c r="AJ377" s="19"/>
      <c r="AK377" s="19"/>
      <c r="AL377" s="19"/>
      <c r="AM377" s="19"/>
      <c r="AN377" s="19"/>
    </row>
    <row r="378" spans="18:40" x14ac:dyDescent="0.2">
      <c r="R378" s="5"/>
      <c r="S378" s="5"/>
      <c r="T378" s="5"/>
      <c r="U378" s="5"/>
      <c r="V378" s="5"/>
      <c r="W378" s="5"/>
      <c r="X378" s="5"/>
      <c r="Y378" s="5"/>
      <c r="Z378" s="5"/>
      <c r="AA378" s="5"/>
      <c r="AB378" s="5"/>
      <c r="AC378" s="5"/>
      <c r="AD378" s="5"/>
      <c r="AE378" s="5"/>
      <c r="AF378" s="5"/>
      <c r="AG378" s="5"/>
      <c r="AH378" s="5"/>
      <c r="AI378" s="5"/>
      <c r="AJ378" s="19"/>
      <c r="AK378" s="19"/>
      <c r="AL378" s="19"/>
      <c r="AM378" s="19"/>
      <c r="AN378" s="19"/>
    </row>
    <row r="379" spans="18:40" x14ac:dyDescent="0.2">
      <c r="R379" s="5"/>
      <c r="S379" s="5"/>
      <c r="T379" s="5"/>
      <c r="U379" s="5"/>
      <c r="V379" s="5"/>
      <c r="W379" s="5"/>
      <c r="X379" s="5"/>
      <c r="Y379" s="5"/>
      <c r="Z379" s="5"/>
      <c r="AA379" s="5"/>
      <c r="AB379" s="5"/>
      <c r="AC379" s="5"/>
      <c r="AD379" s="5"/>
      <c r="AE379" s="5"/>
      <c r="AF379" s="5"/>
      <c r="AG379" s="5"/>
      <c r="AH379" s="5"/>
      <c r="AI379" s="5"/>
      <c r="AJ379" s="19"/>
      <c r="AK379" s="19"/>
      <c r="AL379" s="19"/>
      <c r="AM379" s="19"/>
      <c r="AN379" s="19"/>
    </row>
    <row r="380" spans="18:40" x14ac:dyDescent="0.2">
      <c r="R380" s="5"/>
      <c r="S380" s="5"/>
      <c r="T380" s="5"/>
      <c r="U380" s="5"/>
      <c r="V380" s="5"/>
      <c r="W380" s="5"/>
      <c r="X380" s="5"/>
      <c r="Y380" s="5"/>
      <c r="Z380" s="5"/>
      <c r="AA380" s="5"/>
      <c r="AB380" s="5"/>
      <c r="AC380" s="5"/>
      <c r="AD380" s="5"/>
      <c r="AE380" s="5"/>
      <c r="AF380" s="5"/>
      <c r="AG380" s="5"/>
      <c r="AH380" s="5"/>
      <c r="AI380" s="5"/>
      <c r="AJ380" s="19"/>
      <c r="AK380" s="19"/>
      <c r="AL380" s="19"/>
      <c r="AM380" s="19"/>
      <c r="AN380" s="19"/>
    </row>
    <row r="381" spans="18:40" x14ac:dyDescent="0.2">
      <c r="R381" s="5"/>
      <c r="S381" s="5"/>
      <c r="T381" s="5"/>
      <c r="U381" s="5"/>
      <c r="V381" s="5"/>
      <c r="W381" s="5"/>
      <c r="X381" s="5"/>
      <c r="Y381" s="5"/>
      <c r="Z381" s="5"/>
      <c r="AA381" s="5"/>
      <c r="AB381" s="5"/>
      <c r="AC381" s="5"/>
      <c r="AD381" s="5"/>
      <c r="AE381" s="5"/>
      <c r="AF381" s="5"/>
      <c r="AG381" s="5"/>
      <c r="AH381" s="5"/>
      <c r="AI381" s="5"/>
      <c r="AJ381" s="19"/>
      <c r="AK381" s="19"/>
      <c r="AL381" s="19"/>
      <c r="AM381" s="19"/>
      <c r="AN381" s="19"/>
    </row>
    <row r="382" spans="18:40" x14ac:dyDescent="0.2">
      <c r="R382" s="5"/>
      <c r="S382" s="5"/>
      <c r="T382" s="5"/>
      <c r="U382" s="5"/>
      <c r="V382" s="5"/>
      <c r="W382" s="5"/>
      <c r="X382" s="5"/>
      <c r="Y382" s="5"/>
      <c r="Z382" s="5"/>
      <c r="AA382" s="5"/>
      <c r="AB382" s="5"/>
      <c r="AC382" s="5"/>
      <c r="AD382" s="5"/>
      <c r="AE382" s="5"/>
      <c r="AF382" s="5"/>
      <c r="AG382" s="5"/>
      <c r="AH382" s="5"/>
      <c r="AI382" s="5"/>
      <c r="AJ382" s="19"/>
      <c r="AK382" s="19"/>
      <c r="AL382" s="19"/>
      <c r="AM382" s="19"/>
      <c r="AN382" s="19"/>
    </row>
    <row r="383" spans="18:40" x14ac:dyDescent="0.2">
      <c r="R383" s="5"/>
      <c r="S383" s="5"/>
      <c r="T383" s="5"/>
      <c r="U383" s="5"/>
      <c r="V383" s="5"/>
      <c r="W383" s="5"/>
      <c r="X383" s="5"/>
      <c r="Y383" s="5"/>
      <c r="Z383" s="5"/>
      <c r="AA383" s="5"/>
      <c r="AB383" s="5"/>
      <c r="AC383" s="5"/>
      <c r="AD383" s="5"/>
      <c r="AE383" s="5"/>
      <c r="AF383" s="5"/>
      <c r="AG383" s="5"/>
      <c r="AH383" s="5"/>
      <c r="AI383" s="5"/>
      <c r="AJ383" s="19"/>
      <c r="AK383" s="19"/>
      <c r="AL383" s="19"/>
      <c r="AM383" s="19"/>
      <c r="AN383" s="19"/>
    </row>
    <row r="384" spans="18:40" x14ac:dyDescent="0.2">
      <c r="R384" s="5"/>
      <c r="S384" s="5"/>
      <c r="T384" s="5"/>
      <c r="U384" s="5"/>
      <c r="V384" s="5"/>
      <c r="W384" s="5"/>
      <c r="X384" s="5"/>
      <c r="Y384" s="5"/>
      <c r="Z384" s="5"/>
      <c r="AA384" s="5"/>
      <c r="AB384" s="5"/>
      <c r="AC384" s="5"/>
      <c r="AD384" s="5"/>
      <c r="AE384" s="5"/>
      <c r="AF384" s="5"/>
      <c r="AG384" s="5"/>
      <c r="AH384" s="5"/>
      <c r="AI384" s="5"/>
      <c r="AJ384" s="19"/>
      <c r="AK384" s="19"/>
      <c r="AL384" s="19"/>
      <c r="AM384" s="19"/>
      <c r="AN384" s="19"/>
    </row>
    <row r="385" spans="18:40" x14ac:dyDescent="0.2">
      <c r="R385" s="5"/>
      <c r="S385" s="5"/>
      <c r="T385" s="5"/>
      <c r="U385" s="5"/>
      <c r="V385" s="5"/>
      <c r="W385" s="5"/>
      <c r="X385" s="5"/>
      <c r="Y385" s="5"/>
      <c r="Z385" s="5"/>
      <c r="AA385" s="5"/>
      <c r="AB385" s="5"/>
      <c r="AC385" s="5"/>
      <c r="AD385" s="5"/>
      <c r="AE385" s="5"/>
      <c r="AF385" s="5"/>
      <c r="AG385" s="5"/>
      <c r="AH385" s="5"/>
      <c r="AI385" s="5"/>
      <c r="AJ385" s="19"/>
      <c r="AK385" s="19"/>
      <c r="AL385" s="19"/>
      <c r="AM385" s="19"/>
      <c r="AN385" s="19"/>
    </row>
    <row r="386" spans="18:40" x14ac:dyDescent="0.2">
      <c r="R386" s="5"/>
      <c r="S386" s="5"/>
      <c r="T386" s="5"/>
      <c r="U386" s="5"/>
      <c r="V386" s="5"/>
      <c r="W386" s="5"/>
      <c r="X386" s="5"/>
      <c r="Y386" s="5"/>
      <c r="Z386" s="5"/>
      <c r="AA386" s="5"/>
      <c r="AB386" s="5"/>
      <c r="AC386" s="5"/>
      <c r="AD386" s="5"/>
      <c r="AE386" s="5"/>
      <c r="AF386" s="5"/>
      <c r="AG386" s="5"/>
      <c r="AH386" s="5"/>
      <c r="AI386" s="5"/>
      <c r="AJ386" s="19"/>
      <c r="AK386" s="19"/>
      <c r="AL386" s="19"/>
      <c r="AM386" s="19"/>
      <c r="AN386" s="19"/>
    </row>
    <row r="387" spans="18:40" x14ac:dyDescent="0.2">
      <c r="R387" s="5"/>
      <c r="S387" s="5"/>
      <c r="T387" s="5"/>
      <c r="U387" s="5"/>
      <c r="V387" s="5"/>
      <c r="W387" s="5"/>
      <c r="X387" s="5"/>
      <c r="Y387" s="5"/>
      <c r="Z387" s="5"/>
      <c r="AA387" s="5"/>
      <c r="AB387" s="5"/>
      <c r="AC387" s="5"/>
      <c r="AD387" s="5"/>
      <c r="AE387" s="5"/>
      <c r="AF387" s="5"/>
      <c r="AG387" s="5"/>
      <c r="AH387" s="5"/>
      <c r="AI387" s="5"/>
      <c r="AJ387" s="19"/>
      <c r="AK387" s="19"/>
      <c r="AL387" s="19"/>
      <c r="AM387" s="19"/>
      <c r="AN387" s="19"/>
    </row>
    <row r="388" spans="18:40" x14ac:dyDescent="0.2">
      <c r="R388" s="5"/>
      <c r="S388" s="5"/>
      <c r="T388" s="5"/>
      <c r="U388" s="5"/>
      <c r="V388" s="5"/>
      <c r="W388" s="5"/>
      <c r="X388" s="5"/>
      <c r="Y388" s="5"/>
      <c r="Z388" s="5"/>
      <c r="AA388" s="5"/>
      <c r="AB388" s="5"/>
      <c r="AC388" s="5"/>
      <c r="AD388" s="5"/>
      <c r="AE388" s="5"/>
      <c r="AF388" s="5"/>
      <c r="AG388" s="5"/>
      <c r="AH388" s="5"/>
      <c r="AI388" s="5"/>
      <c r="AJ388" s="19"/>
      <c r="AK388" s="19"/>
      <c r="AL388" s="19"/>
      <c r="AM388" s="19"/>
      <c r="AN388" s="19"/>
    </row>
    <row r="389" spans="18:40" x14ac:dyDescent="0.2">
      <c r="R389" s="5"/>
      <c r="S389" s="5"/>
      <c r="T389" s="5"/>
      <c r="U389" s="5"/>
      <c r="V389" s="5"/>
      <c r="W389" s="5"/>
      <c r="X389" s="5"/>
      <c r="Y389" s="5"/>
      <c r="Z389" s="5"/>
      <c r="AA389" s="5"/>
      <c r="AB389" s="5"/>
      <c r="AC389" s="5"/>
      <c r="AD389" s="5"/>
      <c r="AE389" s="5"/>
      <c r="AF389" s="5"/>
      <c r="AG389" s="5"/>
      <c r="AH389" s="5"/>
      <c r="AI389" s="5"/>
      <c r="AJ389" s="19"/>
      <c r="AK389" s="19"/>
      <c r="AL389" s="19"/>
      <c r="AM389" s="19"/>
      <c r="AN389" s="19"/>
    </row>
    <row r="390" spans="18:40" x14ac:dyDescent="0.2">
      <c r="R390" s="5"/>
      <c r="S390" s="5"/>
      <c r="T390" s="5"/>
      <c r="U390" s="5"/>
      <c r="V390" s="5"/>
      <c r="W390" s="5"/>
      <c r="X390" s="5"/>
      <c r="Y390" s="5"/>
      <c r="Z390" s="5"/>
      <c r="AA390" s="5"/>
      <c r="AB390" s="5"/>
      <c r="AC390" s="5"/>
      <c r="AD390" s="5"/>
      <c r="AE390" s="5"/>
      <c r="AF390" s="5"/>
      <c r="AG390" s="5"/>
      <c r="AH390" s="5"/>
      <c r="AI390" s="5"/>
      <c r="AJ390" s="19"/>
      <c r="AK390" s="19"/>
      <c r="AL390" s="19"/>
      <c r="AM390" s="19"/>
      <c r="AN390" s="19"/>
    </row>
    <row r="391" spans="18:40" x14ac:dyDescent="0.2">
      <c r="R391" s="5"/>
      <c r="S391" s="5"/>
      <c r="T391" s="5"/>
      <c r="U391" s="5"/>
      <c r="V391" s="5"/>
      <c r="W391" s="5"/>
      <c r="X391" s="5"/>
      <c r="Y391" s="5"/>
      <c r="Z391" s="5"/>
      <c r="AA391" s="5"/>
      <c r="AB391" s="5"/>
      <c r="AC391" s="5"/>
      <c r="AD391" s="5"/>
      <c r="AE391" s="5"/>
      <c r="AF391" s="5"/>
      <c r="AG391" s="5"/>
      <c r="AH391" s="5"/>
      <c r="AI391" s="5"/>
      <c r="AJ391" s="19"/>
      <c r="AK391" s="19"/>
      <c r="AL391" s="19"/>
      <c r="AM391" s="19"/>
      <c r="AN391" s="19"/>
    </row>
    <row r="392" spans="18:40" x14ac:dyDescent="0.2">
      <c r="R392" s="5"/>
      <c r="S392" s="5"/>
      <c r="T392" s="5"/>
      <c r="U392" s="5"/>
      <c r="V392" s="5"/>
      <c r="W392" s="5"/>
      <c r="X392" s="5"/>
      <c r="Y392" s="5"/>
      <c r="Z392" s="5"/>
      <c r="AA392" s="5"/>
      <c r="AB392" s="5"/>
      <c r="AC392" s="5"/>
      <c r="AD392" s="5"/>
      <c r="AE392" s="5"/>
      <c r="AF392" s="5"/>
      <c r="AG392" s="5"/>
      <c r="AH392" s="5"/>
      <c r="AI392" s="5"/>
      <c r="AJ392" s="19"/>
      <c r="AK392" s="19"/>
      <c r="AL392" s="19"/>
      <c r="AM392" s="19"/>
      <c r="AN392" s="19"/>
    </row>
    <row r="393" spans="18:40" x14ac:dyDescent="0.2">
      <c r="R393" s="5"/>
      <c r="S393" s="5"/>
      <c r="T393" s="5"/>
      <c r="U393" s="5"/>
      <c r="V393" s="5"/>
      <c r="W393" s="5"/>
      <c r="X393" s="5"/>
      <c r="Y393" s="5"/>
      <c r="Z393" s="5"/>
      <c r="AA393" s="5"/>
      <c r="AB393" s="5"/>
      <c r="AC393" s="5"/>
      <c r="AD393" s="5"/>
      <c r="AE393" s="5"/>
      <c r="AF393" s="5"/>
      <c r="AG393" s="5"/>
      <c r="AH393" s="5"/>
      <c r="AI393" s="5"/>
      <c r="AJ393" s="19"/>
      <c r="AK393" s="19"/>
      <c r="AL393" s="19"/>
      <c r="AM393" s="19"/>
      <c r="AN393" s="19"/>
    </row>
    <row r="394" spans="18:40" x14ac:dyDescent="0.2">
      <c r="R394" s="5"/>
      <c r="S394" s="5"/>
      <c r="T394" s="5"/>
      <c r="U394" s="5"/>
      <c r="V394" s="5"/>
      <c r="W394" s="5"/>
      <c r="X394" s="5"/>
      <c r="Y394" s="5"/>
      <c r="Z394" s="5"/>
      <c r="AA394" s="5"/>
      <c r="AB394" s="5"/>
      <c r="AC394" s="5"/>
      <c r="AD394" s="5"/>
      <c r="AE394" s="5"/>
      <c r="AF394" s="5"/>
      <c r="AG394" s="5"/>
      <c r="AH394" s="5"/>
      <c r="AI394" s="5"/>
      <c r="AJ394" s="19"/>
      <c r="AK394" s="19"/>
      <c r="AL394" s="19"/>
      <c r="AM394" s="19"/>
      <c r="AN394" s="19"/>
    </row>
    <row r="395" spans="18:40" x14ac:dyDescent="0.2">
      <c r="R395" s="5"/>
      <c r="S395" s="5"/>
      <c r="T395" s="5"/>
      <c r="U395" s="5"/>
      <c r="V395" s="5"/>
      <c r="W395" s="5"/>
      <c r="X395" s="5"/>
      <c r="Y395" s="5"/>
      <c r="Z395" s="5"/>
      <c r="AA395" s="5"/>
      <c r="AB395" s="5"/>
      <c r="AC395" s="5"/>
      <c r="AD395" s="5"/>
      <c r="AE395" s="5"/>
      <c r="AF395" s="5"/>
      <c r="AG395" s="5"/>
      <c r="AH395" s="5"/>
      <c r="AI395" s="5"/>
      <c r="AJ395" s="19"/>
      <c r="AK395" s="19"/>
      <c r="AL395" s="19"/>
      <c r="AM395" s="19"/>
      <c r="AN395" s="19"/>
    </row>
    <row r="396" spans="18:40" x14ac:dyDescent="0.2">
      <c r="R396" s="5"/>
      <c r="S396" s="5"/>
      <c r="T396" s="5"/>
      <c r="U396" s="5"/>
      <c r="V396" s="5"/>
      <c r="W396" s="5"/>
      <c r="X396" s="5"/>
      <c r="Y396" s="5"/>
      <c r="Z396" s="5"/>
      <c r="AA396" s="5"/>
      <c r="AB396" s="5"/>
      <c r="AC396" s="5"/>
      <c r="AD396" s="5"/>
      <c r="AE396" s="5"/>
      <c r="AF396" s="5"/>
      <c r="AG396" s="5"/>
      <c r="AH396" s="5"/>
      <c r="AI396" s="5"/>
      <c r="AJ396" s="19"/>
      <c r="AK396" s="19"/>
      <c r="AL396" s="19"/>
      <c r="AM396" s="19"/>
      <c r="AN396" s="19"/>
    </row>
    <row r="397" spans="18:40" x14ac:dyDescent="0.2">
      <c r="R397" s="5"/>
      <c r="S397" s="5"/>
      <c r="T397" s="5"/>
      <c r="U397" s="5"/>
      <c r="V397" s="5"/>
      <c r="W397" s="5"/>
      <c r="X397" s="5"/>
      <c r="Y397" s="5"/>
      <c r="Z397" s="5"/>
      <c r="AA397" s="5"/>
      <c r="AB397" s="5"/>
      <c r="AC397" s="5"/>
      <c r="AD397" s="5"/>
      <c r="AE397" s="5"/>
      <c r="AF397" s="5"/>
      <c r="AG397" s="5"/>
      <c r="AH397" s="5"/>
      <c r="AI397" s="5"/>
      <c r="AJ397" s="19"/>
      <c r="AK397" s="19"/>
      <c r="AL397" s="19"/>
      <c r="AM397" s="19"/>
      <c r="AN397" s="19"/>
    </row>
    <row r="398" spans="18:40" x14ac:dyDescent="0.2">
      <c r="R398" s="5"/>
      <c r="S398" s="5"/>
      <c r="T398" s="5"/>
      <c r="U398" s="5"/>
      <c r="V398" s="5"/>
      <c r="W398" s="5"/>
      <c r="X398" s="5"/>
      <c r="Y398" s="5"/>
      <c r="Z398" s="5"/>
      <c r="AA398" s="5"/>
      <c r="AB398" s="5"/>
      <c r="AC398" s="5"/>
      <c r="AD398" s="5"/>
      <c r="AE398" s="5"/>
      <c r="AF398" s="5"/>
      <c r="AG398" s="5"/>
      <c r="AH398" s="5"/>
      <c r="AI398" s="5"/>
      <c r="AJ398" s="19"/>
      <c r="AK398" s="19"/>
      <c r="AL398" s="19"/>
      <c r="AM398" s="19"/>
      <c r="AN398" s="19"/>
    </row>
    <row r="399" spans="18:40" x14ac:dyDescent="0.2">
      <c r="R399" s="5"/>
      <c r="S399" s="5"/>
      <c r="T399" s="5"/>
      <c r="U399" s="5"/>
      <c r="V399" s="5"/>
      <c r="W399" s="5"/>
      <c r="X399" s="5"/>
      <c r="Y399" s="5"/>
      <c r="Z399" s="5"/>
      <c r="AA399" s="5"/>
      <c r="AB399" s="5"/>
      <c r="AC399" s="5"/>
      <c r="AD399" s="5"/>
      <c r="AE399" s="5"/>
      <c r="AF399" s="5"/>
      <c r="AG399" s="5"/>
      <c r="AH399" s="5"/>
      <c r="AI399" s="5"/>
      <c r="AJ399" s="19"/>
      <c r="AK399" s="19"/>
      <c r="AL399" s="19"/>
      <c r="AM399" s="19"/>
      <c r="AN399" s="19"/>
    </row>
    <row r="400" spans="18:40" x14ac:dyDescent="0.2">
      <c r="R400" s="5"/>
      <c r="S400" s="5"/>
      <c r="T400" s="5"/>
      <c r="U400" s="5"/>
      <c r="V400" s="5"/>
      <c r="W400" s="5"/>
      <c r="X400" s="5"/>
      <c r="Y400" s="5"/>
      <c r="Z400" s="5"/>
      <c r="AA400" s="5"/>
      <c r="AB400" s="5"/>
      <c r="AC400" s="5"/>
      <c r="AD400" s="5"/>
      <c r="AE400" s="5"/>
      <c r="AF400" s="5"/>
      <c r="AG400" s="5"/>
      <c r="AH400" s="5"/>
      <c r="AI400" s="5"/>
      <c r="AJ400" s="19"/>
      <c r="AK400" s="19"/>
      <c r="AL400" s="19"/>
      <c r="AM400" s="19"/>
      <c r="AN400" s="19"/>
    </row>
    <row r="401" spans="18:40" x14ac:dyDescent="0.2">
      <c r="R401" s="5"/>
      <c r="S401" s="5"/>
      <c r="T401" s="5"/>
      <c r="U401" s="5"/>
      <c r="V401" s="5"/>
      <c r="W401" s="5"/>
      <c r="X401" s="5"/>
      <c r="Y401" s="5"/>
      <c r="Z401" s="5"/>
      <c r="AA401" s="5"/>
      <c r="AB401" s="5"/>
      <c r="AC401" s="5"/>
      <c r="AD401" s="5"/>
      <c r="AE401" s="5"/>
      <c r="AF401" s="5"/>
      <c r="AG401" s="5"/>
      <c r="AH401" s="5"/>
      <c r="AI401" s="5"/>
      <c r="AJ401" s="19"/>
      <c r="AK401" s="19"/>
      <c r="AL401" s="19"/>
      <c r="AM401" s="19"/>
      <c r="AN401" s="19"/>
    </row>
    <row r="402" spans="18:40" x14ac:dyDescent="0.2">
      <c r="R402" s="5"/>
      <c r="S402" s="5"/>
      <c r="T402" s="5"/>
      <c r="U402" s="5"/>
      <c r="V402" s="5"/>
      <c r="W402" s="5"/>
      <c r="X402" s="5"/>
      <c r="Y402" s="5"/>
      <c r="Z402" s="5"/>
      <c r="AA402" s="5"/>
      <c r="AB402" s="5"/>
      <c r="AC402" s="5"/>
      <c r="AD402" s="5"/>
      <c r="AE402" s="5"/>
      <c r="AF402" s="5"/>
      <c r="AG402" s="5"/>
      <c r="AH402" s="5"/>
      <c r="AI402" s="5"/>
      <c r="AJ402" s="19"/>
      <c r="AK402" s="19"/>
      <c r="AL402" s="19"/>
      <c r="AM402" s="19"/>
      <c r="AN402" s="19"/>
    </row>
    <row r="403" spans="18:40" x14ac:dyDescent="0.2">
      <c r="R403" s="5"/>
      <c r="S403" s="5"/>
      <c r="T403" s="5"/>
      <c r="U403" s="5"/>
      <c r="V403" s="5"/>
      <c r="W403" s="5"/>
      <c r="X403" s="5"/>
      <c r="Y403" s="5"/>
      <c r="Z403" s="5"/>
      <c r="AA403" s="5"/>
      <c r="AB403" s="5"/>
      <c r="AC403" s="5"/>
      <c r="AD403" s="5"/>
      <c r="AE403" s="5"/>
      <c r="AF403" s="5"/>
      <c r="AG403" s="5"/>
      <c r="AH403" s="5"/>
      <c r="AI403" s="5"/>
      <c r="AJ403" s="19"/>
      <c r="AK403" s="19"/>
      <c r="AL403" s="19"/>
      <c r="AM403" s="19"/>
      <c r="AN403" s="19"/>
    </row>
    <row r="404" spans="18:40" x14ac:dyDescent="0.2">
      <c r="R404" s="5"/>
      <c r="S404" s="5"/>
      <c r="T404" s="5"/>
      <c r="U404" s="5"/>
      <c r="V404" s="5"/>
      <c r="W404" s="5"/>
      <c r="X404" s="5"/>
      <c r="Y404" s="5"/>
      <c r="Z404" s="5"/>
      <c r="AA404" s="5"/>
      <c r="AB404" s="5"/>
      <c r="AC404" s="5"/>
      <c r="AD404" s="5"/>
      <c r="AE404" s="5"/>
      <c r="AF404" s="5"/>
      <c r="AG404" s="5"/>
      <c r="AH404" s="5"/>
      <c r="AI404" s="5"/>
      <c r="AJ404" s="19"/>
      <c r="AK404" s="19"/>
      <c r="AL404" s="19"/>
      <c r="AM404" s="19"/>
      <c r="AN404" s="19"/>
    </row>
    <row r="405" spans="18:40" x14ac:dyDescent="0.2">
      <c r="R405" s="5"/>
      <c r="S405" s="5"/>
      <c r="T405" s="5"/>
      <c r="U405" s="5"/>
      <c r="V405" s="5"/>
      <c r="W405" s="5"/>
      <c r="X405" s="5"/>
      <c r="Y405" s="5"/>
      <c r="Z405" s="5"/>
      <c r="AA405" s="5"/>
      <c r="AB405" s="5"/>
      <c r="AC405" s="5"/>
      <c r="AD405" s="5"/>
      <c r="AE405" s="5"/>
      <c r="AF405" s="5"/>
      <c r="AG405" s="5"/>
      <c r="AH405" s="5"/>
      <c r="AI405" s="5"/>
      <c r="AJ405" s="19"/>
      <c r="AK405" s="19"/>
      <c r="AL405" s="19"/>
      <c r="AM405" s="19"/>
      <c r="AN405" s="19"/>
    </row>
    <row r="406" spans="18:40" x14ac:dyDescent="0.2">
      <c r="R406" s="5"/>
      <c r="S406" s="5"/>
      <c r="T406" s="5"/>
      <c r="U406" s="5"/>
      <c r="V406" s="5"/>
      <c r="W406" s="5"/>
      <c r="X406" s="5"/>
      <c r="Y406" s="5"/>
      <c r="Z406" s="5"/>
      <c r="AA406" s="5"/>
      <c r="AB406" s="5"/>
      <c r="AC406" s="5"/>
      <c r="AD406" s="5"/>
      <c r="AE406" s="5"/>
      <c r="AF406" s="5"/>
      <c r="AG406" s="5"/>
      <c r="AH406" s="5"/>
      <c r="AI406" s="5"/>
      <c r="AJ406" s="19"/>
      <c r="AK406" s="19"/>
      <c r="AL406" s="19"/>
      <c r="AM406" s="19"/>
      <c r="AN406" s="19"/>
    </row>
    <row r="407" spans="18:40" x14ac:dyDescent="0.2">
      <c r="R407" s="5"/>
      <c r="S407" s="5"/>
      <c r="T407" s="5"/>
      <c r="U407" s="5"/>
      <c r="V407" s="5"/>
      <c r="W407" s="5"/>
      <c r="X407" s="5"/>
      <c r="Y407" s="5"/>
      <c r="Z407" s="5"/>
      <c r="AA407" s="5"/>
      <c r="AB407" s="5"/>
      <c r="AC407" s="5"/>
      <c r="AD407" s="5"/>
      <c r="AE407" s="5"/>
      <c r="AF407" s="5"/>
      <c r="AG407" s="5"/>
      <c r="AH407" s="5"/>
      <c r="AI407" s="5"/>
      <c r="AJ407" s="19"/>
      <c r="AK407" s="19"/>
      <c r="AL407" s="19"/>
      <c r="AM407" s="19"/>
      <c r="AN407" s="19"/>
    </row>
    <row r="408" spans="18:40" x14ac:dyDescent="0.2">
      <c r="R408" s="5"/>
      <c r="S408" s="5"/>
      <c r="T408" s="5"/>
      <c r="U408" s="5"/>
      <c r="V408" s="5"/>
      <c r="W408" s="5"/>
      <c r="X408" s="5"/>
      <c r="Y408" s="5"/>
      <c r="Z408" s="5"/>
      <c r="AA408" s="5"/>
      <c r="AB408" s="5"/>
      <c r="AC408" s="5"/>
      <c r="AD408" s="5"/>
      <c r="AE408" s="5"/>
      <c r="AF408" s="5"/>
      <c r="AG408" s="5"/>
      <c r="AH408" s="5"/>
      <c r="AI408" s="5"/>
      <c r="AJ408" s="19"/>
      <c r="AK408" s="19"/>
      <c r="AL408" s="19"/>
      <c r="AM408" s="19"/>
      <c r="AN408" s="19"/>
    </row>
    <row r="409" spans="18:40" x14ac:dyDescent="0.2">
      <c r="R409" s="5"/>
      <c r="S409" s="5"/>
      <c r="T409" s="5"/>
      <c r="U409" s="5"/>
      <c r="V409" s="5"/>
      <c r="W409" s="5"/>
      <c r="X409" s="5"/>
      <c r="Y409" s="5"/>
      <c r="Z409" s="5"/>
      <c r="AA409" s="5"/>
      <c r="AB409" s="5"/>
      <c r="AC409" s="5"/>
      <c r="AD409" s="5"/>
      <c r="AE409" s="5"/>
      <c r="AF409" s="5"/>
      <c r="AG409" s="5"/>
      <c r="AH409" s="5"/>
      <c r="AI409" s="5"/>
      <c r="AJ409" s="19"/>
      <c r="AK409" s="19"/>
      <c r="AL409" s="19"/>
      <c r="AM409" s="19"/>
      <c r="AN409" s="19"/>
    </row>
    <row r="410" spans="18:40" x14ac:dyDescent="0.2">
      <c r="R410" s="5"/>
      <c r="S410" s="5"/>
      <c r="T410" s="5"/>
      <c r="U410" s="5"/>
      <c r="V410" s="5"/>
      <c r="W410" s="5"/>
      <c r="X410" s="5"/>
      <c r="Y410" s="5"/>
      <c r="Z410" s="5"/>
      <c r="AA410" s="5"/>
      <c r="AB410" s="5"/>
      <c r="AC410" s="5"/>
      <c r="AD410" s="5"/>
      <c r="AE410" s="5"/>
      <c r="AF410" s="5"/>
      <c r="AG410" s="5"/>
      <c r="AH410" s="5"/>
      <c r="AI410" s="5"/>
      <c r="AJ410" s="19"/>
      <c r="AK410" s="19"/>
      <c r="AL410" s="19"/>
      <c r="AM410" s="19"/>
      <c r="AN410" s="19"/>
    </row>
    <row r="411" spans="18:40" x14ac:dyDescent="0.2">
      <c r="R411" s="5"/>
      <c r="S411" s="5"/>
      <c r="T411" s="5"/>
      <c r="U411" s="5"/>
      <c r="V411" s="5"/>
      <c r="W411" s="5"/>
      <c r="X411" s="5"/>
      <c r="Y411" s="5"/>
      <c r="Z411" s="5"/>
      <c r="AA411" s="5"/>
      <c r="AB411" s="5"/>
      <c r="AC411" s="5"/>
      <c r="AD411" s="5"/>
      <c r="AE411" s="5"/>
      <c r="AF411" s="5"/>
      <c r="AG411" s="5"/>
      <c r="AH411" s="5"/>
      <c r="AI411" s="5"/>
      <c r="AJ411" s="19"/>
      <c r="AK411" s="19"/>
      <c r="AL411" s="19"/>
      <c r="AM411" s="19"/>
      <c r="AN411" s="19"/>
    </row>
    <row r="412" spans="18:40" x14ac:dyDescent="0.2">
      <c r="R412" s="5"/>
      <c r="S412" s="5"/>
      <c r="T412" s="5"/>
      <c r="U412" s="5"/>
      <c r="V412" s="5"/>
      <c r="W412" s="5"/>
      <c r="X412" s="5"/>
      <c r="Y412" s="5"/>
      <c r="Z412" s="5"/>
      <c r="AA412" s="5"/>
      <c r="AB412" s="5"/>
      <c r="AC412" s="5"/>
      <c r="AD412" s="5"/>
      <c r="AE412" s="5"/>
      <c r="AF412" s="5"/>
      <c r="AG412" s="5"/>
      <c r="AH412" s="5"/>
      <c r="AI412" s="5"/>
      <c r="AJ412" s="19"/>
      <c r="AK412" s="19"/>
      <c r="AL412" s="19"/>
      <c r="AM412" s="19"/>
      <c r="AN412" s="19"/>
    </row>
    <row r="413" spans="18:40" x14ac:dyDescent="0.2">
      <c r="R413" s="5"/>
      <c r="S413" s="5"/>
      <c r="T413" s="5"/>
      <c r="U413" s="5"/>
      <c r="V413" s="5"/>
      <c r="W413" s="5"/>
      <c r="X413" s="5"/>
      <c r="Y413" s="5"/>
      <c r="Z413" s="5"/>
      <c r="AA413" s="5"/>
      <c r="AB413" s="5"/>
      <c r="AC413" s="5"/>
      <c r="AD413" s="5"/>
      <c r="AE413" s="5"/>
      <c r="AF413" s="5"/>
      <c r="AG413" s="5"/>
      <c r="AH413" s="5"/>
      <c r="AI413" s="5"/>
      <c r="AJ413" s="19"/>
      <c r="AK413" s="19"/>
      <c r="AL413" s="19"/>
      <c r="AM413" s="19"/>
      <c r="AN413" s="19"/>
    </row>
    <row r="414" spans="18:40" x14ac:dyDescent="0.2">
      <c r="R414" s="5"/>
      <c r="S414" s="5"/>
      <c r="T414" s="5"/>
      <c r="U414" s="5"/>
      <c r="V414" s="5"/>
      <c r="W414" s="5"/>
      <c r="X414" s="5"/>
      <c r="Y414" s="5"/>
      <c r="Z414" s="5"/>
      <c r="AA414" s="5"/>
      <c r="AB414" s="5"/>
      <c r="AC414" s="5"/>
      <c r="AD414" s="5"/>
      <c r="AE414" s="5"/>
      <c r="AF414" s="5"/>
      <c r="AG414" s="5"/>
      <c r="AH414" s="5"/>
      <c r="AI414" s="5"/>
      <c r="AJ414" s="19"/>
      <c r="AK414" s="19"/>
      <c r="AL414" s="19"/>
      <c r="AM414" s="19"/>
      <c r="AN414" s="19"/>
    </row>
    <row r="415" spans="18:40" x14ac:dyDescent="0.2">
      <c r="R415" s="5"/>
      <c r="S415" s="5"/>
      <c r="T415" s="5"/>
      <c r="U415" s="5"/>
      <c r="V415" s="5"/>
      <c r="W415" s="5"/>
      <c r="X415" s="5"/>
      <c r="Y415" s="5"/>
      <c r="Z415" s="5"/>
      <c r="AA415" s="5"/>
      <c r="AB415" s="5"/>
      <c r="AC415" s="5"/>
      <c r="AD415" s="5"/>
      <c r="AE415" s="5"/>
      <c r="AF415" s="5"/>
      <c r="AG415" s="5"/>
      <c r="AH415" s="5"/>
      <c r="AI415" s="5"/>
      <c r="AJ415" s="19"/>
      <c r="AK415" s="19"/>
      <c r="AL415" s="19"/>
      <c r="AM415" s="19"/>
      <c r="AN415" s="19"/>
    </row>
    <row r="416" spans="18:40" x14ac:dyDescent="0.2">
      <c r="R416" s="5"/>
      <c r="S416" s="5"/>
      <c r="T416" s="5"/>
      <c r="U416" s="5"/>
      <c r="V416" s="5"/>
      <c r="W416" s="5"/>
      <c r="X416" s="5"/>
      <c r="Y416" s="5"/>
      <c r="Z416" s="5"/>
      <c r="AA416" s="5"/>
      <c r="AB416" s="5"/>
      <c r="AC416" s="5"/>
      <c r="AD416" s="5"/>
      <c r="AE416" s="5"/>
      <c r="AF416" s="5"/>
      <c r="AG416" s="5"/>
      <c r="AH416" s="5"/>
      <c r="AI416" s="5"/>
      <c r="AJ416" s="19"/>
      <c r="AK416" s="19"/>
      <c r="AL416" s="19"/>
      <c r="AM416" s="19"/>
      <c r="AN416" s="19"/>
    </row>
    <row r="417" spans="18:40" x14ac:dyDescent="0.2">
      <c r="R417" s="5"/>
      <c r="S417" s="5"/>
      <c r="T417" s="5"/>
      <c r="U417" s="5"/>
      <c r="V417" s="5"/>
      <c r="W417" s="5"/>
      <c r="X417" s="5"/>
      <c r="Y417" s="5"/>
      <c r="Z417" s="5"/>
      <c r="AA417" s="5"/>
      <c r="AB417" s="5"/>
      <c r="AC417" s="5"/>
      <c r="AD417" s="5"/>
      <c r="AE417" s="5"/>
      <c r="AF417" s="5"/>
      <c r="AG417" s="5"/>
      <c r="AH417" s="5"/>
      <c r="AI417" s="5"/>
      <c r="AJ417" s="19"/>
      <c r="AK417" s="19"/>
      <c r="AL417" s="19"/>
      <c r="AM417" s="19"/>
      <c r="AN417" s="19"/>
    </row>
    <row r="418" spans="18:40" x14ac:dyDescent="0.2">
      <c r="R418" s="5"/>
      <c r="S418" s="5"/>
      <c r="T418" s="5"/>
      <c r="U418" s="5"/>
      <c r="V418" s="5"/>
      <c r="W418" s="5"/>
      <c r="X418" s="5"/>
      <c r="Y418" s="5"/>
      <c r="Z418" s="5"/>
      <c r="AA418" s="5"/>
      <c r="AB418" s="5"/>
      <c r="AC418" s="5"/>
      <c r="AD418" s="5"/>
      <c r="AE418" s="5"/>
      <c r="AF418" s="5"/>
      <c r="AG418" s="5"/>
      <c r="AH418" s="5"/>
      <c r="AI418" s="5"/>
      <c r="AJ418" s="19"/>
      <c r="AK418" s="19"/>
      <c r="AL418" s="19"/>
      <c r="AM418" s="19"/>
      <c r="AN418" s="19"/>
    </row>
    <row r="419" spans="18:40" x14ac:dyDescent="0.2">
      <c r="R419" s="5"/>
      <c r="S419" s="5"/>
      <c r="T419" s="5"/>
      <c r="U419" s="5"/>
      <c r="V419" s="5"/>
      <c r="W419" s="5"/>
      <c r="X419" s="5"/>
      <c r="Y419" s="5"/>
      <c r="Z419" s="5"/>
      <c r="AA419" s="5"/>
      <c r="AB419" s="5"/>
      <c r="AC419" s="5"/>
      <c r="AD419" s="5"/>
      <c r="AE419" s="5"/>
      <c r="AF419" s="5"/>
      <c r="AG419" s="5"/>
      <c r="AH419" s="5"/>
      <c r="AI419" s="5"/>
      <c r="AJ419" s="19"/>
      <c r="AK419" s="19"/>
      <c r="AL419" s="19"/>
      <c r="AM419" s="19"/>
      <c r="AN419" s="19"/>
    </row>
    <row r="420" spans="18:40" x14ac:dyDescent="0.2">
      <c r="R420" s="5"/>
      <c r="S420" s="5"/>
      <c r="T420" s="5"/>
      <c r="U420" s="5"/>
      <c r="V420" s="5"/>
      <c r="W420" s="5"/>
      <c r="X420" s="5"/>
      <c r="Y420" s="5"/>
      <c r="Z420" s="5"/>
      <c r="AA420" s="5"/>
      <c r="AB420" s="5"/>
      <c r="AC420" s="5"/>
      <c r="AD420" s="5"/>
      <c r="AE420" s="5"/>
      <c r="AF420" s="5"/>
      <c r="AG420" s="5"/>
      <c r="AH420" s="5"/>
      <c r="AI420" s="5"/>
      <c r="AJ420" s="19"/>
      <c r="AK420" s="19"/>
      <c r="AL420" s="19"/>
      <c r="AM420" s="19"/>
      <c r="AN420" s="19"/>
    </row>
    <row r="421" spans="18:40" x14ac:dyDescent="0.2">
      <c r="R421" s="5"/>
      <c r="S421" s="5"/>
      <c r="T421" s="5"/>
      <c r="U421" s="5"/>
      <c r="V421" s="5"/>
      <c r="W421" s="5"/>
      <c r="X421" s="5"/>
      <c r="Y421" s="5"/>
      <c r="Z421" s="5"/>
      <c r="AA421" s="5"/>
      <c r="AB421" s="5"/>
      <c r="AC421" s="5"/>
      <c r="AD421" s="5"/>
      <c r="AE421" s="5"/>
      <c r="AF421" s="5"/>
      <c r="AG421" s="5"/>
      <c r="AH421" s="5"/>
      <c r="AI421" s="5"/>
      <c r="AJ421" s="19"/>
      <c r="AK421" s="19"/>
      <c r="AL421" s="19"/>
      <c r="AM421" s="19"/>
      <c r="AN421" s="19"/>
    </row>
    <row r="422" spans="18:40" x14ac:dyDescent="0.2">
      <c r="R422" s="5"/>
      <c r="S422" s="5"/>
      <c r="T422" s="5"/>
      <c r="U422" s="5"/>
      <c r="V422" s="5"/>
      <c r="W422" s="5"/>
      <c r="X422" s="5"/>
      <c r="Y422" s="5"/>
      <c r="Z422" s="5"/>
      <c r="AA422" s="5"/>
      <c r="AB422" s="5"/>
      <c r="AC422" s="5"/>
      <c r="AD422" s="5"/>
      <c r="AE422" s="5"/>
      <c r="AF422" s="5"/>
      <c r="AG422" s="5"/>
      <c r="AH422" s="5"/>
      <c r="AI422" s="5"/>
      <c r="AJ422" s="19"/>
      <c r="AK422" s="19"/>
      <c r="AL422" s="19"/>
      <c r="AM422" s="19"/>
      <c r="AN422" s="19"/>
    </row>
    <row r="423" spans="18:40" x14ac:dyDescent="0.2">
      <c r="R423" s="5"/>
      <c r="S423" s="5"/>
      <c r="T423" s="5"/>
      <c r="U423" s="5"/>
      <c r="V423" s="5"/>
      <c r="W423" s="5"/>
      <c r="X423" s="5"/>
      <c r="Y423" s="5"/>
      <c r="Z423" s="5"/>
      <c r="AA423" s="5"/>
      <c r="AB423" s="5"/>
      <c r="AC423" s="5"/>
      <c r="AD423" s="5"/>
      <c r="AE423" s="5"/>
      <c r="AF423" s="5"/>
      <c r="AG423" s="5"/>
      <c r="AH423" s="5"/>
      <c r="AI423" s="5"/>
      <c r="AJ423" s="19"/>
      <c r="AK423" s="19"/>
      <c r="AL423" s="19"/>
      <c r="AM423" s="19"/>
      <c r="AN423" s="19"/>
    </row>
    <row r="424" spans="18:40" x14ac:dyDescent="0.2">
      <c r="R424" s="5"/>
      <c r="S424" s="5"/>
      <c r="T424" s="5"/>
      <c r="U424" s="5"/>
      <c r="V424" s="5"/>
      <c r="W424" s="5"/>
      <c r="X424" s="5"/>
      <c r="Y424" s="5"/>
      <c r="Z424" s="5"/>
      <c r="AA424" s="5"/>
      <c r="AB424" s="5"/>
      <c r="AC424" s="5"/>
      <c r="AD424" s="5"/>
      <c r="AE424" s="5"/>
      <c r="AF424" s="5"/>
      <c r="AG424" s="5"/>
      <c r="AH424" s="5"/>
      <c r="AI424" s="5"/>
      <c r="AJ424" s="19"/>
      <c r="AK424" s="19"/>
      <c r="AL424" s="19"/>
      <c r="AM424" s="19"/>
      <c r="AN424" s="19"/>
    </row>
    <row r="425" spans="18:40" x14ac:dyDescent="0.2">
      <c r="R425" s="5"/>
      <c r="S425" s="5"/>
      <c r="T425" s="5"/>
      <c r="U425" s="5"/>
      <c r="V425" s="5"/>
      <c r="W425" s="5"/>
      <c r="X425" s="5"/>
      <c r="Y425" s="5"/>
      <c r="Z425" s="5"/>
      <c r="AA425" s="5"/>
      <c r="AB425" s="5"/>
      <c r="AC425" s="5"/>
      <c r="AD425" s="5"/>
      <c r="AE425" s="5"/>
      <c r="AF425" s="5"/>
      <c r="AG425" s="5"/>
      <c r="AH425" s="5"/>
      <c r="AI425" s="5"/>
      <c r="AJ425" s="19"/>
      <c r="AK425" s="19"/>
      <c r="AL425" s="19"/>
      <c r="AM425" s="19"/>
      <c r="AN425" s="19"/>
    </row>
    <row r="426" spans="18:40" x14ac:dyDescent="0.2">
      <c r="R426" s="5"/>
      <c r="S426" s="5"/>
      <c r="T426" s="5"/>
      <c r="U426" s="5"/>
      <c r="V426" s="5"/>
      <c r="W426" s="5"/>
      <c r="X426" s="5"/>
      <c r="Y426" s="5"/>
      <c r="Z426" s="5"/>
      <c r="AA426" s="5"/>
      <c r="AB426" s="5"/>
      <c r="AC426" s="5"/>
      <c r="AD426" s="5"/>
      <c r="AE426" s="5"/>
      <c r="AF426" s="5"/>
      <c r="AG426" s="5"/>
      <c r="AH426" s="5"/>
      <c r="AI426" s="5"/>
      <c r="AJ426" s="19"/>
      <c r="AK426" s="19"/>
      <c r="AL426" s="19"/>
      <c r="AM426" s="19"/>
      <c r="AN426" s="19"/>
    </row>
    <row r="427" spans="18:40" x14ac:dyDescent="0.2">
      <c r="R427" s="5"/>
      <c r="S427" s="5"/>
      <c r="T427" s="5"/>
      <c r="U427" s="5"/>
      <c r="V427" s="5"/>
      <c r="W427" s="5"/>
      <c r="X427" s="5"/>
      <c r="Y427" s="5"/>
      <c r="Z427" s="5"/>
      <c r="AA427" s="5"/>
      <c r="AB427" s="5"/>
      <c r="AC427" s="5"/>
      <c r="AD427" s="5"/>
      <c r="AE427" s="5"/>
      <c r="AF427" s="5"/>
      <c r="AG427" s="5"/>
      <c r="AH427" s="5"/>
      <c r="AI427" s="5"/>
      <c r="AJ427" s="19"/>
      <c r="AK427" s="19"/>
      <c r="AL427" s="19"/>
      <c r="AM427" s="19"/>
      <c r="AN427" s="19"/>
    </row>
    <row r="428" spans="18:40" x14ac:dyDescent="0.2">
      <c r="R428" s="5"/>
      <c r="S428" s="5"/>
      <c r="T428" s="5"/>
      <c r="U428" s="5"/>
      <c r="V428" s="5"/>
      <c r="W428" s="5"/>
      <c r="X428" s="5"/>
      <c r="Y428" s="5"/>
      <c r="Z428" s="5"/>
      <c r="AA428" s="5"/>
      <c r="AB428" s="5"/>
      <c r="AC428" s="5"/>
      <c r="AD428" s="5"/>
      <c r="AE428" s="5"/>
      <c r="AF428" s="5"/>
      <c r="AG428" s="5"/>
      <c r="AH428" s="5"/>
      <c r="AI428" s="5"/>
      <c r="AJ428" s="19"/>
      <c r="AK428" s="19"/>
      <c r="AL428" s="19"/>
      <c r="AM428" s="19"/>
      <c r="AN428" s="19"/>
    </row>
    <row r="429" spans="18:40" x14ac:dyDescent="0.2">
      <c r="R429" s="5"/>
      <c r="S429" s="5"/>
      <c r="T429" s="5"/>
      <c r="U429" s="5"/>
      <c r="V429" s="5"/>
      <c r="W429" s="5"/>
      <c r="X429" s="5"/>
      <c r="Y429" s="5"/>
      <c r="Z429" s="5"/>
      <c r="AA429" s="5"/>
      <c r="AB429" s="5"/>
      <c r="AC429" s="5"/>
      <c r="AD429" s="5"/>
      <c r="AE429" s="5"/>
      <c r="AF429" s="5"/>
      <c r="AG429" s="5"/>
      <c r="AH429" s="5"/>
      <c r="AI429" s="5"/>
      <c r="AJ429" s="19"/>
      <c r="AK429" s="19"/>
      <c r="AL429" s="19"/>
      <c r="AM429" s="19"/>
      <c r="AN429" s="19"/>
    </row>
    <row r="430" spans="18:40" x14ac:dyDescent="0.2">
      <c r="R430" s="5"/>
      <c r="S430" s="5"/>
      <c r="T430" s="5"/>
      <c r="U430" s="5"/>
      <c r="V430" s="5"/>
      <c r="W430" s="5"/>
      <c r="X430" s="5"/>
      <c r="Y430" s="5"/>
      <c r="Z430" s="5"/>
      <c r="AA430" s="5"/>
      <c r="AB430" s="5"/>
      <c r="AC430" s="5"/>
      <c r="AD430" s="5"/>
      <c r="AE430" s="5"/>
      <c r="AF430" s="5"/>
      <c r="AG430" s="5"/>
      <c r="AH430" s="5"/>
      <c r="AI430" s="5"/>
      <c r="AJ430" s="19"/>
      <c r="AK430" s="19"/>
      <c r="AL430" s="19"/>
      <c r="AM430" s="19"/>
      <c r="AN430" s="19"/>
    </row>
    <row r="431" spans="18:40" x14ac:dyDescent="0.2">
      <c r="R431" s="5"/>
      <c r="S431" s="5"/>
      <c r="T431" s="5"/>
      <c r="U431" s="5"/>
      <c r="V431" s="5"/>
      <c r="W431" s="5"/>
      <c r="X431" s="5"/>
      <c r="Y431" s="5"/>
      <c r="Z431" s="5"/>
      <c r="AA431" s="5"/>
      <c r="AB431" s="5"/>
      <c r="AC431" s="5"/>
      <c r="AD431" s="5"/>
      <c r="AE431" s="5"/>
      <c r="AF431" s="5"/>
      <c r="AG431" s="5"/>
      <c r="AH431" s="5"/>
      <c r="AI431" s="5"/>
      <c r="AJ431" s="19"/>
      <c r="AK431" s="19"/>
      <c r="AL431" s="19"/>
      <c r="AM431" s="19"/>
      <c r="AN431" s="19"/>
    </row>
    <row r="432" spans="18:40" x14ac:dyDescent="0.2">
      <c r="R432" s="5"/>
      <c r="S432" s="5"/>
      <c r="T432" s="5"/>
      <c r="U432" s="5"/>
      <c r="V432" s="5"/>
      <c r="W432" s="5"/>
      <c r="X432" s="5"/>
      <c r="Y432" s="5"/>
      <c r="Z432" s="5"/>
      <c r="AA432" s="5"/>
      <c r="AB432" s="5"/>
      <c r="AC432" s="5"/>
      <c r="AD432" s="5"/>
      <c r="AE432" s="5"/>
      <c r="AF432" s="5"/>
      <c r="AG432" s="5"/>
      <c r="AH432" s="5"/>
      <c r="AI432" s="5"/>
      <c r="AJ432" s="19"/>
      <c r="AK432" s="19"/>
      <c r="AL432" s="19"/>
      <c r="AM432" s="19"/>
      <c r="AN432" s="19"/>
    </row>
    <row r="433" spans="18:40" x14ac:dyDescent="0.2">
      <c r="R433" s="5"/>
      <c r="S433" s="5"/>
      <c r="T433" s="5"/>
      <c r="U433" s="5"/>
      <c r="V433" s="5"/>
      <c r="W433" s="5"/>
      <c r="X433" s="5"/>
      <c r="Y433" s="5"/>
      <c r="Z433" s="5"/>
      <c r="AA433" s="5"/>
      <c r="AB433" s="5"/>
      <c r="AC433" s="5"/>
      <c r="AD433" s="5"/>
      <c r="AE433" s="5"/>
      <c r="AF433" s="5"/>
      <c r="AG433" s="5"/>
      <c r="AH433" s="5"/>
      <c r="AI433" s="5"/>
      <c r="AJ433" s="19"/>
      <c r="AK433" s="19"/>
      <c r="AL433" s="19"/>
      <c r="AM433" s="19"/>
      <c r="AN433" s="19"/>
    </row>
    <row r="434" spans="18:40" x14ac:dyDescent="0.2">
      <c r="R434" s="5"/>
      <c r="S434" s="5"/>
      <c r="T434" s="5"/>
      <c r="U434" s="5"/>
      <c r="V434" s="5"/>
      <c r="W434" s="5"/>
      <c r="X434" s="5"/>
      <c r="Y434" s="5"/>
      <c r="Z434" s="5"/>
      <c r="AA434" s="5"/>
      <c r="AB434" s="5"/>
      <c r="AC434" s="5"/>
      <c r="AD434" s="5"/>
      <c r="AE434" s="5"/>
      <c r="AF434" s="5"/>
      <c r="AG434" s="5"/>
      <c r="AH434" s="5"/>
      <c r="AI434" s="5"/>
      <c r="AJ434" s="19"/>
      <c r="AK434" s="19"/>
      <c r="AL434" s="19"/>
      <c r="AM434" s="19"/>
      <c r="AN434" s="19"/>
    </row>
    <row r="435" spans="18:40" x14ac:dyDescent="0.2">
      <c r="R435" s="5"/>
      <c r="S435" s="5"/>
      <c r="T435" s="5"/>
      <c r="U435" s="5"/>
      <c r="V435" s="5"/>
      <c r="W435" s="5"/>
      <c r="X435" s="5"/>
      <c r="Y435" s="5"/>
      <c r="Z435" s="5"/>
      <c r="AA435" s="5"/>
      <c r="AB435" s="5"/>
      <c r="AC435" s="5"/>
      <c r="AD435" s="5"/>
      <c r="AE435" s="5"/>
      <c r="AF435" s="5"/>
      <c r="AG435" s="5"/>
      <c r="AH435" s="5"/>
      <c r="AI435" s="5"/>
      <c r="AJ435" s="19"/>
      <c r="AK435" s="19"/>
      <c r="AL435" s="19"/>
      <c r="AM435" s="19"/>
      <c r="AN435" s="19"/>
    </row>
    <row r="436" spans="18:40" x14ac:dyDescent="0.2">
      <c r="R436" s="5"/>
      <c r="S436" s="5"/>
      <c r="T436" s="5"/>
      <c r="U436" s="5"/>
      <c r="V436" s="5"/>
      <c r="W436" s="5"/>
      <c r="X436" s="5"/>
      <c r="Y436" s="5"/>
      <c r="Z436" s="5"/>
      <c r="AA436" s="5"/>
      <c r="AB436" s="5"/>
      <c r="AC436" s="5"/>
      <c r="AD436" s="5"/>
      <c r="AE436" s="5"/>
      <c r="AF436" s="5"/>
      <c r="AG436" s="5"/>
      <c r="AH436" s="5"/>
      <c r="AI436" s="5"/>
      <c r="AJ436" s="19"/>
      <c r="AK436" s="19"/>
      <c r="AL436" s="19"/>
      <c r="AM436" s="19"/>
      <c r="AN436" s="19"/>
    </row>
    <row r="437" spans="18:40" x14ac:dyDescent="0.2">
      <c r="R437" s="5"/>
      <c r="S437" s="5"/>
      <c r="T437" s="5"/>
      <c r="U437" s="5"/>
      <c r="V437" s="5"/>
      <c r="W437" s="5"/>
      <c r="X437" s="5"/>
      <c r="Y437" s="5"/>
      <c r="Z437" s="5"/>
      <c r="AA437" s="5"/>
      <c r="AB437" s="5"/>
      <c r="AC437" s="5"/>
      <c r="AD437" s="5"/>
      <c r="AE437" s="5"/>
      <c r="AF437" s="5"/>
      <c r="AG437" s="5"/>
      <c r="AH437" s="5"/>
      <c r="AI437" s="5"/>
      <c r="AJ437" s="19"/>
      <c r="AK437" s="19"/>
      <c r="AL437" s="19"/>
      <c r="AM437" s="19"/>
      <c r="AN437" s="19"/>
    </row>
    <row r="438" spans="18:40" x14ac:dyDescent="0.2">
      <c r="R438" s="5"/>
      <c r="S438" s="5"/>
      <c r="T438" s="5"/>
      <c r="U438" s="5"/>
      <c r="V438" s="5"/>
      <c r="W438" s="5"/>
      <c r="X438" s="5"/>
      <c r="Y438" s="5"/>
      <c r="Z438" s="5"/>
      <c r="AA438" s="5"/>
      <c r="AB438" s="5"/>
      <c r="AC438" s="5"/>
      <c r="AD438" s="5"/>
      <c r="AE438" s="5"/>
      <c r="AF438" s="5"/>
      <c r="AG438" s="5"/>
      <c r="AH438" s="5"/>
      <c r="AI438" s="5"/>
      <c r="AJ438" s="19"/>
      <c r="AK438" s="19"/>
      <c r="AL438" s="19"/>
      <c r="AM438" s="19"/>
      <c r="AN438" s="19"/>
    </row>
    <row r="439" spans="18:40" x14ac:dyDescent="0.2">
      <c r="R439" s="5"/>
      <c r="S439" s="5"/>
      <c r="T439" s="5"/>
      <c r="U439" s="5"/>
      <c r="V439" s="5"/>
      <c r="W439" s="5"/>
      <c r="X439" s="5"/>
      <c r="Y439" s="5"/>
      <c r="Z439" s="5"/>
      <c r="AA439" s="5"/>
      <c r="AB439" s="5"/>
      <c r="AC439" s="5"/>
      <c r="AD439" s="5"/>
      <c r="AE439" s="5"/>
      <c r="AF439" s="5"/>
      <c r="AG439" s="5"/>
      <c r="AH439" s="5"/>
      <c r="AI439" s="5"/>
      <c r="AJ439" s="19"/>
      <c r="AK439" s="19"/>
      <c r="AL439" s="19"/>
      <c r="AM439" s="19"/>
      <c r="AN439" s="19"/>
    </row>
    <row r="440" spans="18:40" x14ac:dyDescent="0.2">
      <c r="R440" s="5"/>
      <c r="S440" s="5"/>
      <c r="T440" s="5"/>
      <c r="U440" s="5"/>
      <c r="V440" s="5"/>
      <c r="W440" s="5"/>
      <c r="X440" s="5"/>
      <c r="Y440" s="5"/>
      <c r="Z440" s="5"/>
      <c r="AA440" s="5"/>
      <c r="AB440" s="5"/>
      <c r="AC440" s="5"/>
      <c r="AD440" s="5"/>
      <c r="AE440" s="5"/>
      <c r="AF440" s="5"/>
      <c r="AG440" s="5"/>
      <c r="AH440" s="5"/>
      <c r="AI440" s="5"/>
      <c r="AJ440" s="19"/>
      <c r="AK440" s="19"/>
      <c r="AL440" s="19"/>
      <c r="AM440" s="19"/>
      <c r="AN440" s="19"/>
    </row>
    <row r="441" spans="18:40" x14ac:dyDescent="0.2">
      <c r="R441" s="5"/>
      <c r="S441" s="5"/>
      <c r="T441" s="5"/>
      <c r="U441" s="5"/>
      <c r="V441" s="5"/>
      <c r="W441" s="5"/>
      <c r="X441" s="5"/>
      <c r="Y441" s="5"/>
      <c r="Z441" s="5"/>
      <c r="AA441" s="5"/>
      <c r="AB441" s="5"/>
      <c r="AC441" s="5"/>
      <c r="AD441" s="5"/>
      <c r="AE441" s="5"/>
      <c r="AF441" s="5"/>
      <c r="AG441" s="5"/>
      <c r="AH441" s="5"/>
      <c r="AI441" s="5"/>
      <c r="AJ441" s="19"/>
      <c r="AK441" s="19"/>
      <c r="AL441" s="19"/>
      <c r="AM441" s="19"/>
      <c r="AN441" s="19"/>
    </row>
    <row r="442" spans="18:40" x14ac:dyDescent="0.2">
      <c r="R442" s="5"/>
      <c r="S442" s="5"/>
      <c r="T442" s="5"/>
      <c r="U442" s="5"/>
      <c r="V442" s="5"/>
      <c r="W442" s="5"/>
      <c r="X442" s="5"/>
      <c r="Y442" s="5"/>
      <c r="Z442" s="5"/>
      <c r="AA442" s="5"/>
      <c r="AB442" s="5"/>
      <c r="AC442" s="5"/>
      <c r="AD442" s="5"/>
      <c r="AE442" s="5"/>
      <c r="AF442" s="5"/>
      <c r="AG442" s="5"/>
      <c r="AH442" s="5"/>
      <c r="AI442" s="5"/>
      <c r="AJ442" s="19"/>
      <c r="AK442" s="19"/>
      <c r="AL442" s="19"/>
      <c r="AM442" s="19"/>
      <c r="AN442" s="19"/>
    </row>
    <row r="443" spans="18:40" x14ac:dyDescent="0.2">
      <c r="R443" s="5"/>
      <c r="S443" s="5"/>
      <c r="T443" s="5"/>
      <c r="U443" s="5"/>
      <c r="V443" s="5"/>
      <c r="W443" s="5"/>
      <c r="X443" s="5"/>
      <c r="Y443" s="5"/>
      <c r="Z443" s="5"/>
      <c r="AA443" s="5"/>
      <c r="AB443" s="5"/>
      <c r="AC443" s="5"/>
      <c r="AD443" s="5"/>
      <c r="AE443" s="5"/>
      <c r="AF443" s="5"/>
      <c r="AG443" s="5"/>
      <c r="AH443" s="5"/>
      <c r="AI443" s="5"/>
      <c r="AJ443" s="19"/>
      <c r="AK443" s="19"/>
      <c r="AL443" s="19"/>
      <c r="AM443" s="19"/>
      <c r="AN443" s="19"/>
    </row>
    <row r="444" spans="18:40" x14ac:dyDescent="0.2">
      <c r="R444" s="5"/>
      <c r="S444" s="5"/>
      <c r="T444" s="5"/>
      <c r="U444" s="5"/>
      <c r="V444" s="5"/>
      <c r="W444" s="5"/>
      <c r="X444" s="5"/>
      <c r="Y444" s="5"/>
      <c r="Z444" s="5"/>
      <c r="AA444" s="5"/>
      <c r="AB444" s="5"/>
      <c r="AC444" s="5"/>
      <c r="AD444" s="5"/>
      <c r="AE444" s="5"/>
      <c r="AF444" s="5"/>
      <c r="AG444" s="5"/>
      <c r="AH444" s="5"/>
      <c r="AI444" s="5"/>
      <c r="AJ444" s="19"/>
      <c r="AK444" s="19"/>
      <c r="AL444" s="19"/>
      <c r="AM444" s="19"/>
      <c r="AN444" s="19"/>
    </row>
    <row r="445" spans="18:40" x14ac:dyDescent="0.2">
      <c r="R445" s="5"/>
      <c r="S445" s="5"/>
      <c r="T445" s="5"/>
      <c r="U445" s="5"/>
      <c r="V445" s="5"/>
      <c r="W445" s="5"/>
      <c r="X445" s="5"/>
      <c r="Y445" s="5"/>
      <c r="Z445" s="5"/>
      <c r="AA445" s="5"/>
      <c r="AB445" s="5"/>
      <c r="AC445" s="5"/>
      <c r="AD445" s="5"/>
      <c r="AE445" s="5"/>
      <c r="AF445" s="5"/>
      <c r="AG445" s="5"/>
      <c r="AH445" s="5"/>
      <c r="AI445" s="5"/>
      <c r="AJ445" s="19"/>
      <c r="AK445" s="19"/>
      <c r="AL445" s="19"/>
      <c r="AM445" s="19"/>
      <c r="AN445" s="19"/>
    </row>
    <row r="446" spans="18:40" x14ac:dyDescent="0.2">
      <c r="R446" s="5"/>
      <c r="S446" s="5"/>
      <c r="T446" s="5"/>
      <c r="U446" s="5"/>
      <c r="V446" s="5"/>
      <c r="W446" s="5"/>
      <c r="X446" s="5"/>
      <c r="Y446" s="5"/>
      <c r="Z446" s="5"/>
      <c r="AA446" s="5"/>
      <c r="AB446" s="5"/>
      <c r="AC446" s="5"/>
      <c r="AD446" s="5"/>
      <c r="AE446" s="5"/>
      <c r="AF446" s="5"/>
      <c r="AG446" s="5"/>
      <c r="AH446" s="5"/>
      <c r="AI446" s="5"/>
      <c r="AJ446" s="19"/>
      <c r="AK446" s="19"/>
      <c r="AL446" s="19"/>
      <c r="AM446" s="19"/>
      <c r="AN446" s="19"/>
    </row>
    <row r="447" spans="18:40" x14ac:dyDescent="0.2">
      <c r="R447" s="5"/>
      <c r="S447" s="5"/>
      <c r="T447" s="5"/>
      <c r="U447" s="5"/>
      <c r="V447" s="5"/>
      <c r="W447" s="5"/>
      <c r="X447" s="5"/>
      <c r="Y447" s="5"/>
      <c r="Z447" s="5"/>
      <c r="AA447" s="5"/>
      <c r="AB447" s="5"/>
      <c r="AC447" s="5"/>
      <c r="AD447" s="5"/>
      <c r="AE447" s="5"/>
      <c r="AF447" s="5"/>
      <c r="AG447" s="5"/>
      <c r="AH447" s="5"/>
      <c r="AI447" s="5"/>
      <c r="AJ447" s="19"/>
      <c r="AK447" s="19"/>
      <c r="AL447" s="19"/>
      <c r="AM447" s="19"/>
      <c r="AN447" s="19"/>
    </row>
    <row r="448" spans="18:40" x14ac:dyDescent="0.2">
      <c r="R448" s="5"/>
      <c r="S448" s="5"/>
      <c r="T448" s="5"/>
      <c r="U448" s="5"/>
      <c r="V448" s="5"/>
      <c r="W448" s="5"/>
      <c r="X448" s="5"/>
      <c r="Y448" s="5"/>
      <c r="Z448" s="5"/>
      <c r="AA448" s="5"/>
      <c r="AB448" s="5"/>
      <c r="AC448" s="5"/>
      <c r="AD448" s="5"/>
      <c r="AE448" s="5"/>
      <c r="AF448" s="5"/>
      <c r="AG448" s="5"/>
      <c r="AH448" s="5"/>
      <c r="AI448" s="5"/>
      <c r="AJ448" s="19"/>
      <c r="AK448" s="19"/>
      <c r="AL448" s="19"/>
      <c r="AM448" s="19"/>
      <c r="AN448" s="19"/>
    </row>
    <row r="449" spans="18:40" x14ac:dyDescent="0.2">
      <c r="R449" s="5"/>
      <c r="S449" s="5"/>
      <c r="T449" s="5"/>
      <c r="U449" s="5"/>
      <c r="V449" s="5"/>
      <c r="W449" s="5"/>
      <c r="X449" s="5"/>
      <c r="Y449" s="5"/>
      <c r="Z449" s="5"/>
      <c r="AA449" s="5"/>
      <c r="AB449" s="5"/>
      <c r="AC449" s="5"/>
      <c r="AD449" s="5"/>
      <c r="AE449" s="5"/>
      <c r="AF449" s="5"/>
      <c r="AG449" s="5"/>
      <c r="AH449" s="5"/>
      <c r="AI449" s="5"/>
      <c r="AJ449" s="19"/>
      <c r="AK449" s="19"/>
      <c r="AL449" s="19"/>
      <c r="AM449" s="19"/>
      <c r="AN449" s="19"/>
    </row>
    <row r="450" spans="18:40" x14ac:dyDescent="0.2">
      <c r="R450" s="5"/>
      <c r="S450" s="5"/>
      <c r="T450" s="5"/>
      <c r="U450" s="5"/>
      <c r="V450" s="5"/>
      <c r="W450" s="5"/>
      <c r="X450" s="5"/>
      <c r="Y450" s="5"/>
      <c r="Z450" s="5"/>
      <c r="AA450" s="5"/>
      <c r="AB450" s="5"/>
      <c r="AC450" s="5"/>
      <c r="AD450" s="5"/>
      <c r="AE450" s="5"/>
      <c r="AF450" s="5"/>
      <c r="AG450" s="5"/>
      <c r="AH450" s="5"/>
      <c r="AI450" s="5"/>
      <c r="AJ450" s="19"/>
      <c r="AK450" s="19"/>
      <c r="AL450" s="19"/>
      <c r="AM450" s="19"/>
      <c r="AN450" s="19"/>
    </row>
    <row r="451" spans="18:40" x14ac:dyDescent="0.2">
      <c r="R451" s="5"/>
      <c r="S451" s="5"/>
      <c r="T451" s="5"/>
      <c r="U451" s="5"/>
      <c r="V451" s="5"/>
      <c r="W451" s="5"/>
      <c r="X451" s="5"/>
      <c r="Y451" s="5"/>
      <c r="Z451" s="5"/>
      <c r="AA451" s="5"/>
      <c r="AB451" s="5"/>
      <c r="AC451" s="5"/>
      <c r="AD451" s="5"/>
      <c r="AE451" s="5"/>
      <c r="AF451" s="5"/>
      <c r="AG451" s="5"/>
      <c r="AH451" s="5"/>
      <c r="AI451" s="5"/>
      <c r="AJ451" s="19"/>
      <c r="AK451" s="19"/>
      <c r="AL451" s="19"/>
      <c r="AM451" s="19"/>
      <c r="AN451" s="19"/>
    </row>
    <row r="452" spans="18:40" x14ac:dyDescent="0.2">
      <c r="R452" s="5"/>
      <c r="S452" s="5"/>
      <c r="T452" s="5"/>
      <c r="U452" s="5"/>
      <c r="V452" s="5"/>
      <c r="W452" s="5"/>
      <c r="X452" s="5"/>
      <c r="Y452" s="5"/>
      <c r="Z452" s="5"/>
      <c r="AA452" s="5"/>
      <c r="AB452" s="5"/>
      <c r="AC452" s="5"/>
      <c r="AD452" s="5"/>
      <c r="AE452" s="5"/>
      <c r="AF452" s="5"/>
      <c r="AG452" s="5"/>
      <c r="AH452" s="5"/>
      <c r="AI452" s="5"/>
      <c r="AJ452" s="19"/>
      <c r="AK452" s="19"/>
      <c r="AL452" s="19"/>
      <c r="AM452" s="19"/>
      <c r="AN452" s="19"/>
    </row>
    <row r="453" spans="18:40" x14ac:dyDescent="0.2">
      <c r="R453" s="5"/>
      <c r="S453" s="5"/>
      <c r="T453" s="5"/>
      <c r="U453" s="5"/>
      <c r="V453" s="5"/>
      <c r="W453" s="5"/>
      <c r="X453" s="5"/>
      <c r="Y453" s="5"/>
      <c r="Z453" s="5"/>
      <c r="AA453" s="5"/>
      <c r="AB453" s="5"/>
      <c r="AC453" s="5"/>
      <c r="AD453" s="5"/>
      <c r="AE453" s="5"/>
      <c r="AF453" s="5"/>
      <c r="AG453" s="5"/>
      <c r="AH453" s="5"/>
      <c r="AI453" s="5"/>
      <c r="AJ453" s="19"/>
      <c r="AK453" s="19"/>
      <c r="AL453" s="19"/>
      <c r="AM453" s="19"/>
      <c r="AN453" s="19"/>
    </row>
    <row r="454" spans="18:40" x14ac:dyDescent="0.2">
      <c r="R454" s="5"/>
      <c r="S454" s="5"/>
      <c r="T454" s="5"/>
      <c r="U454" s="5"/>
      <c r="V454" s="5"/>
      <c r="W454" s="5"/>
      <c r="X454" s="5"/>
      <c r="Y454" s="5"/>
      <c r="Z454" s="5"/>
      <c r="AA454" s="5"/>
      <c r="AB454" s="5"/>
      <c r="AC454" s="5"/>
      <c r="AD454" s="5"/>
      <c r="AE454" s="5"/>
      <c r="AF454" s="5"/>
      <c r="AG454" s="5"/>
      <c r="AH454" s="5"/>
      <c r="AI454" s="5"/>
      <c r="AJ454" s="19"/>
      <c r="AK454" s="19"/>
      <c r="AL454" s="19"/>
      <c r="AM454" s="19"/>
      <c r="AN454" s="19"/>
    </row>
    <row r="455" spans="18:40" x14ac:dyDescent="0.2">
      <c r="R455" s="5"/>
      <c r="S455" s="5"/>
      <c r="T455" s="5"/>
      <c r="U455" s="5"/>
      <c r="V455" s="5"/>
      <c r="W455" s="5"/>
      <c r="X455" s="5"/>
      <c r="Y455" s="5"/>
      <c r="Z455" s="5"/>
      <c r="AA455" s="5"/>
      <c r="AB455" s="5"/>
      <c r="AC455" s="5"/>
      <c r="AD455" s="5"/>
      <c r="AE455" s="5"/>
      <c r="AF455" s="5"/>
      <c r="AG455" s="5"/>
      <c r="AH455" s="5"/>
      <c r="AI455" s="5"/>
      <c r="AJ455" s="19"/>
      <c r="AK455" s="19"/>
      <c r="AL455" s="19"/>
      <c r="AM455" s="19"/>
      <c r="AN455" s="19"/>
    </row>
    <row r="456" spans="18:40" x14ac:dyDescent="0.2">
      <c r="R456" s="5"/>
      <c r="S456" s="5"/>
      <c r="T456" s="5"/>
      <c r="U456" s="5"/>
      <c r="V456" s="5"/>
      <c r="W456" s="5"/>
      <c r="X456" s="5"/>
      <c r="Y456" s="5"/>
      <c r="Z456" s="5"/>
      <c r="AA456" s="5"/>
      <c r="AB456" s="5"/>
      <c r="AC456" s="5"/>
      <c r="AD456" s="5"/>
      <c r="AE456" s="5"/>
      <c r="AF456" s="5"/>
      <c r="AG456" s="5"/>
      <c r="AH456" s="5"/>
      <c r="AI456" s="5"/>
      <c r="AJ456" s="19"/>
      <c r="AK456" s="19"/>
      <c r="AL456" s="19"/>
      <c r="AM456" s="19"/>
      <c r="AN456" s="19"/>
    </row>
    <row r="457" spans="18:40" x14ac:dyDescent="0.2">
      <c r="R457" s="5"/>
      <c r="S457" s="5"/>
      <c r="T457" s="5"/>
      <c r="U457" s="5"/>
      <c r="V457" s="5"/>
      <c r="W457" s="5"/>
      <c r="X457" s="5"/>
      <c r="Y457" s="5"/>
      <c r="Z457" s="5"/>
      <c r="AA457" s="5"/>
      <c r="AB457" s="5"/>
      <c r="AC457" s="5"/>
      <c r="AD457" s="5"/>
      <c r="AE457" s="5"/>
      <c r="AF457" s="5"/>
      <c r="AG457" s="5"/>
      <c r="AH457" s="5"/>
      <c r="AI457" s="5"/>
      <c r="AJ457" s="19"/>
      <c r="AK457" s="19"/>
      <c r="AL457" s="19"/>
      <c r="AM457" s="19"/>
      <c r="AN457" s="19"/>
    </row>
    <row r="458" spans="18:40" x14ac:dyDescent="0.2">
      <c r="R458" s="5"/>
      <c r="S458" s="5"/>
      <c r="T458" s="5"/>
      <c r="U458" s="5"/>
      <c r="V458" s="5"/>
      <c r="W458" s="5"/>
      <c r="X458" s="5"/>
      <c r="Y458" s="5"/>
      <c r="Z458" s="5"/>
      <c r="AA458" s="5"/>
      <c r="AB458" s="5"/>
      <c r="AC458" s="5"/>
      <c r="AD458" s="5"/>
      <c r="AE458" s="5"/>
      <c r="AF458" s="5"/>
      <c r="AG458" s="5"/>
      <c r="AH458" s="5"/>
      <c r="AI458" s="5"/>
      <c r="AJ458" s="19"/>
      <c r="AK458" s="19"/>
      <c r="AL458" s="19"/>
      <c r="AM458" s="19"/>
      <c r="AN458" s="19"/>
    </row>
    <row r="459" spans="18:40" x14ac:dyDescent="0.2">
      <c r="R459" s="5"/>
      <c r="S459" s="5"/>
      <c r="T459" s="5"/>
      <c r="U459" s="5"/>
      <c r="V459" s="5"/>
      <c r="W459" s="5"/>
      <c r="X459" s="5"/>
      <c r="Y459" s="5"/>
      <c r="Z459" s="5"/>
      <c r="AA459" s="5"/>
      <c r="AB459" s="5"/>
      <c r="AC459" s="5"/>
      <c r="AD459" s="5"/>
      <c r="AE459" s="5"/>
      <c r="AF459" s="5"/>
      <c r="AG459" s="5"/>
      <c r="AH459" s="5"/>
      <c r="AI459" s="5"/>
      <c r="AJ459" s="19"/>
      <c r="AK459" s="19"/>
      <c r="AL459" s="19"/>
      <c r="AM459" s="19"/>
      <c r="AN459" s="19"/>
    </row>
    <row r="460" spans="18:40" x14ac:dyDescent="0.2">
      <c r="R460" s="5"/>
      <c r="S460" s="5"/>
      <c r="T460" s="5"/>
      <c r="U460" s="5"/>
      <c r="V460" s="5"/>
      <c r="W460" s="5"/>
      <c r="X460" s="5"/>
      <c r="Y460" s="5"/>
      <c r="Z460" s="5"/>
      <c r="AA460" s="5"/>
      <c r="AB460" s="5"/>
      <c r="AC460" s="5"/>
      <c r="AD460" s="5"/>
      <c r="AE460" s="5"/>
      <c r="AF460" s="5"/>
      <c r="AG460" s="5"/>
      <c r="AH460" s="5"/>
      <c r="AI460" s="5"/>
      <c r="AJ460" s="19"/>
      <c r="AK460" s="19"/>
      <c r="AL460" s="19"/>
      <c r="AM460" s="19"/>
      <c r="AN460" s="19"/>
    </row>
    <row r="461" spans="18:40" x14ac:dyDescent="0.2">
      <c r="R461" s="5"/>
      <c r="S461" s="5"/>
      <c r="T461" s="5"/>
      <c r="U461" s="5"/>
      <c r="V461" s="5"/>
      <c r="W461" s="5"/>
      <c r="X461" s="5"/>
      <c r="Y461" s="5"/>
      <c r="Z461" s="5"/>
      <c r="AA461" s="5"/>
      <c r="AB461" s="5"/>
      <c r="AC461" s="5"/>
      <c r="AD461" s="5"/>
      <c r="AE461" s="5"/>
      <c r="AF461" s="5"/>
      <c r="AG461" s="5"/>
      <c r="AH461" s="5"/>
      <c r="AI461" s="5"/>
      <c r="AJ461" s="19"/>
      <c r="AK461" s="19"/>
      <c r="AL461" s="19"/>
      <c r="AM461" s="19"/>
      <c r="AN461" s="19"/>
    </row>
    <row r="462" spans="18:40" x14ac:dyDescent="0.2">
      <c r="R462" s="5"/>
      <c r="S462" s="5"/>
      <c r="T462" s="5"/>
      <c r="U462" s="5"/>
      <c r="V462" s="5"/>
      <c r="W462" s="5"/>
      <c r="X462" s="5"/>
      <c r="Y462" s="5"/>
      <c r="Z462" s="5"/>
      <c r="AA462" s="5"/>
      <c r="AB462" s="5"/>
      <c r="AC462" s="5"/>
      <c r="AD462" s="5"/>
      <c r="AE462" s="5"/>
      <c r="AF462" s="5"/>
      <c r="AG462" s="5"/>
      <c r="AH462" s="5"/>
      <c r="AI462" s="5"/>
      <c r="AJ462" s="19"/>
      <c r="AK462" s="19"/>
      <c r="AL462" s="19"/>
      <c r="AM462" s="19"/>
      <c r="AN462" s="19"/>
    </row>
    <row r="463" spans="18:40" x14ac:dyDescent="0.2">
      <c r="R463" s="5"/>
      <c r="S463" s="5"/>
      <c r="T463" s="5"/>
      <c r="U463" s="5"/>
      <c r="V463" s="5"/>
      <c r="W463" s="5"/>
      <c r="X463" s="5"/>
      <c r="Y463" s="5"/>
      <c r="Z463" s="5"/>
      <c r="AA463" s="5"/>
      <c r="AB463" s="5"/>
      <c r="AC463" s="5"/>
      <c r="AD463" s="5"/>
      <c r="AE463" s="5"/>
      <c r="AF463" s="5"/>
      <c r="AG463" s="5"/>
      <c r="AH463" s="5"/>
      <c r="AI463" s="5"/>
      <c r="AJ463" s="19"/>
      <c r="AK463" s="19"/>
      <c r="AL463" s="19"/>
      <c r="AM463" s="19"/>
      <c r="AN463" s="19"/>
    </row>
    <row r="464" spans="18:40" x14ac:dyDescent="0.2">
      <c r="R464" s="5"/>
      <c r="S464" s="5"/>
      <c r="T464" s="5"/>
      <c r="U464" s="5"/>
      <c r="V464" s="5"/>
      <c r="W464" s="5"/>
      <c r="X464" s="5"/>
      <c r="Y464" s="5"/>
      <c r="Z464" s="5"/>
      <c r="AA464" s="5"/>
      <c r="AB464" s="5"/>
      <c r="AC464" s="5"/>
      <c r="AD464" s="5"/>
      <c r="AE464" s="5"/>
      <c r="AF464" s="5"/>
      <c r="AG464" s="5"/>
      <c r="AH464" s="5"/>
      <c r="AI464" s="5"/>
      <c r="AJ464" s="19"/>
      <c r="AK464" s="19"/>
      <c r="AL464" s="19"/>
      <c r="AM464" s="19"/>
      <c r="AN464" s="19"/>
    </row>
    <row r="465" spans="18:40" x14ac:dyDescent="0.2">
      <c r="R465" s="5"/>
      <c r="S465" s="5"/>
      <c r="T465" s="5"/>
      <c r="U465" s="5"/>
      <c r="V465" s="5"/>
      <c r="W465" s="5"/>
      <c r="X465" s="5"/>
      <c r="Y465" s="5"/>
      <c r="Z465" s="5"/>
      <c r="AA465" s="5"/>
      <c r="AB465" s="5"/>
      <c r="AC465" s="5"/>
      <c r="AD465" s="5"/>
      <c r="AE465" s="5"/>
      <c r="AF465" s="5"/>
      <c r="AG465" s="5"/>
      <c r="AH465" s="5"/>
      <c r="AI465" s="5"/>
      <c r="AJ465" s="19"/>
      <c r="AK465" s="19"/>
      <c r="AL465" s="19"/>
      <c r="AM465" s="19"/>
      <c r="AN465" s="19"/>
    </row>
    <row r="466" spans="18:40" x14ac:dyDescent="0.2">
      <c r="R466" s="5"/>
      <c r="S466" s="5"/>
      <c r="T466" s="5"/>
      <c r="U466" s="5"/>
      <c r="V466" s="5"/>
      <c r="W466" s="5"/>
      <c r="X466" s="5"/>
      <c r="Y466" s="5"/>
      <c r="Z466" s="5"/>
      <c r="AA466" s="5"/>
      <c r="AB466" s="5"/>
      <c r="AC466" s="5"/>
      <c r="AD466" s="5"/>
      <c r="AE466" s="5"/>
      <c r="AF466" s="5"/>
      <c r="AG466" s="5"/>
      <c r="AH466" s="5"/>
      <c r="AI466" s="5"/>
      <c r="AJ466" s="19"/>
      <c r="AK466" s="19"/>
      <c r="AL466" s="19"/>
      <c r="AM466" s="19"/>
      <c r="AN466" s="19"/>
    </row>
    <row r="467" spans="18:40" x14ac:dyDescent="0.2">
      <c r="R467" s="5"/>
      <c r="S467" s="5"/>
      <c r="T467" s="5"/>
      <c r="U467" s="5"/>
      <c r="V467" s="5"/>
      <c r="W467" s="5"/>
      <c r="X467" s="5"/>
      <c r="Y467" s="5"/>
      <c r="Z467" s="5"/>
      <c r="AA467" s="5"/>
      <c r="AB467" s="5"/>
      <c r="AC467" s="5"/>
      <c r="AD467" s="5"/>
      <c r="AE467" s="5"/>
      <c r="AF467" s="5"/>
      <c r="AG467" s="5"/>
      <c r="AH467" s="5"/>
      <c r="AI467" s="5"/>
      <c r="AJ467" s="19"/>
      <c r="AK467" s="19"/>
      <c r="AL467" s="19"/>
      <c r="AM467" s="19"/>
      <c r="AN467" s="19"/>
    </row>
    <row r="468" spans="18:40" x14ac:dyDescent="0.2">
      <c r="R468" s="5"/>
      <c r="S468" s="5"/>
      <c r="T468" s="5"/>
      <c r="U468" s="5"/>
      <c r="V468" s="5"/>
      <c r="W468" s="5"/>
      <c r="X468" s="5"/>
      <c r="Y468" s="5"/>
      <c r="Z468" s="5"/>
      <c r="AA468" s="5"/>
      <c r="AB468" s="5"/>
      <c r="AC468" s="5"/>
      <c r="AD468" s="5"/>
      <c r="AE468" s="5"/>
      <c r="AF468" s="5"/>
      <c r="AG468" s="5"/>
      <c r="AH468" s="5"/>
      <c r="AI468" s="5"/>
      <c r="AJ468" s="19"/>
      <c r="AK468" s="19"/>
      <c r="AL468" s="19"/>
      <c r="AM468" s="19"/>
      <c r="AN468" s="19"/>
    </row>
    <row r="469" spans="18:40" x14ac:dyDescent="0.2">
      <c r="R469" s="5"/>
      <c r="S469" s="5"/>
      <c r="T469" s="5"/>
      <c r="U469" s="5"/>
      <c r="V469" s="5"/>
      <c r="W469" s="5"/>
      <c r="X469" s="5"/>
      <c r="Y469" s="5"/>
      <c r="Z469" s="5"/>
      <c r="AA469" s="5"/>
      <c r="AB469" s="5"/>
      <c r="AC469" s="5"/>
      <c r="AD469" s="5"/>
      <c r="AE469" s="5"/>
      <c r="AF469" s="5"/>
      <c r="AG469" s="5"/>
      <c r="AH469" s="5"/>
      <c r="AI469" s="5"/>
      <c r="AJ469" s="19"/>
      <c r="AK469" s="19"/>
      <c r="AL469" s="19"/>
      <c r="AM469" s="19"/>
      <c r="AN469" s="19"/>
    </row>
    <row r="470" spans="18:40" x14ac:dyDescent="0.2">
      <c r="R470" s="5"/>
      <c r="S470" s="5"/>
      <c r="T470" s="5"/>
      <c r="U470" s="5"/>
      <c r="V470" s="5"/>
      <c r="W470" s="5"/>
      <c r="X470" s="5"/>
      <c r="Y470" s="5"/>
      <c r="Z470" s="5"/>
      <c r="AA470" s="5"/>
      <c r="AB470" s="5"/>
      <c r="AC470" s="5"/>
      <c r="AD470" s="5"/>
      <c r="AE470" s="5"/>
      <c r="AF470" s="5"/>
      <c r="AG470" s="5"/>
      <c r="AH470" s="5"/>
      <c r="AI470" s="5"/>
      <c r="AJ470" s="19"/>
      <c r="AK470" s="19"/>
      <c r="AL470" s="19"/>
      <c r="AM470" s="19"/>
      <c r="AN470" s="19"/>
    </row>
    <row r="471" spans="18:40" x14ac:dyDescent="0.2">
      <c r="R471" s="5"/>
      <c r="S471" s="5"/>
      <c r="T471" s="5"/>
      <c r="U471" s="5"/>
      <c r="V471" s="5"/>
      <c r="W471" s="5"/>
      <c r="X471" s="5"/>
      <c r="Y471" s="5"/>
      <c r="Z471" s="5"/>
      <c r="AA471" s="5"/>
      <c r="AB471" s="5"/>
      <c r="AC471" s="5"/>
      <c r="AD471" s="5"/>
      <c r="AE471" s="5"/>
      <c r="AF471" s="5"/>
      <c r="AG471" s="5"/>
      <c r="AH471" s="5"/>
      <c r="AI471" s="5"/>
      <c r="AJ471" s="19"/>
      <c r="AK471" s="19"/>
      <c r="AL471" s="19"/>
      <c r="AM471" s="19"/>
      <c r="AN471" s="19"/>
    </row>
    <row r="472" spans="18:40" x14ac:dyDescent="0.2">
      <c r="R472" s="5"/>
      <c r="S472" s="5"/>
      <c r="T472" s="5"/>
      <c r="U472" s="5"/>
      <c r="V472" s="5"/>
      <c r="W472" s="5"/>
      <c r="X472" s="5"/>
      <c r="Y472" s="5"/>
      <c r="Z472" s="5"/>
      <c r="AA472" s="5"/>
      <c r="AB472" s="5"/>
      <c r="AC472" s="5"/>
      <c r="AD472" s="5"/>
      <c r="AE472" s="5"/>
      <c r="AF472" s="5"/>
      <c r="AG472" s="5"/>
      <c r="AH472" s="5"/>
      <c r="AI472" s="5"/>
      <c r="AJ472" s="19"/>
      <c r="AK472" s="19"/>
      <c r="AL472" s="19"/>
      <c r="AM472" s="19"/>
      <c r="AN472" s="19"/>
    </row>
    <row r="473" spans="18:40" x14ac:dyDescent="0.2">
      <c r="R473" s="5"/>
      <c r="S473" s="5"/>
      <c r="T473" s="5"/>
      <c r="U473" s="5"/>
      <c r="V473" s="5"/>
      <c r="W473" s="5"/>
      <c r="X473" s="5"/>
      <c r="Y473" s="5"/>
      <c r="Z473" s="5"/>
      <c r="AA473" s="5"/>
      <c r="AB473" s="5"/>
      <c r="AC473" s="5"/>
      <c r="AD473" s="5"/>
      <c r="AE473" s="5"/>
      <c r="AF473" s="5"/>
      <c r="AG473" s="5"/>
      <c r="AH473" s="5"/>
      <c r="AI473" s="5"/>
      <c r="AJ473" s="19"/>
      <c r="AK473" s="19"/>
      <c r="AL473" s="19"/>
      <c r="AM473" s="19"/>
      <c r="AN473" s="19"/>
    </row>
    <row r="474" spans="18:40" x14ac:dyDescent="0.2">
      <c r="R474" s="5"/>
      <c r="S474" s="5"/>
      <c r="T474" s="5"/>
      <c r="U474" s="5"/>
      <c r="V474" s="5"/>
      <c r="W474" s="5"/>
      <c r="X474" s="5"/>
      <c r="Y474" s="5"/>
      <c r="Z474" s="5"/>
      <c r="AA474" s="5"/>
      <c r="AB474" s="5"/>
      <c r="AC474" s="5"/>
      <c r="AD474" s="5"/>
      <c r="AE474" s="5"/>
      <c r="AF474" s="5"/>
      <c r="AG474" s="5"/>
      <c r="AH474" s="5"/>
      <c r="AI474" s="5"/>
      <c r="AJ474" s="19"/>
      <c r="AK474" s="19"/>
      <c r="AL474" s="19"/>
      <c r="AM474" s="19"/>
      <c r="AN474" s="19"/>
    </row>
    <row r="475" spans="18:40" x14ac:dyDescent="0.2">
      <c r="R475" s="5"/>
      <c r="S475" s="5"/>
      <c r="T475" s="5"/>
      <c r="U475" s="5"/>
      <c r="V475" s="5"/>
      <c r="W475" s="5"/>
      <c r="X475" s="5"/>
      <c r="Y475" s="5"/>
      <c r="Z475" s="5"/>
      <c r="AA475" s="5"/>
      <c r="AB475" s="5"/>
      <c r="AC475" s="5"/>
      <c r="AD475" s="5"/>
      <c r="AE475" s="5"/>
      <c r="AF475" s="5"/>
      <c r="AG475" s="5"/>
      <c r="AH475" s="5"/>
      <c r="AI475" s="5"/>
      <c r="AJ475" s="19"/>
      <c r="AK475" s="19"/>
      <c r="AL475" s="19"/>
      <c r="AM475" s="19"/>
      <c r="AN475" s="19"/>
    </row>
    <row r="476" spans="18:40" x14ac:dyDescent="0.2">
      <c r="R476" s="5"/>
      <c r="S476" s="5"/>
      <c r="T476" s="5"/>
      <c r="U476" s="5"/>
      <c r="V476" s="5"/>
      <c r="W476" s="5"/>
      <c r="X476" s="5"/>
      <c r="Y476" s="5"/>
      <c r="Z476" s="5"/>
      <c r="AA476" s="5"/>
      <c r="AB476" s="5"/>
      <c r="AC476" s="5"/>
      <c r="AD476" s="5"/>
      <c r="AE476" s="5"/>
      <c r="AF476" s="5"/>
      <c r="AG476" s="5"/>
      <c r="AH476" s="5"/>
      <c r="AI476" s="5"/>
      <c r="AJ476" s="19"/>
      <c r="AK476" s="19"/>
      <c r="AL476" s="19"/>
      <c r="AM476" s="19"/>
      <c r="AN476" s="19"/>
    </row>
    <row r="477" spans="18:40" x14ac:dyDescent="0.2">
      <c r="R477" s="5"/>
      <c r="S477" s="5"/>
      <c r="T477" s="5"/>
      <c r="U477" s="5"/>
      <c r="V477" s="5"/>
      <c r="W477" s="5"/>
      <c r="X477" s="5"/>
      <c r="Y477" s="5"/>
      <c r="Z477" s="5"/>
      <c r="AA477" s="5"/>
      <c r="AB477" s="5"/>
      <c r="AC477" s="5"/>
      <c r="AD477" s="5"/>
      <c r="AE477" s="5"/>
      <c r="AF477" s="5"/>
      <c r="AG477" s="5"/>
      <c r="AH477" s="5"/>
      <c r="AI477" s="5"/>
      <c r="AJ477" s="19"/>
      <c r="AK477" s="19"/>
      <c r="AL477" s="19"/>
      <c r="AM477" s="19"/>
      <c r="AN477" s="19"/>
    </row>
    <row r="478" spans="18:40" x14ac:dyDescent="0.2">
      <c r="R478" s="5"/>
      <c r="S478" s="5"/>
      <c r="T478" s="5"/>
      <c r="U478" s="5"/>
      <c r="V478" s="5"/>
      <c r="W478" s="5"/>
      <c r="X478" s="5"/>
      <c r="Y478" s="5"/>
      <c r="Z478" s="5"/>
      <c r="AA478" s="5"/>
      <c r="AB478" s="5"/>
      <c r="AC478" s="5"/>
      <c r="AD478" s="5"/>
      <c r="AE478" s="5"/>
      <c r="AF478" s="5"/>
      <c r="AG478" s="5"/>
      <c r="AH478" s="5"/>
      <c r="AI478" s="5"/>
      <c r="AJ478" s="19"/>
      <c r="AK478" s="19"/>
      <c r="AL478" s="19"/>
      <c r="AM478" s="19"/>
      <c r="AN478" s="19"/>
    </row>
    <row r="479" spans="18:40" x14ac:dyDescent="0.2">
      <c r="R479" s="5"/>
      <c r="S479" s="5"/>
      <c r="T479" s="5"/>
      <c r="U479" s="5"/>
      <c r="V479" s="5"/>
      <c r="W479" s="5"/>
      <c r="X479" s="5"/>
      <c r="Y479" s="5"/>
      <c r="Z479" s="5"/>
      <c r="AA479" s="5"/>
      <c r="AB479" s="5"/>
      <c r="AC479" s="5"/>
      <c r="AD479" s="5"/>
      <c r="AE479" s="5"/>
      <c r="AF479" s="5"/>
      <c r="AG479" s="5"/>
      <c r="AH479" s="5"/>
      <c r="AI479" s="5"/>
      <c r="AJ479" s="19"/>
      <c r="AK479" s="19"/>
      <c r="AL479" s="19"/>
      <c r="AM479" s="19"/>
      <c r="AN479" s="19"/>
    </row>
    <row r="480" spans="18:40" x14ac:dyDescent="0.2">
      <c r="R480" s="5"/>
      <c r="S480" s="5"/>
      <c r="T480" s="5"/>
      <c r="U480" s="5"/>
      <c r="V480" s="5"/>
      <c r="W480" s="5"/>
      <c r="X480" s="5"/>
      <c r="Y480" s="5"/>
      <c r="Z480" s="5"/>
      <c r="AA480" s="5"/>
      <c r="AB480" s="5"/>
      <c r="AC480" s="5"/>
      <c r="AD480" s="5"/>
      <c r="AE480" s="5"/>
      <c r="AF480" s="5"/>
      <c r="AG480" s="5"/>
      <c r="AH480" s="5"/>
      <c r="AI480" s="5"/>
      <c r="AJ480" s="19"/>
      <c r="AK480" s="19"/>
      <c r="AL480" s="19"/>
      <c r="AM480" s="19"/>
      <c r="AN480" s="19"/>
    </row>
    <row r="481" spans="18:40" x14ac:dyDescent="0.2">
      <c r="R481" s="5"/>
      <c r="S481" s="5"/>
      <c r="T481" s="5"/>
      <c r="U481" s="5"/>
      <c r="V481" s="5"/>
      <c r="W481" s="5"/>
      <c r="X481" s="5"/>
      <c r="Y481" s="5"/>
      <c r="Z481" s="5"/>
      <c r="AA481" s="5"/>
      <c r="AB481" s="5"/>
      <c r="AC481" s="5"/>
      <c r="AD481" s="5"/>
      <c r="AE481" s="5"/>
      <c r="AF481" s="5"/>
      <c r="AG481" s="5"/>
      <c r="AH481" s="5"/>
      <c r="AI481" s="5"/>
      <c r="AJ481" s="19"/>
      <c r="AK481" s="19"/>
      <c r="AL481" s="19"/>
      <c r="AM481" s="19"/>
      <c r="AN481" s="19"/>
    </row>
    <row r="482" spans="18:40" x14ac:dyDescent="0.2">
      <c r="R482" s="5"/>
      <c r="S482" s="5"/>
      <c r="T482" s="5"/>
      <c r="U482" s="5"/>
      <c r="V482" s="5"/>
      <c r="W482" s="5"/>
      <c r="X482" s="5"/>
      <c r="Y482" s="5"/>
      <c r="Z482" s="5"/>
      <c r="AA482" s="5"/>
      <c r="AB482" s="5"/>
      <c r="AC482" s="5"/>
      <c r="AD482" s="5"/>
      <c r="AE482" s="5"/>
      <c r="AF482" s="5"/>
      <c r="AG482" s="5"/>
      <c r="AH482" s="5"/>
      <c r="AI482" s="5"/>
      <c r="AJ482" s="19"/>
      <c r="AK482" s="19"/>
      <c r="AL482" s="19"/>
      <c r="AM482" s="19"/>
      <c r="AN482" s="19"/>
    </row>
    <row r="483" spans="18:40" x14ac:dyDescent="0.2">
      <c r="R483" s="5"/>
      <c r="S483" s="5"/>
      <c r="T483" s="5"/>
      <c r="U483" s="5"/>
      <c r="V483" s="5"/>
      <c r="W483" s="5"/>
      <c r="X483" s="5"/>
      <c r="Y483" s="5"/>
      <c r="Z483" s="5"/>
      <c r="AA483" s="5"/>
      <c r="AB483" s="5"/>
      <c r="AC483" s="5"/>
      <c r="AD483" s="5"/>
      <c r="AE483" s="5"/>
      <c r="AF483" s="5"/>
      <c r="AG483" s="5"/>
      <c r="AH483" s="5"/>
      <c r="AI483" s="5"/>
      <c r="AJ483" s="19"/>
      <c r="AK483" s="19"/>
      <c r="AL483" s="19"/>
      <c r="AM483" s="19"/>
      <c r="AN483" s="19"/>
    </row>
    <row r="484" spans="18:40" x14ac:dyDescent="0.2">
      <c r="R484" s="5"/>
      <c r="S484" s="5"/>
      <c r="T484" s="5"/>
      <c r="U484" s="5"/>
      <c r="V484" s="5"/>
      <c r="W484" s="5"/>
      <c r="X484" s="5"/>
      <c r="Y484" s="5"/>
      <c r="Z484" s="5"/>
      <c r="AA484" s="5"/>
      <c r="AB484" s="5"/>
      <c r="AC484" s="5"/>
      <c r="AD484" s="5"/>
      <c r="AE484" s="5"/>
      <c r="AF484" s="5"/>
      <c r="AG484" s="5"/>
      <c r="AH484" s="5"/>
      <c r="AI484" s="5"/>
      <c r="AJ484" s="19"/>
      <c r="AK484" s="19"/>
      <c r="AL484" s="19"/>
      <c r="AM484" s="19"/>
      <c r="AN484" s="19"/>
    </row>
    <row r="485" spans="18:40" x14ac:dyDescent="0.2">
      <c r="R485" s="5"/>
      <c r="S485" s="5"/>
      <c r="T485" s="5"/>
      <c r="U485" s="5"/>
      <c r="V485" s="5"/>
      <c r="W485" s="5"/>
      <c r="X485" s="5"/>
      <c r="Y485" s="5"/>
      <c r="Z485" s="5"/>
      <c r="AA485" s="5"/>
      <c r="AB485" s="5"/>
      <c r="AC485" s="5"/>
      <c r="AD485" s="5"/>
      <c r="AE485" s="5"/>
      <c r="AF485" s="5"/>
      <c r="AG485" s="5"/>
      <c r="AH485" s="5"/>
      <c r="AI485" s="5"/>
      <c r="AJ485" s="19"/>
      <c r="AK485" s="19"/>
      <c r="AL485" s="19"/>
      <c r="AM485" s="19"/>
      <c r="AN485" s="19"/>
    </row>
    <row r="486" spans="18:40" x14ac:dyDescent="0.2">
      <c r="R486" s="5"/>
      <c r="S486" s="5"/>
      <c r="T486" s="5"/>
      <c r="U486" s="5"/>
      <c r="V486" s="5"/>
      <c r="W486" s="5"/>
      <c r="X486" s="5"/>
      <c r="Y486" s="5"/>
      <c r="Z486" s="5"/>
      <c r="AA486" s="5"/>
      <c r="AB486" s="5"/>
      <c r="AC486" s="5"/>
      <c r="AD486" s="5"/>
      <c r="AE486" s="5"/>
      <c r="AF486" s="5"/>
      <c r="AG486" s="5"/>
      <c r="AH486" s="5"/>
      <c r="AI486" s="5"/>
      <c r="AJ486" s="19"/>
      <c r="AK486" s="19"/>
      <c r="AL486" s="19"/>
      <c r="AM486" s="19"/>
      <c r="AN486" s="19"/>
    </row>
    <row r="487" spans="18:40" x14ac:dyDescent="0.2">
      <c r="R487" s="5"/>
      <c r="S487" s="5"/>
      <c r="T487" s="5"/>
      <c r="U487" s="5"/>
      <c r="V487" s="5"/>
      <c r="W487" s="5"/>
      <c r="X487" s="5"/>
      <c r="Y487" s="5"/>
      <c r="Z487" s="5"/>
      <c r="AA487" s="5"/>
      <c r="AB487" s="5"/>
      <c r="AC487" s="5"/>
      <c r="AD487" s="5"/>
      <c r="AE487" s="5"/>
      <c r="AF487" s="5"/>
      <c r="AG487" s="5"/>
      <c r="AH487" s="5"/>
      <c r="AI487" s="5"/>
      <c r="AJ487" s="19"/>
      <c r="AK487" s="19"/>
      <c r="AL487" s="19"/>
      <c r="AM487" s="19"/>
      <c r="AN487" s="19"/>
    </row>
    <row r="488" spans="18:40" x14ac:dyDescent="0.2">
      <c r="R488" s="5"/>
      <c r="S488" s="5"/>
      <c r="T488" s="5"/>
      <c r="U488" s="5"/>
      <c r="V488" s="5"/>
      <c r="W488" s="5"/>
      <c r="X488" s="5"/>
      <c r="Y488" s="5"/>
      <c r="Z488" s="5"/>
      <c r="AA488" s="5"/>
      <c r="AB488" s="5"/>
      <c r="AC488" s="5"/>
      <c r="AD488" s="5"/>
      <c r="AE488" s="5"/>
      <c r="AF488" s="5"/>
      <c r="AG488" s="5"/>
      <c r="AH488" s="5"/>
      <c r="AI488" s="5"/>
      <c r="AJ488" s="19"/>
      <c r="AK488" s="19"/>
      <c r="AL488" s="19"/>
      <c r="AM488" s="19"/>
      <c r="AN488" s="19"/>
    </row>
    <row r="489" spans="18:40" x14ac:dyDescent="0.2">
      <c r="R489" s="5"/>
      <c r="S489" s="5"/>
      <c r="T489" s="5"/>
      <c r="U489" s="5"/>
      <c r="V489" s="5"/>
      <c r="W489" s="5"/>
      <c r="X489" s="5"/>
      <c r="Y489" s="5"/>
      <c r="Z489" s="5"/>
      <c r="AA489" s="5"/>
      <c r="AB489" s="5"/>
      <c r="AC489" s="5"/>
      <c r="AD489" s="5"/>
      <c r="AE489" s="5"/>
      <c r="AF489" s="5"/>
      <c r="AG489" s="5"/>
      <c r="AH489" s="5"/>
      <c r="AI489" s="5"/>
      <c r="AJ489" s="19"/>
      <c r="AK489" s="19"/>
      <c r="AL489" s="19"/>
      <c r="AM489" s="19"/>
      <c r="AN489" s="19"/>
    </row>
    <row r="490" spans="18:40" x14ac:dyDescent="0.2">
      <c r="R490" s="5"/>
      <c r="S490" s="5"/>
      <c r="T490" s="5"/>
      <c r="U490" s="5"/>
      <c r="V490" s="5"/>
      <c r="W490" s="5"/>
      <c r="X490" s="5"/>
      <c r="Y490" s="5"/>
      <c r="Z490" s="5"/>
      <c r="AA490" s="5"/>
      <c r="AB490" s="5"/>
      <c r="AC490" s="5"/>
      <c r="AD490" s="5"/>
      <c r="AE490" s="5"/>
      <c r="AF490" s="5"/>
      <c r="AG490" s="5"/>
      <c r="AH490" s="5"/>
      <c r="AI490" s="5"/>
      <c r="AJ490" s="19"/>
      <c r="AK490" s="19"/>
      <c r="AL490" s="19"/>
      <c r="AM490" s="19"/>
      <c r="AN490" s="19"/>
    </row>
    <row r="491" spans="18:40" x14ac:dyDescent="0.2">
      <c r="R491" s="5"/>
      <c r="S491" s="5"/>
      <c r="T491" s="5"/>
      <c r="U491" s="5"/>
      <c r="V491" s="5"/>
      <c r="W491" s="5"/>
      <c r="X491" s="5"/>
      <c r="Y491" s="5"/>
      <c r="Z491" s="5"/>
      <c r="AA491" s="5"/>
      <c r="AB491" s="5"/>
      <c r="AC491" s="5"/>
      <c r="AD491" s="5"/>
      <c r="AE491" s="5"/>
      <c r="AF491" s="5"/>
      <c r="AG491" s="5"/>
      <c r="AH491" s="5"/>
      <c r="AI491" s="5"/>
      <c r="AJ491" s="19"/>
      <c r="AK491" s="19"/>
      <c r="AL491" s="19"/>
      <c r="AM491" s="19"/>
      <c r="AN491" s="19"/>
    </row>
    <row r="492" spans="18:40" x14ac:dyDescent="0.2">
      <c r="R492" s="5"/>
      <c r="S492" s="5"/>
      <c r="T492" s="5"/>
      <c r="U492" s="5"/>
      <c r="V492" s="5"/>
      <c r="W492" s="5"/>
      <c r="X492" s="5"/>
      <c r="Y492" s="5"/>
      <c r="Z492" s="5"/>
      <c r="AA492" s="5"/>
      <c r="AB492" s="5"/>
      <c r="AC492" s="5"/>
      <c r="AD492" s="5"/>
      <c r="AE492" s="5"/>
      <c r="AF492" s="5"/>
      <c r="AG492" s="5"/>
      <c r="AH492" s="5"/>
      <c r="AI492" s="5"/>
      <c r="AJ492" s="19"/>
      <c r="AK492" s="19"/>
      <c r="AL492" s="19"/>
      <c r="AM492" s="19"/>
      <c r="AN492" s="19"/>
    </row>
    <row r="493" spans="18:40" x14ac:dyDescent="0.2">
      <c r="R493" s="5"/>
      <c r="S493" s="5"/>
      <c r="T493" s="5"/>
      <c r="U493" s="5"/>
      <c r="V493" s="5"/>
      <c r="W493" s="5"/>
      <c r="X493" s="5"/>
      <c r="Y493" s="5"/>
      <c r="Z493" s="5"/>
      <c r="AA493" s="5"/>
      <c r="AB493" s="5"/>
      <c r="AC493" s="5"/>
      <c r="AD493" s="5"/>
      <c r="AE493" s="5"/>
      <c r="AF493" s="5"/>
      <c r="AG493" s="5"/>
      <c r="AH493" s="5"/>
      <c r="AI493" s="5"/>
      <c r="AJ493" s="19"/>
      <c r="AK493" s="19"/>
      <c r="AL493" s="19"/>
      <c r="AM493" s="19"/>
      <c r="AN493" s="19"/>
    </row>
    <row r="494" spans="18:40" x14ac:dyDescent="0.2">
      <c r="R494" s="5"/>
      <c r="S494" s="5"/>
      <c r="T494" s="5"/>
      <c r="U494" s="5"/>
      <c r="V494" s="5"/>
      <c r="W494" s="5"/>
      <c r="X494" s="5"/>
      <c r="Y494" s="5"/>
      <c r="Z494" s="5"/>
      <c r="AA494" s="5"/>
      <c r="AB494" s="5"/>
      <c r="AC494" s="5"/>
      <c r="AD494" s="5"/>
      <c r="AE494" s="5"/>
      <c r="AF494" s="5"/>
      <c r="AG494" s="5"/>
      <c r="AH494" s="5"/>
      <c r="AI494" s="5"/>
      <c r="AJ494" s="19"/>
      <c r="AK494" s="19"/>
      <c r="AL494" s="19"/>
      <c r="AM494" s="19"/>
      <c r="AN494" s="19"/>
    </row>
    <row r="495" spans="18:40" x14ac:dyDescent="0.2">
      <c r="R495" s="5"/>
      <c r="S495" s="5"/>
      <c r="T495" s="5"/>
      <c r="U495" s="5"/>
      <c r="V495" s="5"/>
      <c r="W495" s="5"/>
      <c r="X495" s="5"/>
      <c r="Y495" s="5"/>
      <c r="Z495" s="5"/>
      <c r="AA495" s="5"/>
      <c r="AB495" s="5"/>
      <c r="AC495" s="5"/>
      <c r="AD495" s="5"/>
      <c r="AE495" s="5"/>
      <c r="AF495" s="5"/>
      <c r="AG495" s="5"/>
      <c r="AH495" s="5"/>
      <c r="AI495" s="5"/>
      <c r="AJ495" s="19"/>
      <c r="AK495" s="19"/>
      <c r="AL495" s="19"/>
      <c r="AM495" s="19"/>
      <c r="AN495" s="19"/>
    </row>
    <row r="496" spans="18:40" x14ac:dyDescent="0.2">
      <c r="R496" s="5"/>
      <c r="S496" s="5"/>
      <c r="T496" s="5"/>
      <c r="U496" s="5"/>
      <c r="V496" s="5"/>
      <c r="W496" s="5"/>
      <c r="X496" s="5"/>
      <c r="Y496" s="5"/>
      <c r="Z496" s="5"/>
      <c r="AA496" s="5"/>
      <c r="AB496" s="5"/>
      <c r="AC496" s="5"/>
      <c r="AD496" s="5"/>
      <c r="AE496" s="5"/>
      <c r="AF496" s="5"/>
      <c r="AG496" s="5"/>
      <c r="AH496" s="5"/>
      <c r="AI496" s="5"/>
      <c r="AJ496" s="19"/>
      <c r="AK496" s="19"/>
      <c r="AL496" s="19"/>
      <c r="AM496" s="19"/>
      <c r="AN496" s="19"/>
    </row>
    <row r="497" spans="18:40" x14ac:dyDescent="0.2">
      <c r="R497" s="5"/>
      <c r="S497" s="5"/>
      <c r="T497" s="5"/>
      <c r="U497" s="5"/>
      <c r="V497" s="5"/>
      <c r="W497" s="5"/>
      <c r="X497" s="5"/>
      <c r="Y497" s="5"/>
      <c r="Z497" s="5"/>
      <c r="AA497" s="5"/>
      <c r="AB497" s="5"/>
      <c r="AC497" s="5"/>
      <c r="AD497" s="5"/>
      <c r="AE497" s="5"/>
      <c r="AF497" s="5"/>
      <c r="AG497" s="5"/>
      <c r="AH497" s="5"/>
      <c r="AI497" s="5"/>
      <c r="AJ497" s="19"/>
      <c r="AK497" s="19"/>
      <c r="AL497" s="19"/>
      <c r="AM497" s="19"/>
      <c r="AN497" s="19"/>
    </row>
    <row r="498" spans="18:40" x14ac:dyDescent="0.2">
      <c r="R498" s="5"/>
      <c r="S498" s="5"/>
      <c r="T498" s="5"/>
      <c r="U498" s="5"/>
      <c r="V498" s="5"/>
      <c r="W498" s="5"/>
      <c r="X498" s="5"/>
      <c r="Y498" s="5"/>
      <c r="Z498" s="5"/>
      <c r="AA498" s="5"/>
      <c r="AB498" s="5"/>
      <c r="AC498" s="5"/>
      <c r="AD498" s="5"/>
      <c r="AE498" s="5"/>
      <c r="AF498" s="5"/>
      <c r="AG498" s="5"/>
      <c r="AH498" s="5"/>
      <c r="AI498" s="5"/>
      <c r="AJ498" s="19"/>
      <c r="AK498" s="19"/>
      <c r="AL498" s="19"/>
      <c r="AM498" s="19"/>
      <c r="AN498" s="19"/>
    </row>
    <row r="499" spans="18:40" x14ac:dyDescent="0.2">
      <c r="R499" s="5"/>
      <c r="S499" s="5"/>
      <c r="T499" s="5"/>
      <c r="U499" s="5"/>
      <c r="V499" s="5"/>
      <c r="W499" s="5"/>
      <c r="X499" s="5"/>
      <c r="Y499" s="5"/>
      <c r="Z499" s="5"/>
      <c r="AA499" s="5"/>
      <c r="AB499" s="5"/>
      <c r="AC499" s="5"/>
      <c r="AD499" s="5"/>
      <c r="AE499" s="5"/>
      <c r="AF499" s="5"/>
      <c r="AG499" s="5"/>
      <c r="AH499" s="5"/>
      <c r="AI499" s="5"/>
      <c r="AJ499" s="19"/>
      <c r="AK499" s="19"/>
      <c r="AL499" s="19"/>
      <c r="AM499" s="19"/>
      <c r="AN499" s="19"/>
    </row>
    <row r="500" spans="18:40" x14ac:dyDescent="0.2">
      <c r="R500" s="5"/>
      <c r="S500" s="5"/>
      <c r="T500" s="5"/>
      <c r="U500" s="5"/>
      <c r="V500" s="5"/>
      <c r="W500" s="5"/>
      <c r="X500" s="5"/>
      <c r="Y500" s="5"/>
      <c r="Z500" s="5"/>
      <c r="AA500" s="5"/>
      <c r="AB500" s="5"/>
      <c r="AC500" s="5"/>
      <c r="AD500" s="5"/>
      <c r="AE500" s="5"/>
      <c r="AF500" s="5"/>
      <c r="AG500" s="5"/>
      <c r="AH500" s="5"/>
      <c r="AI500" s="5"/>
      <c r="AJ500" s="19"/>
      <c r="AK500" s="19"/>
      <c r="AL500" s="19"/>
      <c r="AM500" s="19"/>
      <c r="AN500" s="19"/>
    </row>
    <row r="501" spans="18:40" x14ac:dyDescent="0.2">
      <c r="R501" s="5"/>
      <c r="S501" s="5"/>
      <c r="T501" s="5"/>
      <c r="U501" s="5"/>
      <c r="V501" s="5"/>
      <c r="W501" s="5"/>
      <c r="X501" s="5"/>
      <c r="Y501" s="5"/>
      <c r="Z501" s="5"/>
      <c r="AA501" s="5"/>
      <c r="AB501" s="5"/>
      <c r="AC501" s="5"/>
      <c r="AD501" s="5"/>
      <c r="AE501" s="5"/>
      <c r="AF501" s="5"/>
      <c r="AG501" s="5"/>
      <c r="AH501" s="5"/>
      <c r="AI501" s="5"/>
      <c r="AJ501" s="19"/>
      <c r="AK501" s="19"/>
      <c r="AL501" s="19"/>
      <c r="AM501" s="19"/>
      <c r="AN501" s="19"/>
    </row>
    <row r="502" spans="18:40" x14ac:dyDescent="0.2">
      <c r="R502" s="5"/>
      <c r="S502" s="5"/>
      <c r="T502" s="5"/>
      <c r="U502" s="5"/>
      <c r="V502" s="5"/>
      <c r="W502" s="5"/>
      <c r="X502" s="5"/>
      <c r="Y502" s="5"/>
      <c r="Z502" s="5"/>
      <c r="AA502" s="5"/>
      <c r="AB502" s="5"/>
      <c r="AC502" s="5"/>
      <c r="AD502" s="5"/>
      <c r="AE502" s="5"/>
      <c r="AF502" s="5"/>
      <c r="AG502" s="5"/>
      <c r="AH502" s="5"/>
      <c r="AI502" s="5"/>
      <c r="AJ502" s="19"/>
      <c r="AK502" s="19"/>
      <c r="AL502" s="19"/>
      <c r="AM502" s="19"/>
      <c r="AN502" s="19"/>
    </row>
    <row r="503" spans="18:40" x14ac:dyDescent="0.2">
      <c r="R503" s="5"/>
      <c r="S503" s="5"/>
      <c r="T503" s="5"/>
      <c r="U503" s="5"/>
      <c r="V503" s="5"/>
      <c r="W503" s="5"/>
      <c r="X503" s="5"/>
      <c r="Y503" s="5"/>
      <c r="Z503" s="5"/>
      <c r="AA503" s="5"/>
      <c r="AB503" s="5"/>
      <c r="AC503" s="5"/>
      <c r="AD503" s="5"/>
      <c r="AE503" s="5"/>
      <c r="AF503" s="5"/>
      <c r="AG503" s="5"/>
      <c r="AH503" s="5"/>
      <c r="AI503" s="5"/>
      <c r="AJ503" s="19"/>
      <c r="AK503" s="19"/>
      <c r="AL503" s="19"/>
      <c r="AM503" s="19"/>
      <c r="AN503" s="19"/>
    </row>
    <row r="504" spans="18:40" x14ac:dyDescent="0.2">
      <c r="R504" s="5"/>
      <c r="S504" s="5"/>
      <c r="T504" s="5"/>
      <c r="U504" s="5"/>
      <c r="V504" s="5"/>
      <c r="W504" s="5"/>
      <c r="X504" s="5"/>
      <c r="Y504" s="5"/>
      <c r="Z504" s="5"/>
      <c r="AA504" s="5"/>
      <c r="AB504" s="5"/>
      <c r="AC504" s="5"/>
      <c r="AD504" s="5"/>
      <c r="AE504" s="5"/>
      <c r="AF504" s="5"/>
      <c r="AG504" s="5"/>
      <c r="AH504" s="5"/>
      <c r="AI504" s="5"/>
      <c r="AJ504" s="19"/>
      <c r="AK504" s="19"/>
      <c r="AL504" s="19"/>
      <c r="AM504" s="19"/>
      <c r="AN504" s="19"/>
    </row>
    <row r="505" spans="18:40" x14ac:dyDescent="0.2">
      <c r="R505" s="5"/>
      <c r="S505" s="5"/>
      <c r="T505" s="5"/>
      <c r="U505" s="5"/>
      <c r="V505" s="5"/>
      <c r="W505" s="5"/>
      <c r="X505" s="5"/>
      <c r="Y505" s="5"/>
      <c r="Z505" s="5"/>
      <c r="AA505" s="5"/>
      <c r="AB505" s="5"/>
      <c r="AC505" s="5"/>
      <c r="AD505" s="5"/>
      <c r="AE505" s="5"/>
      <c r="AF505" s="5"/>
      <c r="AG505" s="5"/>
      <c r="AH505" s="5"/>
      <c r="AI505" s="5"/>
      <c r="AJ505" s="19"/>
      <c r="AK505" s="19"/>
      <c r="AL505" s="19"/>
      <c r="AM505" s="19"/>
      <c r="AN505" s="19"/>
    </row>
    <row r="506" spans="18:40" x14ac:dyDescent="0.2">
      <c r="R506" s="5"/>
      <c r="S506" s="5"/>
      <c r="T506" s="5"/>
      <c r="U506" s="5"/>
      <c r="V506" s="5"/>
      <c r="W506" s="5"/>
      <c r="X506" s="5"/>
      <c r="Y506" s="5"/>
      <c r="Z506" s="5"/>
      <c r="AA506" s="5"/>
      <c r="AB506" s="5"/>
      <c r="AC506" s="5"/>
      <c r="AD506" s="5"/>
      <c r="AE506" s="5"/>
      <c r="AF506" s="5"/>
      <c r="AG506" s="5"/>
      <c r="AH506" s="5"/>
      <c r="AI506" s="5"/>
      <c r="AJ506" s="19"/>
      <c r="AK506" s="19"/>
      <c r="AL506" s="19"/>
      <c r="AM506" s="19"/>
      <c r="AN506" s="19"/>
    </row>
    <row r="507" spans="18:40" x14ac:dyDescent="0.2">
      <c r="R507" s="5"/>
      <c r="S507" s="5"/>
      <c r="T507" s="5"/>
      <c r="U507" s="5"/>
      <c r="V507" s="5"/>
      <c r="W507" s="5"/>
      <c r="X507" s="5"/>
      <c r="Y507" s="5"/>
      <c r="Z507" s="5"/>
      <c r="AA507" s="5"/>
      <c r="AB507" s="5"/>
      <c r="AC507" s="5"/>
      <c r="AD507" s="5"/>
      <c r="AE507" s="5"/>
      <c r="AF507" s="5"/>
      <c r="AG507" s="5"/>
      <c r="AH507" s="5"/>
      <c r="AI507" s="5"/>
      <c r="AJ507" s="19"/>
      <c r="AK507" s="19"/>
      <c r="AL507" s="19"/>
      <c r="AM507" s="19"/>
      <c r="AN507" s="19"/>
    </row>
    <row r="508" spans="18:40" x14ac:dyDescent="0.2">
      <c r="R508" s="5"/>
      <c r="S508" s="5"/>
      <c r="T508" s="5"/>
      <c r="U508" s="5"/>
      <c r="V508" s="5"/>
      <c r="W508" s="5"/>
      <c r="X508" s="5"/>
      <c r="Y508" s="5"/>
      <c r="Z508" s="5"/>
      <c r="AA508" s="5"/>
      <c r="AB508" s="5"/>
      <c r="AC508" s="5"/>
      <c r="AD508" s="5"/>
      <c r="AE508" s="5"/>
      <c r="AF508" s="5"/>
      <c r="AG508" s="5"/>
      <c r="AH508" s="5"/>
      <c r="AI508" s="5"/>
      <c r="AJ508" s="19"/>
      <c r="AK508" s="19"/>
      <c r="AL508" s="19"/>
      <c r="AM508" s="19"/>
      <c r="AN508" s="19"/>
    </row>
    <row r="509" spans="18:40" x14ac:dyDescent="0.2">
      <c r="R509" s="5"/>
      <c r="S509" s="5"/>
      <c r="T509" s="5"/>
      <c r="U509" s="5"/>
      <c r="V509" s="5"/>
      <c r="W509" s="5"/>
      <c r="X509" s="5"/>
      <c r="Y509" s="5"/>
      <c r="Z509" s="5"/>
      <c r="AA509" s="5"/>
      <c r="AB509" s="5"/>
      <c r="AC509" s="5"/>
      <c r="AD509" s="5"/>
      <c r="AE509" s="5"/>
      <c r="AF509" s="5"/>
      <c r="AG509" s="5"/>
      <c r="AH509" s="5"/>
      <c r="AI509" s="5"/>
      <c r="AJ509" s="19"/>
      <c r="AK509" s="19"/>
      <c r="AL509" s="19"/>
      <c r="AM509" s="19"/>
      <c r="AN509" s="19"/>
    </row>
    <row r="510" spans="18:40" x14ac:dyDescent="0.2">
      <c r="R510" s="5"/>
      <c r="S510" s="5"/>
      <c r="T510" s="5"/>
      <c r="U510" s="5"/>
      <c r="V510" s="5"/>
      <c r="W510" s="5"/>
      <c r="X510" s="5"/>
      <c r="Y510" s="5"/>
      <c r="Z510" s="5"/>
      <c r="AA510" s="5"/>
      <c r="AB510" s="5"/>
      <c r="AC510" s="5"/>
      <c r="AD510" s="5"/>
      <c r="AE510" s="5"/>
      <c r="AF510" s="5"/>
      <c r="AG510" s="5"/>
      <c r="AH510" s="5"/>
      <c r="AI510" s="5"/>
      <c r="AJ510" s="19"/>
      <c r="AK510" s="19"/>
      <c r="AL510" s="19"/>
      <c r="AM510" s="19"/>
      <c r="AN510" s="19"/>
    </row>
    <row r="511" spans="18:40" x14ac:dyDescent="0.2">
      <c r="R511" s="5"/>
      <c r="S511" s="5"/>
      <c r="T511" s="5"/>
      <c r="U511" s="5"/>
      <c r="V511" s="5"/>
      <c r="W511" s="5"/>
      <c r="X511" s="5"/>
      <c r="Y511" s="5"/>
      <c r="Z511" s="5"/>
      <c r="AA511" s="5"/>
      <c r="AB511" s="5"/>
      <c r="AC511" s="5"/>
      <c r="AD511" s="5"/>
      <c r="AE511" s="5"/>
      <c r="AF511" s="5"/>
      <c r="AG511" s="5"/>
      <c r="AH511" s="5"/>
      <c r="AI511" s="5"/>
      <c r="AJ511" s="19"/>
      <c r="AK511" s="19"/>
      <c r="AL511" s="19"/>
      <c r="AM511" s="19"/>
      <c r="AN511" s="19"/>
    </row>
    <row r="512" spans="18:40" x14ac:dyDescent="0.2">
      <c r="R512" s="5"/>
      <c r="S512" s="5"/>
      <c r="T512" s="5"/>
      <c r="U512" s="5"/>
      <c r="V512" s="5"/>
      <c r="W512" s="5"/>
      <c r="X512" s="5"/>
      <c r="Y512" s="5"/>
      <c r="Z512" s="5"/>
      <c r="AA512" s="5"/>
      <c r="AB512" s="5"/>
      <c r="AC512" s="5"/>
      <c r="AD512" s="5"/>
      <c r="AE512" s="5"/>
      <c r="AF512" s="5"/>
      <c r="AG512" s="5"/>
      <c r="AH512" s="5"/>
      <c r="AI512" s="5"/>
      <c r="AJ512" s="19"/>
      <c r="AK512" s="19"/>
      <c r="AL512" s="19"/>
      <c r="AM512" s="19"/>
      <c r="AN512" s="19"/>
    </row>
    <row r="513" spans="18:40" x14ac:dyDescent="0.2">
      <c r="R513" s="5"/>
      <c r="S513" s="5"/>
      <c r="T513" s="5"/>
      <c r="U513" s="5"/>
      <c r="V513" s="5"/>
      <c r="W513" s="5"/>
      <c r="X513" s="5"/>
      <c r="Y513" s="5"/>
      <c r="Z513" s="5"/>
      <c r="AA513" s="5"/>
      <c r="AB513" s="5"/>
      <c r="AC513" s="5"/>
      <c r="AD513" s="5"/>
      <c r="AE513" s="5"/>
      <c r="AF513" s="5"/>
      <c r="AG513" s="5"/>
      <c r="AH513" s="5"/>
      <c r="AI513" s="5"/>
      <c r="AJ513" s="19"/>
      <c r="AK513" s="19"/>
      <c r="AL513" s="19"/>
      <c r="AM513" s="19"/>
      <c r="AN513" s="19"/>
    </row>
    <row r="514" spans="18:40" x14ac:dyDescent="0.2">
      <c r="R514" s="5"/>
      <c r="S514" s="5"/>
      <c r="T514" s="5"/>
      <c r="U514" s="5"/>
      <c r="V514" s="5"/>
      <c r="W514" s="5"/>
      <c r="X514" s="5"/>
      <c r="Y514" s="5"/>
      <c r="Z514" s="5"/>
      <c r="AA514" s="5"/>
      <c r="AB514" s="5"/>
      <c r="AC514" s="5"/>
      <c r="AD514" s="5"/>
      <c r="AE514" s="5"/>
      <c r="AF514" s="5"/>
      <c r="AG514" s="5"/>
      <c r="AH514" s="5"/>
      <c r="AI514" s="5"/>
      <c r="AJ514" s="19"/>
      <c r="AK514" s="19"/>
      <c r="AL514" s="19"/>
      <c r="AM514" s="19"/>
      <c r="AN514" s="19"/>
    </row>
    <row r="515" spans="18:40" x14ac:dyDescent="0.2">
      <c r="R515" s="5"/>
      <c r="S515" s="5"/>
      <c r="T515" s="5"/>
      <c r="U515" s="5"/>
      <c r="V515" s="5"/>
      <c r="W515" s="5"/>
      <c r="X515" s="5"/>
      <c r="Y515" s="5"/>
      <c r="Z515" s="5"/>
      <c r="AA515" s="5"/>
      <c r="AB515" s="5"/>
      <c r="AC515" s="5"/>
      <c r="AD515" s="5"/>
      <c r="AE515" s="5"/>
      <c r="AF515" s="5"/>
      <c r="AG515" s="5"/>
      <c r="AH515" s="5"/>
      <c r="AI515" s="5"/>
      <c r="AJ515" s="19"/>
      <c r="AK515" s="19"/>
      <c r="AL515" s="19"/>
      <c r="AM515" s="19"/>
      <c r="AN515" s="19"/>
    </row>
    <row r="516" spans="18:40" x14ac:dyDescent="0.2">
      <c r="R516" s="5"/>
      <c r="S516" s="5"/>
      <c r="T516" s="5"/>
      <c r="U516" s="5"/>
      <c r="V516" s="5"/>
      <c r="W516" s="5"/>
      <c r="X516" s="5"/>
      <c r="Y516" s="5"/>
      <c r="Z516" s="5"/>
      <c r="AA516" s="5"/>
      <c r="AB516" s="5"/>
      <c r="AC516" s="5"/>
      <c r="AD516" s="5"/>
      <c r="AE516" s="5"/>
      <c r="AF516" s="5"/>
      <c r="AG516" s="5"/>
      <c r="AH516" s="5"/>
      <c r="AI516" s="5"/>
      <c r="AJ516" s="19"/>
      <c r="AK516" s="19"/>
      <c r="AL516" s="19"/>
      <c r="AM516" s="19"/>
      <c r="AN516" s="19"/>
    </row>
    <row r="517" spans="18:40" x14ac:dyDescent="0.2">
      <c r="R517" s="5"/>
      <c r="S517" s="5"/>
      <c r="T517" s="5"/>
      <c r="U517" s="5"/>
      <c r="V517" s="5"/>
      <c r="W517" s="5"/>
      <c r="X517" s="5"/>
      <c r="Y517" s="5"/>
      <c r="Z517" s="5"/>
      <c r="AA517" s="5"/>
      <c r="AB517" s="5"/>
      <c r="AC517" s="5"/>
      <c r="AD517" s="5"/>
      <c r="AE517" s="5"/>
      <c r="AF517" s="5"/>
      <c r="AG517" s="5"/>
      <c r="AH517" s="5"/>
      <c r="AI517" s="5"/>
      <c r="AJ517" s="19"/>
      <c r="AK517" s="19"/>
      <c r="AL517" s="19"/>
      <c r="AM517" s="19"/>
      <c r="AN517" s="19"/>
    </row>
    <row r="518" spans="18:40" x14ac:dyDescent="0.2">
      <c r="R518" s="5"/>
      <c r="S518" s="5"/>
      <c r="T518" s="5"/>
      <c r="U518" s="5"/>
      <c r="V518" s="5"/>
      <c r="W518" s="5"/>
      <c r="X518" s="5"/>
      <c r="Y518" s="5"/>
      <c r="Z518" s="5"/>
      <c r="AA518" s="5"/>
      <c r="AB518" s="5"/>
      <c r="AC518" s="5"/>
      <c r="AD518" s="5"/>
      <c r="AE518" s="5"/>
      <c r="AF518" s="5"/>
      <c r="AG518" s="5"/>
      <c r="AH518" s="5"/>
      <c r="AI518" s="5"/>
      <c r="AJ518" s="19"/>
      <c r="AK518" s="19"/>
      <c r="AL518" s="19"/>
      <c r="AM518" s="19"/>
      <c r="AN518" s="19"/>
    </row>
    <row r="519" spans="18:40" x14ac:dyDescent="0.2">
      <c r="R519" s="5"/>
      <c r="S519" s="5"/>
      <c r="T519" s="5"/>
      <c r="U519" s="5"/>
      <c r="V519" s="5"/>
      <c r="W519" s="5"/>
      <c r="X519" s="5"/>
      <c r="Y519" s="5"/>
      <c r="Z519" s="5"/>
      <c r="AA519" s="5"/>
      <c r="AB519" s="5"/>
      <c r="AC519" s="5"/>
      <c r="AD519" s="5"/>
      <c r="AE519" s="5"/>
      <c r="AF519" s="5"/>
      <c r="AG519" s="5"/>
      <c r="AH519" s="5"/>
      <c r="AI519" s="5"/>
      <c r="AJ519" s="19"/>
      <c r="AK519" s="19"/>
      <c r="AL519" s="19"/>
      <c r="AM519" s="19"/>
      <c r="AN519" s="19"/>
    </row>
    <row r="520" spans="18:40" x14ac:dyDescent="0.2">
      <c r="R520" s="5"/>
      <c r="S520" s="5"/>
      <c r="T520" s="5"/>
      <c r="U520" s="5"/>
      <c r="V520" s="5"/>
      <c r="W520" s="5"/>
      <c r="X520" s="5"/>
      <c r="Y520" s="5"/>
      <c r="Z520" s="5"/>
      <c r="AA520" s="5"/>
      <c r="AB520" s="5"/>
      <c r="AC520" s="5"/>
      <c r="AD520" s="5"/>
      <c r="AE520" s="5"/>
      <c r="AF520" s="5"/>
      <c r="AG520" s="5"/>
      <c r="AH520" s="5"/>
      <c r="AI520" s="5"/>
      <c r="AJ520" s="19"/>
      <c r="AK520" s="19"/>
      <c r="AL520" s="19"/>
      <c r="AM520" s="19"/>
      <c r="AN520" s="19"/>
    </row>
    <row r="521" spans="18:40" x14ac:dyDescent="0.2">
      <c r="R521" s="5"/>
      <c r="S521" s="5"/>
      <c r="T521" s="5"/>
      <c r="U521" s="5"/>
      <c r="V521" s="5"/>
      <c r="W521" s="5"/>
      <c r="X521" s="5"/>
      <c r="Y521" s="5"/>
      <c r="Z521" s="5"/>
      <c r="AA521" s="5"/>
      <c r="AB521" s="5"/>
      <c r="AC521" s="5"/>
      <c r="AD521" s="5"/>
      <c r="AE521" s="5"/>
      <c r="AF521" s="5"/>
      <c r="AG521" s="5"/>
      <c r="AH521" s="5"/>
      <c r="AI521" s="5"/>
      <c r="AJ521" s="19"/>
      <c r="AK521" s="19"/>
      <c r="AL521" s="19"/>
      <c r="AM521" s="19"/>
      <c r="AN521" s="19"/>
    </row>
    <row r="522" spans="18:40" x14ac:dyDescent="0.2">
      <c r="R522" s="5"/>
      <c r="S522" s="5"/>
      <c r="T522" s="5"/>
      <c r="U522" s="5"/>
      <c r="V522" s="5"/>
      <c r="W522" s="5"/>
      <c r="X522" s="5"/>
      <c r="Y522" s="5"/>
      <c r="Z522" s="5"/>
      <c r="AA522" s="5"/>
      <c r="AB522" s="5"/>
      <c r="AC522" s="5"/>
      <c r="AD522" s="5"/>
      <c r="AE522" s="5"/>
      <c r="AF522" s="5"/>
      <c r="AG522" s="5"/>
      <c r="AH522" s="5"/>
      <c r="AI522" s="5"/>
      <c r="AJ522" s="19"/>
      <c r="AK522" s="19"/>
      <c r="AL522" s="19"/>
      <c r="AM522" s="19"/>
      <c r="AN522" s="19"/>
    </row>
    <row r="523" spans="18:40" x14ac:dyDescent="0.2">
      <c r="R523" s="5"/>
      <c r="S523" s="5"/>
      <c r="T523" s="5"/>
      <c r="U523" s="5"/>
      <c r="V523" s="5"/>
      <c r="W523" s="5"/>
      <c r="X523" s="5"/>
      <c r="Y523" s="5"/>
      <c r="Z523" s="5"/>
      <c r="AA523" s="5"/>
      <c r="AB523" s="5"/>
      <c r="AC523" s="5"/>
      <c r="AD523" s="5"/>
      <c r="AE523" s="5"/>
      <c r="AF523" s="5"/>
      <c r="AG523" s="5"/>
      <c r="AH523" s="5"/>
      <c r="AI523" s="5"/>
      <c r="AJ523" s="19"/>
      <c r="AK523" s="19"/>
      <c r="AL523" s="19"/>
      <c r="AM523" s="19"/>
      <c r="AN523" s="19"/>
    </row>
    <row r="524" spans="18:40" x14ac:dyDescent="0.2">
      <c r="R524" s="5"/>
      <c r="S524" s="5"/>
      <c r="T524" s="5"/>
      <c r="U524" s="5"/>
      <c r="V524" s="5"/>
      <c r="W524" s="5"/>
      <c r="X524" s="5"/>
      <c r="Y524" s="5"/>
      <c r="Z524" s="5"/>
      <c r="AA524" s="5"/>
      <c r="AB524" s="5"/>
      <c r="AC524" s="5"/>
      <c r="AD524" s="5"/>
      <c r="AE524" s="5"/>
      <c r="AF524" s="5"/>
      <c r="AG524" s="5"/>
      <c r="AH524" s="5"/>
      <c r="AI524" s="5"/>
      <c r="AJ524" s="19"/>
      <c r="AK524" s="19"/>
      <c r="AL524" s="19"/>
      <c r="AM524" s="19"/>
      <c r="AN524" s="19"/>
    </row>
    <row r="525" spans="18:40" x14ac:dyDescent="0.2">
      <c r="R525" s="5"/>
      <c r="S525" s="5"/>
      <c r="T525" s="5"/>
      <c r="U525" s="5"/>
      <c r="V525" s="5"/>
      <c r="W525" s="5"/>
      <c r="X525" s="5"/>
      <c r="Y525" s="5"/>
      <c r="Z525" s="5"/>
      <c r="AA525" s="5"/>
      <c r="AB525" s="5"/>
      <c r="AC525" s="5"/>
      <c r="AD525" s="5"/>
      <c r="AE525" s="5"/>
      <c r="AF525" s="5"/>
      <c r="AG525" s="5"/>
      <c r="AH525" s="5"/>
      <c r="AI525" s="5"/>
      <c r="AJ525" s="19"/>
      <c r="AK525" s="19"/>
      <c r="AL525" s="19"/>
      <c r="AM525" s="19"/>
      <c r="AN525" s="19"/>
    </row>
    <row r="526" spans="18:40" x14ac:dyDescent="0.2">
      <c r="R526" s="5"/>
      <c r="S526" s="5"/>
      <c r="T526" s="5"/>
      <c r="U526" s="5"/>
      <c r="V526" s="5"/>
      <c r="W526" s="5"/>
      <c r="X526" s="5"/>
      <c r="Y526" s="5"/>
      <c r="Z526" s="5"/>
      <c r="AA526" s="5"/>
      <c r="AB526" s="5"/>
      <c r="AC526" s="5"/>
      <c r="AD526" s="5"/>
      <c r="AE526" s="5"/>
      <c r="AF526" s="5"/>
      <c r="AG526" s="5"/>
      <c r="AH526" s="5"/>
      <c r="AI526" s="5"/>
      <c r="AJ526" s="19"/>
      <c r="AK526" s="19"/>
      <c r="AL526" s="19"/>
      <c r="AM526" s="19"/>
      <c r="AN526" s="19"/>
    </row>
    <row r="527" spans="18:40" x14ac:dyDescent="0.2">
      <c r="R527" s="5"/>
      <c r="S527" s="5"/>
      <c r="T527" s="5"/>
      <c r="U527" s="5"/>
      <c r="V527" s="5"/>
      <c r="W527" s="5"/>
      <c r="X527" s="5"/>
      <c r="Y527" s="5"/>
      <c r="Z527" s="5"/>
      <c r="AA527" s="5"/>
      <c r="AB527" s="5"/>
      <c r="AC527" s="5"/>
      <c r="AD527" s="5"/>
      <c r="AE527" s="5"/>
      <c r="AF527" s="5"/>
      <c r="AG527" s="5"/>
      <c r="AH527" s="5"/>
      <c r="AI527" s="5"/>
      <c r="AJ527" s="19"/>
      <c r="AK527" s="19"/>
      <c r="AL527" s="19"/>
      <c r="AM527" s="19"/>
      <c r="AN527" s="19"/>
    </row>
    <row r="528" spans="18:40" x14ac:dyDescent="0.2">
      <c r="R528" s="5"/>
      <c r="S528" s="5"/>
      <c r="T528" s="5"/>
      <c r="U528" s="5"/>
      <c r="V528" s="5"/>
      <c r="W528" s="5"/>
      <c r="X528" s="5"/>
      <c r="Y528" s="5"/>
      <c r="Z528" s="5"/>
      <c r="AA528" s="5"/>
      <c r="AB528" s="5"/>
      <c r="AC528" s="5"/>
      <c r="AD528" s="5"/>
      <c r="AE528" s="5"/>
      <c r="AF528" s="5"/>
      <c r="AG528" s="5"/>
      <c r="AH528" s="5"/>
      <c r="AI528" s="5"/>
      <c r="AJ528" s="19"/>
      <c r="AK528" s="19"/>
      <c r="AL528" s="19"/>
      <c r="AM528" s="19"/>
      <c r="AN528" s="19"/>
    </row>
    <row r="529" spans="18:40" x14ac:dyDescent="0.2">
      <c r="R529" s="5"/>
      <c r="S529" s="5"/>
      <c r="T529" s="5"/>
      <c r="U529" s="5"/>
      <c r="V529" s="5"/>
      <c r="W529" s="5"/>
      <c r="X529" s="5"/>
      <c r="Y529" s="5"/>
      <c r="Z529" s="5"/>
      <c r="AA529" s="5"/>
      <c r="AB529" s="5"/>
      <c r="AC529" s="5"/>
      <c r="AD529" s="5"/>
      <c r="AE529" s="5"/>
      <c r="AF529" s="5"/>
      <c r="AG529" s="5"/>
      <c r="AH529" s="5"/>
      <c r="AI529" s="5"/>
      <c r="AJ529" s="19"/>
      <c r="AK529" s="19"/>
      <c r="AL529" s="19"/>
      <c r="AM529" s="19"/>
      <c r="AN529" s="19"/>
    </row>
    <row r="530" spans="18:40" x14ac:dyDescent="0.2">
      <c r="R530" s="5"/>
      <c r="S530" s="5"/>
      <c r="T530" s="5"/>
      <c r="U530" s="5"/>
      <c r="V530" s="5"/>
      <c r="W530" s="5"/>
      <c r="X530" s="5"/>
      <c r="Y530" s="5"/>
      <c r="Z530" s="5"/>
      <c r="AA530" s="5"/>
      <c r="AB530" s="5"/>
      <c r="AC530" s="5"/>
      <c r="AD530" s="5"/>
      <c r="AE530" s="5"/>
      <c r="AF530" s="5"/>
      <c r="AG530" s="5"/>
      <c r="AH530" s="5"/>
      <c r="AI530" s="5"/>
      <c r="AJ530" s="19"/>
      <c r="AK530" s="19"/>
      <c r="AL530" s="19"/>
      <c r="AM530" s="19"/>
      <c r="AN530" s="19"/>
    </row>
    <row r="531" spans="18:40" x14ac:dyDescent="0.2">
      <c r="R531" s="5"/>
      <c r="S531" s="5"/>
      <c r="T531" s="5"/>
      <c r="U531" s="5"/>
      <c r="V531" s="5"/>
      <c r="W531" s="5"/>
      <c r="X531" s="5"/>
      <c r="Y531" s="5"/>
      <c r="Z531" s="5"/>
      <c r="AA531" s="5"/>
      <c r="AB531" s="5"/>
      <c r="AC531" s="5"/>
      <c r="AD531" s="5"/>
      <c r="AE531" s="5"/>
      <c r="AF531" s="5"/>
      <c r="AG531" s="5"/>
      <c r="AH531" s="5"/>
      <c r="AI531" s="5"/>
      <c r="AJ531" s="19"/>
      <c r="AK531" s="19"/>
      <c r="AL531" s="19"/>
      <c r="AM531" s="19"/>
      <c r="AN531" s="19"/>
    </row>
    <row r="532" spans="18:40" x14ac:dyDescent="0.2">
      <c r="R532" s="5"/>
      <c r="S532" s="5"/>
      <c r="T532" s="5"/>
      <c r="U532" s="5"/>
      <c r="V532" s="5"/>
      <c r="W532" s="5"/>
      <c r="X532" s="5"/>
      <c r="Y532" s="5"/>
      <c r="Z532" s="5"/>
      <c r="AA532" s="5"/>
      <c r="AB532" s="5"/>
      <c r="AC532" s="5"/>
      <c r="AD532" s="5"/>
      <c r="AE532" s="5"/>
      <c r="AF532" s="5"/>
      <c r="AG532" s="5"/>
      <c r="AH532" s="5"/>
      <c r="AI532" s="5"/>
      <c r="AJ532" s="19"/>
      <c r="AK532" s="19"/>
      <c r="AL532" s="19"/>
      <c r="AM532" s="19"/>
      <c r="AN532" s="19"/>
    </row>
    <row r="533" spans="18:40" x14ac:dyDescent="0.2">
      <c r="R533" s="5"/>
      <c r="S533" s="5"/>
      <c r="T533" s="5"/>
      <c r="U533" s="5"/>
      <c r="V533" s="5"/>
      <c r="W533" s="5"/>
      <c r="X533" s="5"/>
      <c r="Y533" s="5"/>
      <c r="Z533" s="5"/>
      <c r="AA533" s="5"/>
      <c r="AB533" s="5"/>
      <c r="AC533" s="5"/>
      <c r="AD533" s="5"/>
      <c r="AE533" s="5"/>
      <c r="AF533" s="5"/>
      <c r="AG533" s="5"/>
      <c r="AH533" s="5"/>
      <c r="AI533" s="5"/>
      <c r="AJ533" s="19"/>
      <c r="AK533" s="19"/>
      <c r="AL533" s="19"/>
      <c r="AM533" s="19"/>
      <c r="AN533" s="19"/>
    </row>
    <row r="534" spans="18:40" x14ac:dyDescent="0.2">
      <c r="R534" s="5"/>
      <c r="S534" s="5"/>
      <c r="T534" s="5"/>
      <c r="U534" s="5"/>
      <c r="V534" s="5"/>
      <c r="W534" s="5"/>
      <c r="X534" s="5"/>
      <c r="Y534" s="5"/>
      <c r="Z534" s="5"/>
      <c r="AA534" s="5"/>
      <c r="AB534" s="5"/>
      <c r="AC534" s="5"/>
      <c r="AD534" s="5"/>
      <c r="AE534" s="5"/>
      <c r="AF534" s="5"/>
      <c r="AG534" s="5"/>
      <c r="AH534" s="5"/>
      <c r="AI534" s="5"/>
      <c r="AJ534" s="19"/>
      <c r="AK534" s="19"/>
      <c r="AL534" s="19"/>
      <c r="AM534" s="19"/>
      <c r="AN534" s="19"/>
    </row>
    <row r="535" spans="18:40" x14ac:dyDescent="0.2">
      <c r="R535" s="5"/>
      <c r="S535" s="5"/>
      <c r="T535" s="5"/>
      <c r="U535" s="5"/>
      <c r="V535" s="5"/>
      <c r="W535" s="5"/>
      <c r="X535" s="5"/>
      <c r="Y535" s="5"/>
      <c r="Z535" s="5"/>
      <c r="AA535" s="5"/>
      <c r="AB535" s="5"/>
      <c r="AC535" s="5"/>
      <c r="AD535" s="5"/>
      <c r="AE535" s="5"/>
      <c r="AF535" s="5"/>
      <c r="AG535" s="5"/>
      <c r="AH535" s="5"/>
      <c r="AI535" s="5"/>
      <c r="AJ535" s="19"/>
      <c r="AK535" s="19"/>
      <c r="AL535" s="19"/>
      <c r="AM535" s="19"/>
      <c r="AN535" s="19"/>
    </row>
    <row r="536" spans="18:40" x14ac:dyDescent="0.2">
      <c r="R536" s="5"/>
      <c r="S536" s="5"/>
      <c r="T536" s="5"/>
      <c r="U536" s="5"/>
      <c r="V536" s="5"/>
      <c r="W536" s="5"/>
      <c r="X536" s="5"/>
      <c r="Y536" s="5"/>
      <c r="Z536" s="5"/>
      <c r="AA536" s="5"/>
      <c r="AB536" s="5"/>
      <c r="AC536" s="5"/>
      <c r="AD536" s="5"/>
      <c r="AE536" s="5"/>
      <c r="AF536" s="5"/>
      <c r="AG536" s="5"/>
      <c r="AH536" s="5"/>
      <c r="AI536" s="5"/>
      <c r="AJ536" s="19"/>
      <c r="AK536" s="19"/>
      <c r="AL536" s="19"/>
      <c r="AM536" s="19"/>
      <c r="AN536" s="19"/>
    </row>
    <row r="537" spans="18:40" x14ac:dyDescent="0.2">
      <c r="R537" s="5"/>
      <c r="S537" s="5"/>
      <c r="T537" s="5"/>
      <c r="U537" s="5"/>
      <c r="V537" s="5"/>
      <c r="W537" s="5"/>
      <c r="X537" s="5"/>
      <c r="Y537" s="5"/>
      <c r="Z537" s="5"/>
      <c r="AA537" s="5"/>
      <c r="AB537" s="5"/>
      <c r="AC537" s="5"/>
      <c r="AD537" s="5"/>
      <c r="AE537" s="5"/>
      <c r="AF537" s="5"/>
      <c r="AG537" s="5"/>
      <c r="AH537" s="5"/>
      <c r="AI537" s="5"/>
      <c r="AJ537" s="19"/>
      <c r="AK537" s="19"/>
      <c r="AL537" s="19"/>
      <c r="AM537" s="19"/>
      <c r="AN537" s="19"/>
    </row>
    <row r="538" spans="18:40" x14ac:dyDescent="0.2">
      <c r="R538" s="5"/>
      <c r="S538" s="5"/>
      <c r="T538" s="5"/>
      <c r="U538" s="5"/>
      <c r="V538" s="5"/>
      <c r="W538" s="5"/>
      <c r="X538" s="5"/>
      <c r="Y538" s="5"/>
      <c r="Z538" s="5"/>
      <c r="AA538" s="5"/>
      <c r="AB538" s="5"/>
      <c r="AC538" s="5"/>
      <c r="AD538" s="5"/>
      <c r="AE538" s="5"/>
      <c r="AF538" s="5"/>
      <c r="AG538" s="5"/>
      <c r="AH538" s="5"/>
      <c r="AI538" s="5"/>
      <c r="AJ538" s="19"/>
      <c r="AK538" s="19"/>
      <c r="AL538" s="19"/>
      <c r="AM538" s="19"/>
      <c r="AN538" s="19"/>
    </row>
    <row r="539" spans="18:40" x14ac:dyDescent="0.2">
      <c r="R539" s="5"/>
      <c r="S539" s="5"/>
      <c r="T539" s="5"/>
      <c r="U539" s="5"/>
      <c r="V539" s="5"/>
      <c r="W539" s="5"/>
      <c r="X539" s="5"/>
      <c r="Y539" s="5"/>
      <c r="Z539" s="5"/>
      <c r="AA539" s="5"/>
      <c r="AB539" s="5"/>
      <c r="AC539" s="5"/>
      <c r="AD539" s="5"/>
      <c r="AE539" s="5"/>
      <c r="AF539" s="5"/>
      <c r="AG539" s="5"/>
      <c r="AH539" s="5"/>
      <c r="AI539" s="5"/>
      <c r="AJ539" s="19"/>
      <c r="AK539" s="19"/>
      <c r="AL539" s="19"/>
      <c r="AM539" s="19"/>
      <c r="AN539" s="19"/>
    </row>
    <row r="540" spans="18:40" x14ac:dyDescent="0.2">
      <c r="R540" s="5"/>
      <c r="S540" s="5"/>
      <c r="T540" s="5"/>
      <c r="U540" s="5"/>
      <c r="V540" s="5"/>
      <c r="W540" s="5"/>
      <c r="X540" s="5"/>
      <c r="Y540" s="5"/>
      <c r="Z540" s="5"/>
      <c r="AA540" s="5"/>
      <c r="AB540" s="5"/>
      <c r="AC540" s="5"/>
      <c r="AD540" s="5"/>
      <c r="AE540" s="5"/>
      <c r="AF540" s="5"/>
      <c r="AG540" s="5"/>
      <c r="AH540" s="5"/>
      <c r="AI540" s="5"/>
      <c r="AJ540" s="19"/>
      <c r="AK540" s="19"/>
      <c r="AL540" s="19"/>
      <c r="AM540" s="19"/>
      <c r="AN540" s="19"/>
    </row>
    <row r="541" spans="18:40" x14ac:dyDescent="0.2">
      <c r="R541" s="5"/>
      <c r="S541" s="5"/>
      <c r="T541" s="5"/>
      <c r="U541" s="5"/>
      <c r="V541" s="5"/>
      <c r="W541" s="5"/>
      <c r="X541" s="5"/>
      <c r="Y541" s="5"/>
      <c r="Z541" s="5"/>
      <c r="AA541" s="5"/>
      <c r="AB541" s="5"/>
      <c r="AC541" s="5"/>
      <c r="AD541" s="5"/>
      <c r="AE541" s="5"/>
      <c r="AF541" s="5"/>
      <c r="AG541" s="5"/>
      <c r="AH541" s="5"/>
      <c r="AI541" s="5"/>
      <c r="AJ541" s="19"/>
      <c r="AK541" s="19"/>
      <c r="AL541" s="19"/>
      <c r="AM541" s="19"/>
      <c r="AN541" s="19"/>
    </row>
    <row r="542" spans="18:40" x14ac:dyDescent="0.2">
      <c r="R542" s="5"/>
      <c r="S542" s="5"/>
      <c r="T542" s="5"/>
      <c r="U542" s="5"/>
      <c r="V542" s="5"/>
      <c r="W542" s="5"/>
      <c r="X542" s="5"/>
      <c r="Y542" s="5"/>
      <c r="Z542" s="5"/>
      <c r="AA542" s="5"/>
      <c r="AB542" s="5"/>
      <c r="AC542" s="5"/>
      <c r="AD542" s="5"/>
      <c r="AE542" s="5"/>
      <c r="AF542" s="5"/>
      <c r="AG542" s="5"/>
      <c r="AH542" s="5"/>
      <c r="AI542" s="5"/>
      <c r="AJ542" s="19"/>
      <c r="AK542" s="19"/>
      <c r="AL542" s="19"/>
      <c r="AM542" s="19"/>
      <c r="AN542" s="19"/>
    </row>
    <row r="543" spans="18:40" x14ac:dyDescent="0.2">
      <c r="R543" s="5"/>
      <c r="S543" s="5"/>
      <c r="T543" s="5"/>
      <c r="U543" s="5"/>
      <c r="V543" s="5"/>
      <c r="W543" s="5"/>
      <c r="X543" s="5"/>
      <c r="Y543" s="5"/>
      <c r="Z543" s="5"/>
      <c r="AA543" s="5"/>
      <c r="AB543" s="5"/>
      <c r="AC543" s="5"/>
      <c r="AD543" s="5"/>
      <c r="AE543" s="5"/>
      <c r="AF543" s="5"/>
      <c r="AG543" s="5"/>
      <c r="AH543" s="5"/>
      <c r="AI543" s="5"/>
      <c r="AJ543" s="19"/>
      <c r="AK543" s="19"/>
      <c r="AL543" s="19"/>
      <c r="AM543" s="19"/>
      <c r="AN543" s="19"/>
    </row>
    <row r="544" spans="18:40" x14ac:dyDescent="0.2">
      <c r="R544" s="5"/>
      <c r="S544" s="5"/>
      <c r="T544" s="5"/>
      <c r="U544" s="5"/>
      <c r="V544" s="5"/>
      <c r="W544" s="5"/>
      <c r="X544" s="5"/>
      <c r="Y544" s="5"/>
      <c r="Z544" s="5"/>
      <c r="AA544" s="5"/>
      <c r="AB544" s="5"/>
      <c r="AC544" s="5"/>
      <c r="AD544" s="5"/>
      <c r="AE544" s="5"/>
      <c r="AF544" s="5"/>
      <c r="AG544" s="5"/>
      <c r="AH544" s="5"/>
      <c r="AI544" s="5"/>
      <c r="AJ544" s="19"/>
      <c r="AK544" s="19"/>
      <c r="AL544" s="19"/>
      <c r="AM544" s="19"/>
      <c r="AN544" s="19"/>
    </row>
    <row r="545" spans="18:40" x14ac:dyDescent="0.2">
      <c r="R545" s="5"/>
      <c r="S545" s="5"/>
      <c r="T545" s="5"/>
      <c r="U545" s="5"/>
      <c r="V545" s="5"/>
      <c r="W545" s="5"/>
      <c r="X545" s="5"/>
      <c r="Y545" s="5"/>
      <c r="Z545" s="5"/>
      <c r="AA545" s="5"/>
      <c r="AB545" s="5"/>
      <c r="AC545" s="5"/>
      <c r="AD545" s="5"/>
      <c r="AE545" s="5"/>
      <c r="AF545" s="5"/>
      <c r="AG545" s="5"/>
      <c r="AH545" s="5"/>
      <c r="AI545" s="5"/>
      <c r="AJ545" s="19"/>
      <c r="AK545" s="19"/>
      <c r="AL545" s="19"/>
      <c r="AM545" s="19"/>
      <c r="AN545" s="19"/>
    </row>
    <row r="546" spans="18:40" x14ac:dyDescent="0.2">
      <c r="R546" s="5"/>
      <c r="S546" s="5"/>
      <c r="T546" s="5"/>
      <c r="U546" s="5"/>
      <c r="V546" s="5"/>
      <c r="W546" s="5"/>
      <c r="X546" s="5"/>
      <c r="Y546" s="5"/>
      <c r="Z546" s="5"/>
      <c r="AA546" s="5"/>
      <c r="AB546" s="5"/>
      <c r="AC546" s="5"/>
      <c r="AD546" s="5"/>
      <c r="AE546" s="5"/>
      <c r="AF546" s="5"/>
      <c r="AG546" s="5"/>
      <c r="AH546" s="5"/>
      <c r="AI546" s="5"/>
      <c r="AJ546" s="19"/>
      <c r="AK546" s="19"/>
      <c r="AL546" s="19"/>
      <c r="AM546" s="19"/>
      <c r="AN546" s="19"/>
    </row>
    <row r="547" spans="18:40" x14ac:dyDescent="0.2">
      <c r="R547" s="5"/>
      <c r="S547" s="5"/>
      <c r="T547" s="5"/>
      <c r="U547" s="5"/>
      <c r="V547" s="5"/>
      <c r="W547" s="5"/>
      <c r="X547" s="5"/>
      <c r="Y547" s="5"/>
      <c r="Z547" s="5"/>
      <c r="AA547" s="5"/>
      <c r="AB547" s="5"/>
      <c r="AC547" s="5"/>
      <c r="AD547" s="5"/>
      <c r="AE547" s="5"/>
      <c r="AF547" s="5"/>
      <c r="AG547" s="5"/>
      <c r="AH547" s="5"/>
      <c r="AI547" s="5"/>
      <c r="AJ547" s="19"/>
      <c r="AK547" s="19"/>
      <c r="AL547" s="19"/>
      <c r="AM547" s="19"/>
      <c r="AN547" s="19"/>
    </row>
    <row r="548" spans="18:40" x14ac:dyDescent="0.2">
      <c r="R548" s="5"/>
      <c r="S548" s="5"/>
      <c r="T548" s="5"/>
      <c r="U548" s="5"/>
      <c r="V548" s="5"/>
      <c r="W548" s="5"/>
      <c r="X548" s="5"/>
      <c r="Y548" s="5"/>
      <c r="Z548" s="5"/>
      <c r="AA548" s="5"/>
      <c r="AB548" s="5"/>
      <c r="AC548" s="5"/>
      <c r="AD548" s="5"/>
      <c r="AE548" s="5"/>
      <c r="AF548" s="5"/>
      <c r="AG548" s="5"/>
      <c r="AH548" s="5"/>
      <c r="AI548" s="5"/>
      <c r="AJ548" s="19"/>
      <c r="AK548" s="19"/>
      <c r="AL548" s="19"/>
      <c r="AM548" s="19"/>
      <c r="AN548" s="19"/>
    </row>
    <row r="549" spans="18:40" x14ac:dyDescent="0.2">
      <c r="R549" s="5"/>
      <c r="S549" s="5"/>
      <c r="T549" s="5"/>
      <c r="U549" s="5"/>
      <c r="V549" s="5"/>
      <c r="W549" s="5"/>
      <c r="X549" s="5"/>
      <c r="Y549" s="5"/>
      <c r="Z549" s="5"/>
      <c r="AA549" s="5"/>
      <c r="AB549" s="5"/>
      <c r="AC549" s="5"/>
      <c r="AD549" s="5"/>
      <c r="AE549" s="5"/>
      <c r="AF549" s="5"/>
      <c r="AG549" s="5"/>
      <c r="AH549" s="5"/>
      <c r="AI549" s="5"/>
      <c r="AJ549" s="19"/>
      <c r="AK549" s="19"/>
      <c r="AL549" s="19"/>
      <c r="AM549" s="19"/>
      <c r="AN549" s="19"/>
    </row>
    <row r="550" spans="18:40" x14ac:dyDescent="0.2">
      <c r="R550" s="5"/>
      <c r="S550" s="5"/>
      <c r="T550" s="5"/>
      <c r="U550" s="5"/>
      <c r="V550" s="5"/>
      <c r="W550" s="5"/>
      <c r="X550" s="5"/>
      <c r="Y550" s="5"/>
      <c r="Z550" s="5"/>
      <c r="AA550" s="5"/>
      <c r="AB550" s="5"/>
      <c r="AC550" s="5"/>
      <c r="AD550" s="5"/>
      <c r="AE550" s="5"/>
      <c r="AF550" s="5"/>
      <c r="AG550" s="5"/>
      <c r="AH550" s="5"/>
      <c r="AI550" s="5"/>
      <c r="AJ550" s="19"/>
      <c r="AK550" s="19"/>
      <c r="AL550" s="19"/>
      <c r="AM550" s="19"/>
      <c r="AN550" s="19"/>
    </row>
    <row r="551" spans="18:40" x14ac:dyDescent="0.2">
      <c r="R551" s="5"/>
      <c r="S551" s="5"/>
      <c r="T551" s="5"/>
      <c r="U551" s="5"/>
      <c r="V551" s="5"/>
      <c r="W551" s="5"/>
      <c r="X551" s="5"/>
      <c r="Y551" s="5"/>
      <c r="Z551" s="5"/>
      <c r="AA551" s="5"/>
      <c r="AB551" s="5"/>
      <c r="AC551" s="5"/>
      <c r="AD551" s="5"/>
      <c r="AE551" s="5"/>
      <c r="AF551" s="5"/>
      <c r="AG551" s="5"/>
      <c r="AH551" s="5"/>
      <c r="AI551" s="5"/>
      <c r="AJ551" s="19"/>
      <c r="AK551" s="19"/>
      <c r="AL551" s="19"/>
      <c r="AM551" s="19"/>
      <c r="AN551" s="19"/>
    </row>
    <row r="552" spans="18:40" x14ac:dyDescent="0.2">
      <c r="R552" s="5"/>
      <c r="S552" s="5"/>
      <c r="T552" s="5"/>
      <c r="U552" s="5"/>
      <c r="V552" s="5"/>
      <c r="W552" s="5"/>
      <c r="X552" s="5"/>
      <c r="Y552" s="5"/>
      <c r="Z552" s="5"/>
      <c r="AA552" s="5"/>
      <c r="AB552" s="5"/>
      <c r="AC552" s="5"/>
      <c r="AD552" s="5"/>
      <c r="AE552" s="5"/>
      <c r="AF552" s="5"/>
      <c r="AG552" s="5"/>
      <c r="AH552" s="5"/>
      <c r="AI552" s="5"/>
      <c r="AJ552" s="19"/>
      <c r="AK552" s="19"/>
      <c r="AL552" s="19"/>
      <c r="AM552" s="19"/>
      <c r="AN552" s="19"/>
    </row>
    <row r="553" spans="18:40" x14ac:dyDescent="0.2">
      <c r="R553" s="5"/>
      <c r="S553" s="5"/>
      <c r="T553" s="5"/>
      <c r="U553" s="5"/>
      <c r="V553" s="5"/>
      <c r="W553" s="5"/>
      <c r="X553" s="5"/>
      <c r="Y553" s="5"/>
      <c r="Z553" s="5"/>
      <c r="AA553" s="5"/>
      <c r="AB553" s="5"/>
      <c r="AC553" s="5"/>
      <c r="AD553" s="5"/>
      <c r="AE553" s="5"/>
      <c r="AF553" s="5"/>
      <c r="AG553" s="5"/>
      <c r="AH553" s="5"/>
      <c r="AI553" s="5"/>
      <c r="AJ553" s="19"/>
      <c r="AK553" s="19"/>
      <c r="AL553" s="19"/>
      <c r="AM553" s="19"/>
      <c r="AN553" s="19"/>
    </row>
    <row r="554" spans="18:40" x14ac:dyDescent="0.2">
      <c r="R554" s="5"/>
      <c r="S554" s="5"/>
      <c r="T554" s="5"/>
      <c r="U554" s="5"/>
      <c r="V554" s="5"/>
      <c r="W554" s="5"/>
      <c r="X554" s="5"/>
      <c r="Y554" s="5"/>
      <c r="Z554" s="5"/>
      <c r="AA554" s="5"/>
      <c r="AB554" s="5"/>
      <c r="AC554" s="5"/>
      <c r="AD554" s="5"/>
      <c r="AE554" s="5"/>
      <c r="AF554" s="5"/>
      <c r="AG554" s="5"/>
      <c r="AH554" s="5"/>
      <c r="AI554" s="5"/>
      <c r="AJ554" s="19"/>
      <c r="AK554" s="19"/>
      <c r="AL554" s="19"/>
      <c r="AM554" s="19"/>
      <c r="AN554" s="19"/>
    </row>
    <row r="555" spans="18:40" x14ac:dyDescent="0.2">
      <c r="R555" s="5"/>
      <c r="S555" s="5"/>
      <c r="T555" s="5"/>
      <c r="U555" s="5"/>
      <c r="V555" s="5"/>
      <c r="W555" s="5"/>
      <c r="X555" s="5"/>
      <c r="Y555" s="5"/>
      <c r="Z555" s="5"/>
      <c r="AA555" s="5"/>
      <c r="AB555" s="5"/>
      <c r="AC555" s="5"/>
      <c r="AD555" s="5"/>
      <c r="AE555" s="5"/>
      <c r="AF555" s="5"/>
      <c r="AG555" s="5"/>
      <c r="AH555" s="5"/>
      <c r="AI555" s="5"/>
      <c r="AJ555" s="19"/>
      <c r="AK555" s="19"/>
      <c r="AL555" s="19"/>
      <c r="AM555" s="19"/>
      <c r="AN555" s="19"/>
    </row>
    <row r="556" spans="18:40" x14ac:dyDescent="0.2">
      <c r="R556" s="5"/>
      <c r="S556" s="5"/>
      <c r="T556" s="5"/>
      <c r="U556" s="5"/>
      <c r="V556" s="5"/>
      <c r="W556" s="5"/>
      <c r="X556" s="5"/>
      <c r="Y556" s="5"/>
      <c r="Z556" s="5"/>
      <c r="AA556" s="5"/>
      <c r="AB556" s="5"/>
      <c r="AC556" s="5"/>
      <c r="AD556" s="5"/>
      <c r="AE556" s="5"/>
      <c r="AF556" s="5"/>
      <c r="AG556" s="5"/>
      <c r="AH556" s="5"/>
      <c r="AI556" s="5"/>
      <c r="AJ556" s="19"/>
      <c r="AK556" s="19"/>
      <c r="AL556" s="19"/>
      <c r="AM556" s="19"/>
      <c r="AN556" s="19"/>
    </row>
    <row r="557" spans="18:40" x14ac:dyDescent="0.2">
      <c r="R557" s="5"/>
      <c r="S557" s="5"/>
      <c r="T557" s="5"/>
      <c r="U557" s="5"/>
      <c r="V557" s="5"/>
      <c r="W557" s="5"/>
      <c r="X557" s="5"/>
      <c r="Y557" s="5"/>
      <c r="Z557" s="5"/>
      <c r="AA557" s="5"/>
      <c r="AB557" s="5"/>
      <c r="AC557" s="5"/>
      <c r="AD557" s="5"/>
      <c r="AE557" s="5"/>
      <c r="AF557" s="5"/>
      <c r="AG557" s="5"/>
      <c r="AH557" s="5"/>
      <c r="AI557" s="5"/>
      <c r="AJ557" s="19"/>
      <c r="AK557" s="19"/>
      <c r="AL557" s="19"/>
      <c r="AM557" s="19"/>
      <c r="AN557" s="19"/>
    </row>
    <row r="558" spans="18:40" x14ac:dyDescent="0.2">
      <c r="R558" s="5"/>
      <c r="S558" s="5"/>
      <c r="T558" s="5"/>
      <c r="U558" s="5"/>
      <c r="V558" s="5"/>
      <c r="W558" s="5"/>
      <c r="X558" s="5"/>
      <c r="Y558" s="5"/>
      <c r="Z558" s="5"/>
      <c r="AA558" s="5"/>
      <c r="AB558" s="5"/>
      <c r="AC558" s="5"/>
      <c r="AD558" s="5"/>
      <c r="AE558" s="5"/>
      <c r="AF558" s="5"/>
      <c r="AG558" s="5"/>
      <c r="AH558" s="5"/>
      <c r="AI558" s="5"/>
      <c r="AJ558" s="19"/>
      <c r="AK558" s="19"/>
      <c r="AL558" s="19"/>
      <c r="AM558" s="19"/>
      <c r="AN558" s="19"/>
    </row>
    <row r="559" spans="18:40" x14ac:dyDescent="0.2">
      <c r="R559" s="5"/>
      <c r="S559" s="5"/>
      <c r="T559" s="5"/>
      <c r="U559" s="5"/>
      <c r="V559" s="5"/>
      <c r="W559" s="5"/>
      <c r="X559" s="5"/>
      <c r="Y559" s="5"/>
      <c r="Z559" s="5"/>
      <c r="AA559" s="5"/>
      <c r="AB559" s="5"/>
      <c r="AC559" s="5"/>
      <c r="AD559" s="5"/>
      <c r="AE559" s="5"/>
      <c r="AF559" s="5"/>
      <c r="AG559" s="5"/>
      <c r="AH559" s="5"/>
      <c r="AI559" s="5"/>
      <c r="AJ559" s="19"/>
      <c r="AK559" s="19"/>
      <c r="AL559" s="19"/>
      <c r="AM559" s="19"/>
      <c r="AN559" s="19"/>
    </row>
    <row r="560" spans="18:40" x14ac:dyDescent="0.2">
      <c r="R560" s="5"/>
      <c r="S560" s="5"/>
      <c r="T560" s="5"/>
      <c r="U560" s="5"/>
      <c r="V560" s="5"/>
      <c r="W560" s="5"/>
      <c r="X560" s="5"/>
      <c r="Y560" s="5"/>
      <c r="Z560" s="5"/>
      <c r="AA560" s="5"/>
      <c r="AB560" s="5"/>
      <c r="AC560" s="5"/>
      <c r="AD560" s="5"/>
      <c r="AE560" s="5"/>
      <c r="AF560" s="5"/>
      <c r="AG560" s="5"/>
      <c r="AH560" s="5"/>
      <c r="AI560" s="5"/>
      <c r="AJ560" s="19"/>
      <c r="AK560" s="19"/>
      <c r="AL560" s="19"/>
      <c r="AM560" s="19"/>
      <c r="AN560" s="19"/>
    </row>
    <row r="561" spans="18:40" x14ac:dyDescent="0.2">
      <c r="R561" s="5"/>
      <c r="S561" s="5"/>
      <c r="T561" s="5"/>
      <c r="U561" s="5"/>
      <c r="V561" s="5"/>
      <c r="W561" s="5"/>
      <c r="X561" s="5"/>
      <c r="Y561" s="5"/>
      <c r="Z561" s="5"/>
      <c r="AA561" s="5"/>
      <c r="AB561" s="5"/>
      <c r="AC561" s="5"/>
      <c r="AD561" s="5"/>
      <c r="AE561" s="5"/>
      <c r="AF561" s="5"/>
      <c r="AG561" s="5"/>
      <c r="AH561" s="5"/>
      <c r="AI561" s="5"/>
      <c r="AJ561" s="19"/>
      <c r="AK561" s="19"/>
      <c r="AL561" s="19"/>
      <c r="AM561" s="19"/>
      <c r="AN561" s="19"/>
    </row>
    <row r="562" spans="18:40" x14ac:dyDescent="0.2">
      <c r="R562" s="5"/>
      <c r="S562" s="5"/>
      <c r="T562" s="5"/>
      <c r="U562" s="5"/>
      <c r="V562" s="5"/>
      <c r="W562" s="5"/>
      <c r="X562" s="5"/>
      <c r="Y562" s="5"/>
      <c r="Z562" s="5"/>
      <c r="AA562" s="5"/>
      <c r="AB562" s="5"/>
      <c r="AC562" s="5"/>
      <c r="AD562" s="5"/>
      <c r="AE562" s="5"/>
      <c r="AF562" s="5"/>
      <c r="AG562" s="5"/>
      <c r="AH562" s="5"/>
      <c r="AI562" s="5"/>
      <c r="AJ562" s="19"/>
      <c r="AK562" s="19"/>
      <c r="AL562" s="19"/>
      <c r="AM562" s="19"/>
      <c r="AN562" s="19"/>
    </row>
    <row r="563" spans="18:40" x14ac:dyDescent="0.2">
      <c r="R563" s="5"/>
      <c r="S563" s="5"/>
      <c r="T563" s="5"/>
      <c r="U563" s="5"/>
      <c r="V563" s="5"/>
      <c r="W563" s="5"/>
      <c r="X563" s="5"/>
      <c r="Y563" s="5"/>
      <c r="Z563" s="5"/>
      <c r="AA563" s="5"/>
      <c r="AB563" s="5"/>
      <c r="AC563" s="5"/>
      <c r="AD563" s="5"/>
      <c r="AE563" s="5"/>
      <c r="AF563" s="5"/>
      <c r="AG563" s="5"/>
      <c r="AH563" s="5"/>
      <c r="AI563" s="5"/>
      <c r="AJ563" s="19"/>
      <c r="AK563" s="19"/>
      <c r="AL563" s="19"/>
      <c r="AM563" s="19"/>
      <c r="AN563" s="19"/>
    </row>
    <row r="564" spans="18:40" x14ac:dyDescent="0.2">
      <c r="R564" s="5"/>
      <c r="S564" s="5"/>
      <c r="T564" s="5"/>
      <c r="U564" s="5"/>
      <c r="V564" s="5"/>
      <c r="W564" s="5"/>
      <c r="X564" s="5"/>
      <c r="Y564" s="5"/>
      <c r="Z564" s="5"/>
      <c r="AA564" s="5"/>
      <c r="AB564" s="5"/>
      <c r="AC564" s="5"/>
      <c r="AD564" s="5"/>
      <c r="AE564" s="5"/>
      <c r="AF564" s="5"/>
      <c r="AG564" s="5"/>
      <c r="AH564" s="5"/>
      <c r="AI564" s="5"/>
      <c r="AJ564" s="19"/>
      <c r="AK564" s="19"/>
      <c r="AL564" s="19"/>
      <c r="AM564" s="19"/>
      <c r="AN564" s="19"/>
    </row>
    <row r="565" spans="18:40" x14ac:dyDescent="0.2">
      <c r="R565" s="5"/>
      <c r="S565" s="5"/>
      <c r="T565" s="5"/>
      <c r="U565" s="5"/>
      <c r="V565" s="5"/>
      <c r="W565" s="5"/>
      <c r="X565" s="5"/>
      <c r="Y565" s="5"/>
      <c r="Z565" s="5"/>
      <c r="AA565" s="5"/>
      <c r="AB565" s="5"/>
      <c r="AC565" s="5"/>
      <c r="AD565" s="5"/>
      <c r="AE565" s="5"/>
      <c r="AF565" s="5"/>
      <c r="AG565" s="5"/>
      <c r="AH565" s="5"/>
      <c r="AI565" s="5"/>
      <c r="AJ565" s="19"/>
      <c r="AK565" s="19"/>
      <c r="AL565" s="19"/>
      <c r="AM565" s="19"/>
      <c r="AN565" s="19"/>
    </row>
    <row r="566" spans="18:40" x14ac:dyDescent="0.2">
      <c r="R566" s="5"/>
      <c r="S566" s="5"/>
      <c r="T566" s="5"/>
      <c r="U566" s="5"/>
      <c r="V566" s="5"/>
      <c r="W566" s="5"/>
      <c r="X566" s="5"/>
      <c r="Y566" s="5"/>
      <c r="Z566" s="5"/>
      <c r="AA566" s="5"/>
      <c r="AB566" s="5"/>
      <c r="AC566" s="5"/>
      <c r="AD566" s="5"/>
      <c r="AE566" s="5"/>
      <c r="AF566" s="5"/>
      <c r="AG566" s="5"/>
      <c r="AH566" s="5"/>
      <c r="AI566" s="5"/>
      <c r="AJ566" s="19"/>
      <c r="AK566" s="19"/>
      <c r="AL566" s="19"/>
      <c r="AM566" s="19"/>
      <c r="AN566" s="19"/>
    </row>
    <row r="567" spans="18:40" x14ac:dyDescent="0.2">
      <c r="R567" s="5"/>
      <c r="S567" s="5"/>
      <c r="T567" s="5"/>
      <c r="U567" s="5"/>
      <c r="V567" s="5"/>
      <c r="W567" s="5"/>
      <c r="X567" s="5"/>
      <c r="Y567" s="5"/>
      <c r="Z567" s="5"/>
      <c r="AA567" s="5"/>
      <c r="AB567" s="5"/>
      <c r="AC567" s="5"/>
      <c r="AD567" s="5"/>
      <c r="AE567" s="5"/>
      <c r="AF567" s="5"/>
      <c r="AG567" s="5"/>
      <c r="AH567" s="5"/>
      <c r="AI567" s="5"/>
      <c r="AJ567" s="19"/>
      <c r="AK567" s="19"/>
      <c r="AL567" s="19"/>
      <c r="AM567" s="19"/>
      <c r="AN567" s="19"/>
    </row>
    <row r="568" spans="18:40" x14ac:dyDescent="0.2">
      <c r="R568" s="5"/>
      <c r="S568" s="5"/>
      <c r="T568" s="5"/>
      <c r="U568" s="5"/>
      <c r="V568" s="5"/>
      <c r="W568" s="5"/>
      <c r="X568" s="5"/>
      <c r="Y568" s="5"/>
      <c r="Z568" s="5"/>
      <c r="AA568" s="5"/>
      <c r="AB568" s="5"/>
      <c r="AC568" s="5"/>
      <c r="AD568" s="5"/>
      <c r="AE568" s="5"/>
      <c r="AF568" s="5"/>
      <c r="AG568" s="5"/>
      <c r="AH568" s="5"/>
      <c r="AI568" s="5"/>
      <c r="AJ568" s="19"/>
      <c r="AK568" s="19"/>
      <c r="AL568" s="19"/>
      <c r="AM568" s="19"/>
      <c r="AN568" s="19"/>
    </row>
    <row r="569" spans="18:40" x14ac:dyDescent="0.2">
      <c r="R569" s="5"/>
      <c r="S569" s="5"/>
      <c r="T569" s="5"/>
      <c r="U569" s="5"/>
      <c r="V569" s="5"/>
      <c r="W569" s="5"/>
      <c r="X569" s="5"/>
      <c r="Y569" s="5"/>
      <c r="Z569" s="5"/>
      <c r="AA569" s="5"/>
      <c r="AB569" s="5"/>
      <c r="AC569" s="5"/>
      <c r="AD569" s="5"/>
      <c r="AE569" s="5"/>
      <c r="AF569" s="5"/>
      <c r="AG569" s="5"/>
      <c r="AH569" s="5"/>
      <c r="AI569" s="5"/>
      <c r="AJ569" s="19"/>
      <c r="AK569" s="19"/>
      <c r="AL569" s="19"/>
      <c r="AM569" s="19"/>
      <c r="AN569" s="19"/>
    </row>
    <row r="570" spans="18:40" x14ac:dyDescent="0.2">
      <c r="R570" s="5"/>
      <c r="S570" s="5"/>
      <c r="T570" s="5"/>
      <c r="U570" s="5"/>
      <c r="V570" s="5"/>
      <c r="W570" s="5"/>
      <c r="X570" s="5"/>
      <c r="Y570" s="5"/>
      <c r="Z570" s="5"/>
      <c r="AA570" s="5"/>
      <c r="AB570" s="5"/>
      <c r="AC570" s="5"/>
      <c r="AD570" s="5"/>
      <c r="AE570" s="5"/>
      <c r="AF570" s="5"/>
      <c r="AG570" s="5"/>
      <c r="AH570" s="5"/>
      <c r="AI570" s="5"/>
      <c r="AJ570" s="19"/>
      <c r="AK570" s="19"/>
      <c r="AL570" s="19"/>
      <c r="AM570" s="19"/>
      <c r="AN570" s="19"/>
    </row>
    <row r="571" spans="18:40" x14ac:dyDescent="0.2">
      <c r="R571" s="5"/>
      <c r="S571" s="5"/>
      <c r="T571" s="5"/>
      <c r="U571" s="5"/>
      <c r="V571" s="5"/>
      <c r="W571" s="5"/>
      <c r="X571" s="5"/>
      <c r="Y571" s="5"/>
      <c r="Z571" s="5"/>
      <c r="AA571" s="5"/>
      <c r="AB571" s="5"/>
      <c r="AC571" s="5"/>
      <c r="AD571" s="5"/>
      <c r="AE571" s="5"/>
      <c r="AF571" s="5"/>
      <c r="AG571" s="5"/>
      <c r="AH571" s="5"/>
      <c r="AI571" s="5"/>
      <c r="AJ571" s="19"/>
      <c r="AK571" s="19"/>
      <c r="AL571" s="19"/>
      <c r="AM571" s="19"/>
      <c r="AN571" s="19"/>
    </row>
    <row r="572" spans="18:40" x14ac:dyDescent="0.2">
      <c r="R572" s="5"/>
      <c r="S572" s="5"/>
      <c r="T572" s="5"/>
      <c r="U572" s="5"/>
      <c r="V572" s="5"/>
      <c r="W572" s="5"/>
      <c r="X572" s="5"/>
      <c r="Y572" s="5"/>
      <c r="Z572" s="5"/>
      <c r="AA572" s="5"/>
      <c r="AB572" s="5"/>
      <c r="AC572" s="5"/>
      <c r="AD572" s="5"/>
      <c r="AE572" s="5"/>
      <c r="AF572" s="5"/>
      <c r="AG572" s="5"/>
      <c r="AH572" s="5"/>
      <c r="AI572" s="5"/>
      <c r="AJ572" s="19"/>
      <c r="AK572" s="19"/>
      <c r="AL572" s="19"/>
      <c r="AM572" s="19"/>
      <c r="AN572" s="19"/>
    </row>
    <row r="573" spans="18:40" x14ac:dyDescent="0.2">
      <c r="R573" s="5"/>
      <c r="S573" s="5"/>
      <c r="T573" s="5"/>
      <c r="U573" s="5"/>
      <c r="V573" s="5"/>
      <c r="W573" s="5"/>
      <c r="X573" s="5"/>
      <c r="Y573" s="5"/>
      <c r="Z573" s="5"/>
      <c r="AA573" s="5"/>
      <c r="AB573" s="5"/>
      <c r="AC573" s="5"/>
      <c r="AD573" s="5"/>
      <c r="AE573" s="5"/>
      <c r="AF573" s="5"/>
      <c r="AG573" s="5"/>
      <c r="AH573" s="5"/>
      <c r="AI573" s="5"/>
      <c r="AJ573" s="19"/>
      <c r="AK573" s="19"/>
      <c r="AL573" s="19"/>
      <c r="AM573" s="19"/>
      <c r="AN573" s="19"/>
    </row>
    <row r="574" spans="18:40" x14ac:dyDescent="0.2">
      <c r="R574" s="5"/>
      <c r="S574" s="5"/>
      <c r="T574" s="5"/>
      <c r="U574" s="5"/>
      <c r="V574" s="5"/>
      <c r="W574" s="5"/>
      <c r="X574" s="5"/>
      <c r="Y574" s="5"/>
      <c r="Z574" s="5"/>
      <c r="AA574" s="5"/>
      <c r="AB574" s="5"/>
      <c r="AC574" s="5"/>
      <c r="AD574" s="5"/>
      <c r="AE574" s="5"/>
      <c r="AF574" s="5"/>
      <c r="AG574" s="5"/>
      <c r="AH574" s="5"/>
      <c r="AI574" s="5"/>
      <c r="AJ574" s="19"/>
      <c r="AK574" s="19"/>
      <c r="AL574" s="19"/>
      <c r="AM574" s="19"/>
      <c r="AN574" s="19"/>
    </row>
    <row r="575" spans="18:40" x14ac:dyDescent="0.2">
      <c r="R575" s="5"/>
      <c r="S575" s="5"/>
      <c r="T575" s="5"/>
      <c r="U575" s="5"/>
      <c r="V575" s="5"/>
      <c r="W575" s="5"/>
      <c r="X575" s="5"/>
      <c r="Y575" s="5"/>
      <c r="Z575" s="5"/>
      <c r="AA575" s="5"/>
      <c r="AB575" s="5"/>
      <c r="AC575" s="5"/>
      <c r="AD575" s="5"/>
      <c r="AE575" s="5"/>
      <c r="AF575" s="5"/>
      <c r="AG575" s="5"/>
      <c r="AH575" s="5"/>
      <c r="AI575" s="5"/>
      <c r="AJ575" s="19"/>
      <c r="AK575" s="19"/>
      <c r="AL575" s="19"/>
      <c r="AM575" s="19"/>
      <c r="AN575" s="19"/>
    </row>
    <row r="576" spans="18:40" x14ac:dyDescent="0.2">
      <c r="R576" s="5"/>
      <c r="S576" s="5"/>
      <c r="T576" s="5"/>
      <c r="U576" s="5"/>
      <c r="V576" s="5"/>
      <c r="W576" s="5"/>
      <c r="X576" s="5"/>
      <c r="Y576" s="5"/>
      <c r="Z576" s="5"/>
      <c r="AA576" s="5"/>
      <c r="AB576" s="5"/>
      <c r="AC576" s="5"/>
      <c r="AD576" s="5"/>
      <c r="AE576" s="5"/>
      <c r="AF576" s="5"/>
      <c r="AG576" s="5"/>
      <c r="AH576" s="5"/>
      <c r="AI576" s="5"/>
      <c r="AJ576" s="19"/>
      <c r="AK576" s="19"/>
      <c r="AL576" s="19"/>
      <c r="AM576" s="19"/>
      <c r="AN576" s="19"/>
    </row>
    <row r="577" spans="18:40" x14ac:dyDescent="0.2">
      <c r="R577" s="5"/>
      <c r="S577" s="5"/>
      <c r="T577" s="5"/>
      <c r="U577" s="5"/>
      <c r="V577" s="5"/>
      <c r="W577" s="5"/>
      <c r="X577" s="5"/>
      <c r="Y577" s="5"/>
      <c r="Z577" s="5"/>
      <c r="AA577" s="5"/>
      <c r="AB577" s="5"/>
      <c r="AC577" s="5"/>
      <c r="AD577" s="5"/>
      <c r="AE577" s="5"/>
      <c r="AF577" s="5"/>
      <c r="AG577" s="5"/>
      <c r="AH577" s="5"/>
      <c r="AI577" s="5"/>
      <c r="AJ577" s="19"/>
      <c r="AK577" s="19"/>
      <c r="AL577" s="19"/>
      <c r="AM577" s="19"/>
      <c r="AN577" s="19"/>
    </row>
    <row r="578" spans="18:40" x14ac:dyDescent="0.2">
      <c r="R578" s="5"/>
      <c r="S578" s="5"/>
      <c r="T578" s="5"/>
      <c r="U578" s="5"/>
      <c r="V578" s="5"/>
      <c r="W578" s="5"/>
      <c r="X578" s="5"/>
      <c r="Y578" s="5"/>
      <c r="Z578" s="5"/>
      <c r="AA578" s="5"/>
      <c r="AB578" s="5"/>
      <c r="AC578" s="5"/>
      <c r="AD578" s="5"/>
      <c r="AE578" s="5"/>
      <c r="AF578" s="5"/>
      <c r="AG578" s="5"/>
      <c r="AH578" s="5"/>
      <c r="AI578" s="5"/>
      <c r="AJ578" s="19"/>
      <c r="AK578" s="19"/>
      <c r="AL578" s="19"/>
      <c r="AM578" s="19"/>
      <c r="AN578" s="19"/>
    </row>
    <row r="579" spans="18:40" x14ac:dyDescent="0.2">
      <c r="R579" s="5"/>
      <c r="S579" s="5"/>
      <c r="T579" s="5"/>
      <c r="U579" s="5"/>
      <c r="V579" s="5"/>
      <c r="W579" s="5"/>
      <c r="X579" s="5"/>
      <c r="Y579" s="5"/>
      <c r="Z579" s="5"/>
      <c r="AA579" s="5"/>
      <c r="AB579" s="5"/>
      <c r="AC579" s="5"/>
      <c r="AD579" s="5"/>
      <c r="AE579" s="5"/>
      <c r="AF579" s="5"/>
      <c r="AG579" s="5"/>
      <c r="AH579" s="5"/>
      <c r="AI579" s="5"/>
      <c r="AJ579" s="19"/>
      <c r="AK579" s="19"/>
      <c r="AL579" s="19"/>
      <c r="AM579" s="19"/>
      <c r="AN579" s="19"/>
    </row>
    <row r="580" spans="18:40" x14ac:dyDescent="0.2">
      <c r="R580" s="5"/>
      <c r="S580" s="5"/>
      <c r="T580" s="5"/>
      <c r="U580" s="5"/>
      <c r="V580" s="5"/>
      <c r="W580" s="5"/>
      <c r="X580" s="5"/>
      <c r="Y580" s="5"/>
      <c r="Z580" s="5"/>
      <c r="AA580" s="5"/>
      <c r="AB580" s="5"/>
      <c r="AC580" s="5"/>
      <c r="AD580" s="5"/>
      <c r="AE580" s="5"/>
      <c r="AF580" s="5"/>
      <c r="AG580" s="5"/>
      <c r="AH580" s="5"/>
      <c r="AI580" s="5"/>
      <c r="AJ580" s="19"/>
      <c r="AK580" s="19"/>
      <c r="AL580" s="19"/>
      <c r="AM580" s="19"/>
      <c r="AN580" s="19"/>
    </row>
    <row r="581" spans="18:40" x14ac:dyDescent="0.2">
      <c r="R581" s="5"/>
      <c r="S581" s="5"/>
      <c r="T581" s="5"/>
      <c r="U581" s="5"/>
      <c r="V581" s="5"/>
      <c r="W581" s="5"/>
      <c r="X581" s="5"/>
      <c r="Y581" s="5"/>
      <c r="Z581" s="5"/>
      <c r="AA581" s="5"/>
      <c r="AB581" s="5"/>
      <c r="AC581" s="5"/>
      <c r="AD581" s="5"/>
      <c r="AE581" s="5"/>
      <c r="AF581" s="5"/>
      <c r="AG581" s="5"/>
      <c r="AH581" s="5"/>
      <c r="AI581" s="5"/>
      <c r="AJ581" s="19"/>
      <c r="AK581" s="19"/>
      <c r="AL581" s="19"/>
      <c r="AM581" s="19"/>
      <c r="AN581" s="19"/>
    </row>
    <row r="582" spans="18:40" x14ac:dyDescent="0.2">
      <c r="R582" s="5"/>
      <c r="S582" s="5"/>
      <c r="T582" s="5"/>
      <c r="U582" s="5"/>
      <c r="V582" s="5"/>
      <c r="W582" s="5"/>
      <c r="X582" s="5"/>
      <c r="Y582" s="5"/>
      <c r="Z582" s="5"/>
      <c r="AA582" s="5"/>
      <c r="AB582" s="5"/>
      <c r="AC582" s="5"/>
      <c r="AD582" s="5"/>
      <c r="AE582" s="5"/>
      <c r="AF582" s="5"/>
      <c r="AG582" s="5"/>
      <c r="AH582" s="5"/>
      <c r="AI582" s="5"/>
      <c r="AJ582" s="19"/>
      <c r="AK582" s="19"/>
      <c r="AL582" s="19"/>
      <c r="AM582" s="19"/>
      <c r="AN582" s="19"/>
    </row>
    <row r="583" spans="18:40" x14ac:dyDescent="0.2">
      <c r="R583" s="5"/>
      <c r="S583" s="5"/>
      <c r="T583" s="5"/>
      <c r="U583" s="5"/>
      <c r="V583" s="5"/>
      <c r="W583" s="5"/>
      <c r="X583" s="5"/>
      <c r="Y583" s="5"/>
      <c r="Z583" s="5"/>
      <c r="AA583" s="5"/>
      <c r="AB583" s="5"/>
      <c r="AC583" s="5"/>
      <c r="AD583" s="5"/>
      <c r="AE583" s="5"/>
      <c r="AF583" s="5"/>
      <c r="AG583" s="5"/>
      <c r="AH583" s="5"/>
      <c r="AI583" s="5"/>
      <c r="AJ583" s="19"/>
      <c r="AK583" s="19"/>
      <c r="AL583" s="19"/>
      <c r="AM583" s="19"/>
      <c r="AN583" s="19"/>
    </row>
    <row r="584" spans="18:40" x14ac:dyDescent="0.2">
      <c r="R584" s="5"/>
      <c r="S584" s="5"/>
      <c r="T584" s="5"/>
      <c r="U584" s="5"/>
      <c r="V584" s="5"/>
      <c r="W584" s="5"/>
      <c r="X584" s="5"/>
      <c r="Y584" s="5"/>
      <c r="Z584" s="5"/>
      <c r="AA584" s="5"/>
      <c r="AB584" s="5"/>
      <c r="AC584" s="5"/>
      <c r="AD584" s="5"/>
      <c r="AE584" s="5"/>
      <c r="AF584" s="5"/>
      <c r="AG584" s="5"/>
      <c r="AH584" s="5"/>
      <c r="AI584" s="5"/>
      <c r="AJ584" s="19"/>
      <c r="AK584" s="19"/>
      <c r="AL584" s="19"/>
      <c r="AM584" s="19"/>
      <c r="AN584" s="19"/>
    </row>
    <row r="585" spans="18:40" x14ac:dyDescent="0.2">
      <c r="R585" s="5"/>
      <c r="S585" s="5"/>
      <c r="T585" s="5"/>
      <c r="U585" s="5"/>
      <c r="V585" s="5"/>
      <c r="W585" s="5"/>
      <c r="X585" s="5"/>
      <c r="Y585" s="5"/>
      <c r="Z585" s="5"/>
      <c r="AA585" s="5"/>
      <c r="AB585" s="5"/>
      <c r="AC585" s="5"/>
      <c r="AD585" s="5"/>
      <c r="AE585" s="5"/>
      <c r="AF585" s="5"/>
      <c r="AG585" s="5"/>
      <c r="AH585" s="5"/>
      <c r="AI585" s="5"/>
      <c r="AJ585" s="19"/>
      <c r="AK585" s="19"/>
      <c r="AL585" s="19"/>
      <c r="AM585" s="19"/>
      <c r="AN585" s="19"/>
    </row>
    <row r="586" spans="18:40" x14ac:dyDescent="0.2">
      <c r="R586" s="5"/>
      <c r="S586" s="5"/>
      <c r="T586" s="5"/>
      <c r="U586" s="5"/>
      <c r="V586" s="5"/>
      <c r="W586" s="5"/>
      <c r="X586" s="5"/>
      <c r="Y586" s="5"/>
      <c r="Z586" s="5"/>
      <c r="AA586" s="5"/>
      <c r="AB586" s="5"/>
      <c r="AC586" s="5"/>
      <c r="AD586" s="5"/>
      <c r="AE586" s="5"/>
      <c r="AF586" s="5"/>
      <c r="AG586" s="5"/>
      <c r="AH586" s="5"/>
      <c r="AI586" s="5"/>
      <c r="AJ586" s="19"/>
      <c r="AK586" s="19"/>
      <c r="AL586" s="19"/>
      <c r="AM586" s="19"/>
      <c r="AN586" s="19"/>
    </row>
    <row r="587" spans="18:40" x14ac:dyDescent="0.2">
      <c r="R587" s="5"/>
      <c r="S587" s="5"/>
      <c r="T587" s="5"/>
      <c r="U587" s="5"/>
      <c r="V587" s="5"/>
      <c r="W587" s="5"/>
      <c r="X587" s="5"/>
      <c r="Y587" s="5"/>
      <c r="Z587" s="5"/>
      <c r="AA587" s="5"/>
      <c r="AB587" s="5"/>
      <c r="AC587" s="5"/>
      <c r="AD587" s="5"/>
      <c r="AE587" s="5"/>
      <c r="AF587" s="5"/>
      <c r="AG587" s="5"/>
      <c r="AH587" s="5"/>
      <c r="AI587" s="5"/>
      <c r="AJ587" s="19"/>
      <c r="AK587" s="19"/>
      <c r="AL587" s="19"/>
      <c r="AM587" s="19"/>
      <c r="AN587" s="19"/>
    </row>
    <row r="588" spans="18:40" x14ac:dyDescent="0.2">
      <c r="R588" s="5"/>
      <c r="S588" s="5"/>
      <c r="T588" s="5"/>
      <c r="U588" s="5"/>
      <c r="V588" s="5"/>
      <c r="W588" s="5"/>
      <c r="X588" s="5"/>
      <c r="Y588" s="5"/>
      <c r="Z588" s="5"/>
      <c r="AA588" s="5"/>
      <c r="AB588" s="5"/>
      <c r="AC588" s="5"/>
      <c r="AD588" s="5"/>
      <c r="AE588" s="5"/>
      <c r="AF588" s="5"/>
      <c r="AG588" s="5"/>
      <c r="AH588" s="5"/>
      <c r="AI588" s="5"/>
      <c r="AJ588" s="19"/>
      <c r="AK588" s="19"/>
      <c r="AL588" s="19"/>
      <c r="AM588" s="19"/>
      <c r="AN588" s="19"/>
    </row>
    <row r="589" spans="18:40" x14ac:dyDescent="0.2">
      <c r="R589" s="5"/>
      <c r="S589" s="5"/>
      <c r="T589" s="5"/>
      <c r="U589" s="5"/>
      <c r="V589" s="5"/>
      <c r="W589" s="5"/>
      <c r="X589" s="5"/>
      <c r="Y589" s="5"/>
      <c r="Z589" s="5"/>
      <c r="AA589" s="5"/>
      <c r="AB589" s="5"/>
      <c r="AC589" s="5"/>
      <c r="AD589" s="5"/>
      <c r="AE589" s="5"/>
      <c r="AF589" s="5"/>
      <c r="AG589" s="5"/>
      <c r="AH589" s="5"/>
      <c r="AI589" s="5"/>
      <c r="AJ589" s="19"/>
      <c r="AK589" s="19"/>
      <c r="AL589" s="19"/>
      <c r="AM589" s="19"/>
      <c r="AN589" s="19"/>
    </row>
    <row r="590" spans="18:40" x14ac:dyDescent="0.2">
      <c r="R590" s="5"/>
      <c r="S590" s="5"/>
      <c r="T590" s="5"/>
      <c r="U590" s="5"/>
      <c r="V590" s="5"/>
      <c r="W590" s="5"/>
      <c r="X590" s="5"/>
      <c r="Y590" s="5"/>
      <c r="Z590" s="5"/>
      <c r="AA590" s="5"/>
      <c r="AB590" s="5"/>
      <c r="AC590" s="5"/>
      <c r="AD590" s="5"/>
      <c r="AE590" s="5"/>
      <c r="AF590" s="5"/>
      <c r="AG590" s="5"/>
      <c r="AH590" s="5"/>
      <c r="AI590" s="5"/>
      <c r="AJ590" s="19"/>
      <c r="AK590" s="19"/>
      <c r="AL590" s="19"/>
      <c r="AM590" s="19"/>
      <c r="AN590" s="19"/>
    </row>
    <row r="591" spans="18:40" x14ac:dyDescent="0.2">
      <c r="R591" s="5"/>
      <c r="S591" s="5"/>
      <c r="T591" s="5"/>
      <c r="U591" s="5"/>
      <c r="V591" s="5"/>
      <c r="W591" s="5"/>
      <c r="X591" s="5"/>
      <c r="Y591" s="5"/>
      <c r="Z591" s="5"/>
      <c r="AA591" s="5"/>
      <c r="AB591" s="5"/>
      <c r="AC591" s="5"/>
      <c r="AD591" s="5"/>
      <c r="AE591" s="5"/>
      <c r="AF591" s="5"/>
      <c r="AG591" s="5"/>
      <c r="AH591" s="5"/>
      <c r="AI591" s="5"/>
      <c r="AJ591" s="19"/>
      <c r="AK591" s="19"/>
      <c r="AL591" s="19"/>
      <c r="AM591" s="19"/>
      <c r="AN591" s="19"/>
    </row>
    <row r="592" spans="18:40" x14ac:dyDescent="0.2">
      <c r="R592" s="5"/>
      <c r="S592" s="5"/>
      <c r="T592" s="5"/>
      <c r="U592" s="5"/>
      <c r="V592" s="5"/>
      <c r="W592" s="5"/>
      <c r="X592" s="5"/>
      <c r="Y592" s="5"/>
      <c r="Z592" s="5"/>
      <c r="AA592" s="5"/>
      <c r="AB592" s="5"/>
      <c r="AC592" s="5"/>
      <c r="AD592" s="5"/>
      <c r="AE592" s="5"/>
      <c r="AF592" s="5"/>
      <c r="AG592" s="5"/>
      <c r="AH592" s="5"/>
      <c r="AI592" s="5"/>
      <c r="AJ592" s="19"/>
      <c r="AK592" s="19"/>
      <c r="AL592" s="19"/>
      <c r="AM592" s="19"/>
      <c r="AN592" s="19"/>
    </row>
    <row r="593" spans="18:40" x14ac:dyDescent="0.2">
      <c r="R593" s="5"/>
      <c r="S593" s="5"/>
      <c r="T593" s="5"/>
      <c r="U593" s="5"/>
      <c r="V593" s="5"/>
      <c r="W593" s="5"/>
      <c r="X593" s="5"/>
      <c r="Y593" s="5"/>
      <c r="Z593" s="5"/>
      <c r="AA593" s="5"/>
      <c r="AB593" s="5"/>
      <c r="AC593" s="5"/>
      <c r="AD593" s="5"/>
      <c r="AE593" s="5"/>
      <c r="AF593" s="5"/>
      <c r="AG593" s="5"/>
      <c r="AH593" s="5"/>
      <c r="AI593" s="5"/>
      <c r="AJ593" s="19"/>
      <c r="AK593" s="19"/>
      <c r="AL593" s="19"/>
      <c r="AM593" s="19"/>
      <c r="AN593" s="19"/>
    </row>
    <row r="594" spans="18:40" x14ac:dyDescent="0.2">
      <c r="R594" s="5"/>
      <c r="S594" s="5"/>
      <c r="T594" s="5"/>
      <c r="U594" s="5"/>
      <c r="V594" s="5"/>
      <c r="W594" s="5"/>
      <c r="X594" s="5"/>
      <c r="Y594" s="5"/>
      <c r="Z594" s="5"/>
      <c r="AA594" s="5"/>
      <c r="AB594" s="5"/>
      <c r="AC594" s="5"/>
      <c r="AD594" s="5"/>
      <c r="AE594" s="5"/>
      <c r="AF594" s="5"/>
      <c r="AG594" s="5"/>
      <c r="AH594" s="5"/>
      <c r="AI594" s="5"/>
      <c r="AJ594" s="19"/>
      <c r="AK594" s="19"/>
      <c r="AL594" s="19"/>
      <c r="AM594" s="19"/>
      <c r="AN594" s="19"/>
    </row>
    <row r="595" spans="18:40" x14ac:dyDescent="0.2">
      <c r="R595" s="5"/>
      <c r="S595" s="5"/>
      <c r="T595" s="5"/>
      <c r="U595" s="5"/>
      <c r="V595" s="5"/>
      <c r="W595" s="5"/>
      <c r="X595" s="5"/>
      <c r="Y595" s="5"/>
      <c r="Z595" s="5"/>
      <c r="AA595" s="5"/>
      <c r="AB595" s="5"/>
      <c r="AC595" s="5"/>
      <c r="AD595" s="5"/>
      <c r="AE595" s="5"/>
      <c r="AF595" s="5"/>
      <c r="AG595" s="5"/>
      <c r="AH595" s="5"/>
      <c r="AI595" s="5"/>
      <c r="AJ595" s="19"/>
      <c r="AK595" s="19"/>
      <c r="AL595" s="19"/>
      <c r="AM595" s="19"/>
      <c r="AN595" s="19"/>
    </row>
    <row r="596" spans="18:40" x14ac:dyDescent="0.2">
      <c r="R596" s="5"/>
      <c r="S596" s="5"/>
      <c r="T596" s="5"/>
      <c r="U596" s="5"/>
      <c r="V596" s="5"/>
      <c r="W596" s="5"/>
      <c r="X596" s="5"/>
      <c r="Y596" s="5"/>
      <c r="Z596" s="5"/>
      <c r="AA596" s="5"/>
      <c r="AB596" s="5"/>
      <c r="AC596" s="5"/>
      <c r="AD596" s="5"/>
      <c r="AE596" s="5"/>
      <c r="AF596" s="5"/>
      <c r="AG596" s="5"/>
      <c r="AH596" s="5"/>
      <c r="AI596" s="5"/>
      <c r="AJ596" s="19"/>
      <c r="AK596" s="19"/>
      <c r="AL596" s="19"/>
      <c r="AM596" s="19"/>
      <c r="AN596" s="19"/>
    </row>
    <row r="597" spans="18:40" x14ac:dyDescent="0.2">
      <c r="R597" s="5"/>
      <c r="S597" s="5"/>
      <c r="T597" s="5"/>
      <c r="U597" s="5"/>
      <c r="V597" s="5"/>
      <c r="W597" s="5"/>
      <c r="X597" s="5"/>
      <c r="Y597" s="5"/>
      <c r="Z597" s="5"/>
      <c r="AA597" s="5"/>
      <c r="AB597" s="5"/>
      <c r="AC597" s="5"/>
      <c r="AD597" s="5"/>
      <c r="AE597" s="5"/>
      <c r="AF597" s="5"/>
      <c r="AG597" s="5"/>
      <c r="AH597" s="5"/>
      <c r="AI597" s="5"/>
      <c r="AJ597" s="19"/>
      <c r="AK597" s="19"/>
      <c r="AL597" s="19"/>
      <c r="AM597" s="19"/>
      <c r="AN597" s="19"/>
    </row>
    <row r="598" spans="18:40" x14ac:dyDescent="0.2">
      <c r="R598" s="5"/>
      <c r="S598" s="5"/>
      <c r="T598" s="5"/>
      <c r="U598" s="5"/>
      <c r="V598" s="5"/>
      <c r="W598" s="5"/>
      <c r="X598" s="5"/>
      <c r="Y598" s="5"/>
      <c r="Z598" s="5"/>
      <c r="AA598" s="5"/>
      <c r="AB598" s="5"/>
      <c r="AC598" s="5"/>
      <c r="AD598" s="5"/>
      <c r="AE598" s="5"/>
      <c r="AF598" s="5"/>
      <c r="AG598" s="5"/>
      <c r="AH598" s="5"/>
      <c r="AI598" s="5"/>
      <c r="AJ598" s="19"/>
      <c r="AK598" s="19"/>
      <c r="AL598" s="19"/>
      <c r="AM598" s="19"/>
      <c r="AN598" s="19"/>
    </row>
    <row r="599" spans="18:40" x14ac:dyDescent="0.2">
      <c r="R599" s="5"/>
      <c r="S599" s="5"/>
      <c r="T599" s="5"/>
      <c r="U599" s="5"/>
      <c r="V599" s="5"/>
      <c r="W599" s="5"/>
      <c r="X599" s="5"/>
      <c r="Y599" s="5"/>
      <c r="Z599" s="5"/>
      <c r="AA599" s="5"/>
      <c r="AB599" s="5"/>
      <c r="AC599" s="5"/>
      <c r="AD599" s="5"/>
      <c r="AE599" s="5"/>
      <c r="AF599" s="5"/>
      <c r="AG599" s="5"/>
      <c r="AH599" s="5"/>
      <c r="AI599" s="5"/>
      <c r="AJ599" s="19"/>
      <c r="AK599" s="19"/>
      <c r="AL599" s="19"/>
      <c r="AM599" s="19"/>
      <c r="AN599" s="19"/>
    </row>
    <row r="600" spans="18:40" x14ac:dyDescent="0.2">
      <c r="R600" s="5"/>
      <c r="S600" s="5"/>
      <c r="T600" s="5"/>
      <c r="U600" s="5"/>
      <c r="V600" s="5"/>
      <c r="W600" s="5"/>
      <c r="X600" s="5"/>
      <c r="Y600" s="5"/>
      <c r="Z600" s="5"/>
      <c r="AA600" s="5"/>
      <c r="AB600" s="5"/>
      <c r="AC600" s="5"/>
      <c r="AD600" s="5"/>
      <c r="AE600" s="5"/>
      <c r="AF600" s="5"/>
      <c r="AG600" s="5"/>
      <c r="AH600" s="5"/>
      <c r="AI600" s="5"/>
      <c r="AJ600" s="19"/>
      <c r="AK600" s="19"/>
      <c r="AL600" s="19"/>
      <c r="AM600" s="19"/>
      <c r="AN600" s="19"/>
    </row>
    <row r="601" spans="18:40" x14ac:dyDescent="0.2">
      <c r="R601" s="5"/>
      <c r="S601" s="5"/>
      <c r="T601" s="5"/>
      <c r="U601" s="5"/>
      <c r="V601" s="5"/>
      <c r="W601" s="5"/>
      <c r="X601" s="5"/>
      <c r="Y601" s="5"/>
      <c r="Z601" s="5"/>
      <c r="AA601" s="5"/>
      <c r="AB601" s="5"/>
      <c r="AC601" s="5"/>
      <c r="AD601" s="5"/>
      <c r="AE601" s="5"/>
      <c r="AF601" s="5"/>
      <c r="AG601" s="5"/>
      <c r="AH601" s="5"/>
      <c r="AI601" s="5"/>
      <c r="AJ601" s="19"/>
      <c r="AK601" s="19"/>
      <c r="AL601" s="19"/>
      <c r="AM601" s="19"/>
      <c r="AN601" s="19"/>
    </row>
    <row r="602" spans="18:40" x14ac:dyDescent="0.2">
      <c r="R602" s="5"/>
      <c r="S602" s="5"/>
      <c r="T602" s="5"/>
      <c r="U602" s="5"/>
      <c r="V602" s="5"/>
      <c r="W602" s="5"/>
      <c r="X602" s="5"/>
      <c r="Y602" s="5"/>
      <c r="Z602" s="5"/>
      <c r="AA602" s="5"/>
      <c r="AB602" s="5"/>
      <c r="AC602" s="5"/>
      <c r="AD602" s="5"/>
      <c r="AE602" s="5"/>
      <c r="AF602" s="5"/>
      <c r="AG602" s="5"/>
      <c r="AH602" s="5"/>
      <c r="AI602" s="5"/>
      <c r="AJ602" s="19"/>
      <c r="AK602" s="19"/>
      <c r="AL602" s="19"/>
      <c r="AM602" s="19"/>
      <c r="AN602" s="19"/>
    </row>
    <row r="603" spans="18:40" x14ac:dyDescent="0.2">
      <c r="R603" s="5"/>
      <c r="S603" s="5"/>
      <c r="T603" s="5"/>
      <c r="U603" s="5"/>
      <c r="V603" s="5"/>
      <c r="W603" s="5"/>
      <c r="X603" s="5"/>
      <c r="Y603" s="5"/>
      <c r="Z603" s="5"/>
      <c r="AA603" s="5"/>
      <c r="AB603" s="5"/>
      <c r="AC603" s="5"/>
      <c r="AD603" s="5"/>
      <c r="AE603" s="5"/>
      <c r="AF603" s="5"/>
      <c r="AG603" s="5"/>
      <c r="AH603" s="5"/>
      <c r="AI603" s="5"/>
      <c r="AJ603" s="19"/>
      <c r="AK603" s="19"/>
      <c r="AL603" s="19"/>
      <c r="AM603" s="19"/>
      <c r="AN603" s="19"/>
    </row>
    <row r="604" spans="18:40" x14ac:dyDescent="0.2">
      <c r="R604" s="5"/>
      <c r="S604" s="5"/>
      <c r="T604" s="5"/>
      <c r="U604" s="5"/>
      <c r="V604" s="5"/>
      <c r="W604" s="5"/>
      <c r="X604" s="5"/>
      <c r="Y604" s="5"/>
      <c r="Z604" s="5"/>
      <c r="AA604" s="5"/>
      <c r="AB604" s="5"/>
      <c r="AC604" s="5"/>
      <c r="AD604" s="5"/>
      <c r="AE604" s="5"/>
      <c r="AF604" s="5"/>
      <c r="AG604" s="5"/>
      <c r="AH604" s="5"/>
      <c r="AI604" s="5"/>
      <c r="AJ604" s="19"/>
      <c r="AK604" s="19"/>
      <c r="AL604" s="19"/>
      <c r="AM604" s="19"/>
      <c r="AN604" s="19"/>
    </row>
    <row r="605" spans="18:40" x14ac:dyDescent="0.2">
      <c r="R605" s="5"/>
      <c r="S605" s="5"/>
      <c r="T605" s="5"/>
      <c r="U605" s="5"/>
      <c r="V605" s="5"/>
      <c r="W605" s="5"/>
      <c r="X605" s="5"/>
      <c r="Y605" s="5"/>
      <c r="Z605" s="5"/>
      <c r="AA605" s="5"/>
      <c r="AB605" s="5"/>
      <c r="AC605" s="5"/>
      <c r="AD605" s="5"/>
      <c r="AE605" s="5"/>
      <c r="AF605" s="5"/>
      <c r="AG605" s="5"/>
      <c r="AH605" s="5"/>
      <c r="AI605" s="5"/>
      <c r="AJ605" s="19"/>
      <c r="AK605" s="19"/>
      <c r="AL605" s="19"/>
      <c r="AM605" s="19"/>
      <c r="AN605" s="19"/>
    </row>
    <row r="606" spans="18:40" x14ac:dyDescent="0.2">
      <c r="R606" s="5"/>
      <c r="S606" s="5"/>
      <c r="T606" s="5"/>
      <c r="U606" s="5"/>
      <c r="V606" s="5"/>
      <c r="W606" s="5"/>
      <c r="X606" s="5"/>
      <c r="Y606" s="5"/>
      <c r="Z606" s="5"/>
      <c r="AA606" s="5"/>
      <c r="AB606" s="5"/>
      <c r="AC606" s="5"/>
      <c r="AD606" s="5"/>
      <c r="AE606" s="5"/>
      <c r="AF606" s="5"/>
      <c r="AG606" s="5"/>
      <c r="AH606" s="5"/>
      <c r="AI606" s="5"/>
      <c r="AJ606" s="19"/>
      <c r="AK606" s="19"/>
      <c r="AL606" s="19"/>
      <c r="AM606" s="19"/>
      <c r="AN606" s="19"/>
    </row>
    <row r="607" spans="18:40" x14ac:dyDescent="0.2">
      <c r="R607" s="5"/>
      <c r="S607" s="5"/>
      <c r="T607" s="5"/>
      <c r="U607" s="5"/>
      <c r="V607" s="5"/>
      <c r="W607" s="5"/>
      <c r="X607" s="5"/>
      <c r="Y607" s="5"/>
      <c r="Z607" s="5"/>
      <c r="AA607" s="5"/>
      <c r="AB607" s="5"/>
      <c r="AC607" s="5"/>
      <c r="AD607" s="5"/>
      <c r="AE607" s="5"/>
      <c r="AF607" s="5"/>
      <c r="AG607" s="5"/>
      <c r="AH607" s="5"/>
      <c r="AI607" s="5"/>
      <c r="AJ607" s="19"/>
      <c r="AK607" s="19"/>
      <c r="AL607" s="19"/>
      <c r="AM607" s="19"/>
      <c r="AN607" s="19"/>
    </row>
    <row r="608" spans="18:40" x14ac:dyDescent="0.2">
      <c r="R608" s="5"/>
      <c r="S608" s="5"/>
      <c r="T608" s="5"/>
      <c r="U608" s="5"/>
      <c r="V608" s="5"/>
      <c r="W608" s="5"/>
      <c r="X608" s="5"/>
      <c r="Y608" s="5"/>
      <c r="Z608" s="5"/>
      <c r="AA608" s="5"/>
      <c r="AB608" s="5"/>
      <c r="AC608" s="5"/>
      <c r="AD608" s="5"/>
      <c r="AE608" s="5"/>
      <c r="AF608" s="5"/>
      <c r="AG608" s="5"/>
      <c r="AH608" s="5"/>
      <c r="AI608" s="5"/>
      <c r="AJ608" s="19"/>
      <c r="AK608" s="19"/>
      <c r="AL608" s="19"/>
      <c r="AM608" s="19"/>
      <c r="AN608" s="19"/>
    </row>
    <row r="609" spans="18:40" x14ac:dyDescent="0.2">
      <c r="R609" s="5"/>
      <c r="S609" s="5"/>
      <c r="T609" s="5"/>
      <c r="U609" s="5"/>
      <c r="V609" s="5"/>
      <c r="W609" s="5"/>
      <c r="X609" s="5"/>
      <c r="Y609" s="5"/>
      <c r="Z609" s="5"/>
      <c r="AA609" s="5"/>
      <c r="AB609" s="5"/>
      <c r="AC609" s="5"/>
      <c r="AD609" s="5"/>
      <c r="AE609" s="5"/>
      <c r="AF609" s="5"/>
      <c r="AG609" s="5"/>
      <c r="AH609" s="5"/>
      <c r="AI609" s="5"/>
      <c r="AJ609" s="19"/>
      <c r="AK609" s="19"/>
      <c r="AL609" s="19"/>
      <c r="AM609" s="19"/>
      <c r="AN609" s="19"/>
    </row>
    <row r="610" spans="18:40" x14ac:dyDescent="0.2">
      <c r="R610" s="5"/>
      <c r="S610" s="5"/>
      <c r="T610" s="5"/>
      <c r="U610" s="5"/>
      <c r="V610" s="5"/>
      <c r="W610" s="5"/>
      <c r="X610" s="5"/>
      <c r="Y610" s="5"/>
      <c r="Z610" s="5"/>
      <c r="AA610" s="5"/>
      <c r="AB610" s="5"/>
      <c r="AC610" s="5"/>
      <c r="AD610" s="5"/>
      <c r="AE610" s="5"/>
      <c r="AF610" s="5"/>
      <c r="AG610" s="5"/>
      <c r="AH610" s="5"/>
      <c r="AI610" s="5"/>
      <c r="AJ610" s="19"/>
      <c r="AK610" s="19"/>
      <c r="AL610" s="19"/>
      <c r="AM610" s="19"/>
      <c r="AN610" s="19"/>
    </row>
    <row r="611" spans="18:40" x14ac:dyDescent="0.2">
      <c r="R611" s="5"/>
      <c r="S611" s="5"/>
      <c r="T611" s="5"/>
      <c r="U611" s="5"/>
      <c r="V611" s="5"/>
      <c r="W611" s="5"/>
      <c r="X611" s="5"/>
      <c r="Y611" s="5"/>
      <c r="Z611" s="5"/>
      <c r="AA611" s="5"/>
      <c r="AB611" s="5"/>
      <c r="AC611" s="5"/>
      <c r="AD611" s="5"/>
      <c r="AE611" s="5"/>
      <c r="AF611" s="5"/>
      <c r="AG611" s="5"/>
      <c r="AH611" s="5"/>
      <c r="AI611" s="5"/>
      <c r="AJ611" s="19"/>
      <c r="AK611" s="19"/>
      <c r="AL611" s="19"/>
      <c r="AM611" s="19"/>
      <c r="AN611" s="19"/>
    </row>
    <row r="612" spans="18:40" x14ac:dyDescent="0.2">
      <c r="R612" s="5"/>
      <c r="S612" s="5"/>
      <c r="T612" s="5"/>
      <c r="U612" s="5"/>
      <c r="V612" s="5"/>
      <c r="W612" s="5"/>
      <c r="X612" s="5"/>
      <c r="Y612" s="5"/>
      <c r="Z612" s="5"/>
      <c r="AA612" s="5"/>
      <c r="AB612" s="5"/>
      <c r="AC612" s="5"/>
      <c r="AD612" s="5"/>
      <c r="AE612" s="5"/>
      <c r="AF612" s="5"/>
      <c r="AG612" s="5"/>
      <c r="AH612" s="5"/>
      <c r="AI612" s="5"/>
      <c r="AJ612" s="19"/>
      <c r="AK612" s="19"/>
      <c r="AL612" s="19"/>
      <c r="AM612" s="19"/>
      <c r="AN612" s="19"/>
    </row>
    <row r="613" spans="18:40" x14ac:dyDescent="0.2">
      <c r="R613" s="5"/>
      <c r="S613" s="5"/>
      <c r="T613" s="5"/>
      <c r="U613" s="5"/>
      <c r="V613" s="5"/>
      <c r="W613" s="5"/>
      <c r="X613" s="5"/>
      <c r="Y613" s="5"/>
      <c r="Z613" s="5"/>
      <c r="AA613" s="5"/>
      <c r="AB613" s="5"/>
      <c r="AC613" s="5"/>
      <c r="AD613" s="5"/>
      <c r="AE613" s="5"/>
      <c r="AF613" s="5"/>
      <c r="AG613" s="5"/>
      <c r="AH613" s="5"/>
      <c r="AI613" s="5"/>
      <c r="AJ613" s="19"/>
      <c r="AK613" s="19"/>
      <c r="AL613" s="19"/>
      <c r="AM613" s="19"/>
      <c r="AN613" s="19"/>
    </row>
    <row r="614" spans="18:40" x14ac:dyDescent="0.2">
      <c r="R614" s="5"/>
      <c r="S614" s="5"/>
      <c r="T614" s="5"/>
      <c r="U614" s="5"/>
      <c r="V614" s="5"/>
      <c r="W614" s="5"/>
      <c r="X614" s="5"/>
      <c r="Y614" s="5"/>
      <c r="Z614" s="5"/>
      <c r="AA614" s="5"/>
      <c r="AB614" s="5"/>
      <c r="AC614" s="5"/>
      <c r="AD614" s="5"/>
      <c r="AE614" s="5"/>
      <c r="AF614" s="5"/>
      <c r="AG614" s="5"/>
      <c r="AH614" s="5"/>
      <c r="AI614" s="5"/>
      <c r="AJ614" s="19"/>
      <c r="AK614" s="19"/>
      <c r="AL614" s="19"/>
      <c r="AM614" s="19"/>
      <c r="AN614" s="19"/>
    </row>
    <row r="615" spans="18:40" x14ac:dyDescent="0.2">
      <c r="R615" s="5"/>
      <c r="S615" s="5"/>
      <c r="T615" s="5"/>
      <c r="U615" s="5"/>
      <c r="V615" s="5"/>
      <c r="W615" s="5"/>
      <c r="X615" s="5"/>
      <c r="Y615" s="5"/>
      <c r="Z615" s="5"/>
      <c r="AA615" s="5"/>
      <c r="AB615" s="5"/>
      <c r="AC615" s="5"/>
      <c r="AD615" s="5"/>
      <c r="AE615" s="5"/>
      <c r="AF615" s="5"/>
      <c r="AG615" s="5"/>
      <c r="AH615" s="5"/>
      <c r="AI615" s="5"/>
      <c r="AJ615" s="19"/>
      <c r="AK615" s="19"/>
      <c r="AL615" s="19"/>
      <c r="AM615" s="19"/>
      <c r="AN615" s="19"/>
    </row>
    <row r="616" spans="18:40" x14ac:dyDescent="0.2">
      <c r="R616" s="5"/>
      <c r="S616" s="5"/>
      <c r="T616" s="5"/>
      <c r="U616" s="5"/>
      <c r="V616" s="5"/>
      <c r="W616" s="5"/>
      <c r="X616" s="5"/>
      <c r="Y616" s="5"/>
      <c r="Z616" s="5"/>
      <c r="AA616" s="5"/>
      <c r="AB616" s="5"/>
      <c r="AC616" s="5"/>
      <c r="AD616" s="5"/>
      <c r="AE616" s="5"/>
      <c r="AF616" s="5"/>
      <c r="AG616" s="5"/>
      <c r="AH616" s="5"/>
      <c r="AI616" s="5"/>
      <c r="AJ616" s="19"/>
      <c r="AK616" s="19"/>
      <c r="AL616" s="19"/>
      <c r="AM616" s="19"/>
      <c r="AN616" s="19"/>
    </row>
    <row r="617" spans="18:40" x14ac:dyDescent="0.2">
      <c r="R617" s="5"/>
      <c r="S617" s="5"/>
      <c r="T617" s="5"/>
      <c r="U617" s="5"/>
      <c r="V617" s="5"/>
      <c r="W617" s="5"/>
      <c r="X617" s="5"/>
      <c r="Y617" s="5"/>
      <c r="Z617" s="5"/>
      <c r="AA617" s="5"/>
      <c r="AB617" s="5"/>
      <c r="AC617" s="5"/>
      <c r="AD617" s="5"/>
      <c r="AE617" s="5"/>
      <c r="AF617" s="5"/>
      <c r="AG617" s="5"/>
      <c r="AH617" s="5"/>
      <c r="AI617" s="5"/>
      <c r="AJ617" s="19"/>
      <c r="AK617" s="19"/>
      <c r="AL617" s="19"/>
      <c r="AM617" s="19"/>
      <c r="AN617" s="19"/>
    </row>
    <row r="618" spans="18:40" x14ac:dyDescent="0.2">
      <c r="R618" s="5"/>
      <c r="S618" s="5"/>
      <c r="T618" s="5"/>
      <c r="U618" s="5"/>
      <c r="V618" s="5"/>
      <c r="W618" s="5"/>
      <c r="X618" s="5"/>
      <c r="Y618" s="5"/>
      <c r="Z618" s="5"/>
      <c r="AA618" s="5"/>
      <c r="AB618" s="5"/>
      <c r="AC618" s="5"/>
      <c r="AD618" s="5"/>
      <c r="AE618" s="5"/>
      <c r="AF618" s="5"/>
      <c r="AG618" s="5"/>
      <c r="AH618" s="5"/>
      <c r="AI618" s="5"/>
      <c r="AJ618" s="19"/>
      <c r="AK618" s="19"/>
      <c r="AL618" s="19"/>
      <c r="AM618" s="19"/>
      <c r="AN618" s="19"/>
    </row>
    <row r="619" spans="18:40" x14ac:dyDescent="0.2">
      <c r="R619" s="5"/>
      <c r="S619" s="5"/>
      <c r="T619" s="5"/>
      <c r="U619" s="5"/>
      <c r="V619" s="5"/>
      <c r="W619" s="5"/>
      <c r="X619" s="5"/>
      <c r="Y619" s="5"/>
      <c r="Z619" s="5"/>
      <c r="AA619" s="5"/>
      <c r="AB619" s="5"/>
      <c r="AC619" s="5"/>
      <c r="AD619" s="5"/>
      <c r="AE619" s="5"/>
      <c r="AF619" s="5"/>
      <c r="AG619" s="5"/>
      <c r="AH619" s="5"/>
      <c r="AI619" s="5"/>
      <c r="AJ619" s="19"/>
      <c r="AK619" s="19"/>
      <c r="AL619" s="19"/>
      <c r="AM619" s="19"/>
      <c r="AN619" s="19"/>
    </row>
    <row r="620" spans="18:40" x14ac:dyDescent="0.2">
      <c r="R620" s="5"/>
      <c r="S620" s="5"/>
      <c r="T620" s="5"/>
      <c r="U620" s="5"/>
      <c r="V620" s="5"/>
      <c r="W620" s="5"/>
      <c r="X620" s="5"/>
      <c r="Y620" s="5"/>
      <c r="Z620" s="5"/>
      <c r="AA620" s="5"/>
      <c r="AB620" s="5"/>
      <c r="AC620" s="5"/>
      <c r="AD620" s="5"/>
      <c r="AE620" s="5"/>
      <c r="AF620" s="5"/>
      <c r="AG620" s="5"/>
      <c r="AH620" s="5"/>
      <c r="AI620" s="5"/>
      <c r="AJ620" s="19"/>
      <c r="AK620" s="19"/>
      <c r="AL620" s="19"/>
      <c r="AM620" s="19"/>
      <c r="AN620" s="19"/>
    </row>
    <row r="621" spans="18:40" x14ac:dyDescent="0.2">
      <c r="R621" s="5"/>
      <c r="S621" s="5"/>
      <c r="T621" s="5"/>
      <c r="U621" s="5"/>
      <c r="V621" s="5"/>
      <c r="W621" s="5"/>
      <c r="X621" s="5"/>
      <c r="Y621" s="5"/>
      <c r="Z621" s="5"/>
      <c r="AA621" s="5"/>
      <c r="AB621" s="5"/>
      <c r="AC621" s="5"/>
      <c r="AD621" s="5"/>
      <c r="AE621" s="5"/>
      <c r="AF621" s="5"/>
      <c r="AG621" s="5"/>
      <c r="AH621" s="5"/>
      <c r="AI621" s="5"/>
      <c r="AJ621" s="19"/>
      <c r="AK621" s="19"/>
      <c r="AL621" s="19"/>
      <c r="AM621" s="19"/>
      <c r="AN621" s="19"/>
    </row>
    <row r="622" spans="18:40" x14ac:dyDescent="0.2">
      <c r="R622" s="5"/>
      <c r="S622" s="5"/>
      <c r="T622" s="5"/>
      <c r="U622" s="5"/>
      <c r="V622" s="5"/>
      <c r="W622" s="5"/>
      <c r="X622" s="5"/>
      <c r="Y622" s="5"/>
      <c r="Z622" s="5"/>
      <c r="AA622" s="5"/>
      <c r="AB622" s="5"/>
      <c r="AC622" s="5"/>
      <c r="AD622" s="5"/>
      <c r="AE622" s="5"/>
      <c r="AF622" s="5"/>
      <c r="AG622" s="5"/>
      <c r="AH622" s="5"/>
      <c r="AI622" s="5"/>
      <c r="AJ622" s="19"/>
      <c r="AK622" s="19"/>
      <c r="AL622" s="19"/>
      <c r="AM622" s="19"/>
      <c r="AN622" s="19"/>
    </row>
    <row r="623" spans="18:40" x14ac:dyDescent="0.2">
      <c r="R623" s="5"/>
      <c r="S623" s="5"/>
      <c r="T623" s="5"/>
      <c r="U623" s="5"/>
      <c r="V623" s="5"/>
      <c r="W623" s="5"/>
      <c r="X623" s="5"/>
      <c r="Y623" s="5"/>
      <c r="Z623" s="5"/>
      <c r="AA623" s="5"/>
      <c r="AB623" s="5"/>
      <c r="AC623" s="5"/>
      <c r="AD623" s="5"/>
      <c r="AE623" s="5"/>
      <c r="AF623" s="5"/>
      <c r="AG623" s="5"/>
      <c r="AH623" s="5"/>
      <c r="AI623" s="5"/>
      <c r="AJ623" s="19"/>
      <c r="AK623" s="19"/>
      <c r="AL623" s="19"/>
      <c r="AM623" s="19"/>
      <c r="AN623" s="19"/>
    </row>
    <row r="624" spans="18:40" x14ac:dyDescent="0.2">
      <c r="R624" s="5"/>
      <c r="S624" s="5"/>
      <c r="T624" s="5"/>
      <c r="U624" s="5"/>
      <c r="V624" s="5"/>
      <c r="W624" s="5"/>
      <c r="X624" s="5"/>
      <c r="Y624" s="5"/>
      <c r="Z624" s="5"/>
      <c r="AA624" s="5"/>
      <c r="AB624" s="5"/>
      <c r="AC624" s="5"/>
      <c r="AD624" s="5"/>
      <c r="AE624" s="5"/>
      <c r="AF624" s="5"/>
      <c r="AG624" s="5"/>
      <c r="AH624" s="5"/>
      <c r="AI624" s="5"/>
      <c r="AJ624" s="19"/>
      <c r="AK624" s="19"/>
      <c r="AL624" s="19"/>
      <c r="AM624" s="19"/>
      <c r="AN624" s="19"/>
    </row>
    <row r="625" spans="18:40" x14ac:dyDescent="0.2">
      <c r="R625" s="5"/>
      <c r="S625" s="5"/>
      <c r="T625" s="5"/>
      <c r="U625" s="5"/>
      <c r="V625" s="5"/>
      <c r="W625" s="5"/>
      <c r="X625" s="5"/>
      <c r="Y625" s="5"/>
      <c r="Z625" s="5"/>
      <c r="AA625" s="5"/>
      <c r="AB625" s="5"/>
      <c r="AC625" s="5"/>
      <c r="AD625" s="5"/>
      <c r="AE625" s="5"/>
      <c r="AF625" s="5"/>
      <c r="AG625" s="5"/>
      <c r="AH625" s="5"/>
      <c r="AI625" s="5"/>
      <c r="AJ625" s="19"/>
      <c r="AK625" s="19"/>
      <c r="AL625" s="19"/>
      <c r="AM625" s="19"/>
      <c r="AN625" s="19"/>
    </row>
    <row r="626" spans="18:40" x14ac:dyDescent="0.2">
      <c r="R626" s="5"/>
      <c r="S626" s="5"/>
      <c r="T626" s="5"/>
      <c r="U626" s="5"/>
      <c r="V626" s="5"/>
      <c r="W626" s="5"/>
      <c r="X626" s="5"/>
      <c r="Y626" s="5"/>
      <c r="Z626" s="5"/>
      <c r="AA626" s="5"/>
      <c r="AB626" s="5"/>
      <c r="AC626" s="5"/>
      <c r="AD626" s="5"/>
      <c r="AE626" s="5"/>
      <c r="AF626" s="5"/>
      <c r="AG626" s="5"/>
      <c r="AH626" s="5"/>
      <c r="AI626" s="5"/>
      <c r="AJ626" s="19"/>
      <c r="AK626" s="19"/>
      <c r="AL626" s="19"/>
      <c r="AM626" s="19"/>
      <c r="AN626" s="19"/>
    </row>
    <row r="627" spans="18:40" x14ac:dyDescent="0.2">
      <c r="R627" s="5"/>
      <c r="S627" s="5"/>
      <c r="T627" s="5"/>
      <c r="U627" s="5"/>
      <c r="V627" s="5"/>
      <c r="W627" s="5"/>
      <c r="X627" s="5"/>
      <c r="Y627" s="5"/>
      <c r="Z627" s="5"/>
      <c r="AA627" s="5"/>
      <c r="AB627" s="5"/>
      <c r="AC627" s="5"/>
      <c r="AD627" s="5"/>
      <c r="AE627" s="5"/>
      <c r="AF627" s="5"/>
      <c r="AG627" s="5"/>
      <c r="AH627" s="5"/>
      <c r="AI627" s="5"/>
      <c r="AJ627" s="19"/>
      <c r="AK627" s="19"/>
      <c r="AL627" s="19"/>
      <c r="AM627" s="19"/>
      <c r="AN627" s="19"/>
    </row>
    <row r="628" spans="18:40" x14ac:dyDescent="0.2">
      <c r="R628" s="5"/>
      <c r="S628" s="5"/>
      <c r="T628" s="5"/>
      <c r="U628" s="5"/>
      <c r="V628" s="5"/>
      <c r="W628" s="5"/>
      <c r="X628" s="5"/>
      <c r="Y628" s="5"/>
      <c r="Z628" s="5"/>
      <c r="AA628" s="5"/>
      <c r="AB628" s="5"/>
      <c r="AC628" s="5"/>
      <c r="AD628" s="5"/>
      <c r="AE628" s="5"/>
      <c r="AF628" s="5"/>
      <c r="AG628" s="5"/>
      <c r="AH628" s="5"/>
      <c r="AI628" s="5"/>
      <c r="AJ628" s="19"/>
      <c r="AK628" s="19"/>
      <c r="AL628" s="19"/>
      <c r="AM628" s="19"/>
      <c r="AN628" s="19"/>
    </row>
    <row r="629" spans="18:40" x14ac:dyDescent="0.2">
      <c r="R629" s="5"/>
      <c r="S629" s="5"/>
      <c r="T629" s="5"/>
      <c r="U629" s="5"/>
      <c r="V629" s="5"/>
      <c r="W629" s="5"/>
      <c r="X629" s="5"/>
      <c r="Y629" s="5"/>
      <c r="Z629" s="5"/>
      <c r="AA629" s="5"/>
      <c r="AB629" s="5"/>
      <c r="AC629" s="5"/>
      <c r="AD629" s="5"/>
      <c r="AE629" s="5"/>
      <c r="AF629" s="5"/>
      <c r="AG629" s="5"/>
      <c r="AH629" s="5"/>
      <c r="AI629" s="5"/>
      <c r="AJ629" s="19"/>
      <c r="AK629" s="19"/>
      <c r="AL629" s="19"/>
      <c r="AM629" s="19"/>
      <c r="AN629" s="19"/>
    </row>
    <row r="630" spans="18:40" x14ac:dyDescent="0.2">
      <c r="R630" s="5"/>
      <c r="S630" s="5"/>
      <c r="T630" s="5"/>
      <c r="U630" s="5"/>
      <c r="V630" s="5"/>
      <c r="W630" s="5"/>
      <c r="X630" s="5"/>
      <c r="Y630" s="5"/>
      <c r="Z630" s="5"/>
      <c r="AA630" s="5"/>
      <c r="AB630" s="5"/>
      <c r="AC630" s="5"/>
      <c r="AD630" s="5"/>
      <c r="AE630" s="5"/>
      <c r="AF630" s="5"/>
      <c r="AG630" s="5"/>
      <c r="AH630" s="5"/>
      <c r="AI630" s="5"/>
      <c r="AJ630" s="19"/>
      <c r="AK630" s="19"/>
      <c r="AL630" s="19"/>
      <c r="AM630" s="19"/>
      <c r="AN630" s="19"/>
    </row>
    <row r="631" spans="18:40" x14ac:dyDescent="0.2">
      <c r="R631" s="5"/>
      <c r="S631" s="5"/>
      <c r="T631" s="5"/>
      <c r="U631" s="5"/>
      <c r="V631" s="5"/>
      <c r="W631" s="5"/>
      <c r="X631" s="5"/>
      <c r="Y631" s="5"/>
      <c r="Z631" s="5"/>
      <c r="AA631" s="5"/>
      <c r="AB631" s="5"/>
      <c r="AC631" s="5"/>
      <c r="AD631" s="5"/>
      <c r="AE631" s="5"/>
      <c r="AF631" s="5"/>
      <c r="AG631" s="5"/>
      <c r="AH631" s="5"/>
      <c r="AI631" s="5"/>
      <c r="AJ631" s="19"/>
      <c r="AK631" s="19"/>
      <c r="AL631" s="19"/>
      <c r="AM631" s="19"/>
      <c r="AN631" s="19"/>
    </row>
    <row r="632" spans="18:40" x14ac:dyDescent="0.2">
      <c r="R632" s="5"/>
      <c r="S632" s="5"/>
      <c r="T632" s="5"/>
      <c r="U632" s="5"/>
      <c r="V632" s="5"/>
      <c r="W632" s="5"/>
      <c r="X632" s="5"/>
      <c r="Y632" s="5"/>
      <c r="Z632" s="5"/>
      <c r="AA632" s="5"/>
      <c r="AB632" s="5"/>
      <c r="AC632" s="5"/>
      <c r="AD632" s="5"/>
      <c r="AE632" s="5"/>
      <c r="AF632" s="5"/>
      <c r="AG632" s="5"/>
      <c r="AH632" s="5"/>
      <c r="AI632" s="5"/>
      <c r="AJ632" s="19"/>
      <c r="AK632" s="19"/>
      <c r="AL632" s="19"/>
      <c r="AM632" s="19"/>
      <c r="AN632" s="19"/>
    </row>
    <row r="633" spans="18:40" x14ac:dyDescent="0.2">
      <c r="R633" s="5"/>
      <c r="S633" s="5"/>
      <c r="T633" s="5"/>
      <c r="U633" s="5"/>
      <c r="V633" s="5"/>
      <c r="W633" s="5"/>
      <c r="X633" s="5"/>
      <c r="Y633" s="5"/>
      <c r="Z633" s="5"/>
      <c r="AA633" s="5"/>
      <c r="AB633" s="5"/>
      <c r="AC633" s="5"/>
      <c r="AD633" s="5"/>
      <c r="AE633" s="5"/>
      <c r="AF633" s="5"/>
      <c r="AG633" s="5"/>
      <c r="AH633" s="5"/>
      <c r="AI633" s="5"/>
      <c r="AJ633" s="19"/>
      <c r="AK633" s="19"/>
      <c r="AL633" s="19"/>
      <c r="AM633" s="19"/>
      <c r="AN633" s="19"/>
    </row>
    <row r="634" spans="18:40" x14ac:dyDescent="0.2">
      <c r="R634" s="5"/>
      <c r="S634" s="5"/>
      <c r="T634" s="5"/>
      <c r="U634" s="5"/>
      <c r="V634" s="5"/>
      <c r="W634" s="5"/>
      <c r="X634" s="5"/>
      <c r="Y634" s="5"/>
      <c r="Z634" s="5"/>
      <c r="AA634" s="5"/>
      <c r="AB634" s="5"/>
      <c r="AC634" s="5"/>
      <c r="AD634" s="5"/>
      <c r="AE634" s="5"/>
      <c r="AF634" s="5"/>
      <c r="AG634" s="5"/>
      <c r="AH634" s="5"/>
      <c r="AI634" s="5"/>
      <c r="AJ634" s="19"/>
      <c r="AK634" s="19"/>
      <c r="AL634" s="19"/>
      <c r="AM634" s="19"/>
      <c r="AN634" s="19"/>
    </row>
    <row r="635" spans="18:40" x14ac:dyDescent="0.2">
      <c r="R635" s="5"/>
      <c r="S635" s="5"/>
      <c r="T635" s="5"/>
      <c r="U635" s="5"/>
      <c r="V635" s="5"/>
      <c r="W635" s="5"/>
      <c r="X635" s="5"/>
      <c r="Y635" s="5"/>
      <c r="Z635" s="5"/>
      <c r="AA635" s="5"/>
      <c r="AB635" s="5"/>
      <c r="AC635" s="5"/>
      <c r="AD635" s="5"/>
      <c r="AE635" s="5"/>
      <c r="AF635" s="5"/>
      <c r="AG635" s="5"/>
      <c r="AH635" s="5"/>
      <c r="AI635" s="5"/>
      <c r="AJ635" s="19"/>
      <c r="AK635" s="19"/>
      <c r="AL635" s="19"/>
      <c r="AM635" s="19"/>
      <c r="AN635" s="19"/>
    </row>
    <row r="636" spans="18:40" x14ac:dyDescent="0.2">
      <c r="R636" s="5"/>
      <c r="S636" s="5"/>
      <c r="T636" s="5"/>
      <c r="U636" s="5"/>
      <c r="V636" s="5"/>
      <c r="W636" s="5"/>
      <c r="X636" s="5"/>
      <c r="Y636" s="5"/>
      <c r="Z636" s="5"/>
      <c r="AA636" s="5"/>
      <c r="AB636" s="5"/>
      <c r="AC636" s="5"/>
      <c r="AD636" s="5"/>
      <c r="AE636" s="5"/>
      <c r="AF636" s="5"/>
      <c r="AG636" s="5"/>
      <c r="AH636" s="5"/>
      <c r="AI636" s="5"/>
      <c r="AJ636" s="19"/>
      <c r="AK636" s="19"/>
      <c r="AL636" s="19"/>
      <c r="AM636" s="19"/>
      <c r="AN636" s="19"/>
    </row>
    <row r="637" spans="18:40" x14ac:dyDescent="0.2">
      <c r="R637" s="5"/>
      <c r="S637" s="5"/>
      <c r="T637" s="5"/>
      <c r="U637" s="5"/>
      <c r="V637" s="5"/>
      <c r="W637" s="5"/>
      <c r="X637" s="5"/>
      <c r="Y637" s="5"/>
      <c r="Z637" s="5"/>
      <c r="AA637" s="5"/>
      <c r="AB637" s="5"/>
      <c r="AC637" s="5"/>
      <c r="AD637" s="5"/>
      <c r="AE637" s="5"/>
      <c r="AF637" s="5"/>
      <c r="AG637" s="5"/>
      <c r="AH637" s="5"/>
      <c r="AI637" s="5"/>
      <c r="AJ637" s="19"/>
      <c r="AK637" s="19"/>
      <c r="AL637" s="19"/>
      <c r="AM637" s="19"/>
      <c r="AN637" s="19"/>
    </row>
    <row r="638" spans="18:40" x14ac:dyDescent="0.2">
      <c r="R638" s="5"/>
      <c r="S638" s="5"/>
      <c r="T638" s="5"/>
      <c r="U638" s="5"/>
      <c r="V638" s="5"/>
      <c r="W638" s="5"/>
      <c r="X638" s="5"/>
      <c r="Y638" s="5"/>
      <c r="Z638" s="5"/>
      <c r="AA638" s="5"/>
      <c r="AB638" s="5"/>
      <c r="AC638" s="5"/>
      <c r="AD638" s="5"/>
      <c r="AE638" s="5"/>
      <c r="AF638" s="5"/>
      <c r="AG638" s="5"/>
      <c r="AH638" s="5"/>
      <c r="AI638" s="5"/>
      <c r="AJ638" s="19"/>
      <c r="AK638" s="19"/>
      <c r="AL638" s="19"/>
      <c r="AM638" s="19"/>
      <c r="AN638" s="19"/>
    </row>
    <row r="639" spans="18:40" x14ac:dyDescent="0.2">
      <c r="R639" s="5"/>
      <c r="S639" s="5"/>
      <c r="T639" s="5"/>
      <c r="U639" s="5"/>
      <c r="V639" s="5"/>
      <c r="W639" s="5"/>
      <c r="X639" s="5"/>
      <c r="Y639" s="5"/>
      <c r="Z639" s="5"/>
      <c r="AA639" s="5"/>
      <c r="AB639" s="5"/>
      <c r="AC639" s="5"/>
      <c r="AD639" s="5"/>
      <c r="AE639" s="5"/>
      <c r="AF639" s="5"/>
      <c r="AG639" s="5"/>
      <c r="AH639" s="5"/>
      <c r="AI639" s="5"/>
      <c r="AJ639" s="19"/>
      <c r="AK639" s="19"/>
      <c r="AL639" s="19"/>
      <c r="AM639" s="19"/>
      <c r="AN639" s="19"/>
    </row>
    <row r="640" spans="18:40" x14ac:dyDescent="0.2">
      <c r="R640" s="5"/>
      <c r="S640" s="5"/>
      <c r="T640" s="5"/>
      <c r="U640" s="5"/>
      <c r="V640" s="5"/>
      <c r="W640" s="5"/>
      <c r="X640" s="5"/>
      <c r="Y640" s="5"/>
      <c r="Z640" s="5"/>
      <c r="AA640" s="5"/>
      <c r="AB640" s="5"/>
      <c r="AC640" s="5"/>
      <c r="AD640" s="5"/>
      <c r="AE640" s="5"/>
      <c r="AF640" s="5"/>
      <c r="AG640" s="5"/>
      <c r="AH640" s="5"/>
      <c r="AI640" s="5"/>
      <c r="AJ640" s="19"/>
      <c r="AK640" s="19"/>
      <c r="AL640" s="19"/>
      <c r="AM640" s="19"/>
      <c r="AN640" s="19"/>
    </row>
    <row r="641" spans="18:40" x14ac:dyDescent="0.2">
      <c r="R641" s="5"/>
      <c r="S641" s="5"/>
      <c r="T641" s="5"/>
      <c r="U641" s="5"/>
      <c r="V641" s="5"/>
      <c r="W641" s="5"/>
      <c r="X641" s="5"/>
      <c r="Y641" s="5"/>
      <c r="Z641" s="5"/>
      <c r="AA641" s="5"/>
      <c r="AB641" s="5"/>
      <c r="AC641" s="5"/>
      <c r="AD641" s="5"/>
      <c r="AE641" s="5"/>
      <c r="AF641" s="5"/>
      <c r="AG641" s="5"/>
      <c r="AH641" s="5"/>
      <c r="AI641" s="5"/>
      <c r="AJ641" s="19"/>
      <c r="AK641" s="19"/>
      <c r="AL641" s="19"/>
      <c r="AM641" s="19"/>
      <c r="AN641" s="19"/>
    </row>
    <row r="642" spans="18:40" x14ac:dyDescent="0.2">
      <c r="R642" s="5"/>
      <c r="S642" s="5"/>
      <c r="T642" s="5"/>
      <c r="U642" s="5"/>
      <c r="V642" s="5"/>
      <c r="W642" s="5"/>
      <c r="X642" s="5"/>
      <c r="Y642" s="5"/>
      <c r="Z642" s="5"/>
      <c r="AA642" s="5"/>
      <c r="AB642" s="5"/>
      <c r="AC642" s="5"/>
      <c r="AD642" s="5"/>
      <c r="AE642" s="5"/>
      <c r="AF642" s="5"/>
      <c r="AG642" s="5"/>
      <c r="AH642" s="5"/>
      <c r="AI642" s="5"/>
      <c r="AJ642" s="19"/>
      <c r="AK642" s="19"/>
      <c r="AL642" s="19"/>
      <c r="AM642" s="19"/>
      <c r="AN642" s="19"/>
    </row>
    <row r="643" spans="18:40" x14ac:dyDescent="0.2">
      <c r="R643" s="5"/>
      <c r="S643" s="5"/>
      <c r="T643" s="5"/>
      <c r="U643" s="5"/>
      <c r="V643" s="5"/>
      <c r="W643" s="5"/>
      <c r="X643" s="5"/>
      <c r="Y643" s="5"/>
      <c r="Z643" s="5"/>
      <c r="AA643" s="5"/>
      <c r="AB643" s="5"/>
      <c r="AC643" s="5"/>
      <c r="AD643" s="5"/>
      <c r="AE643" s="5"/>
      <c r="AF643" s="5"/>
      <c r="AG643" s="5"/>
      <c r="AH643" s="5"/>
      <c r="AI643" s="5"/>
      <c r="AJ643" s="19"/>
      <c r="AK643" s="19"/>
      <c r="AL643" s="19"/>
      <c r="AM643" s="19"/>
      <c r="AN643" s="19"/>
    </row>
    <row r="644" spans="18:40" x14ac:dyDescent="0.2">
      <c r="R644" s="5"/>
      <c r="S644" s="5"/>
      <c r="T644" s="5"/>
      <c r="U644" s="5"/>
      <c r="V644" s="5"/>
      <c r="W644" s="5"/>
      <c r="X644" s="5"/>
      <c r="Y644" s="5"/>
      <c r="Z644" s="5"/>
      <c r="AA644" s="5"/>
      <c r="AB644" s="5"/>
      <c r="AC644" s="5"/>
      <c r="AD644" s="5"/>
      <c r="AE644" s="5"/>
      <c r="AF644" s="5"/>
      <c r="AG644" s="5"/>
      <c r="AH644" s="5"/>
      <c r="AI644" s="5"/>
      <c r="AJ644" s="19"/>
      <c r="AK644" s="19"/>
      <c r="AL644" s="19"/>
      <c r="AM644" s="19"/>
      <c r="AN644" s="19"/>
    </row>
    <row r="645" spans="18:40" x14ac:dyDescent="0.2">
      <c r="R645" s="5"/>
      <c r="S645" s="5"/>
      <c r="T645" s="5"/>
      <c r="U645" s="5"/>
      <c r="V645" s="5"/>
      <c r="W645" s="5"/>
      <c r="X645" s="5"/>
      <c r="Y645" s="5"/>
      <c r="Z645" s="5"/>
      <c r="AA645" s="5"/>
      <c r="AB645" s="5"/>
      <c r="AC645" s="5"/>
      <c r="AD645" s="5"/>
      <c r="AE645" s="5"/>
      <c r="AF645" s="5"/>
      <c r="AG645" s="5"/>
      <c r="AH645" s="5"/>
      <c r="AI645" s="5"/>
      <c r="AJ645" s="19"/>
      <c r="AK645" s="19"/>
      <c r="AL645" s="19"/>
      <c r="AM645" s="19"/>
      <c r="AN645" s="19"/>
    </row>
    <row r="646" spans="18:40" x14ac:dyDescent="0.2">
      <c r="R646" s="5"/>
      <c r="S646" s="5"/>
      <c r="T646" s="5"/>
      <c r="U646" s="5"/>
      <c r="V646" s="5"/>
      <c r="W646" s="5"/>
      <c r="X646" s="5"/>
      <c r="Y646" s="5"/>
      <c r="Z646" s="5"/>
      <c r="AA646" s="5"/>
      <c r="AB646" s="5"/>
      <c r="AC646" s="5"/>
      <c r="AD646" s="5"/>
      <c r="AE646" s="5"/>
      <c r="AF646" s="5"/>
      <c r="AG646" s="5"/>
      <c r="AH646" s="5"/>
      <c r="AI646" s="5"/>
      <c r="AJ646" s="19"/>
      <c r="AK646" s="19"/>
      <c r="AL646" s="19"/>
      <c r="AM646" s="19"/>
      <c r="AN646" s="19"/>
    </row>
    <row r="647" spans="18:40" x14ac:dyDescent="0.2">
      <c r="R647" s="5"/>
      <c r="S647" s="5"/>
      <c r="T647" s="5"/>
      <c r="U647" s="5"/>
      <c r="V647" s="5"/>
      <c r="W647" s="5"/>
      <c r="X647" s="5"/>
      <c r="Y647" s="5"/>
      <c r="Z647" s="5"/>
      <c r="AA647" s="5"/>
      <c r="AB647" s="5"/>
      <c r="AC647" s="5"/>
      <c r="AD647" s="5"/>
      <c r="AE647" s="5"/>
      <c r="AF647" s="5"/>
      <c r="AG647" s="5"/>
      <c r="AH647" s="5"/>
      <c r="AI647" s="5"/>
      <c r="AJ647" s="19"/>
      <c r="AK647" s="19"/>
      <c r="AL647" s="19"/>
      <c r="AM647" s="19"/>
      <c r="AN647" s="19"/>
    </row>
    <row r="648" spans="18:40" x14ac:dyDescent="0.2">
      <c r="R648" s="5"/>
      <c r="S648" s="5"/>
      <c r="T648" s="5"/>
      <c r="U648" s="5"/>
      <c r="V648" s="5"/>
      <c r="W648" s="5"/>
      <c r="X648" s="5"/>
      <c r="Y648" s="5"/>
      <c r="Z648" s="5"/>
      <c r="AA648" s="5"/>
      <c r="AB648" s="5"/>
      <c r="AC648" s="5"/>
      <c r="AD648" s="5"/>
      <c r="AE648" s="5"/>
      <c r="AF648" s="5"/>
      <c r="AG648" s="5"/>
      <c r="AH648" s="5"/>
      <c r="AI648" s="5"/>
      <c r="AJ648" s="19"/>
      <c r="AK648" s="19"/>
      <c r="AL648" s="19"/>
      <c r="AM648" s="19"/>
      <c r="AN648" s="19"/>
    </row>
    <row r="649" spans="18:40" x14ac:dyDescent="0.2">
      <c r="R649" s="5"/>
      <c r="S649" s="5"/>
      <c r="T649" s="5"/>
      <c r="U649" s="5"/>
      <c r="V649" s="5"/>
      <c r="W649" s="5"/>
      <c r="X649" s="5"/>
      <c r="Y649" s="5"/>
      <c r="Z649" s="5"/>
      <c r="AA649" s="5"/>
      <c r="AB649" s="5"/>
      <c r="AC649" s="5"/>
      <c r="AD649" s="5"/>
      <c r="AE649" s="5"/>
      <c r="AF649" s="5"/>
      <c r="AG649" s="5"/>
      <c r="AH649" s="5"/>
      <c r="AI649" s="5"/>
      <c r="AJ649" s="19"/>
      <c r="AK649" s="19"/>
      <c r="AL649" s="19"/>
      <c r="AM649" s="19"/>
      <c r="AN649" s="19"/>
    </row>
    <row r="650" spans="18:40" x14ac:dyDescent="0.2">
      <c r="R650" s="5"/>
      <c r="S650" s="5"/>
      <c r="T650" s="5"/>
      <c r="U650" s="5"/>
      <c r="V650" s="5"/>
      <c r="W650" s="5"/>
      <c r="X650" s="5"/>
      <c r="Y650" s="5"/>
      <c r="Z650" s="5"/>
      <c r="AA650" s="5"/>
      <c r="AB650" s="5"/>
      <c r="AC650" s="5"/>
      <c r="AD650" s="5"/>
      <c r="AE650" s="5"/>
      <c r="AF650" s="5"/>
      <c r="AG650" s="5"/>
      <c r="AH650" s="5"/>
      <c r="AI650" s="5"/>
      <c r="AJ650" s="19"/>
      <c r="AK650" s="19"/>
      <c r="AL650" s="19"/>
      <c r="AM650" s="19"/>
      <c r="AN650" s="19"/>
    </row>
    <row r="651" spans="18:40" x14ac:dyDescent="0.2">
      <c r="R651" s="5"/>
      <c r="S651" s="5"/>
      <c r="T651" s="5"/>
      <c r="U651" s="5"/>
      <c r="V651" s="5"/>
      <c r="W651" s="5"/>
      <c r="X651" s="5"/>
      <c r="Y651" s="5"/>
      <c r="Z651" s="5"/>
      <c r="AA651" s="5"/>
      <c r="AB651" s="5"/>
      <c r="AC651" s="5"/>
      <c r="AD651" s="5"/>
      <c r="AE651" s="5"/>
      <c r="AF651" s="5"/>
      <c r="AG651" s="5"/>
      <c r="AH651" s="5"/>
      <c r="AI651" s="5"/>
      <c r="AJ651" s="19"/>
      <c r="AK651" s="19"/>
      <c r="AL651" s="19"/>
      <c r="AM651" s="19"/>
      <c r="AN651" s="19"/>
    </row>
    <row r="652" spans="18:40" x14ac:dyDescent="0.2">
      <c r="R652" s="5"/>
      <c r="S652" s="5"/>
      <c r="T652" s="5"/>
      <c r="U652" s="5"/>
      <c r="V652" s="5"/>
      <c r="W652" s="5"/>
      <c r="X652" s="5"/>
      <c r="Y652" s="5"/>
      <c r="Z652" s="5"/>
      <c r="AA652" s="5"/>
      <c r="AB652" s="5"/>
      <c r="AC652" s="5"/>
      <c r="AD652" s="5"/>
      <c r="AE652" s="5"/>
      <c r="AF652" s="5"/>
      <c r="AG652" s="5"/>
      <c r="AH652" s="5"/>
      <c r="AI652" s="5"/>
      <c r="AJ652" s="19"/>
      <c r="AK652" s="19"/>
      <c r="AL652" s="19"/>
      <c r="AM652" s="19"/>
      <c r="AN652" s="19"/>
    </row>
    <row r="653" spans="18:40" x14ac:dyDescent="0.2">
      <c r="R653" s="5"/>
      <c r="S653" s="5"/>
      <c r="T653" s="5"/>
      <c r="U653" s="5"/>
      <c r="V653" s="5"/>
      <c r="W653" s="5"/>
      <c r="X653" s="5"/>
      <c r="Y653" s="5"/>
      <c r="Z653" s="5"/>
      <c r="AA653" s="5"/>
      <c r="AB653" s="5"/>
      <c r="AC653" s="5"/>
      <c r="AD653" s="5"/>
      <c r="AE653" s="5"/>
      <c r="AF653" s="5"/>
      <c r="AG653" s="5"/>
      <c r="AH653" s="5"/>
      <c r="AI653" s="5"/>
      <c r="AJ653" s="19"/>
      <c r="AK653" s="19"/>
      <c r="AL653" s="19"/>
      <c r="AM653" s="19"/>
      <c r="AN653" s="19"/>
    </row>
    <row r="654" spans="18:40" x14ac:dyDescent="0.2">
      <c r="R654" s="5"/>
      <c r="S654" s="5"/>
      <c r="T654" s="5"/>
      <c r="U654" s="5"/>
      <c r="V654" s="5"/>
      <c r="W654" s="5"/>
      <c r="X654" s="5"/>
      <c r="Y654" s="5"/>
      <c r="Z654" s="5"/>
      <c r="AA654" s="5"/>
      <c r="AB654" s="5"/>
      <c r="AC654" s="5"/>
      <c r="AD654" s="5"/>
      <c r="AE654" s="5"/>
      <c r="AF654" s="5"/>
      <c r="AG654" s="5"/>
      <c r="AH654" s="5"/>
      <c r="AI654" s="5"/>
      <c r="AJ654" s="19"/>
      <c r="AK654" s="19"/>
      <c r="AL654" s="19"/>
      <c r="AM654" s="19"/>
      <c r="AN654" s="19"/>
    </row>
    <row r="655" spans="18:40" x14ac:dyDescent="0.2">
      <c r="R655" s="5"/>
      <c r="S655" s="5"/>
      <c r="T655" s="5"/>
      <c r="U655" s="5"/>
      <c r="V655" s="5"/>
      <c r="W655" s="5"/>
      <c r="X655" s="5"/>
      <c r="Y655" s="5"/>
      <c r="Z655" s="5"/>
      <c r="AA655" s="5"/>
      <c r="AB655" s="5"/>
      <c r="AC655" s="5"/>
      <c r="AD655" s="5"/>
      <c r="AE655" s="5"/>
      <c r="AF655" s="5"/>
      <c r="AG655" s="5"/>
      <c r="AH655" s="5"/>
      <c r="AI655" s="5"/>
      <c r="AJ655" s="19"/>
      <c r="AK655" s="19"/>
      <c r="AL655" s="19"/>
      <c r="AM655" s="19"/>
      <c r="AN655" s="19"/>
    </row>
    <row r="656" spans="18:40" x14ac:dyDescent="0.2">
      <c r="R656" s="5"/>
      <c r="S656" s="5"/>
      <c r="T656" s="5"/>
      <c r="U656" s="5"/>
      <c r="V656" s="5"/>
      <c r="W656" s="5"/>
      <c r="X656" s="5"/>
      <c r="Y656" s="5"/>
      <c r="Z656" s="5"/>
      <c r="AA656" s="5"/>
      <c r="AB656" s="5"/>
      <c r="AC656" s="5"/>
      <c r="AD656" s="5"/>
      <c r="AE656" s="5"/>
      <c r="AF656" s="5"/>
      <c r="AG656" s="5"/>
      <c r="AH656" s="5"/>
      <c r="AI656" s="5"/>
      <c r="AJ656" s="19"/>
      <c r="AK656" s="19"/>
      <c r="AL656" s="19"/>
      <c r="AM656" s="19"/>
      <c r="AN656" s="19"/>
    </row>
    <row r="657" spans="18:40" x14ac:dyDescent="0.2">
      <c r="R657" s="5"/>
      <c r="S657" s="5"/>
      <c r="T657" s="5"/>
      <c r="U657" s="5"/>
      <c r="V657" s="5"/>
      <c r="W657" s="5"/>
      <c r="X657" s="5"/>
      <c r="Y657" s="5"/>
      <c r="Z657" s="5"/>
      <c r="AA657" s="5"/>
      <c r="AB657" s="5"/>
      <c r="AC657" s="5"/>
      <c r="AD657" s="5"/>
      <c r="AE657" s="5"/>
      <c r="AF657" s="5"/>
      <c r="AG657" s="5"/>
      <c r="AH657" s="5"/>
      <c r="AI657" s="5"/>
      <c r="AJ657" s="19"/>
      <c r="AK657" s="19"/>
      <c r="AL657" s="19"/>
      <c r="AM657" s="19"/>
      <c r="AN657" s="19"/>
    </row>
    <row r="658" spans="18:40" x14ac:dyDescent="0.2">
      <c r="R658" s="5"/>
      <c r="S658" s="5"/>
      <c r="T658" s="5"/>
      <c r="U658" s="5"/>
      <c r="V658" s="5"/>
      <c r="W658" s="5"/>
      <c r="X658" s="5"/>
      <c r="Y658" s="5"/>
      <c r="Z658" s="5"/>
      <c r="AA658" s="5"/>
      <c r="AB658" s="5"/>
      <c r="AC658" s="5"/>
      <c r="AD658" s="5"/>
      <c r="AE658" s="5"/>
      <c r="AF658" s="5"/>
      <c r="AG658" s="5"/>
      <c r="AH658" s="5"/>
      <c r="AI658" s="5"/>
      <c r="AJ658" s="19"/>
      <c r="AK658" s="19"/>
      <c r="AL658" s="19"/>
      <c r="AM658" s="19"/>
      <c r="AN658" s="19"/>
    </row>
    <row r="659" spans="18:40" x14ac:dyDescent="0.2">
      <c r="R659" s="5"/>
      <c r="S659" s="5"/>
      <c r="T659" s="5"/>
      <c r="U659" s="5"/>
      <c r="V659" s="5"/>
      <c r="W659" s="5"/>
      <c r="X659" s="5"/>
      <c r="Y659" s="5"/>
      <c r="Z659" s="5"/>
      <c r="AA659" s="5"/>
      <c r="AB659" s="5"/>
      <c r="AC659" s="5"/>
      <c r="AD659" s="5"/>
      <c r="AE659" s="5"/>
      <c r="AF659" s="5"/>
      <c r="AG659" s="5"/>
      <c r="AH659" s="5"/>
      <c r="AI659" s="5"/>
      <c r="AJ659" s="19"/>
      <c r="AK659" s="19"/>
      <c r="AL659" s="19"/>
      <c r="AM659" s="19"/>
      <c r="AN659" s="19"/>
    </row>
    <row r="660" spans="18:40" x14ac:dyDescent="0.2">
      <c r="R660" s="5"/>
      <c r="S660" s="5"/>
      <c r="T660" s="5"/>
      <c r="U660" s="5"/>
      <c r="V660" s="5"/>
      <c r="W660" s="5"/>
      <c r="X660" s="5"/>
      <c r="Y660" s="5"/>
      <c r="Z660" s="5"/>
      <c r="AA660" s="5"/>
      <c r="AB660" s="5"/>
      <c r="AC660" s="5"/>
      <c r="AD660" s="5"/>
      <c r="AE660" s="5"/>
      <c r="AF660" s="5"/>
      <c r="AG660" s="5"/>
      <c r="AH660" s="5"/>
      <c r="AI660" s="5"/>
      <c r="AJ660" s="19"/>
      <c r="AK660" s="19"/>
      <c r="AL660" s="19"/>
      <c r="AM660" s="19"/>
      <c r="AN660" s="19"/>
    </row>
    <row r="661" spans="18:40" x14ac:dyDescent="0.2">
      <c r="R661" s="5"/>
      <c r="S661" s="5"/>
      <c r="T661" s="5"/>
      <c r="U661" s="5"/>
      <c r="V661" s="5"/>
      <c r="W661" s="5"/>
      <c r="X661" s="5"/>
      <c r="Y661" s="5"/>
      <c r="Z661" s="5"/>
      <c r="AA661" s="5"/>
      <c r="AB661" s="5"/>
      <c r="AC661" s="5"/>
      <c r="AD661" s="5"/>
      <c r="AE661" s="5"/>
      <c r="AF661" s="5"/>
      <c r="AG661" s="5"/>
      <c r="AH661" s="5"/>
      <c r="AI661" s="5"/>
      <c r="AJ661" s="19"/>
      <c r="AK661" s="19"/>
      <c r="AL661" s="19"/>
      <c r="AM661" s="19"/>
      <c r="AN661" s="19"/>
    </row>
    <row r="662" spans="18:40" x14ac:dyDescent="0.2">
      <c r="R662" s="5"/>
      <c r="S662" s="5"/>
      <c r="T662" s="5"/>
      <c r="U662" s="5"/>
      <c r="V662" s="5"/>
      <c r="W662" s="5"/>
      <c r="X662" s="5"/>
      <c r="Y662" s="5"/>
      <c r="Z662" s="5"/>
      <c r="AA662" s="5"/>
      <c r="AB662" s="5"/>
      <c r="AC662" s="5"/>
      <c r="AD662" s="5"/>
      <c r="AE662" s="5"/>
      <c r="AF662" s="5"/>
      <c r="AG662" s="5"/>
      <c r="AH662" s="5"/>
      <c r="AI662" s="5"/>
      <c r="AJ662" s="19"/>
      <c r="AK662" s="19"/>
      <c r="AL662" s="19"/>
      <c r="AM662" s="19"/>
      <c r="AN662" s="19"/>
    </row>
    <row r="663" spans="18:40" x14ac:dyDescent="0.2">
      <c r="R663" s="5"/>
      <c r="S663" s="5"/>
      <c r="T663" s="5"/>
      <c r="U663" s="5"/>
      <c r="V663" s="5"/>
      <c r="W663" s="5"/>
      <c r="X663" s="5"/>
      <c r="Y663" s="5"/>
      <c r="Z663" s="5"/>
      <c r="AA663" s="5"/>
      <c r="AB663" s="5"/>
      <c r="AC663" s="5"/>
      <c r="AD663" s="5"/>
      <c r="AE663" s="5"/>
      <c r="AF663" s="5"/>
      <c r="AG663" s="5"/>
      <c r="AH663" s="5"/>
      <c r="AI663" s="5"/>
      <c r="AJ663" s="19"/>
      <c r="AK663" s="19"/>
      <c r="AL663" s="19"/>
      <c r="AM663" s="19"/>
      <c r="AN663" s="19"/>
    </row>
    <row r="664" spans="18:40" x14ac:dyDescent="0.2">
      <c r="R664" s="5"/>
      <c r="S664" s="5"/>
      <c r="T664" s="5"/>
      <c r="U664" s="5"/>
      <c r="V664" s="5"/>
      <c r="W664" s="5"/>
      <c r="X664" s="5"/>
      <c r="Y664" s="5"/>
      <c r="Z664" s="5"/>
      <c r="AA664" s="5"/>
      <c r="AB664" s="5"/>
      <c r="AC664" s="5"/>
      <c r="AD664" s="5"/>
      <c r="AE664" s="5"/>
      <c r="AF664" s="5"/>
      <c r="AG664" s="5"/>
      <c r="AH664" s="5"/>
      <c r="AI664" s="5"/>
      <c r="AJ664" s="19"/>
      <c r="AK664" s="19"/>
      <c r="AL664" s="19"/>
      <c r="AM664" s="19"/>
      <c r="AN664" s="19"/>
    </row>
    <row r="665" spans="18:40" x14ac:dyDescent="0.2">
      <c r="R665" s="5"/>
      <c r="S665" s="5"/>
      <c r="T665" s="5"/>
      <c r="U665" s="5"/>
      <c r="V665" s="5"/>
      <c r="W665" s="5"/>
      <c r="X665" s="5"/>
      <c r="Y665" s="5"/>
      <c r="Z665" s="5"/>
      <c r="AA665" s="5"/>
      <c r="AB665" s="5"/>
      <c r="AC665" s="5"/>
      <c r="AD665" s="5"/>
      <c r="AE665" s="5"/>
      <c r="AF665" s="5"/>
      <c r="AG665" s="5"/>
      <c r="AH665" s="5"/>
      <c r="AI665" s="5"/>
      <c r="AJ665" s="19"/>
      <c r="AK665" s="19"/>
      <c r="AL665" s="19"/>
      <c r="AM665" s="19"/>
      <c r="AN665" s="19"/>
    </row>
    <row r="666" spans="18:40" x14ac:dyDescent="0.2">
      <c r="R666" s="5"/>
      <c r="S666" s="5"/>
      <c r="T666" s="5"/>
      <c r="U666" s="5"/>
      <c r="V666" s="5"/>
      <c r="W666" s="5"/>
      <c r="X666" s="5"/>
      <c r="Y666" s="5"/>
      <c r="Z666" s="5"/>
      <c r="AA666" s="5"/>
      <c r="AB666" s="5"/>
      <c r="AC666" s="5"/>
      <c r="AD666" s="5"/>
      <c r="AE666" s="5"/>
      <c r="AF666" s="5"/>
      <c r="AG666" s="5"/>
      <c r="AH666" s="5"/>
      <c r="AI666" s="5"/>
      <c r="AJ666" s="19"/>
      <c r="AK666" s="19"/>
      <c r="AL666" s="19"/>
      <c r="AM666" s="19"/>
      <c r="AN666" s="19"/>
    </row>
    <row r="667" spans="18:40" x14ac:dyDescent="0.2">
      <c r="R667" s="5"/>
      <c r="S667" s="5"/>
      <c r="T667" s="5"/>
      <c r="U667" s="5"/>
      <c r="V667" s="5"/>
      <c r="W667" s="5"/>
      <c r="X667" s="5"/>
      <c r="Y667" s="5"/>
      <c r="Z667" s="5"/>
      <c r="AA667" s="5"/>
      <c r="AB667" s="5"/>
      <c r="AC667" s="5"/>
      <c r="AD667" s="5"/>
      <c r="AE667" s="5"/>
      <c r="AF667" s="5"/>
      <c r="AG667" s="5"/>
      <c r="AH667" s="5"/>
      <c r="AI667" s="5"/>
      <c r="AJ667" s="19"/>
      <c r="AK667" s="19"/>
      <c r="AL667" s="19"/>
      <c r="AM667" s="19"/>
      <c r="AN667" s="19"/>
    </row>
    <row r="668" spans="18:40" x14ac:dyDescent="0.2">
      <c r="R668" s="5"/>
      <c r="S668" s="5"/>
      <c r="T668" s="5"/>
      <c r="U668" s="5"/>
      <c r="V668" s="5"/>
      <c r="W668" s="5"/>
      <c r="X668" s="5"/>
      <c r="Y668" s="5"/>
      <c r="Z668" s="5"/>
      <c r="AA668" s="5"/>
      <c r="AB668" s="5"/>
      <c r="AC668" s="5"/>
      <c r="AD668" s="5"/>
      <c r="AE668" s="5"/>
      <c r="AF668" s="5"/>
      <c r="AG668" s="5"/>
      <c r="AH668" s="5"/>
      <c r="AI668" s="5"/>
      <c r="AJ668" s="19"/>
      <c r="AK668" s="19"/>
      <c r="AL668" s="19"/>
      <c r="AM668" s="19"/>
      <c r="AN668" s="19"/>
    </row>
    <row r="669" spans="18:40" x14ac:dyDescent="0.2">
      <c r="R669" s="5"/>
      <c r="S669" s="5"/>
      <c r="T669" s="5"/>
      <c r="U669" s="5"/>
      <c r="V669" s="5"/>
      <c r="W669" s="5"/>
      <c r="X669" s="5"/>
      <c r="Y669" s="5"/>
      <c r="Z669" s="5"/>
      <c r="AA669" s="5"/>
      <c r="AB669" s="5"/>
      <c r="AC669" s="5"/>
      <c r="AD669" s="5"/>
      <c r="AE669" s="5"/>
      <c r="AF669" s="5"/>
      <c r="AG669" s="5"/>
      <c r="AH669" s="5"/>
      <c r="AI669" s="5"/>
      <c r="AJ669" s="19"/>
      <c r="AK669" s="19"/>
      <c r="AL669" s="19"/>
      <c r="AM669" s="19"/>
      <c r="AN669" s="19"/>
    </row>
    <row r="670" spans="18:40" x14ac:dyDescent="0.2">
      <c r="R670" s="5"/>
      <c r="S670" s="5"/>
      <c r="T670" s="5"/>
      <c r="U670" s="5"/>
      <c r="V670" s="5"/>
      <c r="W670" s="5"/>
      <c r="X670" s="5"/>
      <c r="Y670" s="5"/>
      <c r="Z670" s="5"/>
      <c r="AA670" s="5"/>
      <c r="AB670" s="5"/>
      <c r="AC670" s="5"/>
      <c r="AD670" s="5"/>
      <c r="AE670" s="5"/>
      <c r="AF670" s="5"/>
      <c r="AG670" s="5"/>
      <c r="AH670" s="5"/>
      <c r="AI670" s="5"/>
      <c r="AJ670" s="19"/>
      <c r="AK670" s="19"/>
      <c r="AL670" s="19"/>
      <c r="AM670" s="19"/>
      <c r="AN670" s="19"/>
    </row>
    <row r="671" spans="18:40" x14ac:dyDescent="0.2">
      <c r="R671" s="5"/>
      <c r="S671" s="5"/>
      <c r="T671" s="5"/>
      <c r="U671" s="5"/>
      <c r="V671" s="5"/>
      <c r="W671" s="5"/>
      <c r="X671" s="5"/>
      <c r="Y671" s="5"/>
      <c r="Z671" s="5"/>
      <c r="AA671" s="5"/>
      <c r="AB671" s="5"/>
      <c r="AC671" s="5"/>
      <c r="AD671" s="5"/>
      <c r="AE671" s="5"/>
      <c r="AF671" s="5"/>
      <c r="AG671" s="5"/>
      <c r="AH671" s="5"/>
      <c r="AI671" s="5"/>
      <c r="AJ671" s="19"/>
      <c r="AK671" s="19"/>
      <c r="AL671" s="19"/>
      <c r="AM671" s="19"/>
      <c r="AN671" s="19"/>
    </row>
    <row r="672" spans="18:40" x14ac:dyDescent="0.2">
      <c r="R672" s="5"/>
      <c r="S672" s="5"/>
      <c r="T672" s="5"/>
      <c r="U672" s="5"/>
      <c r="V672" s="5"/>
      <c r="W672" s="5"/>
      <c r="X672" s="5"/>
      <c r="Y672" s="5"/>
      <c r="Z672" s="5"/>
      <c r="AA672" s="5"/>
      <c r="AB672" s="5"/>
      <c r="AC672" s="5"/>
      <c r="AD672" s="5"/>
      <c r="AE672" s="5"/>
      <c r="AF672" s="5"/>
      <c r="AG672" s="5"/>
      <c r="AH672" s="5"/>
      <c r="AI672" s="5"/>
      <c r="AJ672" s="19"/>
      <c r="AK672" s="19"/>
      <c r="AL672" s="19"/>
      <c r="AM672" s="19"/>
      <c r="AN672" s="19"/>
    </row>
    <row r="673" spans="18:40" x14ac:dyDescent="0.2">
      <c r="R673" s="5"/>
      <c r="S673" s="5"/>
      <c r="T673" s="5"/>
      <c r="U673" s="5"/>
      <c r="V673" s="5"/>
      <c r="W673" s="5"/>
      <c r="X673" s="5"/>
      <c r="Y673" s="5"/>
      <c r="Z673" s="5"/>
      <c r="AA673" s="5"/>
      <c r="AB673" s="5"/>
      <c r="AC673" s="5"/>
      <c r="AD673" s="5"/>
      <c r="AE673" s="5"/>
      <c r="AF673" s="5"/>
      <c r="AG673" s="5"/>
      <c r="AH673" s="5"/>
      <c r="AI673" s="5"/>
      <c r="AJ673" s="19"/>
      <c r="AK673" s="19"/>
      <c r="AL673" s="19"/>
      <c r="AM673" s="19"/>
      <c r="AN673" s="19"/>
    </row>
    <row r="674" spans="18:40" x14ac:dyDescent="0.2">
      <c r="R674" s="5"/>
      <c r="S674" s="5"/>
      <c r="T674" s="5"/>
      <c r="U674" s="5"/>
      <c r="V674" s="5"/>
      <c r="W674" s="5"/>
      <c r="X674" s="5"/>
      <c r="Y674" s="5"/>
      <c r="Z674" s="5"/>
      <c r="AA674" s="5"/>
      <c r="AB674" s="5"/>
      <c r="AC674" s="5"/>
      <c r="AD674" s="5"/>
      <c r="AE674" s="5"/>
      <c r="AF674" s="5"/>
      <c r="AG674" s="5"/>
      <c r="AH674" s="5"/>
      <c r="AI674" s="5"/>
      <c r="AJ674" s="19"/>
      <c r="AK674" s="19"/>
      <c r="AL674" s="19"/>
      <c r="AM674" s="19"/>
      <c r="AN674" s="19"/>
    </row>
    <row r="675" spans="18:40" x14ac:dyDescent="0.2">
      <c r="R675" s="5"/>
      <c r="S675" s="5"/>
      <c r="T675" s="5"/>
      <c r="U675" s="5"/>
      <c r="V675" s="5"/>
      <c r="W675" s="5"/>
      <c r="X675" s="5"/>
      <c r="Y675" s="5"/>
      <c r="Z675" s="5"/>
      <c r="AA675" s="5"/>
      <c r="AB675" s="5"/>
      <c r="AC675" s="5"/>
      <c r="AD675" s="5"/>
      <c r="AE675" s="5"/>
      <c r="AF675" s="5"/>
      <c r="AG675" s="5"/>
      <c r="AH675" s="5"/>
      <c r="AI675" s="5"/>
      <c r="AJ675" s="19"/>
      <c r="AK675" s="19"/>
      <c r="AL675" s="19"/>
      <c r="AM675" s="19"/>
      <c r="AN675" s="19"/>
    </row>
    <row r="676" spans="18:40" x14ac:dyDescent="0.2">
      <c r="R676" s="5"/>
      <c r="S676" s="5"/>
      <c r="T676" s="5"/>
      <c r="U676" s="5"/>
      <c r="V676" s="5"/>
      <c r="W676" s="5"/>
      <c r="X676" s="5"/>
      <c r="Y676" s="5"/>
      <c r="Z676" s="5"/>
      <c r="AA676" s="5"/>
      <c r="AB676" s="5"/>
      <c r="AC676" s="5"/>
      <c r="AD676" s="5"/>
      <c r="AE676" s="5"/>
      <c r="AF676" s="5"/>
      <c r="AG676" s="5"/>
      <c r="AH676" s="5"/>
      <c r="AI676" s="5"/>
      <c r="AJ676" s="19"/>
      <c r="AK676" s="19"/>
      <c r="AL676" s="19"/>
      <c r="AM676" s="19"/>
      <c r="AN676" s="19"/>
    </row>
    <row r="677" spans="18:40" x14ac:dyDescent="0.2">
      <c r="R677" s="5"/>
      <c r="S677" s="5"/>
      <c r="T677" s="5"/>
      <c r="U677" s="5"/>
      <c r="V677" s="5"/>
      <c r="W677" s="5"/>
      <c r="X677" s="5"/>
      <c r="Y677" s="5"/>
      <c r="Z677" s="5"/>
      <c r="AA677" s="5"/>
      <c r="AB677" s="5"/>
      <c r="AC677" s="5"/>
      <c r="AD677" s="5"/>
      <c r="AE677" s="5"/>
      <c r="AF677" s="5"/>
      <c r="AG677" s="5"/>
      <c r="AH677" s="5"/>
      <c r="AI677" s="5"/>
      <c r="AJ677" s="19"/>
      <c r="AK677" s="19"/>
      <c r="AL677" s="19"/>
      <c r="AM677" s="19"/>
      <c r="AN677" s="19"/>
    </row>
    <row r="678" spans="18:40" x14ac:dyDescent="0.2">
      <c r="R678" s="5"/>
      <c r="S678" s="5"/>
      <c r="T678" s="5"/>
      <c r="U678" s="5"/>
      <c r="V678" s="5"/>
      <c r="W678" s="5"/>
      <c r="X678" s="5"/>
      <c r="Y678" s="5"/>
      <c r="Z678" s="5"/>
      <c r="AA678" s="5"/>
      <c r="AB678" s="5"/>
      <c r="AC678" s="5"/>
      <c r="AD678" s="5"/>
      <c r="AE678" s="5"/>
      <c r="AF678" s="5"/>
      <c r="AG678" s="5"/>
      <c r="AH678" s="5"/>
      <c r="AI678" s="5"/>
      <c r="AJ678" s="19"/>
      <c r="AK678" s="19"/>
      <c r="AL678" s="19"/>
      <c r="AM678" s="19"/>
      <c r="AN678" s="19"/>
    </row>
    <row r="679" spans="18:40" x14ac:dyDescent="0.2">
      <c r="R679" s="5"/>
      <c r="S679" s="5"/>
      <c r="T679" s="5"/>
      <c r="U679" s="5"/>
      <c r="V679" s="5"/>
      <c r="W679" s="5"/>
      <c r="X679" s="5"/>
      <c r="Y679" s="5"/>
      <c r="Z679" s="5"/>
      <c r="AA679" s="5"/>
      <c r="AB679" s="5"/>
      <c r="AC679" s="5"/>
      <c r="AD679" s="5"/>
      <c r="AE679" s="5"/>
      <c r="AF679" s="5"/>
      <c r="AG679" s="5"/>
      <c r="AH679" s="5"/>
      <c r="AI679" s="5"/>
      <c r="AJ679" s="19"/>
      <c r="AK679" s="19"/>
      <c r="AL679" s="19"/>
      <c r="AM679" s="19"/>
      <c r="AN679" s="19"/>
    </row>
    <row r="680" spans="18:40" x14ac:dyDescent="0.2">
      <c r="R680" s="5"/>
      <c r="S680" s="5"/>
      <c r="T680" s="5"/>
      <c r="U680" s="5"/>
      <c r="V680" s="5"/>
      <c r="W680" s="5"/>
      <c r="X680" s="5"/>
      <c r="Y680" s="5"/>
      <c r="Z680" s="5"/>
      <c r="AA680" s="5"/>
      <c r="AB680" s="5"/>
      <c r="AC680" s="5"/>
      <c r="AD680" s="5"/>
      <c r="AE680" s="5"/>
      <c r="AF680" s="5"/>
      <c r="AG680" s="5"/>
      <c r="AH680" s="5"/>
      <c r="AI680" s="5"/>
      <c r="AJ680" s="19"/>
      <c r="AK680" s="19"/>
      <c r="AL680" s="19"/>
      <c r="AM680" s="19"/>
      <c r="AN680" s="19"/>
    </row>
    <row r="681" spans="18:40" x14ac:dyDescent="0.2">
      <c r="R681" s="5"/>
      <c r="S681" s="5"/>
      <c r="T681" s="5"/>
      <c r="U681" s="5"/>
      <c r="V681" s="5"/>
      <c r="W681" s="5"/>
      <c r="X681" s="5"/>
      <c r="Y681" s="5"/>
      <c r="Z681" s="5"/>
      <c r="AA681" s="5"/>
      <c r="AB681" s="5"/>
      <c r="AC681" s="5"/>
      <c r="AD681" s="5"/>
      <c r="AE681" s="5"/>
      <c r="AF681" s="5"/>
      <c r="AG681" s="5"/>
      <c r="AH681" s="5"/>
      <c r="AI681" s="5"/>
      <c r="AJ681" s="19"/>
      <c r="AK681" s="19"/>
      <c r="AL681" s="19"/>
      <c r="AM681" s="19"/>
      <c r="AN681" s="19"/>
    </row>
    <row r="682" spans="18:40" x14ac:dyDescent="0.2">
      <c r="R682" s="5"/>
      <c r="S682" s="5"/>
      <c r="T682" s="5"/>
      <c r="U682" s="5"/>
      <c r="V682" s="5"/>
      <c r="W682" s="5"/>
      <c r="X682" s="5"/>
      <c r="Y682" s="5"/>
      <c r="Z682" s="5"/>
      <c r="AA682" s="5"/>
      <c r="AB682" s="5"/>
      <c r="AC682" s="5"/>
      <c r="AD682" s="5"/>
      <c r="AE682" s="5"/>
      <c r="AF682" s="5"/>
      <c r="AG682" s="5"/>
      <c r="AH682" s="5"/>
      <c r="AI682" s="5"/>
      <c r="AJ682" s="19"/>
      <c r="AK682" s="19"/>
      <c r="AL682" s="19"/>
      <c r="AM682" s="19"/>
      <c r="AN682" s="19"/>
    </row>
    <row r="683" spans="18:40" x14ac:dyDescent="0.2">
      <c r="R683" s="5"/>
      <c r="S683" s="5"/>
      <c r="T683" s="5"/>
      <c r="U683" s="5"/>
      <c r="V683" s="5"/>
      <c r="W683" s="5"/>
      <c r="X683" s="5"/>
      <c r="Y683" s="5"/>
      <c r="Z683" s="5"/>
      <c r="AA683" s="5"/>
      <c r="AB683" s="5"/>
      <c r="AC683" s="5"/>
      <c r="AD683" s="5"/>
      <c r="AE683" s="5"/>
      <c r="AF683" s="5"/>
      <c r="AG683" s="5"/>
      <c r="AH683" s="5"/>
      <c r="AI683" s="5"/>
      <c r="AJ683" s="19"/>
      <c r="AK683" s="19"/>
      <c r="AL683" s="19"/>
      <c r="AM683" s="19"/>
      <c r="AN683" s="19"/>
    </row>
    <row r="684" spans="18:40" x14ac:dyDescent="0.2">
      <c r="R684" s="5"/>
      <c r="S684" s="5"/>
      <c r="T684" s="5"/>
      <c r="U684" s="5"/>
      <c r="V684" s="5"/>
      <c r="W684" s="5"/>
      <c r="X684" s="5"/>
      <c r="Y684" s="5"/>
      <c r="Z684" s="5"/>
      <c r="AA684" s="5"/>
      <c r="AB684" s="5"/>
      <c r="AC684" s="5"/>
      <c r="AD684" s="5"/>
      <c r="AE684" s="5"/>
      <c r="AF684" s="5"/>
      <c r="AG684" s="5"/>
      <c r="AH684" s="5"/>
      <c r="AI684" s="5"/>
      <c r="AJ684" s="19"/>
      <c r="AK684" s="19"/>
      <c r="AL684" s="19"/>
      <c r="AM684" s="19"/>
      <c r="AN684" s="19"/>
    </row>
    <row r="685" spans="18:40" x14ac:dyDescent="0.2">
      <c r="R685" s="5"/>
      <c r="S685" s="5"/>
      <c r="T685" s="5"/>
      <c r="U685" s="5"/>
      <c r="V685" s="5"/>
      <c r="W685" s="5"/>
      <c r="X685" s="5"/>
      <c r="Y685" s="5"/>
      <c r="Z685" s="5"/>
      <c r="AA685" s="5"/>
      <c r="AB685" s="5"/>
      <c r="AC685" s="5"/>
      <c r="AD685" s="5"/>
      <c r="AE685" s="5"/>
      <c r="AF685" s="5"/>
      <c r="AG685" s="5"/>
      <c r="AH685" s="5"/>
      <c r="AI685" s="5"/>
      <c r="AJ685" s="19"/>
      <c r="AK685" s="19"/>
      <c r="AL685" s="19"/>
      <c r="AM685" s="19"/>
      <c r="AN685" s="19"/>
    </row>
    <row r="686" spans="18:40" x14ac:dyDescent="0.2">
      <c r="R686" s="5"/>
      <c r="S686" s="5"/>
      <c r="T686" s="5"/>
      <c r="U686" s="5"/>
      <c r="V686" s="5"/>
      <c r="W686" s="5"/>
      <c r="X686" s="5"/>
      <c r="Y686" s="5"/>
      <c r="Z686" s="5"/>
      <c r="AA686" s="5"/>
      <c r="AB686" s="5"/>
      <c r="AC686" s="5"/>
      <c r="AD686" s="5"/>
      <c r="AE686" s="5"/>
      <c r="AF686" s="5"/>
      <c r="AG686" s="5"/>
      <c r="AH686" s="5"/>
      <c r="AI686" s="5"/>
      <c r="AJ686" s="19"/>
      <c r="AK686" s="19"/>
      <c r="AL686" s="19"/>
      <c r="AM686" s="19"/>
      <c r="AN686" s="19"/>
    </row>
    <row r="687" spans="18:40" x14ac:dyDescent="0.2">
      <c r="R687" s="5"/>
      <c r="S687" s="5"/>
      <c r="T687" s="5"/>
      <c r="U687" s="5"/>
      <c r="V687" s="5"/>
      <c r="W687" s="5"/>
      <c r="X687" s="5"/>
      <c r="Y687" s="5"/>
      <c r="Z687" s="5"/>
      <c r="AA687" s="5"/>
      <c r="AB687" s="5"/>
      <c r="AC687" s="5"/>
      <c r="AD687" s="5"/>
      <c r="AE687" s="5"/>
      <c r="AF687" s="5"/>
      <c r="AG687" s="5"/>
      <c r="AH687" s="5"/>
      <c r="AI687" s="5"/>
      <c r="AJ687" s="19"/>
      <c r="AK687" s="19"/>
      <c r="AL687" s="19"/>
      <c r="AM687" s="19"/>
      <c r="AN687" s="19"/>
    </row>
    <row r="688" spans="18:40" x14ac:dyDescent="0.2">
      <c r="R688" s="5"/>
      <c r="S688" s="5"/>
      <c r="T688" s="5"/>
      <c r="U688" s="5"/>
      <c r="V688" s="5"/>
      <c r="W688" s="5"/>
      <c r="X688" s="5"/>
      <c r="Y688" s="5"/>
      <c r="Z688" s="5"/>
      <c r="AA688" s="5"/>
      <c r="AB688" s="5"/>
      <c r="AC688" s="5"/>
      <c r="AD688" s="5"/>
      <c r="AE688" s="5"/>
      <c r="AF688" s="5"/>
      <c r="AG688" s="5"/>
      <c r="AH688" s="5"/>
      <c r="AI688" s="5"/>
      <c r="AJ688" s="19"/>
      <c r="AK688" s="19"/>
      <c r="AL688" s="19"/>
      <c r="AM688" s="19"/>
      <c r="AN688" s="19"/>
    </row>
    <row r="689" spans="18:40" x14ac:dyDescent="0.2">
      <c r="R689" s="5"/>
      <c r="S689" s="5"/>
      <c r="T689" s="5"/>
      <c r="U689" s="5"/>
      <c r="V689" s="5"/>
      <c r="W689" s="5"/>
      <c r="X689" s="5"/>
      <c r="Y689" s="5"/>
      <c r="Z689" s="5"/>
      <c r="AA689" s="5"/>
      <c r="AB689" s="5"/>
      <c r="AC689" s="5"/>
      <c r="AD689" s="5"/>
      <c r="AE689" s="5"/>
      <c r="AF689" s="5"/>
      <c r="AG689" s="5"/>
      <c r="AH689" s="5"/>
      <c r="AI689" s="5"/>
      <c r="AJ689" s="19"/>
      <c r="AK689" s="19"/>
      <c r="AL689" s="19"/>
      <c r="AM689" s="19"/>
      <c r="AN689" s="19"/>
    </row>
    <row r="690" spans="18:40" x14ac:dyDescent="0.2">
      <c r="R690" s="5"/>
      <c r="S690" s="5"/>
      <c r="T690" s="5"/>
      <c r="U690" s="5"/>
      <c r="V690" s="5"/>
      <c r="W690" s="5"/>
      <c r="X690" s="5"/>
      <c r="Y690" s="5"/>
      <c r="Z690" s="5"/>
      <c r="AA690" s="5"/>
      <c r="AB690" s="5"/>
      <c r="AC690" s="5"/>
      <c r="AD690" s="5"/>
      <c r="AE690" s="5"/>
      <c r="AF690" s="5"/>
      <c r="AG690" s="5"/>
      <c r="AH690" s="5"/>
      <c r="AI690" s="5"/>
      <c r="AJ690" s="19"/>
      <c r="AK690" s="19"/>
      <c r="AL690" s="19"/>
      <c r="AM690" s="19"/>
      <c r="AN690" s="19"/>
    </row>
    <row r="691" spans="18:40" x14ac:dyDescent="0.2">
      <c r="R691" s="5"/>
      <c r="S691" s="5"/>
      <c r="T691" s="5"/>
      <c r="U691" s="5"/>
      <c r="V691" s="5"/>
      <c r="W691" s="5"/>
      <c r="X691" s="5"/>
      <c r="Y691" s="5"/>
      <c r="Z691" s="5"/>
      <c r="AA691" s="5"/>
      <c r="AB691" s="5"/>
      <c r="AC691" s="5"/>
      <c r="AD691" s="5"/>
      <c r="AE691" s="5"/>
      <c r="AF691" s="5"/>
      <c r="AG691" s="5"/>
      <c r="AH691" s="5"/>
      <c r="AI691" s="5"/>
      <c r="AJ691" s="19"/>
      <c r="AK691" s="19"/>
      <c r="AL691" s="19"/>
      <c r="AM691" s="19"/>
      <c r="AN691" s="19"/>
    </row>
    <row r="692" spans="18:40" x14ac:dyDescent="0.2">
      <c r="R692" s="5"/>
      <c r="S692" s="5"/>
      <c r="T692" s="5"/>
      <c r="U692" s="5"/>
      <c r="V692" s="5"/>
      <c r="W692" s="5"/>
      <c r="X692" s="5"/>
      <c r="Y692" s="5"/>
      <c r="Z692" s="5"/>
      <c r="AA692" s="5"/>
      <c r="AB692" s="5"/>
      <c r="AC692" s="5"/>
      <c r="AD692" s="5"/>
      <c r="AE692" s="5"/>
      <c r="AF692" s="5"/>
      <c r="AG692" s="5"/>
      <c r="AH692" s="5"/>
      <c r="AI692" s="5"/>
      <c r="AJ692" s="19"/>
      <c r="AK692" s="19"/>
      <c r="AL692" s="19"/>
      <c r="AM692" s="19"/>
      <c r="AN692" s="19"/>
    </row>
    <row r="693" spans="18:40" x14ac:dyDescent="0.2">
      <c r="R693" s="5"/>
      <c r="S693" s="5"/>
      <c r="T693" s="5"/>
      <c r="U693" s="5"/>
      <c r="V693" s="5"/>
      <c r="W693" s="5"/>
      <c r="X693" s="5"/>
      <c r="Y693" s="5"/>
      <c r="Z693" s="5"/>
      <c r="AA693" s="5"/>
      <c r="AB693" s="5"/>
      <c r="AC693" s="5"/>
      <c r="AD693" s="5"/>
      <c r="AE693" s="5"/>
      <c r="AF693" s="5"/>
      <c r="AG693" s="5"/>
      <c r="AH693" s="5"/>
      <c r="AI693" s="5"/>
      <c r="AJ693" s="19"/>
      <c r="AK693" s="19"/>
      <c r="AL693" s="19"/>
      <c r="AM693" s="19"/>
      <c r="AN693" s="19"/>
    </row>
    <row r="694" spans="18:40" x14ac:dyDescent="0.2">
      <c r="R694" s="5"/>
      <c r="S694" s="5"/>
      <c r="T694" s="5"/>
      <c r="U694" s="5"/>
      <c r="V694" s="5"/>
      <c r="W694" s="5"/>
      <c r="X694" s="5"/>
      <c r="Y694" s="5"/>
      <c r="Z694" s="5"/>
      <c r="AA694" s="5"/>
      <c r="AB694" s="5"/>
      <c r="AC694" s="5"/>
      <c r="AD694" s="5"/>
      <c r="AE694" s="5"/>
      <c r="AF694" s="5"/>
      <c r="AG694" s="5"/>
      <c r="AH694" s="5"/>
      <c r="AI694" s="5"/>
      <c r="AJ694" s="19"/>
      <c r="AK694" s="19"/>
      <c r="AL694" s="19"/>
      <c r="AM694" s="19"/>
      <c r="AN694" s="19"/>
    </row>
    <row r="695" spans="18:40" x14ac:dyDescent="0.2">
      <c r="R695" s="5"/>
      <c r="S695" s="5"/>
      <c r="T695" s="5"/>
      <c r="U695" s="5"/>
      <c r="V695" s="5"/>
      <c r="W695" s="5"/>
      <c r="X695" s="5"/>
      <c r="Y695" s="5"/>
      <c r="Z695" s="5"/>
      <c r="AA695" s="5"/>
      <c r="AB695" s="5"/>
      <c r="AC695" s="5"/>
      <c r="AD695" s="5"/>
      <c r="AE695" s="5"/>
      <c r="AF695" s="5"/>
      <c r="AG695" s="5"/>
      <c r="AH695" s="5"/>
      <c r="AI695" s="5"/>
      <c r="AJ695" s="19"/>
      <c r="AK695" s="19"/>
      <c r="AL695" s="19"/>
      <c r="AM695" s="19"/>
      <c r="AN695" s="19"/>
    </row>
    <row r="696" spans="18:40" x14ac:dyDescent="0.2">
      <c r="R696" s="5"/>
      <c r="S696" s="5"/>
      <c r="T696" s="5"/>
      <c r="U696" s="5"/>
      <c r="V696" s="5"/>
      <c r="W696" s="5"/>
      <c r="X696" s="5"/>
      <c r="Y696" s="5"/>
      <c r="Z696" s="5"/>
      <c r="AA696" s="5"/>
      <c r="AB696" s="5"/>
      <c r="AC696" s="5"/>
      <c r="AD696" s="5"/>
      <c r="AE696" s="5"/>
      <c r="AF696" s="5"/>
      <c r="AG696" s="5"/>
      <c r="AH696" s="5"/>
      <c r="AI696" s="5"/>
      <c r="AJ696" s="19"/>
      <c r="AK696" s="19"/>
      <c r="AL696" s="19"/>
      <c r="AM696" s="19"/>
      <c r="AN696" s="19"/>
    </row>
    <row r="697" spans="18:40" x14ac:dyDescent="0.2">
      <c r="R697" s="5"/>
      <c r="S697" s="5"/>
      <c r="T697" s="5"/>
      <c r="U697" s="5"/>
      <c r="V697" s="5"/>
      <c r="W697" s="5"/>
      <c r="X697" s="5"/>
      <c r="Y697" s="5"/>
      <c r="Z697" s="5"/>
      <c r="AA697" s="5"/>
      <c r="AB697" s="5"/>
      <c r="AC697" s="5"/>
      <c r="AD697" s="5"/>
      <c r="AE697" s="5"/>
      <c r="AF697" s="5"/>
      <c r="AG697" s="5"/>
      <c r="AH697" s="5"/>
      <c r="AI697" s="5"/>
      <c r="AJ697" s="19"/>
      <c r="AK697" s="19"/>
      <c r="AL697" s="19"/>
      <c r="AM697" s="19"/>
      <c r="AN697" s="19"/>
    </row>
    <row r="698" spans="18:40" x14ac:dyDescent="0.2">
      <c r="R698" s="5"/>
      <c r="S698" s="5"/>
      <c r="T698" s="5"/>
      <c r="U698" s="5"/>
      <c r="V698" s="5"/>
      <c r="W698" s="5"/>
      <c r="X698" s="5"/>
      <c r="Y698" s="5"/>
      <c r="Z698" s="5"/>
      <c r="AA698" s="5"/>
      <c r="AB698" s="5"/>
      <c r="AC698" s="5"/>
      <c r="AD698" s="5"/>
      <c r="AE698" s="5"/>
      <c r="AF698" s="5"/>
      <c r="AG698" s="5"/>
      <c r="AH698" s="5"/>
      <c r="AI698" s="5"/>
      <c r="AJ698" s="19"/>
      <c r="AK698" s="19"/>
      <c r="AL698" s="19"/>
      <c r="AM698" s="19"/>
      <c r="AN698" s="19"/>
    </row>
    <row r="699" spans="18:40" x14ac:dyDescent="0.2">
      <c r="R699" s="5"/>
      <c r="S699" s="5"/>
      <c r="T699" s="5"/>
      <c r="U699" s="5"/>
      <c r="V699" s="5"/>
      <c r="W699" s="5"/>
      <c r="X699" s="5"/>
      <c r="Y699" s="5"/>
      <c r="Z699" s="5"/>
      <c r="AA699" s="5"/>
      <c r="AB699" s="5"/>
      <c r="AC699" s="5"/>
      <c r="AD699" s="5"/>
      <c r="AE699" s="5"/>
      <c r="AF699" s="5"/>
      <c r="AG699" s="5"/>
      <c r="AH699" s="5"/>
      <c r="AI699" s="5"/>
      <c r="AJ699" s="19"/>
      <c r="AK699" s="19"/>
      <c r="AL699" s="19"/>
      <c r="AM699" s="19"/>
      <c r="AN699" s="19"/>
    </row>
    <row r="700" spans="18:40" x14ac:dyDescent="0.2">
      <c r="R700" s="5"/>
      <c r="S700" s="5"/>
      <c r="T700" s="5"/>
      <c r="U700" s="5"/>
      <c r="V700" s="5"/>
      <c r="W700" s="5"/>
      <c r="X700" s="5"/>
      <c r="Y700" s="5"/>
      <c r="Z700" s="5"/>
      <c r="AA700" s="5"/>
      <c r="AB700" s="5"/>
      <c r="AC700" s="5"/>
      <c r="AD700" s="5"/>
      <c r="AE700" s="5"/>
      <c r="AF700" s="5"/>
      <c r="AG700" s="5"/>
      <c r="AH700" s="5"/>
      <c r="AI700" s="5"/>
      <c r="AJ700" s="19"/>
      <c r="AK700" s="19"/>
      <c r="AL700" s="19"/>
      <c r="AM700" s="19"/>
      <c r="AN700" s="19"/>
    </row>
    <row r="701" spans="18:40" x14ac:dyDescent="0.2">
      <c r="R701" s="5"/>
      <c r="S701" s="5"/>
      <c r="T701" s="5"/>
      <c r="U701" s="5"/>
      <c r="V701" s="5"/>
      <c r="W701" s="5"/>
      <c r="X701" s="5"/>
      <c r="Y701" s="5"/>
      <c r="Z701" s="5"/>
      <c r="AA701" s="5"/>
      <c r="AB701" s="5"/>
      <c r="AC701" s="5"/>
      <c r="AD701" s="5"/>
      <c r="AE701" s="5"/>
      <c r="AF701" s="5"/>
      <c r="AG701" s="5"/>
      <c r="AH701" s="5"/>
      <c r="AI701" s="5"/>
      <c r="AJ701" s="19"/>
      <c r="AK701" s="19"/>
      <c r="AL701" s="19"/>
      <c r="AM701" s="19"/>
      <c r="AN701" s="19"/>
    </row>
    <row r="702" spans="18:40" x14ac:dyDescent="0.2">
      <c r="R702" s="5"/>
      <c r="S702" s="5"/>
      <c r="T702" s="5"/>
      <c r="U702" s="5"/>
      <c r="V702" s="5"/>
      <c r="W702" s="5"/>
      <c r="X702" s="5"/>
      <c r="Y702" s="5"/>
      <c r="Z702" s="5"/>
      <c r="AA702" s="5"/>
      <c r="AB702" s="5"/>
      <c r="AC702" s="5"/>
      <c r="AD702" s="5"/>
      <c r="AE702" s="5"/>
      <c r="AF702" s="5"/>
      <c r="AG702" s="5"/>
      <c r="AH702" s="5"/>
      <c r="AI702" s="5"/>
      <c r="AJ702" s="19"/>
      <c r="AK702" s="19"/>
      <c r="AL702" s="19"/>
      <c r="AM702" s="19"/>
      <c r="AN702" s="19"/>
    </row>
    <row r="703" spans="18:40" x14ac:dyDescent="0.2">
      <c r="R703" s="5"/>
      <c r="S703" s="5"/>
      <c r="T703" s="5"/>
      <c r="U703" s="5"/>
      <c r="V703" s="5"/>
      <c r="W703" s="5"/>
      <c r="X703" s="5"/>
      <c r="Y703" s="5"/>
      <c r="Z703" s="5"/>
      <c r="AA703" s="5"/>
      <c r="AB703" s="5"/>
      <c r="AC703" s="5"/>
      <c r="AD703" s="5"/>
      <c r="AE703" s="5"/>
      <c r="AF703" s="5"/>
      <c r="AG703" s="5"/>
      <c r="AH703" s="5"/>
      <c r="AI703" s="5"/>
      <c r="AJ703" s="19"/>
      <c r="AK703" s="19"/>
      <c r="AL703" s="19"/>
      <c r="AM703" s="19"/>
      <c r="AN703" s="19"/>
    </row>
    <row r="704" spans="18:40" x14ac:dyDescent="0.2">
      <c r="R704" s="5"/>
      <c r="S704" s="5"/>
      <c r="T704" s="5"/>
      <c r="U704" s="5"/>
      <c r="V704" s="5"/>
      <c r="W704" s="5"/>
      <c r="X704" s="5"/>
      <c r="Y704" s="5"/>
      <c r="Z704" s="5"/>
      <c r="AA704" s="5"/>
      <c r="AB704" s="5"/>
      <c r="AC704" s="5"/>
      <c r="AD704" s="5"/>
      <c r="AE704" s="5"/>
      <c r="AF704" s="5"/>
      <c r="AG704" s="5"/>
      <c r="AH704" s="5"/>
      <c r="AI704" s="5"/>
      <c r="AJ704" s="19"/>
      <c r="AK704" s="19"/>
      <c r="AL704" s="19"/>
      <c r="AM704" s="19"/>
      <c r="AN704" s="19"/>
    </row>
    <row r="705" spans="18:40" x14ac:dyDescent="0.2">
      <c r="R705" s="5"/>
      <c r="S705" s="5"/>
      <c r="T705" s="5"/>
      <c r="U705" s="5"/>
      <c r="V705" s="5"/>
      <c r="W705" s="5"/>
      <c r="X705" s="5"/>
      <c r="Y705" s="5"/>
      <c r="Z705" s="5"/>
      <c r="AA705" s="5"/>
      <c r="AB705" s="5"/>
      <c r="AC705" s="5"/>
      <c r="AD705" s="5"/>
      <c r="AE705" s="5"/>
      <c r="AF705" s="5"/>
      <c r="AG705" s="5"/>
      <c r="AH705" s="5"/>
      <c r="AI705" s="5"/>
      <c r="AJ705" s="19"/>
      <c r="AK705" s="19"/>
      <c r="AL705" s="19"/>
      <c r="AM705" s="19"/>
      <c r="AN705" s="19"/>
    </row>
    <row r="706" spans="18:40" x14ac:dyDescent="0.2">
      <c r="R706" s="5"/>
      <c r="S706" s="5"/>
      <c r="T706" s="5"/>
      <c r="U706" s="5"/>
      <c r="V706" s="5"/>
      <c r="W706" s="5"/>
      <c r="X706" s="5"/>
      <c r="Y706" s="5"/>
      <c r="Z706" s="5"/>
      <c r="AA706" s="5"/>
      <c r="AB706" s="5"/>
      <c r="AC706" s="5"/>
      <c r="AD706" s="5"/>
      <c r="AE706" s="5"/>
      <c r="AF706" s="5"/>
      <c r="AG706" s="5"/>
      <c r="AH706" s="5"/>
      <c r="AI706" s="5"/>
      <c r="AJ706" s="19"/>
      <c r="AK706" s="19"/>
      <c r="AL706" s="19"/>
      <c r="AM706" s="19"/>
      <c r="AN706" s="19"/>
    </row>
    <row r="707" spans="18:40" x14ac:dyDescent="0.2">
      <c r="R707" s="5"/>
      <c r="S707" s="5"/>
      <c r="T707" s="5"/>
      <c r="U707" s="5"/>
      <c r="V707" s="5"/>
      <c r="W707" s="5"/>
      <c r="X707" s="5"/>
      <c r="Y707" s="5"/>
      <c r="Z707" s="5"/>
      <c r="AA707" s="5"/>
      <c r="AB707" s="5"/>
      <c r="AC707" s="5"/>
      <c r="AD707" s="5"/>
      <c r="AE707" s="5"/>
      <c r="AF707" s="5"/>
      <c r="AG707" s="5"/>
      <c r="AH707" s="5"/>
      <c r="AI707" s="5"/>
      <c r="AJ707" s="19"/>
      <c r="AK707" s="19"/>
      <c r="AL707" s="19"/>
      <c r="AM707" s="19"/>
      <c r="AN707" s="19"/>
    </row>
    <row r="708" spans="18:40" x14ac:dyDescent="0.2">
      <c r="R708" s="5"/>
      <c r="S708" s="5"/>
      <c r="T708" s="5"/>
      <c r="U708" s="5"/>
      <c r="V708" s="5"/>
      <c r="W708" s="5"/>
      <c r="X708" s="5"/>
      <c r="Y708" s="5"/>
      <c r="Z708" s="5"/>
      <c r="AA708" s="5"/>
      <c r="AB708" s="5"/>
      <c r="AC708" s="5"/>
      <c r="AD708" s="5"/>
      <c r="AE708" s="5"/>
      <c r="AF708" s="5"/>
      <c r="AG708" s="5"/>
      <c r="AH708" s="5"/>
      <c r="AI708" s="5"/>
      <c r="AJ708" s="19"/>
      <c r="AK708" s="19"/>
      <c r="AL708" s="19"/>
      <c r="AM708" s="19"/>
      <c r="AN708" s="19"/>
    </row>
    <row r="709" spans="18:40" x14ac:dyDescent="0.2">
      <c r="R709" s="5"/>
      <c r="S709" s="5"/>
      <c r="T709" s="5"/>
      <c r="U709" s="5"/>
      <c r="V709" s="5"/>
      <c r="W709" s="5"/>
      <c r="X709" s="5"/>
      <c r="Y709" s="5"/>
      <c r="Z709" s="5"/>
      <c r="AA709" s="5"/>
      <c r="AB709" s="5"/>
      <c r="AC709" s="5"/>
      <c r="AD709" s="5"/>
      <c r="AE709" s="5"/>
      <c r="AF709" s="5"/>
      <c r="AG709" s="5"/>
      <c r="AH709" s="5"/>
      <c r="AI709" s="5"/>
      <c r="AJ709" s="19"/>
      <c r="AK709" s="19"/>
      <c r="AL709" s="19"/>
      <c r="AM709" s="19"/>
      <c r="AN709" s="19"/>
    </row>
    <row r="710" spans="18:40" x14ac:dyDescent="0.2">
      <c r="R710" s="5"/>
      <c r="S710" s="5"/>
      <c r="T710" s="5"/>
      <c r="U710" s="5"/>
      <c r="V710" s="5"/>
      <c r="W710" s="5"/>
      <c r="X710" s="5"/>
      <c r="Y710" s="5"/>
      <c r="Z710" s="5"/>
      <c r="AA710" s="5"/>
      <c r="AB710" s="5"/>
      <c r="AC710" s="5"/>
      <c r="AD710" s="5"/>
      <c r="AE710" s="5"/>
      <c r="AF710" s="5"/>
      <c r="AG710" s="5"/>
      <c r="AH710" s="5"/>
      <c r="AI710" s="5"/>
      <c r="AJ710" s="19"/>
      <c r="AK710" s="19"/>
      <c r="AL710" s="19"/>
      <c r="AM710" s="19"/>
      <c r="AN710" s="19"/>
    </row>
    <row r="711" spans="18:40" x14ac:dyDescent="0.2">
      <c r="R711" s="5"/>
      <c r="S711" s="5"/>
      <c r="T711" s="5"/>
      <c r="U711" s="5"/>
      <c r="V711" s="5"/>
      <c r="W711" s="5"/>
      <c r="X711" s="5"/>
      <c r="Y711" s="5"/>
      <c r="Z711" s="5"/>
      <c r="AA711" s="5"/>
      <c r="AB711" s="5"/>
      <c r="AC711" s="5"/>
      <c r="AD711" s="5"/>
      <c r="AE711" s="5"/>
      <c r="AF711" s="5"/>
      <c r="AG711" s="5"/>
      <c r="AH711" s="5"/>
      <c r="AI711" s="5"/>
      <c r="AJ711" s="19"/>
      <c r="AK711" s="19"/>
      <c r="AL711" s="19"/>
      <c r="AM711" s="19"/>
      <c r="AN711" s="19"/>
    </row>
    <row r="712" spans="18:40" x14ac:dyDescent="0.2">
      <c r="R712" s="5"/>
      <c r="S712" s="5"/>
      <c r="T712" s="5"/>
      <c r="U712" s="5"/>
      <c r="V712" s="5"/>
      <c r="W712" s="5"/>
      <c r="X712" s="5"/>
      <c r="Y712" s="5"/>
      <c r="Z712" s="5"/>
      <c r="AA712" s="5"/>
      <c r="AB712" s="5"/>
      <c r="AC712" s="5"/>
      <c r="AD712" s="5"/>
      <c r="AE712" s="5"/>
      <c r="AF712" s="5"/>
      <c r="AG712" s="5"/>
      <c r="AH712" s="5"/>
      <c r="AI712" s="5"/>
      <c r="AJ712" s="19"/>
      <c r="AK712" s="19"/>
      <c r="AL712" s="19"/>
      <c r="AM712" s="19"/>
      <c r="AN712" s="19"/>
    </row>
    <row r="713" spans="18:40" x14ac:dyDescent="0.2">
      <c r="R713" s="5"/>
      <c r="S713" s="5"/>
      <c r="T713" s="5"/>
      <c r="U713" s="5"/>
      <c r="V713" s="5"/>
      <c r="W713" s="5"/>
      <c r="X713" s="5"/>
      <c r="Y713" s="5"/>
      <c r="Z713" s="5"/>
      <c r="AA713" s="5"/>
      <c r="AB713" s="5"/>
      <c r="AC713" s="5"/>
      <c r="AD713" s="5"/>
      <c r="AE713" s="5"/>
      <c r="AF713" s="5"/>
      <c r="AG713" s="5"/>
      <c r="AH713" s="5"/>
      <c r="AI713" s="5"/>
      <c r="AJ713" s="19"/>
      <c r="AK713" s="19"/>
      <c r="AL713" s="19"/>
      <c r="AM713" s="19"/>
      <c r="AN713" s="19"/>
    </row>
    <row r="714" spans="18:40" x14ac:dyDescent="0.2">
      <c r="R714" s="5"/>
      <c r="S714" s="5"/>
      <c r="T714" s="5"/>
      <c r="U714" s="5"/>
      <c r="V714" s="5"/>
      <c r="W714" s="5"/>
      <c r="X714" s="5"/>
      <c r="Y714" s="5"/>
      <c r="Z714" s="5"/>
      <c r="AA714" s="5"/>
      <c r="AB714" s="5"/>
      <c r="AC714" s="5"/>
      <c r="AD714" s="5"/>
      <c r="AE714" s="5"/>
      <c r="AF714" s="5"/>
      <c r="AG714" s="5"/>
      <c r="AH714" s="5"/>
      <c r="AI714" s="5"/>
      <c r="AJ714" s="19"/>
      <c r="AK714" s="19"/>
      <c r="AL714" s="19"/>
      <c r="AM714" s="19"/>
      <c r="AN714" s="19"/>
    </row>
    <row r="715" spans="18:40" x14ac:dyDescent="0.2">
      <c r="R715" s="5"/>
      <c r="S715" s="5"/>
      <c r="T715" s="5"/>
      <c r="U715" s="5"/>
      <c r="V715" s="5"/>
      <c r="W715" s="5"/>
      <c r="X715" s="5"/>
      <c r="Y715" s="5"/>
      <c r="Z715" s="5"/>
      <c r="AA715" s="5"/>
      <c r="AB715" s="5"/>
      <c r="AC715" s="5"/>
      <c r="AD715" s="5"/>
      <c r="AE715" s="5"/>
      <c r="AF715" s="5"/>
      <c r="AG715" s="5"/>
      <c r="AH715" s="5"/>
      <c r="AI715" s="5"/>
      <c r="AJ715" s="19"/>
      <c r="AK715" s="19"/>
      <c r="AL715" s="19"/>
      <c r="AM715" s="19"/>
      <c r="AN715" s="19"/>
    </row>
    <row r="716" spans="18:40" x14ac:dyDescent="0.2">
      <c r="R716" s="5"/>
      <c r="S716" s="5"/>
      <c r="T716" s="5"/>
      <c r="U716" s="5"/>
      <c r="V716" s="5"/>
      <c r="W716" s="5"/>
      <c r="X716" s="5"/>
      <c r="Y716" s="5"/>
      <c r="Z716" s="5"/>
      <c r="AA716" s="5"/>
      <c r="AB716" s="5"/>
      <c r="AC716" s="5"/>
      <c r="AD716" s="5"/>
      <c r="AE716" s="5"/>
      <c r="AF716" s="5"/>
      <c r="AG716" s="5"/>
      <c r="AH716" s="5"/>
      <c r="AI716" s="5"/>
      <c r="AJ716" s="19"/>
      <c r="AK716" s="19"/>
      <c r="AL716" s="19"/>
      <c r="AM716" s="19"/>
      <c r="AN716" s="19"/>
    </row>
    <row r="717" spans="18:40" x14ac:dyDescent="0.2">
      <c r="R717" s="5"/>
      <c r="S717" s="5"/>
      <c r="T717" s="5"/>
      <c r="U717" s="5"/>
      <c r="V717" s="5"/>
      <c r="W717" s="5"/>
      <c r="X717" s="5"/>
      <c r="Y717" s="5"/>
      <c r="Z717" s="5"/>
      <c r="AA717" s="5"/>
      <c r="AB717" s="5"/>
      <c r="AC717" s="5"/>
      <c r="AD717" s="5"/>
      <c r="AE717" s="5"/>
      <c r="AF717" s="5"/>
      <c r="AG717" s="5"/>
      <c r="AH717" s="5"/>
      <c r="AI717" s="5"/>
      <c r="AJ717" s="19"/>
      <c r="AK717" s="19"/>
      <c r="AL717" s="19"/>
      <c r="AM717" s="19"/>
      <c r="AN717" s="19"/>
    </row>
    <row r="718" spans="18:40" x14ac:dyDescent="0.2">
      <c r="R718" s="5"/>
      <c r="S718" s="5"/>
      <c r="T718" s="5"/>
      <c r="U718" s="5"/>
      <c r="V718" s="5"/>
      <c r="W718" s="5"/>
      <c r="X718" s="5"/>
      <c r="Y718" s="5"/>
      <c r="Z718" s="5"/>
      <c r="AA718" s="5"/>
      <c r="AB718" s="5"/>
      <c r="AC718" s="5"/>
      <c r="AD718" s="5"/>
      <c r="AE718" s="5"/>
      <c r="AF718" s="5"/>
      <c r="AG718" s="5"/>
      <c r="AH718" s="5"/>
      <c r="AI718" s="5"/>
      <c r="AJ718" s="19"/>
      <c r="AK718" s="19"/>
      <c r="AL718" s="19"/>
      <c r="AM718" s="19"/>
      <c r="AN718" s="19"/>
    </row>
    <row r="719" spans="18:40" x14ac:dyDescent="0.2">
      <c r="R719" s="5"/>
      <c r="S719" s="5"/>
      <c r="T719" s="5"/>
      <c r="U719" s="5"/>
      <c r="V719" s="5"/>
      <c r="W719" s="5"/>
      <c r="X719" s="5"/>
      <c r="Y719" s="5"/>
      <c r="Z719" s="5"/>
      <c r="AA719" s="5"/>
      <c r="AB719" s="5"/>
      <c r="AC719" s="5"/>
      <c r="AD719" s="5"/>
      <c r="AE719" s="5"/>
      <c r="AF719" s="5"/>
      <c r="AG719" s="5"/>
      <c r="AH719" s="5"/>
      <c r="AI719" s="5"/>
      <c r="AJ719" s="19"/>
      <c r="AK719" s="19"/>
      <c r="AL719" s="19"/>
      <c r="AM719" s="19"/>
      <c r="AN719" s="19"/>
    </row>
    <row r="720" spans="18:40" x14ac:dyDescent="0.2">
      <c r="R720" s="5"/>
      <c r="S720" s="5"/>
      <c r="T720" s="5"/>
      <c r="U720" s="5"/>
      <c r="V720" s="5"/>
      <c r="W720" s="5"/>
      <c r="X720" s="5"/>
      <c r="Y720" s="5"/>
      <c r="Z720" s="5"/>
      <c r="AA720" s="5"/>
      <c r="AB720" s="5"/>
      <c r="AC720" s="5"/>
      <c r="AD720" s="5"/>
      <c r="AE720" s="5"/>
      <c r="AF720" s="5"/>
      <c r="AG720" s="5"/>
      <c r="AH720" s="5"/>
      <c r="AI720" s="5"/>
      <c r="AJ720" s="19"/>
      <c r="AK720" s="19"/>
      <c r="AL720" s="19"/>
      <c r="AM720" s="19"/>
      <c r="AN720" s="19"/>
    </row>
    <row r="721" spans="18:40" x14ac:dyDescent="0.2">
      <c r="R721" s="5"/>
      <c r="S721" s="5"/>
      <c r="T721" s="5"/>
      <c r="U721" s="5"/>
      <c r="V721" s="5"/>
      <c r="W721" s="5"/>
      <c r="X721" s="5"/>
      <c r="Y721" s="5"/>
      <c r="Z721" s="5"/>
      <c r="AA721" s="5"/>
      <c r="AB721" s="5"/>
      <c r="AC721" s="5"/>
      <c r="AD721" s="5"/>
      <c r="AE721" s="5"/>
      <c r="AF721" s="5"/>
      <c r="AG721" s="5"/>
      <c r="AH721" s="5"/>
      <c r="AI721" s="5"/>
      <c r="AJ721" s="19"/>
      <c r="AK721" s="19"/>
      <c r="AL721" s="19"/>
      <c r="AM721" s="19"/>
      <c r="AN721" s="19"/>
    </row>
    <row r="722" spans="18:40" x14ac:dyDescent="0.2">
      <c r="R722" s="5"/>
      <c r="S722" s="5"/>
      <c r="T722" s="5"/>
      <c r="U722" s="5"/>
      <c r="V722" s="5"/>
      <c r="W722" s="5"/>
      <c r="X722" s="5"/>
      <c r="Y722" s="5"/>
      <c r="Z722" s="5"/>
      <c r="AA722" s="5"/>
      <c r="AB722" s="5"/>
      <c r="AC722" s="5"/>
      <c r="AD722" s="5"/>
      <c r="AE722" s="5"/>
      <c r="AF722" s="5"/>
      <c r="AG722" s="5"/>
      <c r="AH722" s="5"/>
      <c r="AI722" s="5"/>
      <c r="AJ722" s="19"/>
      <c r="AK722" s="19"/>
      <c r="AL722" s="19"/>
      <c r="AM722" s="19"/>
      <c r="AN722" s="19"/>
    </row>
    <row r="723" spans="18:40" x14ac:dyDescent="0.2">
      <c r="R723" s="5"/>
      <c r="S723" s="5"/>
      <c r="T723" s="5"/>
      <c r="U723" s="5"/>
      <c r="V723" s="5"/>
      <c r="W723" s="5"/>
      <c r="X723" s="5"/>
      <c r="Y723" s="5"/>
      <c r="Z723" s="5"/>
      <c r="AA723" s="5"/>
      <c r="AB723" s="5"/>
      <c r="AC723" s="5"/>
      <c r="AD723" s="5"/>
      <c r="AE723" s="5"/>
      <c r="AF723" s="5"/>
      <c r="AG723" s="5"/>
      <c r="AH723" s="5"/>
      <c r="AI723" s="5"/>
      <c r="AJ723" s="19"/>
      <c r="AK723" s="19"/>
      <c r="AL723" s="19"/>
      <c r="AM723" s="19"/>
      <c r="AN723" s="19"/>
    </row>
    <row r="724" spans="18:40" x14ac:dyDescent="0.2">
      <c r="R724" s="5"/>
      <c r="S724" s="5"/>
      <c r="T724" s="5"/>
      <c r="U724" s="5"/>
      <c r="V724" s="5"/>
      <c r="W724" s="5"/>
      <c r="X724" s="5"/>
      <c r="Y724" s="5"/>
      <c r="Z724" s="5"/>
      <c r="AA724" s="5"/>
      <c r="AB724" s="5"/>
      <c r="AC724" s="5"/>
      <c r="AD724" s="5"/>
      <c r="AE724" s="5"/>
      <c r="AF724" s="5"/>
      <c r="AG724" s="5"/>
      <c r="AH724" s="5"/>
      <c r="AI724" s="5"/>
      <c r="AJ724" s="19"/>
      <c r="AK724" s="19"/>
      <c r="AL724" s="19"/>
      <c r="AM724" s="19"/>
      <c r="AN724" s="19"/>
    </row>
    <row r="725" spans="18:40" x14ac:dyDescent="0.2">
      <c r="R725" s="5"/>
      <c r="S725" s="5"/>
      <c r="T725" s="5"/>
      <c r="U725" s="5"/>
      <c r="V725" s="5"/>
      <c r="W725" s="5"/>
      <c r="X725" s="5"/>
      <c r="Y725" s="5"/>
      <c r="Z725" s="5"/>
      <c r="AA725" s="5"/>
      <c r="AB725" s="5"/>
      <c r="AC725" s="5"/>
      <c r="AD725" s="5"/>
      <c r="AE725" s="5"/>
      <c r="AF725" s="5"/>
      <c r="AG725" s="5"/>
      <c r="AH725" s="5"/>
      <c r="AI725" s="5"/>
      <c r="AJ725" s="19"/>
      <c r="AK725" s="19"/>
      <c r="AL725" s="19"/>
      <c r="AM725" s="19"/>
      <c r="AN725" s="19"/>
    </row>
    <row r="726" spans="18:40" x14ac:dyDescent="0.2">
      <c r="R726" s="5"/>
      <c r="S726" s="5"/>
      <c r="T726" s="5"/>
      <c r="U726" s="5"/>
      <c r="V726" s="5"/>
      <c r="W726" s="5"/>
      <c r="X726" s="5"/>
      <c r="Y726" s="5"/>
      <c r="Z726" s="5"/>
      <c r="AA726" s="5"/>
      <c r="AB726" s="5"/>
      <c r="AC726" s="5"/>
      <c r="AD726" s="5"/>
      <c r="AE726" s="5"/>
      <c r="AF726" s="5"/>
      <c r="AG726" s="5"/>
      <c r="AH726" s="5"/>
      <c r="AI726" s="5"/>
      <c r="AJ726" s="19"/>
      <c r="AK726" s="19"/>
      <c r="AL726" s="19"/>
      <c r="AM726" s="19"/>
      <c r="AN726" s="19"/>
    </row>
    <row r="727" spans="18:40" x14ac:dyDescent="0.2">
      <c r="R727" s="5"/>
      <c r="S727" s="5"/>
      <c r="T727" s="5"/>
      <c r="U727" s="5"/>
      <c r="V727" s="5"/>
      <c r="W727" s="5"/>
      <c r="X727" s="5"/>
      <c r="Y727" s="5"/>
      <c r="Z727" s="5"/>
      <c r="AA727" s="5"/>
      <c r="AB727" s="5"/>
      <c r="AC727" s="5"/>
      <c r="AD727" s="5"/>
      <c r="AE727" s="5"/>
      <c r="AF727" s="5"/>
      <c r="AG727" s="5"/>
      <c r="AH727" s="5"/>
      <c r="AI727" s="5"/>
      <c r="AJ727" s="19"/>
      <c r="AK727" s="19"/>
      <c r="AL727" s="19"/>
      <c r="AM727" s="19"/>
      <c r="AN727" s="19"/>
    </row>
    <row r="728" spans="18:40" x14ac:dyDescent="0.2">
      <c r="R728" s="5"/>
      <c r="S728" s="5"/>
      <c r="T728" s="5"/>
      <c r="U728" s="5"/>
      <c r="V728" s="5"/>
      <c r="W728" s="5"/>
      <c r="X728" s="5"/>
      <c r="Y728" s="5"/>
      <c r="Z728" s="5"/>
      <c r="AA728" s="5"/>
      <c r="AB728" s="5"/>
      <c r="AC728" s="5"/>
      <c r="AD728" s="5"/>
      <c r="AE728" s="5"/>
      <c r="AF728" s="5"/>
      <c r="AG728" s="5"/>
      <c r="AH728" s="5"/>
      <c r="AI728" s="5"/>
      <c r="AJ728" s="19"/>
      <c r="AK728" s="19"/>
      <c r="AL728" s="19"/>
      <c r="AM728" s="19"/>
      <c r="AN728" s="19"/>
    </row>
    <row r="729" spans="18:40" x14ac:dyDescent="0.2">
      <c r="R729" s="5"/>
      <c r="S729" s="5"/>
      <c r="T729" s="5"/>
      <c r="U729" s="5"/>
      <c r="V729" s="5"/>
      <c r="W729" s="5"/>
      <c r="X729" s="5"/>
      <c r="Y729" s="5"/>
      <c r="Z729" s="5"/>
      <c r="AA729" s="5"/>
      <c r="AB729" s="5"/>
      <c r="AC729" s="5"/>
      <c r="AD729" s="5"/>
      <c r="AE729" s="5"/>
      <c r="AF729" s="5"/>
      <c r="AG729" s="5"/>
      <c r="AH729" s="5"/>
      <c r="AI729" s="5"/>
      <c r="AJ729" s="19"/>
      <c r="AK729" s="19"/>
      <c r="AL729" s="19"/>
      <c r="AM729" s="19"/>
      <c r="AN729" s="19"/>
    </row>
    <row r="730" spans="18:40" x14ac:dyDescent="0.2">
      <c r="R730" s="5"/>
      <c r="S730" s="5"/>
      <c r="T730" s="5"/>
      <c r="U730" s="5"/>
      <c r="V730" s="5"/>
      <c r="W730" s="5"/>
      <c r="X730" s="5"/>
      <c r="Y730" s="5"/>
      <c r="Z730" s="5"/>
      <c r="AA730" s="5"/>
      <c r="AB730" s="5"/>
      <c r="AC730" s="5"/>
      <c r="AD730" s="5"/>
      <c r="AE730" s="5"/>
      <c r="AF730" s="5"/>
      <c r="AG730" s="5"/>
      <c r="AH730" s="5"/>
      <c r="AI730" s="5"/>
      <c r="AJ730" s="19"/>
      <c r="AK730" s="19"/>
      <c r="AL730" s="19"/>
      <c r="AM730" s="19"/>
      <c r="AN730" s="19"/>
    </row>
    <row r="731" spans="18:40" x14ac:dyDescent="0.2">
      <c r="R731" s="5"/>
      <c r="S731" s="5"/>
      <c r="T731" s="5"/>
      <c r="U731" s="5"/>
      <c r="V731" s="5"/>
      <c r="W731" s="5"/>
      <c r="X731" s="5"/>
      <c r="Y731" s="5"/>
      <c r="Z731" s="5"/>
      <c r="AA731" s="5"/>
      <c r="AB731" s="5"/>
      <c r="AC731" s="5"/>
      <c r="AD731" s="5"/>
      <c r="AE731" s="5"/>
      <c r="AF731" s="5"/>
      <c r="AG731" s="5"/>
      <c r="AH731" s="5"/>
      <c r="AI731" s="5"/>
      <c r="AJ731" s="19"/>
      <c r="AK731" s="19"/>
      <c r="AL731" s="19"/>
      <c r="AM731" s="19"/>
      <c r="AN731" s="19"/>
    </row>
    <row r="732" spans="18:40" x14ac:dyDescent="0.2">
      <c r="R732" s="5"/>
      <c r="S732" s="5"/>
      <c r="T732" s="5"/>
      <c r="U732" s="5"/>
      <c r="V732" s="5"/>
      <c r="W732" s="5"/>
      <c r="X732" s="5"/>
      <c r="Y732" s="5"/>
      <c r="Z732" s="5"/>
      <c r="AA732" s="5"/>
      <c r="AB732" s="5"/>
      <c r="AC732" s="5"/>
      <c r="AD732" s="5"/>
      <c r="AE732" s="5"/>
      <c r="AF732" s="5"/>
      <c r="AG732" s="5"/>
      <c r="AH732" s="5"/>
      <c r="AI732" s="5"/>
      <c r="AJ732" s="19"/>
      <c r="AK732" s="19"/>
      <c r="AL732" s="19"/>
      <c r="AM732" s="19"/>
      <c r="AN732" s="19"/>
    </row>
    <row r="733" spans="18:40" x14ac:dyDescent="0.2">
      <c r="R733" s="5"/>
      <c r="S733" s="5"/>
      <c r="T733" s="5"/>
      <c r="U733" s="5"/>
      <c r="V733" s="5"/>
      <c r="W733" s="5"/>
      <c r="X733" s="5"/>
      <c r="Y733" s="5"/>
      <c r="Z733" s="5"/>
      <c r="AA733" s="5"/>
      <c r="AB733" s="5"/>
      <c r="AC733" s="5"/>
      <c r="AD733" s="5"/>
      <c r="AE733" s="5"/>
      <c r="AF733" s="5"/>
      <c r="AG733" s="5"/>
      <c r="AH733" s="5"/>
      <c r="AI733" s="5"/>
      <c r="AJ733" s="19"/>
      <c r="AK733" s="19"/>
      <c r="AL733" s="19"/>
      <c r="AM733" s="19"/>
      <c r="AN733" s="19"/>
    </row>
    <row r="734" spans="18:40" x14ac:dyDescent="0.2">
      <c r="R734" s="5"/>
      <c r="S734" s="5"/>
      <c r="T734" s="5"/>
      <c r="U734" s="5"/>
      <c r="V734" s="5"/>
      <c r="W734" s="5"/>
      <c r="X734" s="5"/>
      <c r="Y734" s="5"/>
      <c r="Z734" s="5"/>
      <c r="AA734" s="5"/>
      <c r="AB734" s="5"/>
      <c r="AC734" s="5"/>
      <c r="AD734" s="5"/>
      <c r="AE734" s="5"/>
      <c r="AF734" s="5"/>
      <c r="AG734" s="5"/>
      <c r="AH734" s="5"/>
      <c r="AI734" s="5"/>
      <c r="AJ734" s="19"/>
      <c r="AK734" s="19"/>
      <c r="AL734" s="19"/>
      <c r="AM734" s="19"/>
      <c r="AN734" s="19"/>
    </row>
    <row r="735" spans="18:40" x14ac:dyDescent="0.2">
      <c r="R735" s="5"/>
      <c r="S735" s="5"/>
      <c r="T735" s="5"/>
      <c r="U735" s="5"/>
      <c r="V735" s="5"/>
      <c r="W735" s="5"/>
      <c r="X735" s="5"/>
      <c r="Y735" s="5"/>
      <c r="Z735" s="5"/>
      <c r="AA735" s="5"/>
      <c r="AB735" s="5"/>
      <c r="AC735" s="5"/>
      <c r="AD735" s="5"/>
      <c r="AE735" s="5"/>
      <c r="AF735" s="5"/>
      <c r="AG735" s="5"/>
      <c r="AH735" s="5"/>
      <c r="AI735" s="5"/>
      <c r="AJ735" s="19"/>
      <c r="AK735" s="19"/>
      <c r="AL735" s="19"/>
      <c r="AM735" s="19"/>
      <c r="AN735" s="19"/>
    </row>
    <row r="736" spans="18:40" x14ac:dyDescent="0.2">
      <c r="R736" s="5"/>
      <c r="S736" s="5"/>
      <c r="T736" s="5"/>
      <c r="U736" s="5"/>
      <c r="V736" s="5"/>
      <c r="W736" s="5"/>
      <c r="X736" s="5"/>
      <c r="Y736" s="5"/>
      <c r="Z736" s="5"/>
      <c r="AA736" s="5"/>
      <c r="AB736" s="5"/>
      <c r="AC736" s="5"/>
      <c r="AD736" s="5"/>
      <c r="AE736" s="5"/>
      <c r="AF736" s="5"/>
      <c r="AG736" s="5"/>
      <c r="AH736" s="5"/>
      <c r="AI736" s="5"/>
      <c r="AJ736" s="19"/>
      <c r="AK736" s="19"/>
      <c r="AL736" s="19"/>
      <c r="AM736" s="19"/>
      <c r="AN736" s="19"/>
    </row>
    <row r="737" spans="18:40" x14ac:dyDescent="0.2">
      <c r="R737" s="5"/>
      <c r="S737" s="5"/>
      <c r="T737" s="5"/>
      <c r="U737" s="5"/>
      <c r="V737" s="5"/>
      <c r="W737" s="5"/>
      <c r="X737" s="5"/>
      <c r="Y737" s="5"/>
      <c r="Z737" s="5"/>
      <c r="AA737" s="5"/>
      <c r="AB737" s="5"/>
      <c r="AC737" s="5"/>
      <c r="AD737" s="5"/>
      <c r="AE737" s="5"/>
      <c r="AF737" s="5"/>
      <c r="AG737" s="5"/>
      <c r="AH737" s="5"/>
      <c r="AI737" s="5"/>
      <c r="AJ737" s="19"/>
      <c r="AK737" s="19"/>
      <c r="AL737" s="19"/>
      <c r="AM737" s="19"/>
      <c r="AN737" s="19"/>
    </row>
    <row r="738" spans="18:40" x14ac:dyDescent="0.2">
      <c r="R738" s="5"/>
      <c r="S738" s="5"/>
      <c r="T738" s="5"/>
      <c r="U738" s="5"/>
      <c r="V738" s="5"/>
      <c r="W738" s="5"/>
      <c r="X738" s="5"/>
      <c r="Y738" s="5"/>
      <c r="Z738" s="5"/>
      <c r="AA738" s="5"/>
      <c r="AB738" s="5"/>
      <c r="AC738" s="5"/>
      <c r="AD738" s="5"/>
      <c r="AE738" s="5"/>
      <c r="AF738" s="5"/>
      <c r="AG738" s="5"/>
      <c r="AH738" s="5"/>
      <c r="AI738" s="5"/>
      <c r="AJ738" s="19"/>
      <c r="AK738" s="19"/>
      <c r="AL738" s="19"/>
      <c r="AM738" s="19"/>
      <c r="AN738" s="19"/>
    </row>
    <row r="739" spans="18:40" x14ac:dyDescent="0.2">
      <c r="R739" s="5"/>
      <c r="S739" s="5"/>
      <c r="T739" s="5"/>
      <c r="U739" s="5"/>
      <c r="V739" s="5"/>
      <c r="W739" s="5"/>
      <c r="X739" s="5"/>
      <c r="Y739" s="5"/>
      <c r="Z739" s="5"/>
      <c r="AA739" s="5"/>
      <c r="AB739" s="5"/>
      <c r="AC739" s="5"/>
      <c r="AD739" s="5"/>
      <c r="AE739" s="5"/>
      <c r="AF739" s="5"/>
      <c r="AG739" s="5"/>
      <c r="AH739" s="5"/>
      <c r="AI739" s="5"/>
      <c r="AJ739" s="19"/>
      <c r="AK739" s="19"/>
      <c r="AL739" s="19"/>
      <c r="AM739" s="19"/>
      <c r="AN739" s="19"/>
    </row>
    <row r="740" spans="18:40" x14ac:dyDescent="0.2">
      <c r="R740" s="5"/>
      <c r="S740" s="5"/>
      <c r="T740" s="5"/>
      <c r="U740" s="5"/>
      <c r="V740" s="5"/>
      <c r="W740" s="5"/>
      <c r="X740" s="5"/>
      <c r="Y740" s="5"/>
      <c r="Z740" s="5"/>
      <c r="AA740" s="5"/>
      <c r="AB740" s="5"/>
      <c r="AC740" s="5"/>
      <c r="AD740" s="5"/>
      <c r="AE740" s="5"/>
      <c r="AF740" s="5"/>
      <c r="AG740" s="5"/>
      <c r="AH740" s="5"/>
      <c r="AI740" s="5"/>
      <c r="AJ740" s="19"/>
      <c r="AK740" s="19"/>
      <c r="AL740" s="19"/>
      <c r="AM740" s="19"/>
      <c r="AN740" s="19"/>
    </row>
    <row r="741" spans="18:40" x14ac:dyDescent="0.2">
      <c r="R741" s="5"/>
      <c r="S741" s="5"/>
      <c r="T741" s="5"/>
      <c r="U741" s="5"/>
      <c r="V741" s="5"/>
      <c r="W741" s="5"/>
      <c r="X741" s="5"/>
      <c r="Y741" s="5"/>
      <c r="Z741" s="5"/>
      <c r="AA741" s="5"/>
      <c r="AB741" s="5"/>
      <c r="AC741" s="5"/>
      <c r="AD741" s="5"/>
      <c r="AE741" s="5"/>
      <c r="AF741" s="5"/>
      <c r="AG741" s="5"/>
      <c r="AH741" s="5"/>
      <c r="AI741" s="5"/>
      <c r="AJ741" s="19"/>
      <c r="AK741" s="19"/>
      <c r="AL741" s="19"/>
      <c r="AM741" s="19"/>
      <c r="AN741" s="19"/>
    </row>
    <row r="742" spans="18:40" x14ac:dyDescent="0.2">
      <c r="R742" s="5"/>
      <c r="S742" s="5"/>
      <c r="T742" s="5"/>
      <c r="U742" s="5"/>
      <c r="V742" s="5"/>
      <c r="W742" s="5"/>
      <c r="X742" s="5"/>
      <c r="Y742" s="5"/>
      <c r="Z742" s="5"/>
      <c r="AA742" s="5"/>
      <c r="AB742" s="5"/>
      <c r="AC742" s="5"/>
      <c r="AD742" s="5"/>
      <c r="AE742" s="5"/>
      <c r="AF742" s="5"/>
      <c r="AG742" s="5"/>
      <c r="AH742" s="5"/>
      <c r="AI742" s="5"/>
      <c r="AJ742" s="19"/>
      <c r="AK742" s="19"/>
      <c r="AL742" s="19"/>
      <c r="AM742" s="19"/>
      <c r="AN742" s="19"/>
    </row>
    <row r="743" spans="18:40" x14ac:dyDescent="0.2">
      <c r="R743" s="5"/>
      <c r="S743" s="5"/>
      <c r="T743" s="5"/>
      <c r="U743" s="5"/>
      <c r="V743" s="5"/>
      <c r="W743" s="5"/>
      <c r="X743" s="5"/>
      <c r="Y743" s="5"/>
      <c r="Z743" s="5"/>
      <c r="AA743" s="5"/>
      <c r="AB743" s="5"/>
      <c r="AC743" s="5"/>
      <c r="AD743" s="5"/>
      <c r="AE743" s="5"/>
      <c r="AF743" s="5"/>
      <c r="AG743" s="5"/>
      <c r="AH743" s="5"/>
      <c r="AI743" s="5"/>
      <c r="AJ743" s="19"/>
      <c r="AK743" s="19"/>
      <c r="AL743" s="19"/>
      <c r="AM743" s="19"/>
      <c r="AN743" s="19"/>
    </row>
    <row r="744" spans="18:40" x14ac:dyDescent="0.2">
      <c r="R744" s="5"/>
      <c r="S744" s="5"/>
      <c r="T744" s="5"/>
      <c r="U744" s="5"/>
      <c r="V744" s="5"/>
      <c r="W744" s="5"/>
      <c r="X744" s="5"/>
      <c r="Y744" s="5"/>
      <c r="Z744" s="5"/>
      <c r="AA744" s="5"/>
      <c r="AB744" s="5"/>
      <c r="AC744" s="5"/>
      <c r="AD744" s="5"/>
      <c r="AE744" s="5"/>
      <c r="AF744" s="5"/>
      <c r="AG744" s="5"/>
      <c r="AH744" s="5"/>
      <c r="AI744" s="5"/>
      <c r="AJ744" s="19"/>
      <c r="AK744" s="19"/>
      <c r="AL744" s="19"/>
      <c r="AM744" s="19"/>
      <c r="AN744" s="19"/>
    </row>
    <row r="745" spans="18:40" x14ac:dyDescent="0.2">
      <c r="R745" s="5"/>
      <c r="S745" s="5"/>
      <c r="T745" s="5"/>
      <c r="U745" s="5"/>
      <c r="V745" s="5"/>
      <c r="W745" s="5"/>
      <c r="X745" s="5"/>
      <c r="Y745" s="5"/>
      <c r="Z745" s="5"/>
      <c r="AA745" s="5"/>
      <c r="AB745" s="5"/>
      <c r="AC745" s="5"/>
      <c r="AD745" s="5"/>
      <c r="AE745" s="5"/>
      <c r="AF745" s="5"/>
      <c r="AG745" s="5"/>
      <c r="AH745" s="5"/>
      <c r="AI745" s="5"/>
      <c r="AJ745" s="19"/>
      <c r="AK745" s="19"/>
      <c r="AL745" s="19"/>
      <c r="AM745" s="19"/>
      <c r="AN745" s="19"/>
    </row>
    <row r="746" spans="18:40" x14ac:dyDescent="0.2">
      <c r="R746" s="5"/>
      <c r="S746" s="5"/>
      <c r="T746" s="5"/>
      <c r="U746" s="5"/>
      <c r="V746" s="5"/>
      <c r="W746" s="5"/>
      <c r="X746" s="5"/>
      <c r="Y746" s="5"/>
      <c r="Z746" s="5"/>
      <c r="AA746" s="5"/>
      <c r="AB746" s="5"/>
      <c r="AC746" s="5"/>
      <c r="AD746" s="5"/>
      <c r="AE746" s="5"/>
      <c r="AF746" s="5"/>
      <c r="AG746" s="5"/>
      <c r="AH746" s="5"/>
      <c r="AI746" s="5"/>
      <c r="AJ746" s="19"/>
      <c r="AK746" s="19"/>
      <c r="AL746" s="19"/>
      <c r="AM746" s="19"/>
      <c r="AN746" s="19"/>
    </row>
    <row r="747" spans="18:40" x14ac:dyDescent="0.2">
      <c r="R747" s="5"/>
      <c r="S747" s="5"/>
      <c r="T747" s="5"/>
      <c r="U747" s="5"/>
      <c r="V747" s="5"/>
      <c r="W747" s="5"/>
      <c r="X747" s="5"/>
      <c r="Y747" s="5"/>
      <c r="Z747" s="5"/>
      <c r="AA747" s="5"/>
      <c r="AB747" s="5"/>
      <c r="AC747" s="5"/>
      <c r="AD747" s="5"/>
      <c r="AE747" s="5"/>
      <c r="AF747" s="5"/>
      <c r="AG747" s="5"/>
      <c r="AH747" s="5"/>
      <c r="AI747" s="5"/>
      <c r="AJ747" s="19"/>
      <c r="AK747" s="19"/>
      <c r="AL747" s="19"/>
      <c r="AM747" s="19"/>
      <c r="AN747" s="19"/>
    </row>
    <row r="748" spans="18:40" x14ac:dyDescent="0.2">
      <c r="R748" s="5"/>
      <c r="S748" s="5"/>
      <c r="T748" s="5"/>
      <c r="U748" s="5"/>
      <c r="V748" s="5"/>
      <c r="W748" s="5"/>
      <c r="X748" s="5"/>
      <c r="Y748" s="5"/>
      <c r="Z748" s="5"/>
      <c r="AA748" s="5"/>
      <c r="AB748" s="5"/>
      <c r="AC748" s="5"/>
      <c r="AD748" s="5"/>
      <c r="AE748" s="5"/>
      <c r="AF748" s="5"/>
      <c r="AG748" s="5"/>
      <c r="AH748" s="5"/>
      <c r="AI748" s="5"/>
      <c r="AJ748" s="19"/>
      <c r="AK748" s="19"/>
      <c r="AL748" s="19"/>
      <c r="AM748" s="19"/>
      <c r="AN748" s="19"/>
    </row>
    <row r="749" spans="18:40" x14ac:dyDescent="0.2">
      <c r="R749" s="5"/>
      <c r="S749" s="5"/>
      <c r="T749" s="5"/>
      <c r="U749" s="5"/>
      <c r="V749" s="5"/>
      <c r="W749" s="5"/>
      <c r="X749" s="5"/>
      <c r="Y749" s="5"/>
      <c r="Z749" s="5"/>
      <c r="AA749" s="5"/>
      <c r="AB749" s="5"/>
      <c r="AC749" s="5"/>
      <c r="AD749" s="5"/>
      <c r="AE749" s="5"/>
      <c r="AF749" s="5"/>
      <c r="AG749" s="5"/>
      <c r="AH749" s="5"/>
      <c r="AI749" s="5"/>
      <c r="AJ749" s="19"/>
      <c r="AK749" s="19"/>
      <c r="AL749" s="19"/>
      <c r="AM749" s="19"/>
      <c r="AN749" s="19"/>
    </row>
    <row r="750" spans="18:40" x14ac:dyDescent="0.2">
      <c r="R750" s="5"/>
      <c r="S750" s="5"/>
      <c r="T750" s="5"/>
      <c r="U750" s="5"/>
      <c r="V750" s="5"/>
      <c r="W750" s="5"/>
      <c r="X750" s="5"/>
      <c r="Y750" s="5"/>
      <c r="Z750" s="5"/>
      <c r="AA750" s="5"/>
      <c r="AB750" s="5"/>
      <c r="AC750" s="5"/>
      <c r="AD750" s="5"/>
      <c r="AE750" s="5"/>
      <c r="AF750" s="5"/>
      <c r="AG750" s="5"/>
      <c r="AH750" s="5"/>
      <c r="AI750" s="5"/>
      <c r="AJ750" s="19"/>
      <c r="AK750" s="19"/>
      <c r="AL750" s="19"/>
      <c r="AM750" s="19"/>
      <c r="AN750" s="19"/>
    </row>
    <row r="751" spans="18:40" x14ac:dyDescent="0.2">
      <c r="R751" s="5"/>
      <c r="S751" s="5"/>
      <c r="T751" s="5"/>
      <c r="U751" s="5"/>
      <c r="V751" s="5"/>
      <c r="W751" s="5"/>
      <c r="X751" s="5"/>
      <c r="Y751" s="5"/>
      <c r="Z751" s="5"/>
      <c r="AA751" s="5"/>
      <c r="AB751" s="5"/>
      <c r="AC751" s="5"/>
      <c r="AD751" s="5"/>
      <c r="AE751" s="5"/>
      <c r="AF751" s="5"/>
      <c r="AG751" s="5"/>
      <c r="AH751" s="5"/>
      <c r="AI751" s="5"/>
      <c r="AJ751" s="19"/>
      <c r="AK751" s="19"/>
      <c r="AL751" s="19"/>
      <c r="AM751" s="19"/>
      <c r="AN751" s="19"/>
    </row>
    <row r="752" spans="18:40" x14ac:dyDescent="0.2">
      <c r="R752" s="5"/>
      <c r="S752" s="5"/>
      <c r="T752" s="5"/>
      <c r="U752" s="5"/>
      <c r="V752" s="5"/>
      <c r="W752" s="5"/>
      <c r="X752" s="5"/>
      <c r="Y752" s="5"/>
      <c r="Z752" s="5"/>
      <c r="AA752" s="5"/>
      <c r="AB752" s="5"/>
      <c r="AC752" s="5"/>
      <c r="AD752" s="5"/>
      <c r="AE752" s="5"/>
      <c r="AF752" s="5"/>
      <c r="AG752" s="5"/>
      <c r="AH752" s="5"/>
      <c r="AI752" s="5"/>
      <c r="AJ752" s="19"/>
      <c r="AK752" s="19"/>
      <c r="AL752" s="19"/>
      <c r="AM752" s="19"/>
      <c r="AN752" s="19"/>
    </row>
    <row r="753" spans="18:40" x14ac:dyDescent="0.2">
      <c r="R753" s="5"/>
      <c r="S753" s="5"/>
      <c r="T753" s="5"/>
      <c r="U753" s="5"/>
      <c r="V753" s="5"/>
      <c r="W753" s="5"/>
      <c r="X753" s="5"/>
      <c r="Y753" s="5"/>
      <c r="Z753" s="5"/>
      <c r="AA753" s="5"/>
      <c r="AB753" s="5"/>
      <c r="AC753" s="5"/>
      <c r="AD753" s="5"/>
      <c r="AE753" s="5"/>
      <c r="AF753" s="5"/>
      <c r="AG753" s="5"/>
      <c r="AH753" s="5"/>
      <c r="AI753" s="5"/>
      <c r="AJ753" s="19"/>
      <c r="AK753" s="19"/>
      <c r="AL753" s="19"/>
      <c r="AM753" s="19"/>
      <c r="AN753" s="19"/>
    </row>
    <row r="754" spans="18:40" x14ac:dyDescent="0.2">
      <c r="R754" s="5"/>
      <c r="S754" s="5"/>
      <c r="T754" s="5"/>
      <c r="U754" s="5"/>
      <c r="V754" s="5"/>
      <c r="W754" s="5"/>
      <c r="X754" s="5"/>
      <c r="Y754" s="5"/>
      <c r="Z754" s="5"/>
      <c r="AA754" s="5"/>
      <c r="AB754" s="5"/>
      <c r="AC754" s="5"/>
      <c r="AD754" s="5"/>
      <c r="AE754" s="5"/>
      <c r="AF754" s="5"/>
      <c r="AG754" s="5"/>
      <c r="AH754" s="5"/>
      <c r="AI754" s="5"/>
      <c r="AJ754" s="19"/>
      <c r="AK754" s="19"/>
      <c r="AL754" s="19"/>
      <c r="AM754" s="19"/>
      <c r="AN754" s="19"/>
    </row>
    <row r="755" spans="18:40" x14ac:dyDescent="0.2">
      <c r="R755" s="5"/>
      <c r="S755" s="5"/>
      <c r="T755" s="5"/>
      <c r="U755" s="5"/>
      <c r="V755" s="5"/>
      <c r="W755" s="5"/>
      <c r="X755" s="5"/>
      <c r="Y755" s="5"/>
      <c r="Z755" s="5"/>
      <c r="AA755" s="5"/>
      <c r="AB755" s="5"/>
      <c r="AC755" s="5"/>
      <c r="AD755" s="5"/>
      <c r="AE755" s="5"/>
      <c r="AF755" s="5"/>
      <c r="AG755" s="5"/>
      <c r="AH755" s="5"/>
      <c r="AI755" s="5"/>
      <c r="AJ755" s="19"/>
      <c r="AK755" s="19"/>
      <c r="AL755" s="19"/>
      <c r="AM755" s="19"/>
      <c r="AN755" s="19"/>
    </row>
    <row r="756" spans="18:40" x14ac:dyDescent="0.2">
      <c r="R756" s="5"/>
      <c r="S756" s="5"/>
      <c r="T756" s="5"/>
      <c r="U756" s="5"/>
      <c r="V756" s="5"/>
      <c r="W756" s="5"/>
      <c r="X756" s="5"/>
      <c r="Y756" s="5"/>
      <c r="Z756" s="5"/>
      <c r="AA756" s="5"/>
      <c r="AB756" s="5"/>
      <c r="AC756" s="5"/>
      <c r="AD756" s="5"/>
      <c r="AE756" s="5"/>
      <c r="AF756" s="5"/>
      <c r="AG756" s="5"/>
      <c r="AH756" s="5"/>
      <c r="AI756" s="5"/>
      <c r="AJ756" s="19"/>
      <c r="AK756" s="19"/>
      <c r="AL756" s="19"/>
      <c r="AM756" s="19"/>
      <c r="AN756" s="19"/>
    </row>
    <row r="757" spans="18:40" x14ac:dyDescent="0.2">
      <c r="R757" s="5"/>
      <c r="S757" s="5"/>
      <c r="T757" s="5"/>
      <c r="U757" s="5"/>
      <c r="V757" s="5"/>
      <c r="W757" s="5"/>
      <c r="X757" s="5"/>
      <c r="Y757" s="5"/>
      <c r="Z757" s="5"/>
      <c r="AA757" s="5"/>
      <c r="AB757" s="5"/>
      <c r="AC757" s="5"/>
      <c r="AD757" s="5"/>
      <c r="AE757" s="5"/>
      <c r="AF757" s="5"/>
      <c r="AG757" s="5"/>
      <c r="AH757" s="5"/>
      <c r="AI757" s="5"/>
      <c r="AJ757" s="19"/>
      <c r="AK757" s="19"/>
      <c r="AL757" s="19"/>
      <c r="AM757" s="19"/>
      <c r="AN757" s="19"/>
    </row>
    <row r="758" spans="18:40" x14ac:dyDescent="0.2">
      <c r="R758" s="5"/>
      <c r="S758" s="5"/>
      <c r="T758" s="5"/>
      <c r="U758" s="5"/>
      <c r="V758" s="5"/>
      <c r="W758" s="5"/>
      <c r="X758" s="5"/>
      <c r="Y758" s="5"/>
      <c r="Z758" s="5"/>
      <c r="AA758" s="5"/>
      <c r="AB758" s="5"/>
      <c r="AC758" s="5"/>
      <c r="AD758" s="5"/>
      <c r="AE758" s="5"/>
      <c r="AF758" s="5"/>
      <c r="AG758" s="5"/>
      <c r="AH758" s="5"/>
      <c r="AI758" s="5"/>
      <c r="AJ758" s="19"/>
      <c r="AK758" s="19"/>
      <c r="AL758" s="19"/>
      <c r="AM758" s="19"/>
      <c r="AN758" s="19"/>
    </row>
    <row r="759" spans="18:40" x14ac:dyDescent="0.2">
      <c r="R759" s="5"/>
      <c r="S759" s="5"/>
      <c r="T759" s="5"/>
      <c r="U759" s="5"/>
      <c r="V759" s="5"/>
      <c r="W759" s="5"/>
      <c r="X759" s="5"/>
      <c r="Y759" s="5"/>
      <c r="Z759" s="5"/>
      <c r="AA759" s="5"/>
      <c r="AB759" s="5"/>
      <c r="AC759" s="5"/>
      <c r="AD759" s="5"/>
      <c r="AE759" s="5"/>
      <c r="AF759" s="5"/>
      <c r="AG759" s="5"/>
      <c r="AH759" s="5"/>
      <c r="AI759" s="5"/>
      <c r="AJ759" s="19"/>
      <c r="AK759" s="19"/>
      <c r="AL759" s="19"/>
      <c r="AM759" s="19"/>
      <c r="AN759" s="19"/>
    </row>
    <row r="760" spans="18:40" x14ac:dyDescent="0.2">
      <c r="R760" s="5"/>
      <c r="S760" s="5"/>
      <c r="T760" s="5"/>
      <c r="U760" s="5"/>
      <c r="V760" s="5"/>
      <c r="W760" s="5"/>
      <c r="X760" s="5"/>
      <c r="Y760" s="5"/>
      <c r="Z760" s="5"/>
      <c r="AA760" s="5"/>
      <c r="AB760" s="5"/>
      <c r="AC760" s="5"/>
      <c r="AD760" s="5"/>
      <c r="AE760" s="5"/>
      <c r="AF760" s="5"/>
      <c r="AG760" s="5"/>
      <c r="AH760" s="5"/>
      <c r="AI760" s="5"/>
      <c r="AJ760" s="19"/>
      <c r="AK760" s="19"/>
      <c r="AL760" s="19"/>
      <c r="AM760" s="19"/>
      <c r="AN760" s="19"/>
    </row>
    <row r="761" spans="18:40" x14ac:dyDescent="0.2">
      <c r="R761" s="5"/>
      <c r="S761" s="5"/>
      <c r="T761" s="5"/>
      <c r="U761" s="5"/>
      <c r="V761" s="5"/>
      <c r="W761" s="5"/>
      <c r="X761" s="5"/>
      <c r="Y761" s="5"/>
      <c r="Z761" s="5"/>
      <c r="AA761" s="5"/>
      <c r="AB761" s="5"/>
      <c r="AC761" s="5"/>
      <c r="AD761" s="5"/>
      <c r="AE761" s="5"/>
      <c r="AF761" s="5"/>
      <c r="AG761" s="5"/>
      <c r="AH761" s="5"/>
      <c r="AI761" s="5"/>
      <c r="AJ761" s="19"/>
      <c r="AK761" s="19"/>
      <c r="AL761" s="19"/>
      <c r="AM761" s="19"/>
      <c r="AN761" s="19"/>
    </row>
    <row r="762" spans="18:40" x14ac:dyDescent="0.2">
      <c r="R762" s="5"/>
      <c r="S762" s="5"/>
      <c r="T762" s="5"/>
      <c r="U762" s="5"/>
      <c r="V762" s="5"/>
      <c r="W762" s="5"/>
      <c r="X762" s="5"/>
      <c r="Y762" s="5"/>
      <c r="Z762" s="5"/>
      <c r="AA762" s="5"/>
      <c r="AB762" s="5"/>
      <c r="AC762" s="5"/>
      <c r="AD762" s="5"/>
      <c r="AE762" s="5"/>
      <c r="AF762" s="5"/>
      <c r="AG762" s="5"/>
      <c r="AH762" s="5"/>
      <c r="AI762" s="5"/>
      <c r="AJ762" s="19"/>
      <c r="AK762" s="19"/>
      <c r="AL762" s="19"/>
      <c r="AM762" s="19"/>
      <c r="AN762" s="19"/>
    </row>
    <row r="763" spans="18:40" x14ac:dyDescent="0.2">
      <c r="R763" s="5"/>
      <c r="S763" s="5"/>
      <c r="T763" s="5"/>
      <c r="U763" s="5"/>
      <c r="V763" s="5"/>
      <c r="W763" s="5"/>
      <c r="X763" s="5"/>
      <c r="Y763" s="5"/>
      <c r="Z763" s="5"/>
      <c r="AA763" s="5"/>
      <c r="AB763" s="5"/>
      <c r="AC763" s="5"/>
      <c r="AD763" s="5"/>
      <c r="AE763" s="5"/>
      <c r="AF763" s="5"/>
      <c r="AG763" s="5"/>
      <c r="AH763" s="5"/>
      <c r="AI763" s="5"/>
      <c r="AJ763" s="19"/>
      <c r="AK763" s="19"/>
      <c r="AL763" s="19"/>
      <c r="AM763" s="19"/>
      <c r="AN763" s="19"/>
    </row>
    <row r="764" spans="18:40" x14ac:dyDescent="0.2">
      <c r="R764" s="5"/>
      <c r="S764" s="5"/>
      <c r="T764" s="5"/>
      <c r="U764" s="5"/>
      <c r="V764" s="5"/>
      <c r="W764" s="5"/>
      <c r="X764" s="5"/>
      <c r="Y764" s="5"/>
      <c r="Z764" s="5"/>
      <c r="AA764" s="5"/>
      <c r="AB764" s="5"/>
      <c r="AC764" s="5"/>
      <c r="AD764" s="5"/>
      <c r="AE764" s="5"/>
      <c r="AF764" s="5"/>
      <c r="AG764" s="5"/>
      <c r="AH764" s="5"/>
      <c r="AI764" s="5"/>
      <c r="AJ764" s="19"/>
      <c r="AK764" s="19"/>
      <c r="AL764" s="19"/>
      <c r="AM764" s="19"/>
      <c r="AN764" s="19"/>
    </row>
    <row r="765" spans="18:40" x14ac:dyDescent="0.2">
      <c r="R765" s="5"/>
      <c r="S765" s="5"/>
      <c r="T765" s="5"/>
      <c r="U765" s="5"/>
      <c r="V765" s="5"/>
      <c r="W765" s="5"/>
      <c r="X765" s="5"/>
      <c r="Y765" s="5"/>
      <c r="Z765" s="5"/>
      <c r="AA765" s="5"/>
      <c r="AB765" s="5"/>
      <c r="AC765" s="5"/>
      <c r="AD765" s="5"/>
      <c r="AE765" s="5"/>
      <c r="AF765" s="5"/>
      <c r="AG765" s="5"/>
      <c r="AH765" s="5"/>
      <c r="AI765" s="5"/>
      <c r="AJ765" s="19"/>
      <c r="AK765" s="19"/>
      <c r="AL765" s="19"/>
      <c r="AM765" s="19"/>
      <c r="AN765" s="19"/>
    </row>
    <row r="766" spans="18:40" x14ac:dyDescent="0.2">
      <c r="R766" s="5"/>
      <c r="S766" s="5"/>
      <c r="T766" s="5"/>
      <c r="U766" s="5"/>
      <c r="V766" s="5"/>
      <c r="W766" s="5"/>
      <c r="X766" s="5"/>
      <c r="Y766" s="5"/>
      <c r="Z766" s="5"/>
      <c r="AA766" s="5"/>
      <c r="AB766" s="5"/>
      <c r="AC766" s="5"/>
      <c r="AD766" s="5"/>
      <c r="AE766" s="5"/>
      <c r="AF766" s="5"/>
      <c r="AG766" s="5"/>
      <c r="AH766" s="5"/>
      <c r="AI766" s="5"/>
      <c r="AJ766" s="19"/>
      <c r="AK766" s="19"/>
      <c r="AL766" s="19"/>
      <c r="AM766" s="19"/>
      <c r="AN766" s="19"/>
    </row>
    <row r="767" spans="18:40" x14ac:dyDescent="0.2">
      <c r="R767" s="5"/>
      <c r="S767" s="5"/>
      <c r="T767" s="5"/>
      <c r="U767" s="5"/>
      <c r="V767" s="5"/>
      <c r="W767" s="5"/>
      <c r="X767" s="5"/>
      <c r="Y767" s="5"/>
      <c r="Z767" s="5"/>
      <c r="AA767" s="5"/>
      <c r="AB767" s="5"/>
      <c r="AC767" s="5"/>
      <c r="AD767" s="5"/>
      <c r="AE767" s="5"/>
      <c r="AF767" s="5"/>
      <c r="AG767" s="5"/>
      <c r="AH767" s="5"/>
      <c r="AI767" s="5"/>
      <c r="AJ767" s="19"/>
      <c r="AK767" s="19"/>
      <c r="AL767" s="19"/>
      <c r="AM767" s="19"/>
      <c r="AN767" s="19"/>
    </row>
    <row r="768" spans="18:40" x14ac:dyDescent="0.2">
      <c r="R768" s="5"/>
      <c r="S768" s="5"/>
      <c r="T768" s="5"/>
      <c r="U768" s="5"/>
      <c r="V768" s="5"/>
      <c r="W768" s="5"/>
      <c r="X768" s="5"/>
      <c r="Y768" s="5"/>
      <c r="Z768" s="5"/>
      <c r="AA768" s="5"/>
      <c r="AB768" s="5"/>
      <c r="AC768" s="5"/>
      <c r="AD768" s="5"/>
      <c r="AE768" s="5"/>
      <c r="AF768" s="5"/>
      <c r="AG768" s="5"/>
      <c r="AH768" s="5"/>
      <c r="AI768" s="5"/>
      <c r="AJ768" s="19"/>
      <c r="AK768" s="19"/>
      <c r="AL768" s="19"/>
      <c r="AM768" s="19"/>
      <c r="AN768" s="19"/>
    </row>
    <row r="769" spans="18:40" x14ac:dyDescent="0.2">
      <c r="R769" s="5"/>
      <c r="S769" s="5"/>
      <c r="T769" s="5"/>
      <c r="U769" s="5"/>
      <c r="V769" s="5"/>
      <c r="W769" s="5"/>
      <c r="X769" s="5"/>
      <c r="Y769" s="5"/>
      <c r="Z769" s="5"/>
      <c r="AA769" s="5"/>
      <c r="AB769" s="5"/>
      <c r="AC769" s="5"/>
      <c r="AD769" s="5"/>
      <c r="AE769" s="5"/>
      <c r="AF769" s="5"/>
      <c r="AG769" s="5"/>
      <c r="AH769" s="5"/>
      <c r="AI769" s="5"/>
      <c r="AJ769" s="19"/>
      <c r="AK769" s="19"/>
      <c r="AL769" s="19"/>
      <c r="AM769" s="19"/>
      <c r="AN769" s="19"/>
    </row>
    <row r="770" spans="18:40" x14ac:dyDescent="0.2">
      <c r="R770" s="5"/>
      <c r="S770" s="5"/>
      <c r="T770" s="5"/>
      <c r="U770" s="5"/>
      <c r="V770" s="5"/>
      <c r="W770" s="5"/>
      <c r="X770" s="5"/>
      <c r="Y770" s="5"/>
      <c r="Z770" s="5"/>
      <c r="AA770" s="5"/>
      <c r="AB770" s="5"/>
      <c r="AC770" s="5"/>
      <c r="AD770" s="5"/>
      <c r="AE770" s="5"/>
      <c r="AF770" s="5"/>
      <c r="AG770" s="5"/>
      <c r="AH770" s="5"/>
      <c r="AI770" s="5"/>
      <c r="AJ770" s="19"/>
      <c r="AK770" s="19"/>
      <c r="AL770" s="19"/>
      <c r="AM770" s="19"/>
      <c r="AN770" s="19"/>
    </row>
    <row r="771" spans="18:40" x14ac:dyDescent="0.2">
      <c r="R771" s="5"/>
      <c r="S771" s="5"/>
      <c r="T771" s="5"/>
      <c r="U771" s="5"/>
      <c r="V771" s="5"/>
      <c r="W771" s="5"/>
      <c r="X771" s="5"/>
      <c r="Y771" s="5"/>
      <c r="Z771" s="5"/>
      <c r="AA771" s="5"/>
      <c r="AB771" s="5"/>
      <c r="AC771" s="5"/>
      <c r="AD771" s="5"/>
      <c r="AE771" s="5"/>
      <c r="AF771" s="5"/>
      <c r="AG771" s="5"/>
      <c r="AH771" s="5"/>
      <c r="AI771" s="5"/>
      <c r="AJ771" s="19"/>
      <c r="AK771" s="19"/>
      <c r="AL771" s="19"/>
      <c r="AM771" s="19"/>
      <c r="AN771" s="19"/>
    </row>
    <row r="772" spans="18:40" x14ac:dyDescent="0.2">
      <c r="R772" s="5"/>
      <c r="S772" s="5"/>
      <c r="T772" s="5"/>
      <c r="U772" s="5"/>
      <c r="V772" s="5"/>
      <c r="W772" s="5"/>
      <c r="X772" s="5"/>
      <c r="Y772" s="5"/>
      <c r="Z772" s="5"/>
      <c r="AA772" s="5"/>
      <c r="AB772" s="5"/>
      <c r="AC772" s="5"/>
      <c r="AD772" s="5"/>
      <c r="AE772" s="5"/>
      <c r="AF772" s="5"/>
      <c r="AG772" s="5"/>
      <c r="AH772" s="5"/>
      <c r="AI772" s="5"/>
      <c r="AJ772" s="19"/>
      <c r="AK772" s="19"/>
      <c r="AL772" s="19"/>
      <c r="AM772" s="19"/>
      <c r="AN772" s="19"/>
    </row>
    <row r="773" spans="18:40" x14ac:dyDescent="0.2">
      <c r="R773" s="5"/>
      <c r="S773" s="5"/>
      <c r="T773" s="5"/>
      <c r="U773" s="5"/>
      <c r="V773" s="5"/>
      <c r="W773" s="5"/>
      <c r="X773" s="5"/>
      <c r="Y773" s="5"/>
      <c r="Z773" s="5"/>
      <c r="AA773" s="5"/>
      <c r="AB773" s="5"/>
      <c r="AC773" s="5"/>
      <c r="AD773" s="5"/>
      <c r="AE773" s="5"/>
      <c r="AF773" s="5"/>
      <c r="AG773" s="5"/>
      <c r="AH773" s="5"/>
      <c r="AI773" s="5"/>
      <c r="AJ773" s="19"/>
      <c r="AK773" s="19"/>
      <c r="AL773" s="19"/>
      <c r="AM773" s="19"/>
      <c r="AN773" s="19"/>
    </row>
    <row r="774" spans="18:40" x14ac:dyDescent="0.2">
      <c r="R774" s="5"/>
      <c r="S774" s="5"/>
      <c r="T774" s="5"/>
      <c r="U774" s="5"/>
      <c r="V774" s="5"/>
      <c r="W774" s="5"/>
      <c r="X774" s="5"/>
      <c r="Y774" s="5"/>
      <c r="Z774" s="5"/>
      <c r="AA774" s="5"/>
      <c r="AB774" s="5"/>
      <c r="AC774" s="5"/>
      <c r="AD774" s="5"/>
      <c r="AE774" s="5"/>
      <c r="AF774" s="5"/>
      <c r="AG774" s="5"/>
      <c r="AH774" s="5"/>
      <c r="AI774" s="5"/>
      <c r="AJ774" s="19"/>
      <c r="AK774" s="19"/>
      <c r="AL774" s="19"/>
      <c r="AM774" s="19"/>
      <c r="AN774" s="19"/>
    </row>
    <row r="775" spans="18:40" x14ac:dyDescent="0.2">
      <c r="R775" s="5"/>
      <c r="S775" s="5"/>
      <c r="T775" s="5"/>
      <c r="U775" s="5"/>
      <c r="V775" s="5"/>
      <c r="W775" s="5"/>
      <c r="X775" s="5"/>
      <c r="Y775" s="5"/>
      <c r="Z775" s="5"/>
      <c r="AA775" s="5"/>
      <c r="AB775" s="5"/>
      <c r="AC775" s="5"/>
      <c r="AD775" s="5"/>
      <c r="AE775" s="5"/>
      <c r="AF775" s="5"/>
      <c r="AG775" s="5"/>
      <c r="AH775" s="5"/>
      <c r="AI775" s="5"/>
      <c r="AJ775" s="19"/>
      <c r="AK775" s="19"/>
      <c r="AL775" s="19"/>
      <c r="AM775" s="19"/>
      <c r="AN775" s="19"/>
    </row>
    <row r="776" spans="18:40" x14ac:dyDescent="0.2">
      <c r="R776" s="5"/>
      <c r="S776" s="5"/>
      <c r="T776" s="5"/>
      <c r="U776" s="5"/>
      <c r="V776" s="5"/>
      <c r="W776" s="5"/>
      <c r="X776" s="5"/>
      <c r="Y776" s="5"/>
      <c r="Z776" s="5"/>
      <c r="AA776" s="5"/>
      <c r="AB776" s="5"/>
      <c r="AC776" s="5"/>
      <c r="AD776" s="5"/>
      <c r="AE776" s="5"/>
      <c r="AF776" s="5"/>
      <c r="AG776" s="5"/>
      <c r="AH776" s="5"/>
      <c r="AI776" s="5"/>
      <c r="AJ776" s="19"/>
      <c r="AK776" s="19"/>
      <c r="AL776" s="19"/>
      <c r="AM776" s="19"/>
      <c r="AN776" s="19"/>
    </row>
    <row r="777" spans="18:40" x14ac:dyDescent="0.2">
      <c r="R777" s="5"/>
      <c r="S777" s="5"/>
      <c r="T777" s="5"/>
      <c r="U777" s="5"/>
      <c r="V777" s="5"/>
      <c r="W777" s="5"/>
      <c r="X777" s="5"/>
      <c r="Y777" s="5"/>
      <c r="Z777" s="5"/>
      <c r="AA777" s="5"/>
      <c r="AB777" s="5"/>
      <c r="AC777" s="5"/>
      <c r="AD777" s="5"/>
      <c r="AE777" s="5"/>
      <c r="AF777" s="5"/>
      <c r="AG777" s="5"/>
      <c r="AH777" s="5"/>
      <c r="AI777" s="5"/>
      <c r="AJ777" s="19"/>
      <c r="AK777" s="19"/>
      <c r="AL777" s="19"/>
      <c r="AM777" s="19"/>
      <c r="AN777" s="19"/>
    </row>
    <row r="778" spans="18:40" x14ac:dyDescent="0.2">
      <c r="R778" s="5"/>
      <c r="S778" s="5"/>
      <c r="T778" s="5"/>
      <c r="U778" s="5"/>
      <c r="V778" s="5"/>
      <c r="W778" s="5"/>
      <c r="X778" s="5"/>
      <c r="Y778" s="5"/>
      <c r="Z778" s="5"/>
      <c r="AA778" s="5"/>
      <c r="AB778" s="5"/>
      <c r="AC778" s="5"/>
      <c r="AD778" s="5"/>
      <c r="AE778" s="5"/>
      <c r="AF778" s="5"/>
      <c r="AG778" s="5"/>
      <c r="AH778" s="5"/>
      <c r="AI778" s="5"/>
      <c r="AJ778" s="19"/>
      <c r="AK778" s="19"/>
      <c r="AL778" s="19"/>
      <c r="AM778" s="19"/>
      <c r="AN778" s="19"/>
    </row>
    <row r="779" spans="18:40" x14ac:dyDescent="0.2">
      <c r="R779" s="5"/>
      <c r="S779" s="5"/>
      <c r="T779" s="5"/>
      <c r="U779" s="5"/>
      <c r="V779" s="5"/>
      <c r="W779" s="5"/>
      <c r="X779" s="5"/>
      <c r="Y779" s="5"/>
      <c r="Z779" s="5"/>
      <c r="AA779" s="5"/>
      <c r="AB779" s="5"/>
      <c r="AC779" s="5"/>
      <c r="AD779" s="5"/>
      <c r="AE779" s="5"/>
      <c r="AF779" s="5"/>
      <c r="AG779" s="5"/>
      <c r="AH779" s="5"/>
      <c r="AI779" s="5"/>
      <c r="AJ779" s="19"/>
      <c r="AK779" s="19"/>
      <c r="AL779" s="19"/>
      <c r="AM779" s="19"/>
      <c r="AN779" s="19"/>
    </row>
    <row r="780" spans="18:40" x14ac:dyDescent="0.2">
      <c r="R780" s="5"/>
      <c r="S780" s="5"/>
      <c r="T780" s="5"/>
      <c r="U780" s="5"/>
      <c r="V780" s="5"/>
      <c r="W780" s="5"/>
      <c r="X780" s="5"/>
      <c r="Y780" s="5"/>
      <c r="Z780" s="5"/>
      <c r="AA780" s="5"/>
      <c r="AB780" s="5"/>
      <c r="AC780" s="5"/>
      <c r="AD780" s="5"/>
      <c r="AE780" s="5"/>
      <c r="AF780" s="5"/>
      <c r="AG780" s="5"/>
      <c r="AH780" s="5"/>
      <c r="AI780" s="5"/>
      <c r="AJ780" s="19"/>
      <c r="AK780" s="19"/>
      <c r="AL780" s="19"/>
      <c r="AM780" s="19"/>
      <c r="AN780" s="19"/>
    </row>
    <row r="781" spans="18:40" x14ac:dyDescent="0.2">
      <c r="R781" s="5"/>
      <c r="S781" s="5"/>
      <c r="T781" s="5"/>
      <c r="U781" s="5"/>
      <c r="V781" s="5"/>
      <c r="W781" s="5"/>
      <c r="X781" s="5"/>
      <c r="Y781" s="5"/>
      <c r="Z781" s="5"/>
      <c r="AA781" s="5"/>
      <c r="AB781" s="5"/>
      <c r="AC781" s="5"/>
      <c r="AD781" s="5"/>
      <c r="AE781" s="5"/>
      <c r="AF781" s="5"/>
      <c r="AG781" s="5"/>
      <c r="AH781" s="5"/>
      <c r="AI781" s="5"/>
      <c r="AJ781" s="19"/>
      <c r="AK781" s="19"/>
      <c r="AL781" s="19"/>
      <c r="AM781" s="19"/>
      <c r="AN781" s="19"/>
    </row>
    <row r="782" spans="18:40" x14ac:dyDescent="0.2">
      <c r="R782" s="5"/>
      <c r="S782" s="5"/>
      <c r="T782" s="5"/>
      <c r="U782" s="5"/>
      <c r="V782" s="5"/>
      <c r="W782" s="5"/>
      <c r="X782" s="5"/>
      <c r="Y782" s="5"/>
      <c r="Z782" s="5"/>
      <c r="AA782" s="5"/>
      <c r="AB782" s="5"/>
      <c r="AC782" s="5"/>
      <c r="AD782" s="5"/>
      <c r="AE782" s="5"/>
      <c r="AF782" s="5"/>
      <c r="AG782" s="5"/>
      <c r="AH782" s="5"/>
      <c r="AI782" s="5"/>
      <c r="AJ782" s="19"/>
      <c r="AK782" s="19"/>
      <c r="AL782" s="19"/>
      <c r="AM782" s="19"/>
      <c r="AN782" s="19"/>
    </row>
    <row r="783" spans="18:40" x14ac:dyDescent="0.2">
      <c r="R783" s="5"/>
      <c r="S783" s="5"/>
      <c r="T783" s="5"/>
      <c r="U783" s="5"/>
      <c r="V783" s="5"/>
      <c r="W783" s="5"/>
      <c r="X783" s="5"/>
      <c r="Y783" s="5"/>
      <c r="Z783" s="5"/>
      <c r="AA783" s="5"/>
      <c r="AB783" s="5"/>
      <c r="AC783" s="5"/>
      <c r="AD783" s="5"/>
      <c r="AE783" s="5"/>
      <c r="AF783" s="5"/>
      <c r="AG783" s="5"/>
      <c r="AH783" s="5"/>
      <c r="AI783" s="5"/>
      <c r="AJ783" s="19"/>
      <c r="AK783" s="19"/>
      <c r="AL783" s="19"/>
      <c r="AM783" s="19"/>
      <c r="AN783" s="19"/>
    </row>
    <row r="784" spans="18:40" x14ac:dyDescent="0.2">
      <c r="R784" s="5"/>
      <c r="S784" s="5"/>
      <c r="T784" s="5"/>
      <c r="U784" s="5"/>
      <c r="V784" s="5"/>
      <c r="W784" s="5"/>
      <c r="X784" s="5"/>
      <c r="Y784" s="5"/>
      <c r="Z784" s="5"/>
      <c r="AA784" s="5"/>
      <c r="AB784" s="5"/>
      <c r="AC784" s="5"/>
      <c r="AD784" s="5"/>
      <c r="AE784" s="5"/>
      <c r="AF784" s="5"/>
      <c r="AG784" s="5"/>
      <c r="AH784" s="5"/>
      <c r="AI784" s="5"/>
      <c r="AJ784" s="19"/>
      <c r="AK784" s="19"/>
      <c r="AL784" s="19"/>
      <c r="AM784" s="19"/>
      <c r="AN784" s="19"/>
    </row>
    <row r="785" spans="18:40" x14ac:dyDescent="0.2">
      <c r="R785" s="5"/>
      <c r="S785" s="5"/>
      <c r="T785" s="5"/>
      <c r="U785" s="5"/>
      <c r="V785" s="5"/>
      <c r="W785" s="5"/>
      <c r="X785" s="5"/>
      <c r="Y785" s="5"/>
      <c r="Z785" s="5"/>
      <c r="AA785" s="5"/>
      <c r="AB785" s="5"/>
      <c r="AC785" s="5"/>
      <c r="AD785" s="5"/>
      <c r="AE785" s="5"/>
      <c r="AF785" s="5"/>
      <c r="AG785" s="5"/>
      <c r="AH785" s="5"/>
      <c r="AI785" s="5"/>
      <c r="AJ785" s="19"/>
      <c r="AK785" s="19"/>
      <c r="AL785" s="19"/>
      <c r="AM785" s="19"/>
      <c r="AN785" s="19"/>
    </row>
    <row r="786" spans="18:40" x14ac:dyDescent="0.2">
      <c r="R786" s="5"/>
      <c r="S786" s="5"/>
      <c r="T786" s="5"/>
      <c r="U786" s="5"/>
      <c r="V786" s="5"/>
      <c r="W786" s="5"/>
      <c r="X786" s="5"/>
      <c r="Y786" s="5"/>
      <c r="Z786" s="5"/>
      <c r="AA786" s="5"/>
      <c r="AB786" s="5"/>
      <c r="AC786" s="5"/>
      <c r="AD786" s="5"/>
      <c r="AE786" s="5"/>
      <c r="AF786" s="5"/>
      <c r="AG786" s="5"/>
      <c r="AH786" s="5"/>
      <c r="AI786" s="5"/>
      <c r="AJ786" s="19"/>
      <c r="AK786" s="19"/>
      <c r="AL786" s="19"/>
      <c r="AM786" s="19"/>
      <c r="AN786" s="19"/>
    </row>
    <row r="787" spans="18:40" x14ac:dyDescent="0.2">
      <c r="R787" s="5"/>
      <c r="S787" s="5"/>
      <c r="T787" s="5"/>
      <c r="U787" s="5"/>
      <c r="V787" s="5"/>
      <c r="W787" s="5"/>
      <c r="X787" s="5"/>
      <c r="Y787" s="5"/>
      <c r="Z787" s="5"/>
      <c r="AA787" s="5"/>
      <c r="AB787" s="5"/>
      <c r="AC787" s="5"/>
      <c r="AD787" s="5"/>
      <c r="AE787" s="5"/>
      <c r="AF787" s="5"/>
      <c r="AG787" s="5"/>
      <c r="AH787" s="5"/>
      <c r="AI787" s="5"/>
      <c r="AJ787" s="19"/>
      <c r="AK787" s="19"/>
      <c r="AL787" s="19"/>
      <c r="AM787" s="19"/>
      <c r="AN787" s="19"/>
    </row>
    <row r="788" spans="18:40" x14ac:dyDescent="0.2">
      <c r="R788" s="5"/>
      <c r="S788" s="5"/>
      <c r="T788" s="5"/>
      <c r="U788" s="5"/>
      <c r="V788" s="5"/>
      <c r="W788" s="5"/>
      <c r="X788" s="5"/>
      <c r="Y788" s="5"/>
      <c r="Z788" s="5"/>
      <c r="AA788" s="5"/>
      <c r="AB788" s="5"/>
      <c r="AC788" s="5"/>
      <c r="AD788" s="5"/>
      <c r="AE788" s="5"/>
      <c r="AF788" s="5"/>
      <c r="AG788" s="5"/>
      <c r="AH788" s="5"/>
      <c r="AI788" s="5"/>
      <c r="AJ788" s="19"/>
      <c r="AK788" s="19"/>
      <c r="AL788" s="19"/>
      <c r="AM788" s="19"/>
      <c r="AN788" s="19"/>
    </row>
    <row r="789" spans="18:40" x14ac:dyDescent="0.2">
      <c r="R789" s="5"/>
      <c r="S789" s="5"/>
      <c r="T789" s="5"/>
      <c r="U789" s="5"/>
      <c r="V789" s="5"/>
      <c r="W789" s="5"/>
      <c r="X789" s="5"/>
      <c r="Y789" s="5"/>
      <c r="Z789" s="5"/>
      <c r="AA789" s="5"/>
      <c r="AB789" s="5"/>
      <c r="AC789" s="5"/>
      <c r="AD789" s="5"/>
      <c r="AE789" s="5"/>
      <c r="AF789" s="5"/>
      <c r="AG789" s="5"/>
      <c r="AH789" s="5"/>
      <c r="AI789" s="5"/>
      <c r="AJ789" s="19"/>
      <c r="AK789" s="19"/>
      <c r="AL789" s="19"/>
      <c r="AM789" s="19"/>
      <c r="AN789" s="19"/>
    </row>
    <row r="790" spans="18:40" x14ac:dyDescent="0.2">
      <c r="R790" s="5"/>
      <c r="S790" s="5"/>
      <c r="T790" s="5"/>
      <c r="U790" s="5"/>
      <c r="V790" s="5"/>
      <c r="W790" s="5"/>
      <c r="X790" s="5"/>
      <c r="Y790" s="5"/>
      <c r="Z790" s="5"/>
      <c r="AA790" s="5"/>
      <c r="AB790" s="5"/>
      <c r="AC790" s="5"/>
      <c r="AD790" s="5"/>
      <c r="AE790" s="5"/>
      <c r="AF790" s="5"/>
      <c r="AG790" s="5"/>
      <c r="AH790" s="5"/>
      <c r="AI790" s="5"/>
      <c r="AJ790" s="19"/>
      <c r="AK790" s="19"/>
      <c r="AL790" s="19"/>
      <c r="AM790" s="19"/>
      <c r="AN790" s="19"/>
    </row>
    <row r="791" spans="18:40" x14ac:dyDescent="0.2">
      <c r="R791" s="5"/>
      <c r="S791" s="5"/>
      <c r="T791" s="5"/>
      <c r="U791" s="5"/>
      <c r="V791" s="5"/>
      <c r="W791" s="5"/>
      <c r="X791" s="5"/>
      <c r="Y791" s="5"/>
      <c r="Z791" s="5"/>
      <c r="AA791" s="5"/>
      <c r="AB791" s="5"/>
      <c r="AC791" s="5"/>
      <c r="AD791" s="5"/>
      <c r="AE791" s="5"/>
      <c r="AF791" s="5"/>
      <c r="AG791" s="5"/>
      <c r="AH791" s="5"/>
      <c r="AI791" s="5"/>
      <c r="AJ791" s="19"/>
      <c r="AK791" s="19"/>
      <c r="AL791" s="19"/>
      <c r="AM791" s="19"/>
      <c r="AN791" s="19"/>
    </row>
    <row r="792" spans="18:40" x14ac:dyDescent="0.2">
      <c r="R792" s="5"/>
      <c r="S792" s="5"/>
      <c r="T792" s="5"/>
      <c r="U792" s="5"/>
      <c r="V792" s="5"/>
      <c r="W792" s="5"/>
      <c r="X792" s="5"/>
      <c r="Y792" s="5"/>
      <c r="Z792" s="5"/>
      <c r="AA792" s="5"/>
      <c r="AB792" s="5"/>
      <c r="AC792" s="5"/>
      <c r="AD792" s="5"/>
      <c r="AE792" s="5"/>
      <c r="AF792" s="5"/>
      <c r="AG792" s="5"/>
      <c r="AH792" s="5"/>
      <c r="AI792" s="5"/>
      <c r="AJ792" s="19"/>
      <c r="AK792" s="19"/>
      <c r="AL792" s="19"/>
      <c r="AM792" s="19"/>
      <c r="AN792" s="19"/>
    </row>
    <row r="793" spans="18:40" x14ac:dyDescent="0.2">
      <c r="R793" s="5"/>
      <c r="S793" s="5"/>
      <c r="T793" s="5"/>
      <c r="U793" s="5"/>
      <c r="V793" s="5"/>
      <c r="W793" s="5"/>
      <c r="X793" s="5"/>
      <c r="Y793" s="5"/>
      <c r="Z793" s="5"/>
      <c r="AA793" s="5"/>
      <c r="AB793" s="5"/>
      <c r="AC793" s="5"/>
      <c r="AD793" s="5"/>
      <c r="AE793" s="5"/>
      <c r="AF793" s="5"/>
      <c r="AG793" s="5"/>
      <c r="AH793" s="5"/>
      <c r="AI793" s="5"/>
      <c r="AJ793" s="19"/>
      <c r="AK793" s="19"/>
      <c r="AL793" s="19"/>
      <c r="AM793" s="19"/>
      <c r="AN793" s="19"/>
    </row>
    <row r="794" spans="18:40" x14ac:dyDescent="0.2">
      <c r="R794" s="5"/>
      <c r="S794" s="5"/>
      <c r="T794" s="5"/>
      <c r="U794" s="5"/>
      <c r="V794" s="5"/>
      <c r="W794" s="5"/>
      <c r="X794" s="5"/>
      <c r="Y794" s="5"/>
      <c r="Z794" s="5"/>
      <c r="AA794" s="5"/>
      <c r="AB794" s="5"/>
      <c r="AC794" s="5"/>
      <c r="AD794" s="5"/>
      <c r="AE794" s="5"/>
      <c r="AF794" s="5"/>
      <c r="AG794" s="5"/>
      <c r="AH794" s="5"/>
      <c r="AI794" s="5"/>
      <c r="AJ794" s="19"/>
      <c r="AK794" s="19"/>
      <c r="AL794" s="19"/>
      <c r="AM794" s="19"/>
      <c r="AN794" s="19"/>
    </row>
    <row r="795" spans="18:40" x14ac:dyDescent="0.2">
      <c r="R795" s="5"/>
      <c r="S795" s="5"/>
      <c r="T795" s="5"/>
      <c r="U795" s="5"/>
      <c r="V795" s="5"/>
      <c r="W795" s="5"/>
      <c r="X795" s="5"/>
      <c r="Y795" s="5"/>
      <c r="Z795" s="5"/>
      <c r="AA795" s="5"/>
      <c r="AB795" s="5"/>
      <c r="AC795" s="5"/>
      <c r="AD795" s="5"/>
      <c r="AE795" s="5"/>
      <c r="AF795" s="5"/>
      <c r="AG795" s="5"/>
      <c r="AH795" s="5"/>
      <c r="AI795" s="5"/>
      <c r="AJ795" s="19"/>
      <c r="AK795" s="19"/>
      <c r="AL795" s="19"/>
      <c r="AM795" s="19"/>
      <c r="AN795" s="19"/>
    </row>
    <row r="796" spans="18:40" x14ac:dyDescent="0.2">
      <c r="R796" s="5"/>
      <c r="S796" s="5"/>
      <c r="T796" s="5"/>
      <c r="U796" s="5"/>
      <c r="V796" s="5"/>
      <c r="W796" s="5"/>
      <c r="X796" s="5"/>
      <c r="Y796" s="5"/>
      <c r="Z796" s="5"/>
      <c r="AA796" s="5"/>
      <c r="AB796" s="5"/>
      <c r="AC796" s="5"/>
      <c r="AD796" s="5"/>
      <c r="AE796" s="5"/>
      <c r="AF796" s="5"/>
      <c r="AG796" s="5"/>
      <c r="AH796" s="5"/>
      <c r="AI796" s="5"/>
      <c r="AJ796" s="19"/>
      <c r="AK796" s="19"/>
      <c r="AL796" s="19"/>
      <c r="AM796" s="19"/>
      <c r="AN796" s="19"/>
    </row>
    <row r="797" spans="18:40" x14ac:dyDescent="0.2">
      <c r="R797" s="5"/>
      <c r="S797" s="5"/>
      <c r="T797" s="5"/>
      <c r="U797" s="5"/>
      <c r="V797" s="5"/>
      <c r="W797" s="5"/>
      <c r="X797" s="5"/>
      <c r="Y797" s="5"/>
      <c r="Z797" s="5"/>
      <c r="AA797" s="5"/>
      <c r="AB797" s="5"/>
      <c r="AC797" s="5"/>
      <c r="AD797" s="5"/>
      <c r="AE797" s="5"/>
      <c r="AF797" s="5"/>
      <c r="AG797" s="5"/>
      <c r="AH797" s="5"/>
      <c r="AI797" s="5"/>
      <c r="AJ797" s="19"/>
      <c r="AK797" s="19"/>
      <c r="AL797" s="19"/>
      <c r="AM797" s="19"/>
      <c r="AN797" s="19"/>
    </row>
    <row r="798" spans="18:40" x14ac:dyDescent="0.2">
      <c r="R798" s="5"/>
      <c r="S798" s="5"/>
      <c r="T798" s="5"/>
      <c r="U798" s="5"/>
      <c r="V798" s="5"/>
      <c r="W798" s="5"/>
      <c r="X798" s="5"/>
      <c r="Y798" s="5"/>
      <c r="Z798" s="5"/>
      <c r="AA798" s="5"/>
      <c r="AB798" s="5"/>
      <c r="AC798" s="5"/>
      <c r="AD798" s="5"/>
      <c r="AE798" s="5"/>
      <c r="AF798" s="5"/>
      <c r="AG798" s="5"/>
      <c r="AH798" s="5"/>
      <c r="AI798" s="5"/>
      <c r="AJ798" s="19"/>
      <c r="AK798" s="19"/>
      <c r="AL798" s="19"/>
      <c r="AM798" s="19"/>
      <c r="AN798" s="19"/>
    </row>
    <row r="799" spans="18:40" x14ac:dyDescent="0.2">
      <c r="R799" s="5"/>
      <c r="S799" s="5"/>
      <c r="T799" s="5"/>
      <c r="U799" s="5"/>
      <c r="V799" s="5"/>
      <c r="W799" s="5"/>
      <c r="X799" s="5"/>
      <c r="Y799" s="5"/>
      <c r="Z799" s="5"/>
      <c r="AA799" s="5"/>
      <c r="AB799" s="5"/>
      <c r="AC799" s="5"/>
      <c r="AD799" s="5"/>
      <c r="AE799" s="5"/>
      <c r="AF799" s="5"/>
      <c r="AG799" s="5"/>
      <c r="AH799" s="5"/>
      <c r="AI799" s="5"/>
      <c r="AJ799" s="19"/>
      <c r="AK799" s="19"/>
      <c r="AL799" s="19"/>
      <c r="AM799" s="19"/>
      <c r="AN799" s="19"/>
    </row>
    <row r="800" spans="18:40" x14ac:dyDescent="0.2">
      <c r="R800" s="5"/>
      <c r="S800" s="5"/>
      <c r="T800" s="5"/>
      <c r="U800" s="5"/>
      <c r="V800" s="5"/>
      <c r="W800" s="5"/>
      <c r="X800" s="5"/>
      <c r="Y800" s="5"/>
      <c r="Z800" s="5"/>
      <c r="AA800" s="5"/>
      <c r="AB800" s="5"/>
      <c r="AC800" s="5"/>
      <c r="AD800" s="5"/>
      <c r="AE800" s="5"/>
      <c r="AF800" s="5"/>
      <c r="AG800" s="5"/>
      <c r="AH800" s="5"/>
      <c r="AI800" s="5"/>
      <c r="AJ800" s="19"/>
      <c r="AK800" s="19"/>
      <c r="AL800" s="19"/>
      <c r="AM800" s="19"/>
      <c r="AN800" s="19"/>
    </row>
    <row r="801" spans="18:40" x14ac:dyDescent="0.2">
      <c r="R801" s="5"/>
      <c r="S801" s="5"/>
      <c r="T801" s="5"/>
      <c r="U801" s="5"/>
      <c r="V801" s="5"/>
      <c r="W801" s="5"/>
      <c r="X801" s="5"/>
      <c r="Y801" s="5"/>
      <c r="Z801" s="5"/>
      <c r="AA801" s="5"/>
      <c r="AB801" s="5"/>
      <c r="AC801" s="5"/>
      <c r="AD801" s="5"/>
      <c r="AE801" s="5"/>
      <c r="AF801" s="5"/>
      <c r="AG801" s="5"/>
      <c r="AH801" s="5"/>
      <c r="AI801" s="5"/>
      <c r="AJ801" s="19"/>
      <c r="AK801" s="19"/>
      <c r="AL801" s="19"/>
      <c r="AM801" s="19"/>
      <c r="AN801" s="19"/>
    </row>
    <row r="802" spans="18:40" x14ac:dyDescent="0.2">
      <c r="R802" s="5"/>
      <c r="S802" s="5"/>
      <c r="T802" s="5"/>
      <c r="U802" s="5"/>
      <c r="V802" s="5"/>
      <c r="W802" s="5"/>
      <c r="X802" s="5"/>
      <c r="Y802" s="5"/>
      <c r="Z802" s="5"/>
      <c r="AA802" s="5"/>
      <c r="AB802" s="5"/>
      <c r="AC802" s="5"/>
      <c r="AD802" s="5"/>
      <c r="AE802" s="5"/>
      <c r="AF802" s="5"/>
      <c r="AG802" s="5"/>
      <c r="AH802" s="5"/>
      <c r="AI802" s="5"/>
      <c r="AJ802" s="19"/>
      <c r="AK802" s="19"/>
      <c r="AL802" s="19"/>
      <c r="AM802" s="19"/>
      <c r="AN802" s="19"/>
    </row>
    <row r="803" spans="18:40" x14ac:dyDescent="0.2">
      <c r="R803" s="5"/>
      <c r="S803" s="5"/>
      <c r="T803" s="5"/>
      <c r="U803" s="5"/>
      <c r="V803" s="5"/>
      <c r="W803" s="5"/>
      <c r="X803" s="5"/>
      <c r="Y803" s="5"/>
      <c r="Z803" s="5"/>
      <c r="AA803" s="5"/>
      <c r="AB803" s="5"/>
      <c r="AC803" s="5"/>
      <c r="AD803" s="5"/>
      <c r="AE803" s="5"/>
      <c r="AF803" s="5"/>
      <c r="AG803" s="5"/>
      <c r="AH803" s="5"/>
      <c r="AI803" s="5"/>
      <c r="AJ803" s="19"/>
      <c r="AK803" s="19"/>
      <c r="AL803" s="19"/>
      <c r="AM803" s="19"/>
      <c r="AN803" s="19"/>
    </row>
    <row r="804" spans="18:40" x14ac:dyDescent="0.2">
      <c r="R804" s="5"/>
      <c r="S804" s="5"/>
      <c r="T804" s="5"/>
      <c r="U804" s="5"/>
      <c r="V804" s="5"/>
      <c r="W804" s="5"/>
      <c r="X804" s="5"/>
      <c r="Y804" s="5"/>
      <c r="Z804" s="5"/>
      <c r="AA804" s="5"/>
      <c r="AB804" s="5"/>
      <c r="AC804" s="5"/>
      <c r="AD804" s="5"/>
      <c r="AE804" s="5"/>
      <c r="AF804" s="5"/>
      <c r="AG804" s="5"/>
      <c r="AH804" s="5"/>
      <c r="AI804" s="5"/>
      <c r="AJ804" s="19"/>
      <c r="AK804" s="19"/>
      <c r="AL804" s="19"/>
      <c r="AM804" s="19"/>
      <c r="AN804" s="19"/>
    </row>
    <row r="805" spans="18:40" x14ac:dyDescent="0.2">
      <c r="R805" s="5"/>
      <c r="S805" s="5"/>
      <c r="T805" s="5"/>
      <c r="U805" s="5"/>
      <c r="V805" s="5"/>
      <c r="W805" s="5"/>
      <c r="X805" s="5"/>
      <c r="Y805" s="5"/>
      <c r="Z805" s="5"/>
      <c r="AA805" s="5"/>
      <c r="AB805" s="5"/>
      <c r="AC805" s="5"/>
      <c r="AD805" s="5"/>
      <c r="AE805" s="5"/>
      <c r="AF805" s="5"/>
      <c r="AG805" s="5"/>
      <c r="AH805" s="5"/>
      <c r="AI805" s="5"/>
      <c r="AJ805" s="19"/>
      <c r="AK805" s="19"/>
      <c r="AL805" s="19"/>
      <c r="AM805" s="19"/>
      <c r="AN805" s="19"/>
    </row>
    <row r="806" spans="18:40" x14ac:dyDescent="0.2">
      <c r="R806" s="5"/>
      <c r="S806" s="5"/>
      <c r="T806" s="5"/>
      <c r="U806" s="5"/>
      <c r="V806" s="5"/>
      <c r="W806" s="5"/>
      <c r="X806" s="5"/>
      <c r="Y806" s="5"/>
      <c r="Z806" s="5"/>
      <c r="AA806" s="5"/>
      <c r="AB806" s="5"/>
      <c r="AC806" s="5"/>
      <c r="AD806" s="5"/>
      <c r="AE806" s="5"/>
      <c r="AF806" s="5"/>
      <c r="AG806" s="5"/>
      <c r="AH806" s="5"/>
      <c r="AI806" s="5"/>
      <c r="AJ806" s="19"/>
      <c r="AK806" s="19"/>
      <c r="AL806" s="19"/>
      <c r="AM806" s="19"/>
      <c r="AN806" s="19"/>
    </row>
    <row r="807" spans="18:40" x14ac:dyDescent="0.2">
      <c r="R807" s="5"/>
      <c r="S807" s="5"/>
      <c r="T807" s="5"/>
      <c r="U807" s="5"/>
      <c r="V807" s="5"/>
      <c r="W807" s="5"/>
      <c r="X807" s="5"/>
      <c r="Y807" s="5"/>
      <c r="Z807" s="5"/>
      <c r="AA807" s="5"/>
      <c r="AB807" s="5"/>
      <c r="AC807" s="5"/>
      <c r="AD807" s="5"/>
      <c r="AE807" s="5"/>
      <c r="AF807" s="5"/>
      <c r="AG807" s="5"/>
      <c r="AH807" s="5"/>
      <c r="AI807" s="5"/>
      <c r="AJ807" s="19"/>
      <c r="AK807" s="19"/>
      <c r="AL807" s="19"/>
      <c r="AM807" s="19"/>
      <c r="AN807" s="19"/>
    </row>
    <row r="808" spans="18:40" x14ac:dyDescent="0.2">
      <c r="R808" s="5"/>
      <c r="S808" s="5"/>
      <c r="T808" s="5"/>
      <c r="U808" s="5"/>
      <c r="V808" s="5"/>
      <c r="W808" s="5"/>
      <c r="X808" s="5"/>
      <c r="Y808" s="5"/>
      <c r="Z808" s="5"/>
      <c r="AA808" s="5"/>
      <c r="AB808" s="5"/>
      <c r="AC808" s="5"/>
      <c r="AD808" s="5"/>
      <c r="AE808" s="5"/>
      <c r="AF808" s="5"/>
      <c r="AG808" s="5"/>
      <c r="AH808" s="5"/>
      <c r="AI808" s="5"/>
      <c r="AJ808" s="19"/>
      <c r="AK808" s="19"/>
      <c r="AL808" s="19"/>
      <c r="AM808" s="19"/>
      <c r="AN808" s="19"/>
    </row>
    <row r="809" spans="18:40" x14ac:dyDescent="0.2">
      <c r="R809" s="5"/>
      <c r="S809" s="5"/>
      <c r="T809" s="5"/>
      <c r="U809" s="5"/>
      <c r="V809" s="5"/>
      <c r="W809" s="5"/>
      <c r="X809" s="5"/>
      <c r="Y809" s="5"/>
      <c r="Z809" s="5"/>
      <c r="AA809" s="5"/>
      <c r="AB809" s="5"/>
      <c r="AC809" s="5"/>
      <c r="AD809" s="5"/>
      <c r="AE809" s="5"/>
      <c r="AF809" s="5"/>
      <c r="AG809" s="5"/>
      <c r="AH809" s="5"/>
      <c r="AI809" s="5"/>
      <c r="AJ809" s="19"/>
      <c r="AK809" s="19"/>
      <c r="AL809" s="19"/>
      <c r="AM809" s="19"/>
      <c r="AN809" s="19"/>
    </row>
    <row r="810" spans="18:40" x14ac:dyDescent="0.2">
      <c r="R810" s="5"/>
      <c r="S810" s="5"/>
      <c r="T810" s="5"/>
      <c r="U810" s="5"/>
      <c r="V810" s="5"/>
      <c r="W810" s="5"/>
      <c r="X810" s="5"/>
      <c r="Y810" s="5"/>
      <c r="Z810" s="5"/>
      <c r="AA810" s="5"/>
      <c r="AB810" s="5"/>
      <c r="AC810" s="5"/>
      <c r="AD810" s="5"/>
      <c r="AE810" s="5"/>
      <c r="AF810" s="5"/>
      <c r="AG810" s="5"/>
      <c r="AH810" s="5"/>
      <c r="AI810" s="5"/>
      <c r="AJ810" s="19"/>
      <c r="AK810" s="19"/>
      <c r="AL810" s="19"/>
      <c r="AM810" s="19"/>
      <c r="AN810" s="19"/>
    </row>
    <row r="811" spans="18:40" x14ac:dyDescent="0.2">
      <c r="R811" s="5"/>
      <c r="S811" s="5"/>
      <c r="T811" s="5"/>
      <c r="U811" s="5"/>
      <c r="V811" s="5"/>
      <c r="W811" s="5"/>
      <c r="X811" s="5"/>
      <c r="Y811" s="5"/>
      <c r="Z811" s="5"/>
      <c r="AA811" s="5"/>
      <c r="AB811" s="5"/>
      <c r="AC811" s="5"/>
      <c r="AD811" s="5"/>
      <c r="AE811" s="5"/>
      <c r="AF811" s="5"/>
      <c r="AG811" s="5"/>
      <c r="AH811" s="5"/>
      <c r="AI811" s="5"/>
      <c r="AJ811" s="19"/>
      <c r="AK811" s="19"/>
      <c r="AL811" s="19"/>
      <c r="AM811" s="19"/>
      <c r="AN811" s="19"/>
    </row>
    <row r="812" spans="18:40" x14ac:dyDescent="0.2">
      <c r="R812" s="5"/>
      <c r="S812" s="5"/>
      <c r="T812" s="5"/>
      <c r="U812" s="5"/>
      <c r="V812" s="5"/>
      <c r="W812" s="5"/>
      <c r="X812" s="5"/>
      <c r="Y812" s="5"/>
      <c r="Z812" s="5"/>
      <c r="AA812" s="5"/>
      <c r="AB812" s="5"/>
      <c r="AC812" s="5"/>
      <c r="AD812" s="5"/>
      <c r="AE812" s="5"/>
      <c r="AF812" s="5"/>
      <c r="AG812" s="5"/>
      <c r="AH812" s="5"/>
      <c r="AI812" s="5"/>
      <c r="AJ812" s="19"/>
      <c r="AK812" s="19"/>
      <c r="AL812" s="19"/>
      <c r="AM812" s="19"/>
      <c r="AN812" s="19"/>
    </row>
    <row r="813" spans="18:40" x14ac:dyDescent="0.2">
      <c r="R813" s="5"/>
      <c r="S813" s="5"/>
      <c r="T813" s="5"/>
      <c r="U813" s="5"/>
      <c r="V813" s="5"/>
      <c r="W813" s="5"/>
      <c r="X813" s="5"/>
      <c r="Y813" s="5"/>
      <c r="Z813" s="5"/>
      <c r="AA813" s="5"/>
      <c r="AB813" s="5"/>
      <c r="AC813" s="5"/>
      <c r="AD813" s="5"/>
      <c r="AE813" s="5"/>
      <c r="AF813" s="5"/>
      <c r="AG813" s="5"/>
      <c r="AH813" s="5"/>
      <c r="AI813" s="5"/>
      <c r="AJ813" s="19"/>
      <c r="AK813" s="19"/>
      <c r="AL813" s="19"/>
      <c r="AM813" s="19"/>
      <c r="AN813" s="19"/>
    </row>
    <row r="814" spans="18:40" x14ac:dyDescent="0.2">
      <c r="R814" s="5"/>
      <c r="S814" s="5"/>
      <c r="T814" s="5"/>
      <c r="U814" s="5"/>
      <c r="V814" s="5"/>
      <c r="W814" s="5"/>
      <c r="X814" s="5"/>
      <c r="Y814" s="5"/>
      <c r="Z814" s="5"/>
      <c r="AA814" s="5"/>
      <c r="AB814" s="5"/>
      <c r="AC814" s="5"/>
      <c r="AD814" s="5"/>
      <c r="AE814" s="5"/>
      <c r="AF814" s="5"/>
      <c r="AG814" s="5"/>
      <c r="AH814" s="5"/>
      <c r="AI814" s="5"/>
      <c r="AJ814" s="19"/>
      <c r="AK814" s="19"/>
      <c r="AL814" s="19"/>
      <c r="AM814" s="19"/>
      <c r="AN814" s="19"/>
    </row>
    <row r="815" spans="18:40" x14ac:dyDescent="0.2">
      <c r="R815" s="5"/>
      <c r="S815" s="5"/>
      <c r="T815" s="5"/>
      <c r="U815" s="5"/>
      <c r="V815" s="5"/>
      <c r="W815" s="5"/>
      <c r="X815" s="5"/>
      <c r="Y815" s="5"/>
      <c r="Z815" s="5"/>
      <c r="AA815" s="5"/>
      <c r="AB815" s="5"/>
      <c r="AC815" s="5"/>
      <c r="AD815" s="5"/>
      <c r="AE815" s="5"/>
      <c r="AF815" s="5"/>
      <c r="AG815" s="5"/>
      <c r="AH815" s="5"/>
      <c r="AI815" s="5"/>
      <c r="AJ815" s="19"/>
      <c r="AK815" s="19"/>
      <c r="AL815" s="19"/>
      <c r="AM815" s="19"/>
      <c r="AN815" s="19"/>
    </row>
    <row r="816" spans="18:40" x14ac:dyDescent="0.2">
      <c r="R816" s="5"/>
      <c r="S816" s="5"/>
      <c r="T816" s="5"/>
      <c r="U816" s="5"/>
      <c r="V816" s="5"/>
      <c r="W816" s="5"/>
      <c r="X816" s="5"/>
      <c r="Y816" s="5"/>
      <c r="Z816" s="5"/>
      <c r="AA816" s="5"/>
      <c r="AB816" s="5"/>
      <c r="AC816" s="5"/>
      <c r="AD816" s="5"/>
      <c r="AE816" s="5"/>
      <c r="AF816" s="5"/>
      <c r="AG816" s="5"/>
      <c r="AH816" s="5"/>
      <c r="AI816" s="5"/>
      <c r="AJ816" s="19"/>
      <c r="AK816" s="19"/>
      <c r="AL816" s="19"/>
      <c r="AM816" s="19"/>
      <c r="AN816" s="19"/>
    </row>
    <row r="817" spans="18:40" x14ac:dyDescent="0.2">
      <c r="R817" s="5"/>
      <c r="S817" s="5"/>
      <c r="T817" s="5"/>
      <c r="U817" s="5"/>
      <c r="V817" s="5"/>
      <c r="W817" s="5"/>
      <c r="X817" s="5"/>
      <c r="Y817" s="5"/>
      <c r="Z817" s="5"/>
      <c r="AA817" s="5"/>
      <c r="AB817" s="5"/>
      <c r="AC817" s="5"/>
      <c r="AD817" s="5"/>
      <c r="AE817" s="5"/>
      <c r="AF817" s="5"/>
      <c r="AG817" s="5"/>
      <c r="AH817" s="5"/>
      <c r="AI817" s="5"/>
      <c r="AJ817" s="19"/>
      <c r="AK817" s="19"/>
      <c r="AL817" s="19"/>
      <c r="AM817" s="19"/>
      <c r="AN817" s="19"/>
    </row>
    <row r="818" spans="18:40" x14ac:dyDescent="0.2">
      <c r="R818" s="5"/>
      <c r="S818" s="5"/>
      <c r="T818" s="5"/>
      <c r="U818" s="5"/>
      <c r="V818" s="5"/>
      <c r="W818" s="5"/>
      <c r="X818" s="5"/>
      <c r="Y818" s="5"/>
      <c r="Z818" s="5"/>
      <c r="AA818" s="5"/>
      <c r="AB818" s="5"/>
      <c r="AC818" s="5"/>
      <c r="AD818" s="5"/>
      <c r="AE818" s="5"/>
      <c r="AF818" s="5"/>
      <c r="AG818" s="5"/>
      <c r="AH818" s="5"/>
      <c r="AI818" s="5"/>
      <c r="AJ818" s="19"/>
      <c r="AK818" s="19"/>
      <c r="AL818" s="19"/>
      <c r="AM818" s="19"/>
      <c r="AN818" s="19"/>
    </row>
    <row r="819" spans="18:40" x14ac:dyDescent="0.2">
      <c r="R819" s="5"/>
      <c r="S819" s="5"/>
      <c r="T819" s="5"/>
      <c r="U819" s="5"/>
      <c r="V819" s="5"/>
      <c r="W819" s="5"/>
      <c r="X819" s="5"/>
      <c r="Y819" s="5"/>
      <c r="Z819" s="5"/>
      <c r="AA819" s="5"/>
      <c r="AB819" s="5"/>
      <c r="AC819" s="5"/>
      <c r="AD819" s="5"/>
      <c r="AE819" s="5"/>
      <c r="AF819" s="5"/>
      <c r="AG819" s="5"/>
      <c r="AH819" s="5"/>
      <c r="AI819" s="5"/>
      <c r="AJ819" s="19"/>
      <c r="AK819" s="19"/>
      <c r="AL819" s="19"/>
      <c r="AM819" s="19"/>
      <c r="AN819" s="19"/>
    </row>
    <row r="820" spans="18:40" x14ac:dyDescent="0.2">
      <c r="R820" s="5"/>
      <c r="S820" s="5"/>
      <c r="T820" s="5"/>
      <c r="U820" s="5"/>
      <c r="V820" s="5"/>
      <c r="W820" s="5"/>
      <c r="X820" s="5"/>
      <c r="Y820" s="5"/>
      <c r="Z820" s="5"/>
      <c r="AA820" s="5"/>
      <c r="AB820" s="5"/>
      <c r="AC820" s="5"/>
      <c r="AD820" s="5"/>
      <c r="AE820" s="5"/>
      <c r="AF820" s="5"/>
      <c r="AG820" s="5"/>
      <c r="AH820" s="5"/>
      <c r="AI820" s="5"/>
      <c r="AJ820" s="19"/>
      <c r="AK820" s="19"/>
      <c r="AL820" s="19"/>
      <c r="AM820" s="19"/>
      <c r="AN820" s="19"/>
    </row>
    <row r="821" spans="18:40" x14ac:dyDescent="0.2">
      <c r="R821" s="5"/>
      <c r="S821" s="5"/>
      <c r="T821" s="5"/>
      <c r="U821" s="5"/>
      <c r="V821" s="5"/>
      <c r="W821" s="5"/>
      <c r="X821" s="5"/>
      <c r="Y821" s="5"/>
      <c r="Z821" s="5"/>
      <c r="AA821" s="5"/>
      <c r="AB821" s="5"/>
      <c r="AC821" s="5"/>
      <c r="AD821" s="5"/>
      <c r="AE821" s="5"/>
      <c r="AF821" s="5"/>
      <c r="AG821" s="5"/>
      <c r="AH821" s="5"/>
      <c r="AI821" s="5"/>
      <c r="AJ821" s="19"/>
      <c r="AK821" s="19"/>
      <c r="AL821" s="19"/>
      <c r="AM821" s="19"/>
      <c r="AN821" s="19"/>
    </row>
    <row r="822" spans="18:40" x14ac:dyDescent="0.2">
      <c r="R822" s="5"/>
      <c r="S822" s="5"/>
      <c r="T822" s="5"/>
      <c r="U822" s="5"/>
      <c r="V822" s="5"/>
      <c r="W822" s="5"/>
      <c r="X822" s="5"/>
      <c r="Y822" s="5"/>
      <c r="Z822" s="5"/>
      <c r="AA822" s="5"/>
      <c r="AB822" s="5"/>
      <c r="AC822" s="5"/>
      <c r="AD822" s="5"/>
      <c r="AE822" s="5"/>
      <c r="AF822" s="5"/>
      <c r="AG822" s="5"/>
      <c r="AH822" s="5"/>
      <c r="AI822" s="5"/>
      <c r="AJ822" s="19"/>
      <c r="AK822" s="19"/>
      <c r="AL822" s="19"/>
      <c r="AM822" s="19"/>
      <c r="AN822" s="19"/>
    </row>
    <row r="823" spans="18:40" x14ac:dyDescent="0.2">
      <c r="R823" s="5"/>
      <c r="S823" s="5"/>
      <c r="T823" s="5"/>
      <c r="U823" s="5"/>
      <c r="V823" s="5"/>
      <c r="W823" s="5"/>
      <c r="X823" s="5"/>
      <c r="Y823" s="5"/>
      <c r="Z823" s="5"/>
      <c r="AA823" s="5"/>
      <c r="AB823" s="5"/>
      <c r="AC823" s="5"/>
      <c r="AD823" s="5"/>
      <c r="AE823" s="5"/>
      <c r="AF823" s="5"/>
      <c r="AG823" s="5"/>
      <c r="AH823" s="5"/>
      <c r="AI823" s="5"/>
      <c r="AJ823" s="19"/>
      <c r="AK823" s="19"/>
      <c r="AL823" s="19"/>
      <c r="AM823" s="19"/>
      <c r="AN823" s="19"/>
    </row>
    <row r="824" spans="18:40" x14ac:dyDescent="0.2">
      <c r="R824" s="5"/>
      <c r="S824" s="5"/>
      <c r="T824" s="5"/>
      <c r="U824" s="5"/>
      <c r="V824" s="5"/>
      <c r="W824" s="5"/>
      <c r="X824" s="5"/>
      <c r="Y824" s="5"/>
      <c r="Z824" s="5"/>
      <c r="AA824" s="5"/>
      <c r="AB824" s="5"/>
      <c r="AC824" s="5"/>
      <c r="AD824" s="5"/>
      <c r="AE824" s="5"/>
      <c r="AF824" s="5"/>
      <c r="AG824" s="5"/>
      <c r="AH824" s="5"/>
      <c r="AI824" s="5"/>
      <c r="AJ824" s="19"/>
      <c r="AK824" s="19"/>
      <c r="AL824" s="19"/>
      <c r="AM824" s="19"/>
      <c r="AN824" s="19"/>
    </row>
    <row r="825" spans="18:40" x14ac:dyDescent="0.2">
      <c r="R825" s="5"/>
      <c r="S825" s="5"/>
      <c r="T825" s="5"/>
      <c r="U825" s="5"/>
      <c r="V825" s="5"/>
      <c r="W825" s="5"/>
      <c r="X825" s="5"/>
      <c r="Y825" s="5"/>
      <c r="Z825" s="5"/>
      <c r="AA825" s="5"/>
      <c r="AB825" s="5"/>
      <c r="AC825" s="5"/>
      <c r="AD825" s="5"/>
      <c r="AE825" s="5"/>
      <c r="AF825" s="5"/>
      <c r="AG825" s="5"/>
      <c r="AH825" s="5"/>
      <c r="AI825" s="5"/>
      <c r="AJ825" s="19"/>
      <c r="AK825" s="19"/>
      <c r="AL825" s="19"/>
      <c r="AM825" s="19"/>
      <c r="AN825" s="19"/>
    </row>
    <row r="826" spans="18:40" x14ac:dyDescent="0.2">
      <c r="R826" s="5"/>
      <c r="S826" s="5"/>
      <c r="T826" s="5"/>
      <c r="U826" s="5"/>
      <c r="V826" s="5"/>
      <c r="W826" s="5"/>
      <c r="X826" s="5"/>
      <c r="Y826" s="5"/>
      <c r="Z826" s="5"/>
      <c r="AA826" s="5"/>
      <c r="AB826" s="5"/>
      <c r="AC826" s="5"/>
      <c r="AD826" s="5"/>
      <c r="AE826" s="5"/>
      <c r="AF826" s="5"/>
      <c r="AG826" s="5"/>
      <c r="AH826" s="5"/>
      <c r="AI826" s="5"/>
      <c r="AJ826" s="19"/>
      <c r="AK826" s="19"/>
      <c r="AL826" s="19"/>
      <c r="AM826" s="19"/>
      <c r="AN826" s="19"/>
    </row>
    <row r="827" spans="18:40" x14ac:dyDescent="0.2">
      <c r="R827" s="5"/>
      <c r="S827" s="5"/>
      <c r="T827" s="5"/>
      <c r="U827" s="5"/>
      <c r="V827" s="5"/>
      <c r="W827" s="5"/>
      <c r="X827" s="5"/>
      <c r="Y827" s="5"/>
      <c r="Z827" s="5"/>
      <c r="AA827" s="5"/>
      <c r="AB827" s="5"/>
      <c r="AC827" s="5"/>
      <c r="AD827" s="5"/>
      <c r="AE827" s="5"/>
      <c r="AF827" s="5"/>
      <c r="AG827" s="5"/>
      <c r="AH827" s="5"/>
      <c r="AI827" s="5"/>
      <c r="AJ827" s="19"/>
      <c r="AK827" s="19"/>
      <c r="AL827" s="19"/>
      <c r="AM827" s="19"/>
      <c r="AN827" s="19"/>
    </row>
    <row r="828" spans="18:40" x14ac:dyDescent="0.2">
      <c r="R828" s="5"/>
      <c r="S828" s="5"/>
      <c r="T828" s="5"/>
      <c r="U828" s="5"/>
      <c r="V828" s="5"/>
      <c r="W828" s="5"/>
      <c r="X828" s="5"/>
      <c r="Y828" s="5"/>
      <c r="Z828" s="5"/>
      <c r="AA828" s="5"/>
      <c r="AB828" s="5"/>
      <c r="AC828" s="5"/>
      <c r="AD828" s="5"/>
      <c r="AE828" s="5"/>
      <c r="AF828" s="5"/>
      <c r="AG828" s="5"/>
      <c r="AH828" s="5"/>
      <c r="AI828" s="5"/>
      <c r="AJ828" s="19"/>
      <c r="AK828" s="19"/>
      <c r="AL828" s="19"/>
      <c r="AM828" s="19"/>
      <c r="AN828" s="19"/>
    </row>
    <row r="829" spans="18:40" x14ac:dyDescent="0.2">
      <c r="R829" s="5"/>
      <c r="S829" s="5"/>
      <c r="T829" s="5"/>
      <c r="U829" s="5"/>
      <c r="V829" s="5"/>
      <c r="W829" s="5"/>
      <c r="X829" s="5"/>
      <c r="Y829" s="5"/>
      <c r="Z829" s="5"/>
      <c r="AA829" s="5"/>
      <c r="AB829" s="5"/>
      <c r="AC829" s="5"/>
      <c r="AD829" s="5"/>
      <c r="AE829" s="5"/>
      <c r="AF829" s="5"/>
      <c r="AG829" s="5"/>
      <c r="AH829" s="5"/>
      <c r="AI829" s="5"/>
      <c r="AJ829" s="19"/>
      <c r="AK829" s="19"/>
      <c r="AL829" s="19"/>
      <c r="AM829" s="19"/>
      <c r="AN829" s="19"/>
    </row>
    <row r="830" spans="18:40" x14ac:dyDescent="0.2">
      <c r="R830" s="5"/>
      <c r="S830" s="5"/>
      <c r="T830" s="5"/>
      <c r="U830" s="5"/>
      <c r="V830" s="5"/>
      <c r="W830" s="5"/>
      <c r="X830" s="5"/>
      <c r="Y830" s="5"/>
      <c r="Z830" s="5"/>
      <c r="AA830" s="5"/>
      <c r="AB830" s="5"/>
      <c r="AC830" s="5"/>
      <c r="AD830" s="5"/>
      <c r="AE830" s="5"/>
      <c r="AF830" s="5"/>
      <c r="AG830" s="5"/>
      <c r="AH830" s="5"/>
      <c r="AI830" s="5"/>
      <c r="AJ830" s="19"/>
      <c r="AK830" s="19"/>
      <c r="AL830" s="19"/>
      <c r="AM830" s="19"/>
      <c r="AN830" s="19"/>
    </row>
    <row r="831" spans="18:40" x14ac:dyDescent="0.2">
      <c r="R831" s="5"/>
      <c r="S831" s="5"/>
      <c r="T831" s="5"/>
      <c r="U831" s="5"/>
      <c r="V831" s="5"/>
      <c r="W831" s="5"/>
      <c r="X831" s="5"/>
      <c r="Y831" s="5"/>
      <c r="Z831" s="5"/>
      <c r="AA831" s="5"/>
      <c r="AB831" s="5"/>
      <c r="AC831" s="5"/>
      <c r="AD831" s="5"/>
      <c r="AE831" s="5"/>
      <c r="AF831" s="5"/>
      <c r="AG831" s="5"/>
      <c r="AH831" s="5"/>
      <c r="AI831" s="5"/>
      <c r="AJ831" s="19"/>
      <c r="AK831" s="19"/>
      <c r="AL831" s="19"/>
      <c r="AM831" s="19"/>
      <c r="AN831" s="19"/>
    </row>
    <row r="832" spans="18:40" x14ac:dyDescent="0.2">
      <c r="R832" s="5"/>
      <c r="S832" s="5"/>
      <c r="T832" s="5"/>
      <c r="U832" s="5"/>
      <c r="V832" s="5"/>
      <c r="W832" s="5"/>
      <c r="X832" s="5"/>
      <c r="Y832" s="5"/>
      <c r="Z832" s="5"/>
      <c r="AA832" s="5"/>
      <c r="AB832" s="5"/>
      <c r="AC832" s="5"/>
      <c r="AD832" s="5"/>
      <c r="AE832" s="5"/>
      <c r="AF832" s="5"/>
      <c r="AG832" s="5"/>
      <c r="AH832" s="5"/>
      <c r="AI832" s="5"/>
      <c r="AJ832" s="19"/>
      <c r="AK832" s="19"/>
      <c r="AL832" s="19"/>
      <c r="AM832" s="19"/>
      <c r="AN832" s="19"/>
    </row>
    <row r="833" spans="18:40" x14ac:dyDescent="0.2">
      <c r="R833" s="5"/>
      <c r="S833" s="5"/>
      <c r="T833" s="5"/>
      <c r="U833" s="5"/>
      <c r="V833" s="5"/>
      <c r="W833" s="5"/>
      <c r="X833" s="5"/>
      <c r="Y833" s="5"/>
      <c r="Z833" s="5"/>
      <c r="AA833" s="5"/>
      <c r="AB833" s="5"/>
      <c r="AC833" s="5"/>
      <c r="AD833" s="5"/>
      <c r="AE833" s="5"/>
      <c r="AF833" s="5"/>
      <c r="AG833" s="5"/>
      <c r="AH833" s="5"/>
      <c r="AI833" s="5"/>
      <c r="AJ833" s="19"/>
      <c r="AK833" s="19"/>
      <c r="AL833" s="19"/>
      <c r="AM833" s="19"/>
      <c r="AN833" s="19"/>
    </row>
    <row r="834" spans="18:40" x14ac:dyDescent="0.2">
      <c r="R834" s="5"/>
      <c r="S834" s="5"/>
      <c r="T834" s="5"/>
      <c r="U834" s="5"/>
      <c r="V834" s="5"/>
      <c r="W834" s="5"/>
      <c r="X834" s="5"/>
      <c r="Y834" s="5"/>
      <c r="Z834" s="5"/>
      <c r="AA834" s="5"/>
      <c r="AB834" s="5"/>
      <c r="AC834" s="5"/>
      <c r="AD834" s="5"/>
      <c r="AE834" s="5"/>
      <c r="AF834" s="5"/>
      <c r="AG834" s="5"/>
      <c r="AH834" s="5"/>
      <c r="AI834" s="5"/>
      <c r="AJ834" s="19"/>
      <c r="AK834" s="19"/>
      <c r="AL834" s="19"/>
      <c r="AM834" s="19"/>
      <c r="AN834" s="19"/>
    </row>
    <row r="835" spans="18:40" x14ac:dyDescent="0.2">
      <c r="R835" s="5"/>
      <c r="S835" s="5"/>
      <c r="T835" s="5"/>
      <c r="U835" s="5"/>
      <c r="V835" s="5"/>
      <c r="W835" s="5"/>
      <c r="X835" s="5"/>
      <c r="Y835" s="5"/>
      <c r="Z835" s="5"/>
      <c r="AA835" s="5"/>
      <c r="AB835" s="5"/>
      <c r="AC835" s="5"/>
      <c r="AD835" s="5"/>
      <c r="AE835" s="5"/>
      <c r="AF835" s="5"/>
      <c r="AG835" s="5"/>
      <c r="AH835" s="5"/>
      <c r="AI835" s="5"/>
      <c r="AJ835" s="19"/>
      <c r="AK835" s="19"/>
      <c r="AL835" s="19"/>
      <c r="AM835" s="19"/>
      <c r="AN835" s="19"/>
    </row>
    <row r="836" spans="18:40" x14ac:dyDescent="0.2">
      <c r="R836" s="5"/>
      <c r="S836" s="5"/>
      <c r="T836" s="5"/>
      <c r="U836" s="5"/>
      <c r="V836" s="5"/>
      <c r="W836" s="5"/>
      <c r="X836" s="5"/>
      <c r="Y836" s="5"/>
      <c r="Z836" s="5"/>
      <c r="AA836" s="5"/>
      <c r="AB836" s="5"/>
      <c r="AC836" s="5"/>
      <c r="AD836" s="5"/>
      <c r="AE836" s="5"/>
      <c r="AF836" s="5"/>
      <c r="AG836" s="5"/>
      <c r="AH836" s="5"/>
      <c r="AI836" s="5"/>
      <c r="AJ836" s="19"/>
      <c r="AK836" s="19"/>
      <c r="AL836" s="19"/>
      <c r="AM836" s="19"/>
      <c r="AN836" s="19"/>
    </row>
    <row r="837" spans="18:40" x14ac:dyDescent="0.2">
      <c r="R837" s="5"/>
      <c r="S837" s="5"/>
      <c r="T837" s="5"/>
      <c r="U837" s="5"/>
      <c r="V837" s="5"/>
      <c r="W837" s="5"/>
      <c r="X837" s="5"/>
      <c r="Y837" s="5"/>
      <c r="Z837" s="5"/>
      <c r="AA837" s="5"/>
      <c r="AB837" s="5"/>
      <c r="AC837" s="5"/>
      <c r="AD837" s="5"/>
      <c r="AE837" s="5"/>
      <c r="AF837" s="5"/>
      <c r="AG837" s="5"/>
      <c r="AH837" s="5"/>
      <c r="AI837" s="5"/>
      <c r="AJ837" s="19"/>
      <c r="AK837" s="19"/>
      <c r="AL837" s="19"/>
      <c r="AM837" s="19"/>
      <c r="AN837" s="19"/>
    </row>
    <row r="838" spans="18:40" x14ac:dyDescent="0.2">
      <c r="R838" s="5"/>
      <c r="S838" s="5"/>
      <c r="T838" s="5"/>
      <c r="U838" s="5"/>
      <c r="V838" s="5"/>
      <c r="W838" s="5"/>
      <c r="X838" s="5"/>
      <c r="Y838" s="5"/>
      <c r="Z838" s="5"/>
      <c r="AA838" s="5"/>
      <c r="AB838" s="5"/>
      <c r="AC838" s="5"/>
      <c r="AD838" s="5"/>
      <c r="AE838" s="5"/>
      <c r="AF838" s="5"/>
      <c r="AG838" s="5"/>
      <c r="AH838" s="5"/>
      <c r="AI838" s="5"/>
      <c r="AJ838" s="19"/>
      <c r="AK838" s="19"/>
      <c r="AL838" s="19"/>
      <c r="AM838" s="19"/>
      <c r="AN838" s="19"/>
    </row>
    <row r="839" spans="18:40" x14ac:dyDescent="0.2">
      <c r="R839" s="5"/>
      <c r="S839" s="5"/>
      <c r="T839" s="5"/>
      <c r="U839" s="5"/>
      <c r="V839" s="5"/>
      <c r="W839" s="5"/>
      <c r="X839" s="5"/>
      <c r="Y839" s="5"/>
      <c r="Z839" s="5"/>
      <c r="AA839" s="5"/>
      <c r="AB839" s="5"/>
      <c r="AC839" s="5"/>
      <c r="AD839" s="5"/>
      <c r="AE839" s="5"/>
      <c r="AF839" s="5"/>
      <c r="AG839" s="5"/>
      <c r="AH839" s="5"/>
      <c r="AI839" s="5"/>
      <c r="AJ839" s="19"/>
      <c r="AK839" s="19"/>
      <c r="AL839" s="19"/>
      <c r="AM839" s="19"/>
      <c r="AN839" s="19"/>
    </row>
    <row r="840" spans="18:40" x14ac:dyDescent="0.2">
      <c r="R840" s="5"/>
      <c r="S840" s="5"/>
      <c r="T840" s="5"/>
      <c r="U840" s="5"/>
      <c r="V840" s="5"/>
      <c r="W840" s="5"/>
      <c r="X840" s="5"/>
      <c r="Y840" s="5"/>
      <c r="Z840" s="5"/>
      <c r="AA840" s="5"/>
      <c r="AB840" s="5"/>
      <c r="AC840" s="5"/>
      <c r="AD840" s="5"/>
      <c r="AE840" s="5"/>
      <c r="AF840" s="5"/>
      <c r="AG840" s="5"/>
      <c r="AH840" s="5"/>
      <c r="AI840" s="5"/>
      <c r="AJ840" s="19"/>
      <c r="AK840" s="19"/>
      <c r="AL840" s="19"/>
      <c r="AM840" s="19"/>
      <c r="AN840" s="19"/>
    </row>
    <row r="841" spans="18:40" x14ac:dyDescent="0.2">
      <c r="R841" s="5"/>
      <c r="S841" s="5"/>
      <c r="T841" s="5"/>
      <c r="U841" s="5"/>
      <c r="V841" s="5"/>
      <c r="W841" s="5"/>
      <c r="X841" s="5"/>
      <c r="Y841" s="5"/>
      <c r="Z841" s="5"/>
      <c r="AA841" s="5"/>
      <c r="AB841" s="5"/>
      <c r="AC841" s="5"/>
      <c r="AD841" s="5"/>
      <c r="AE841" s="5"/>
      <c r="AF841" s="5"/>
      <c r="AG841" s="5"/>
      <c r="AH841" s="5"/>
      <c r="AI841" s="5"/>
      <c r="AJ841" s="19"/>
      <c r="AK841" s="19"/>
      <c r="AL841" s="19"/>
      <c r="AM841" s="19"/>
      <c r="AN841" s="19"/>
    </row>
    <row r="842" spans="18:40" x14ac:dyDescent="0.2">
      <c r="R842" s="5"/>
      <c r="S842" s="5"/>
      <c r="T842" s="5"/>
      <c r="U842" s="5"/>
      <c r="V842" s="5"/>
      <c r="W842" s="5"/>
      <c r="X842" s="5"/>
      <c r="Y842" s="5"/>
      <c r="Z842" s="5"/>
      <c r="AA842" s="5"/>
      <c r="AB842" s="5"/>
      <c r="AC842" s="5"/>
      <c r="AD842" s="5"/>
      <c r="AE842" s="5"/>
      <c r="AF842" s="5"/>
      <c r="AG842" s="5"/>
      <c r="AH842" s="5"/>
      <c r="AI842" s="5"/>
      <c r="AJ842" s="19"/>
      <c r="AK842" s="19"/>
      <c r="AL842" s="19"/>
      <c r="AM842" s="19"/>
      <c r="AN842" s="19"/>
    </row>
    <row r="843" spans="18:40" x14ac:dyDescent="0.2">
      <c r="R843" s="5"/>
      <c r="S843" s="5"/>
      <c r="T843" s="5"/>
      <c r="U843" s="5"/>
      <c r="V843" s="5"/>
      <c r="W843" s="5"/>
      <c r="X843" s="5"/>
      <c r="Y843" s="5"/>
      <c r="Z843" s="5"/>
      <c r="AA843" s="5"/>
      <c r="AB843" s="5"/>
      <c r="AC843" s="5"/>
      <c r="AD843" s="5"/>
      <c r="AE843" s="5"/>
      <c r="AF843" s="5"/>
      <c r="AG843" s="5"/>
      <c r="AH843" s="5"/>
      <c r="AI843" s="5"/>
      <c r="AJ843" s="19"/>
      <c r="AK843" s="19"/>
      <c r="AL843" s="19"/>
      <c r="AM843" s="19"/>
      <c r="AN843" s="19"/>
    </row>
    <row r="844" spans="18:40" x14ac:dyDescent="0.2">
      <c r="R844" s="5"/>
      <c r="S844" s="5"/>
      <c r="T844" s="5"/>
      <c r="U844" s="5"/>
      <c r="V844" s="5"/>
      <c r="W844" s="5"/>
      <c r="X844" s="5"/>
      <c r="Y844" s="5"/>
      <c r="Z844" s="5"/>
      <c r="AA844" s="5"/>
      <c r="AB844" s="5"/>
      <c r="AC844" s="5"/>
      <c r="AD844" s="5"/>
      <c r="AE844" s="5"/>
      <c r="AF844" s="5"/>
      <c r="AG844" s="5"/>
      <c r="AH844" s="5"/>
      <c r="AI844" s="5"/>
      <c r="AJ844" s="19"/>
      <c r="AK844" s="19"/>
      <c r="AL844" s="19"/>
      <c r="AM844" s="19"/>
      <c r="AN844" s="19"/>
    </row>
    <row r="845" spans="18:40" x14ac:dyDescent="0.2">
      <c r="R845" s="5"/>
      <c r="S845" s="5"/>
      <c r="T845" s="5"/>
      <c r="U845" s="5"/>
      <c r="V845" s="5"/>
      <c r="W845" s="5"/>
      <c r="X845" s="5"/>
      <c r="Y845" s="5"/>
      <c r="Z845" s="5"/>
      <c r="AA845" s="5"/>
      <c r="AB845" s="5"/>
      <c r="AC845" s="5"/>
      <c r="AD845" s="5"/>
      <c r="AE845" s="5"/>
      <c r="AF845" s="5"/>
      <c r="AG845" s="5"/>
      <c r="AH845" s="5"/>
      <c r="AI845" s="5"/>
      <c r="AJ845" s="19"/>
      <c r="AK845" s="19"/>
      <c r="AL845" s="19"/>
      <c r="AM845" s="19"/>
      <c r="AN845" s="19"/>
    </row>
    <row r="846" spans="18:40" x14ac:dyDescent="0.2">
      <c r="R846" s="5"/>
      <c r="S846" s="5"/>
      <c r="T846" s="5"/>
      <c r="U846" s="5"/>
      <c r="V846" s="5"/>
      <c r="W846" s="5"/>
      <c r="X846" s="5"/>
      <c r="Y846" s="5"/>
      <c r="Z846" s="5"/>
      <c r="AA846" s="5"/>
      <c r="AB846" s="5"/>
      <c r="AC846" s="5"/>
      <c r="AD846" s="5"/>
      <c r="AE846" s="5"/>
      <c r="AF846" s="5"/>
      <c r="AG846" s="5"/>
      <c r="AH846" s="5"/>
      <c r="AI846" s="5"/>
      <c r="AJ846" s="19"/>
      <c r="AK846" s="19"/>
      <c r="AL846" s="19"/>
      <c r="AM846" s="19"/>
      <c r="AN846" s="19"/>
    </row>
    <row r="847" spans="18:40" x14ac:dyDescent="0.2">
      <c r="R847" s="5"/>
      <c r="S847" s="5"/>
      <c r="T847" s="5"/>
      <c r="U847" s="5"/>
      <c r="V847" s="5"/>
      <c r="W847" s="5"/>
      <c r="X847" s="5"/>
      <c r="Y847" s="5"/>
      <c r="Z847" s="5"/>
      <c r="AA847" s="5"/>
      <c r="AB847" s="5"/>
      <c r="AC847" s="5"/>
      <c r="AD847" s="5"/>
      <c r="AE847" s="5"/>
      <c r="AF847" s="5"/>
      <c r="AG847" s="5"/>
      <c r="AH847" s="5"/>
      <c r="AI847" s="5"/>
      <c r="AJ847" s="19"/>
      <c r="AK847" s="19"/>
      <c r="AL847" s="19"/>
      <c r="AM847" s="19"/>
      <c r="AN847" s="19"/>
    </row>
    <row r="848" spans="18:40" x14ac:dyDescent="0.2">
      <c r="R848" s="5"/>
      <c r="S848" s="5"/>
      <c r="T848" s="5"/>
      <c r="U848" s="5"/>
      <c r="V848" s="5"/>
      <c r="W848" s="5"/>
      <c r="X848" s="5"/>
      <c r="Y848" s="5"/>
      <c r="Z848" s="5"/>
      <c r="AA848" s="5"/>
      <c r="AB848" s="5"/>
      <c r="AC848" s="5"/>
      <c r="AD848" s="5"/>
      <c r="AE848" s="5"/>
      <c r="AF848" s="5"/>
      <c r="AG848" s="5"/>
      <c r="AH848" s="5"/>
      <c r="AI848" s="5"/>
      <c r="AJ848" s="19"/>
      <c r="AK848" s="19"/>
      <c r="AL848" s="19"/>
      <c r="AM848" s="19"/>
      <c r="AN848" s="19"/>
    </row>
    <row r="849" spans="18:40" x14ac:dyDescent="0.2">
      <c r="R849" s="5"/>
      <c r="S849" s="5"/>
      <c r="T849" s="5"/>
      <c r="U849" s="5"/>
      <c r="V849" s="5"/>
      <c r="W849" s="5"/>
      <c r="X849" s="5"/>
      <c r="Y849" s="5"/>
      <c r="Z849" s="5"/>
      <c r="AA849" s="5"/>
      <c r="AB849" s="5"/>
      <c r="AC849" s="5"/>
      <c r="AD849" s="5"/>
      <c r="AE849" s="5"/>
      <c r="AF849" s="5"/>
      <c r="AG849" s="5"/>
      <c r="AH849" s="5"/>
      <c r="AI849" s="5"/>
      <c r="AJ849" s="19"/>
      <c r="AK849" s="19"/>
      <c r="AL849" s="19"/>
      <c r="AM849" s="19"/>
      <c r="AN849" s="19"/>
    </row>
    <row r="850" spans="18:40" x14ac:dyDescent="0.2">
      <c r="R850" s="5"/>
      <c r="S850" s="5"/>
      <c r="T850" s="5"/>
      <c r="U850" s="5"/>
      <c r="V850" s="5"/>
      <c r="W850" s="5"/>
      <c r="X850" s="5"/>
      <c r="Y850" s="5"/>
      <c r="Z850" s="5"/>
      <c r="AA850" s="5"/>
      <c r="AB850" s="5"/>
      <c r="AC850" s="5"/>
      <c r="AD850" s="5"/>
      <c r="AE850" s="5"/>
      <c r="AF850" s="5"/>
      <c r="AG850" s="5"/>
      <c r="AH850" s="5"/>
      <c r="AI850" s="5"/>
      <c r="AJ850" s="19"/>
      <c r="AK850" s="19"/>
      <c r="AL850" s="19"/>
      <c r="AM850" s="19"/>
      <c r="AN850" s="19"/>
    </row>
    <row r="851" spans="18:40" x14ac:dyDescent="0.2">
      <c r="R851" s="5"/>
      <c r="S851" s="5"/>
      <c r="T851" s="5"/>
      <c r="U851" s="5"/>
      <c r="V851" s="5"/>
      <c r="W851" s="5"/>
      <c r="X851" s="5"/>
      <c r="Y851" s="5"/>
      <c r="Z851" s="5"/>
      <c r="AA851" s="5"/>
      <c r="AB851" s="5"/>
      <c r="AC851" s="5"/>
      <c r="AD851" s="5"/>
      <c r="AE851" s="5"/>
      <c r="AF851" s="5"/>
      <c r="AG851" s="5"/>
      <c r="AH851" s="5"/>
      <c r="AI851" s="5"/>
      <c r="AJ851" s="19"/>
      <c r="AK851" s="19"/>
      <c r="AL851" s="19"/>
      <c r="AM851" s="19"/>
      <c r="AN851" s="19"/>
    </row>
    <row r="852" spans="18:40" x14ac:dyDescent="0.2">
      <c r="R852" s="5"/>
      <c r="S852" s="5"/>
      <c r="T852" s="5"/>
      <c r="U852" s="5"/>
      <c r="V852" s="5"/>
      <c r="W852" s="5"/>
      <c r="X852" s="5"/>
      <c r="Y852" s="5"/>
      <c r="Z852" s="5"/>
      <c r="AA852" s="5"/>
      <c r="AB852" s="5"/>
      <c r="AC852" s="5"/>
      <c r="AD852" s="5"/>
      <c r="AE852" s="5"/>
      <c r="AF852" s="5"/>
      <c r="AG852" s="5"/>
      <c r="AH852" s="5"/>
      <c r="AI852" s="5"/>
      <c r="AJ852" s="19"/>
      <c r="AK852" s="19"/>
      <c r="AL852" s="19"/>
      <c r="AM852" s="19"/>
      <c r="AN852" s="19"/>
    </row>
    <row r="853" spans="18:40" x14ac:dyDescent="0.2">
      <c r="R853" s="5"/>
      <c r="S853" s="5"/>
      <c r="T853" s="5"/>
      <c r="U853" s="5"/>
      <c r="V853" s="5"/>
      <c r="W853" s="5"/>
      <c r="X853" s="5"/>
      <c r="Y853" s="5"/>
      <c r="Z853" s="5"/>
      <c r="AA853" s="5"/>
      <c r="AB853" s="5"/>
      <c r="AC853" s="5"/>
      <c r="AD853" s="5"/>
      <c r="AE853" s="5"/>
      <c r="AF853" s="5"/>
      <c r="AG853" s="5"/>
      <c r="AH853" s="5"/>
      <c r="AI853" s="5"/>
      <c r="AJ853" s="19"/>
      <c r="AK853" s="19"/>
      <c r="AL853" s="19"/>
      <c r="AM853" s="19"/>
      <c r="AN853" s="19"/>
    </row>
    <row r="854" spans="18:40" x14ac:dyDescent="0.2">
      <c r="R854" s="5"/>
      <c r="S854" s="5"/>
      <c r="T854" s="5"/>
      <c r="U854" s="5"/>
      <c r="V854" s="5"/>
      <c r="W854" s="5"/>
      <c r="X854" s="5"/>
      <c r="Y854" s="5"/>
      <c r="Z854" s="5"/>
      <c r="AA854" s="5"/>
      <c r="AB854" s="5"/>
      <c r="AC854" s="5"/>
      <c r="AD854" s="5"/>
      <c r="AE854" s="5"/>
      <c r="AF854" s="5"/>
      <c r="AG854" s="5"/>
      <c r="AH854" s="5"/>
      <c r="AI854" s="5"/>
      <c r="AJ854" s="19"/>
      <c r="AK854" s="19"/>
      <c r="AL854" s="19"/>
      <c r="AM854" s="19"/>
      <c r="AN854" s="19"/>
    </row>
    <row r="855" spans="18:40" x14ac:dyDescent="0.2">
      <c r="R855" s="5"/>
      <c r="S855" s="5"/>
      <c r="T855" s="5"/>
      <c r="U855" s="5"/>
      <c r="V855" s="5"/>
      <c r="W855" s="5"/>
      <c r="X855" s="5"/>
      <c r="Y855" s="5"/>
      <c r="Z855" s="5"/>
      <c r="AA855" s="5"/>
      <c r="AB855" s="5"/>
      <c r="AC855" s="5"/>
      <c r="AD855" s="5"/>
      <c r="AE855" s="5"/>
      <c r="AF855" s="5"/>
      <c r="AG855" s="5"/>
      <c r="AH855" s="5"/>
      <c r="AI855" s="5"/>
      <c r="AJ855" s="19"/>
      <c r="AK855" s="19"/>
      <c r="AL855" s="19"/>
      <c r="AM855" s="19"/>
      <c r="AN855" s="19"/>
    </row>
    <row r="856" spans="18:40" x14ac:dyDescent="0.2">
      <c r="R856" s="5"/>
      <c r="S856" s="5"/>
      <c r="T856" s="5"/>
      <c r="U856" s="5"/>
      <c r="V856" s="5"/>
      <c r="W856" s="5"/>
      <c r="X856" s="5"/>
      <c r="Y856" s="5"/>
      <c r="Z856" s="5"/>
      <c r="AA856" s="5"/>
      <c r="AB856" s="5"/>
      <c r="AC856" s="5"/>
      <c r="AD856" s="5"/>
      <c r="AE856" s="5"/>
      <c r="AF856" s="5"/>
      <c r="AG856" s="5"/>
      <c r="AH856" s="5"/>
      <c r="AI856" s="5"/>
      <c r="AJ856" s="19"/>
      <c r="AK856" s="19"/>
      <c r="AL856" s="19"/>
      <c r="AM856" s="19"/>
      <c r="AN856" s="19"/>
    </row>
    <row r="857" spans="18:40" x14ac:dyDescent="0.2">
      <c r="R857" s="5"/>
      <c r="S857" s="5"/>
      <c r="T857" s="5"/>
      <c r="U857" s="5"/>
      <c r="V857" s="5"/>
      <c r="W857" s="5"/>
      <c r="X857" s="5"/>
      <c r="Y857" s="5"/>
      <c r="Z857" s="5"/>
      <c r="AA857" s="5"/>
      <c r="AB857" s="5"/>
      <c r="AC857" s="5"/>
      <c r="AD857" s="5"/>
      <c r="AE857" s="5"/>
      <c r="AF857" s="5"/>
      <c r="AG857" s="5"/>
      <c r="AH857" s="5"/>
      <c r="AI857" s="5"/>
      <c r="AJ857" s="19"/>
      <c r="AK857" s="19"/>
      <c r="AL857" s="19"/>
      <c r="AM857" s="19"/>
      <c r="AN857" s="19"/>
    </row>
    <row r="858" spans="18:40" x14ac:dyDescent="0.2">
      <c r="R858" s="5"/>
      <c r="S858" s="5"/>
      <c r="T858" s="5"/>
      <c r="U858" s="5"/>
      <c r="V858" s="5"/>
      <c r="W858" s="5"/>
      <c r="X858" s="5"/>
      <c r="Y858" s="5"/>
      <c r="Z858" s="5"/>
      <c r="AA858" s="5"/>
      <c r="AB858" s="5"/>
      <c r="AC858" s="5"/>
      <c r="AD858" s="5"/>
      <c r="AE858" s="5"/>
      <c r="AF858" s="5"/>
      <c r="AG858" s="5"/>
      <c r="AH858" s="5"/>
      <c r="AI858" s="5"/>
      <c r="AJ858" s="19"/>
      <c r="AK858" s="19"/>
      <c r="AL858" s="19"/>
      <c r="AM858" s="19"/>
      <c r="AN858" s="19"/>
    </row>
    <row r="859" spans="18:40" x14ac:dyDescent="0.2">
      <c r="R859" s="5"/>
      <c r="S859" s="5"/>
      <c r="T859" s="5"/>
      <c r="U859" s="5"/>
      <c r="V859" s="5"/>
      <c r="W859" s="5"/>
      <c r="X859" s="5"/>
      <c r="Y859" s="5"/>
      <c r="Z859" s="5"/>
      <c r="AA859" s="5"/>
      <c r="AB859" s="5"/>
      <c r="AC859" s="5"/>
      <c r="AD859" s="5"/>
      <c r="AE859" s="5"/>
      <c r="AF859" s="5"/>
      <c r="AG859" s="5"/>
      <c r="AH859" s="5"/>
      <c r="AI859" s="5"/>
      <c r="AJ859" s="19"/>
      <c r="AK859" s="19"/>
      <c r="AL859" s="19"/>
      <c r="AM859" s="19"/>
      <c r="AN859" s="19"/>
    </row>
    <row r="860" spans="18:40" x14ac:dyDescent="0.2">
      <c r="R860" s="5"/>
      <c r="S860" s="5"/>
      <c r="T860" s="5"/>
      <c r="U860" s="5"/>
      <c r="V860" s="5"/>
      <c r="W860" s="5"/>
      <c r="X860" s="5"/>
      <c r="Y860" s="5"/>
      <c r="Z860" s="5"/>
      <c r="AA860" s="5"/>
      <c r="AB860" s="5"/>
      <c r="AC860" s="5"/>
      <c r="AD860" s="5"/>
      <c r="AE860" s="5"/>
      <c r="AF860" s="5"/>
      <c r="AG860" s="5"/>
      <c r="AH860" s="5"/>
      <c r="AI860" s="5"/>
      <c r="AJ860" s="19"/>
      <c r="AK860" s="19"/>
      <c r="AL860" s="19"/>
      <c r="AM860" s="19"/>
      <c r="AN860" s="19"/>
    </row>
    <row r="861" spans="18:40" x14ac:dyDescent="0.2">
      <c r="R861" s="5"/>
      <c r="S861" s="5"/>
      <c r="T861" s="5"/>
      <c r="U861" s="5"/>
      <c r="V861" s="5"/>
      <c r="W861" s="5"/>
      <c r="X861" s="5"/>
      <c r="Y861" s="5"/>
      <c r="Z861" s="5"/>
      <c r="AA861" s="5"/>
      <c r="AB861" s="5"/>
      <c r="AC861" s="5"/>
      <c r="AD861" s="5"/>
      <c r="AE861" s="5"/>
      <c r="AF861" s="5"/>
      <c r="AG861" s="5"/>
      <c r="AH861" s="5"/>
      <c r="AI861" s="5"/>
      <c r="AJ861" s="19"/>
      <c r="AK861" s="19"/>
      <c r="AL861" s="19"/>
      <c r="AM861" s="19"/>
      <c r="AN861" s="19"/>
    </row>
    <row r="862" spans="18:40" x14ac:dyDescent="0.2">
      <c r="R862" s="5"/>
      <c r="S862" s="5"/>
      <c r="T862" s="5"/>
      <c r="U862" s="5"/>
      <c r="V862" s="5"/>
      <c r="W862" s="5"/>
      <c r="X862" s="5"/>
      <c r="Y862" s="5"/>
      <c r="Z862" s="5"/>
      <c r="AA862" s="5"/>
      <c r="AB862" s="5"/>
      <c r="AC862" s="5"/>
      <c r="AD862" s="5"/>
      <c r="AE862" s="5"/>
      <c r="AF862" s="5"/>
      <c r="AG862" s="5"/>
      <c r="AH862" s="5"/>
      <c r="AI862" s="5"/>
      <c r="AJ862" s="19"/>
      <c r="AK862" s="19"/>
      <c r="AL862" s="19"/>
      <c r="AM862" s="19"/>
      <c r="AN862" s="19"/>
    </row>
    <row r="863" spans="18:40" x14ac:dyDescent="0.2">
      <c r="R863" s="5"/>
      <c r="S863" s="5"/>
      <c r="T863" s="5"/>
      <c r="U863" s="5"/>
      <c r="V863" s="5"/>
      <c r="W863" s="5"/>
      <c r="X863" s="5"/>
      <c r="Y863" s="5"/>
      <c r="Z863" s="5"/>
      <c r="AA863" s="5"/>
      <c r="AB863" s="5"/>
      <c r="AC863" s="5"/>
      <c r="AD863" s="5"/>
      <c r="AE863" s="5"/>
      <c r="AF863" s="5"/>
      <c r="AG863" s="5"/>
      <c r="AH863" s="5"/>
      <c r="AI863" s="5"/>
      <c r="AJ863" s="19"/>
      <c r="AK863" s="19"/>
      <c r="AL863" s="19"/>
      <c r="AM863" s="19"/>
      <c r="AN863" s="19"/>
    </row>
    <row r="864" spans="18:40" x14ac:dyDescent="0.2">
      <c r="R864" s="5"/>
      <c r="S864" s="5"/>
      <c r="T864" s="5"/>
      <c r="U864" s="5"/>
      <c r="V864" s="5"/>
      <c r="W864" s="5"/>
      <c r="X864" s="5"/>
      <c r="Y864" s="5"/>
      <c r="Z864" s="5"/>
      <c r="AA864" s="5"/>
      <c r="AB864" s="5"/>
      <c r="AC864" s="5"/>
      <c r="AD864" s="5"/>
      <c r="AE864" s="5"/>
      <c r="AF864" s="5"/>
      <c r="AG864" s="5"/>
      <c r="AH864" s="5"/>
      <c r="AI864" s="5"/>
      <c r="AJ864" s="19"/>
      <c r="AK864" s="19"/>
      <c r="AL864" s="19"/>
      <c r="AM864" s="19"/>
      <c r="AN864" s="19"/>
    </row>
    <row r="865" spans="18:40" x14ac:dyDescent="0.2">
      <c r="R865" s="5"/>
      <c r="S865" s="5"/>
      <c r="T865" s="5"/>
      <c r="U865" s="5"/>
      <c r="V865" s="5"/>
      <c r="W865" s="5"/>
      <c r="X865" s="5"/>
      <c r="Y865" s="5"/>
      <c r="Z865" s="5"/>
      <c r="AA865" s="5"/>
      <c r="AB865" s="5"/>
      <c r="AC865" s="5"/>
      <c r="AD865" s="5"/>
      <c r="AE865" s="5"/>
      <c r="AF865" s="5"/>
      <c r="AG865" s="5"/>
      <c r="AH865" s="5"/>
      <c r="AI865" s="5"/>
      <c r="AJ865" s="19"/>
      <c r="AK865" s="19"/>
      <c r="AL865" s="19"/>
      <c r="AM865" s="19"/>
      <c r="AN865" s="19"/>
    </row>
    <row r="866" spans="18:40" x14ac:dyDescent="0.2">
      <c r="R866" s="5"/>
      <c r="S866" s="5"/>
      <c r="T866" s="5"/>
      <c r="U866" s="5"/>
      <c r="V866" s="5"/>
      <c r="W866" s="5"/>
      <c r="X866" s="5"/>
      <c r="Y866" s="5"/>
      <c r="Z866" s="5"/>
      <c r="AA866" s="5"/>
      <c r="AB866" s="5"/>
      <c r="AC866" s="5"/>
      <c r="AD866" s="5"/>
      <c r="AE866" s="5"/>
      <c r="AF866" s="5"/>
      <c r="AG866" s="5"/>
      <c r="AH866" s="5"/>
      <c r="AI866" s="5"/>
      <c r="AJ866" s="19"/>
      <c r="AK866" s="19"/>
      <c r="AL866" s="19"/>
      <c r="AM866" s="19"/>
      <c r="AN866" s="19"/>
    </row>
    <row r="867" spans="18:40" x14ac:dyDescent="0.2">
      <c r="R867" s="5"/>
      <c r="S867" s="5"/>
      <c r="T867" s="5"/>
      <c r="U867" s="5"/>
      <c r="V867" s="5"/>
      <c r="W867" s="5"/>
      <c r="X867" s="5"/>
      <c r="Y867" s="5"/>
      <c r="Z867" s="5"/>
      <c r="AA867" s="5"/>
      <c r="AB867" s="5"/>
      <c r="AC867" s="5"/>
      <c r="AD867" s="5"/>
      <c r="AE867" s="5"/>
      <c r="AF867" s="5"/>
      <c r="AG867" s="5"/>
      <c r="AH867" s="5"/>
      <c r="AI867" s="5"/>
      <c r="AJ867" s="19"/>
      <c r="AK867" s="19"/>
      <c r="AL867" s="19"/>
      <c r="AM867" s="19"/>
      <c r="AN867" s="19"/>
    </row>
    <row r="868" spans="18:40" x14ac:dyDescent="0.2">
      <c r="R868" s="5"/>
      <c r="S868" s="5"/>
      <c r="T868" s="5"/>
      <c r="U868" s="5"/>
      <c r="V868" s="5"/>
      <c r="W868" s="5"/>
      <c r="X868" s="5"/>
      <c r="Y868" s="5"/>
      <c r="Z868" s="5"/>
      <c r="AA868" s="5"/>
      <c r="AB868" s="5"/>
      <c r="AC868" s="5"/>
      <c r="AD868" s="5"/>
      <c r="AE868" s="5"/>
      <c r="AF868" s="5"/>
      <c r="AG868" s="5"/>
      <c r="AH868" s="5"/>
      <c r="AI868" s="5"/>
      <c r="AJ868" s="19"/>
      <c r="AK868" s="19"/>
      <c r="AL868" s="19"/>
      <c r="AM868" s="19"/>
      <c r="AN868" s="19"/>
    </row>
    <row r="869" spans="18:40" x14ac:dyDescent="0.2">
      <c r="R869" s="5"/>
      <c r="S869" s="5"/>
      <c r="T869" s="5"/>
      <c r="U869" s="5"/>
      <c r="V869" s="5"/>
      <c r="W869" s="5"/>
      <c r="X869" s="5"/>
      <c r="Y869" s="5"/>
      <c r="Z869" s="5"/>
      <c r="AA869" s="5"/>
      <c r="AB869" s="5"/>
      <c r="AC869" s="5"/>
      <c r="AD869" s="5"/>
      <c r="AE869" s="5"/>
      <c r="AF869" s="5"/>
      <c r="AG869" s="5"/>
      <c r="AH869" s="5"/>
      <c r="AI869" s="5"/>
      <c r="AJ869" s="19"/>
      <c r="AK869" s="19"/>
      <c r="AL869" s="19"/>
      <c r="AM869" s="19"/>
      <c r="AN869" s="19"/>
    </row>
    <row r="870" spans="18:40" x14ac:dyDescent="0.2">
      <c r="R870" s="5"/>
      <c r="S870" s="5"/>
      <c r="T870" s="5"/>
      <c r="U870" s="5"/>
      <c r="V870" s="5"/>
      <c r="W870" s="5"/>
      <c r="X870" s="5"/>
      <c r="Y870" s="5"/>
      <c r="Z870" s="5"/>
      <c r="AA870" s="5"/>
      <c r="AB870" s="5"/>
      <c r="AC870" s="5"/>
      <c r="AD870" s="5"/>
      <c r="AE870" s="5"/>
      <c r="AF870" s="5"/>
      <c r="AG870" s="5"/>
      <c r="AH870" s="5"/>
      <c r="AI870" s="5"/>
      <c r="AJ870" s="19"/>
      <c r="AK870" s="19"/>
      <c r="AL870" s="19"/>
      <c r="AM870" s="19"/>
      <c r="AN870" s="19"/>
    </row>
    <row r="871" spans="18:40" x14ac:dyDescent="0.2">
      <c r="R871" s="5"/>
      <c r="S871" s="5"/>
      <c r="T871" s="5"/>
      <c r="U871" s="5"/>
      <c r="V871" s="5"/>
      <c r="W871" s="5"/>
      <c r="X871" s="5"/>
      <c r="Y871" s="5"/>
      <c r="Z871" s="5"/>
      <c r="AA871" s="5"/>
      <c r="AB871" s="5"/>
      <c r="AC871" s="5"/>
      <c r="AD871" s="5"/>
      <c r="AE871" s="5"/>
      <c r="AF871" s="5"/>
      <c r="AG871" s="5"/>
      <c r="AH871" s="5"/>
      <c r="AI871" s="5"/>
      <c r="AJ871" s="19"/>
      <c r="AK871" s="19"/>
      <c r="AL871" s="19"/>
      <c r="AM871" s="19"/>
      <c r="AN871" s="19"/>
    </row>
    <row r="872" spans="18:40" x14ac:dyDescent="0.2">
      <c r="R872" s="5"/>
      <c r="S872" s="5"/>
      <c r="T872" s="5"/>
      <c r="U872" s="5"/>
      <c r="V872" s="5"/>
      <c r="W872" s="5"/>
      <c r="X872" s="5"/>
      <c r="Y872" s="5"/>
      <c r="Z872" s="5"/>
      <c r="AA872" s="5"/>
      <c r="AB872" s="5"/>
      <c r="AC872" s="5"/>
      <c r="AD872" s="5"/>
      <c r="AE872" s="5"/>
      <c r="AF872" s="5"/>
      <c r="AG872" s="5"/>
      <c r="AH872" s="5"/>
      <c r="AI872" s="5"/>
      <c r="AJ872" s="19"/>
      <c r="AK872" s="19"/>
      <c r="AL872" s="19"/>
      <c r="AM872" s="19"/>
      <c r="AN872" s="19"/>
    </row>
    <row r="873" spans="18:40" x14ac:dyDescent="0.2">
      <c r="R873" s="5"/>
      <c r="S873" s="5"/>
      <c r="T873" s="5"/>
      <c r="U873" s="5"/>
      <c r="V873" s="5"/>
      <c r="W873" s="5"/>
      <c r="X873" s="5"/>
      <c r="Y873" s="5"/>
      <c r="Z873" s="5"/>
      <c r="AA873" s="5"/>
      <c r="AB873" s="5"/>
      <c r="AC873" s="5"/>
      <c r="AD873" s="5"/>
      <c r="AE873" s="5"/>
      <c r="AF873" s="5"/>
      <c r="AG873" s="5"/>
      <c r="AH873" s="5"/>
      <c r="AI873" s="5"/>
      <c r="AJ873" s="19"/>
      <c r="AK873" s="19"/>
      <c r="AL873" s="19"/>
      <c r="AM873" s="19"/>
      <c r="AN873" s="19"/>
    </row>
    <row r="874" spans="18:40" x14ac:dyDescent="0.2">
      <c r="R874" s="5"/>
      <c r="S874" s="5"/>
      <c r="T874" s="5"/>
      <c r="U874" s="5"/>
      <c r="V874" s="5"/>
      <c r="W874" s="5"/>
      <c r="X874" s="5"/>
      <c r="Y874" s="5"/>
      <c r="Z874" s="5"/>
      <c r="AA874" s="5"/>
      <c r="AB874" s="5"/>
      <c r="AC874" s="5"/>
      <c r="AD874" s="5"/>
      <c r="AE874" s="5"/>
      <c r="AF874" s="5"/>
      <c r="AG874" s="5"/>
      <c r="AH874" s="5"/>
      <c r="AI874" s="5"/>
      <c r="AJ874" s="19"/>
      <c r="AK874" s="19"/>
      <c r="AL874" s="19"/>
      <c r="AM874" s="19"/>
      <c r="AN874" s="19"/>
    </row>
    <row r="875" spans="18:40" x14ac:dyDescent="0.2">
      <c r="R875" s="5"/>
      <c r="S875" s="5"/>
      <c r="T875" s="5"/>
      <c r="U875" s="5"/>
      <c r="V875" s="5"/>
      <c r="W875" s="5"/>
      <c r="X875" s="5"/>
      <c r="Y875" s="5"/>
      <c r="Z875" s="5"/>
      <c r="AA875" s="5"/>
      <c r="AB875" s="5"/>
      <c r="AC875" s="5"/>
      <c r="AD875" s="5"/>
      <c r="AE875" s="5"/>
      <c r="AF875" s="5"/>
      <c r="AG875" s="5"/>
      <c r="AH875" s="5"/>
      <c r="AI875" s="5"/>
      <c r="AJ875" s="19"/>
      <c r="AK875" s="19"/>
      <c r="AL875" s="19"/>
      <c r="AM875" s="19"/>
      <c r="AN875" s="19"/>
    </row>
    <row r="876" spans="18:40" x14ac:dyDescent="0.2">
      <c r="R876" s="5"/>
      <c r="S876" s="5"/>
      <c r="T876" s="5"/>
      <c r="U876" s="5"/>
      <c r="V876" s="5"/>
      <c r="W876" s="5"/>
      <c r="X876" s="5"/>
      <c r="Y876" s="5"/>
      <c r="Z876" s="5"/>
      <c r="AA876" s="5"/>
      <c r="AB876" s="5"/>
      <c r="AC876" s="5"/>
      <c r="AD876" s="5"/>
      <c r="AE876" s="5"/>
      <c r="AF876" s="5"/>
      <c r="AG876" s="5"/>
      <c r="AH876" s="5"/>
      <c r="AI876" s="5"/>
      <c r="AJ876" s="19"/>
      <c r="AK876" s="19"/>
      <c r="AL876" s="19"/>
      <c r="AM876" s="19"/>
      <c r="AN876" s="19"/>
    </row>
    <row r="877" spans="18:40" x14ac:dyDescent="0.2">
      <c r="R877" s="5"/>
      <c r="S877" s="5"/>
      <c r="T877" s="5"/>
      <c r="U877" s="5"/>
      <c r="V877" s="5"/>
      <c r="W877" s="5"/>
      <c r="X877" s="5"/>
      <c r="Y877" s="5"/>
      <c r="Z877" s="5"/>
      <c r="AA877" s="5"/>
      <c r="AB877" s="5"/>
      <c r="AC877" s="5"/>
      <c r="AD877" s="5"/>
      <c r="AE877" s="5"/>
      <c r="AF877" s="5"/>
      <c r="AG877" s="5"/>
      <c r="AH877" s="5"/>
      <c r="AI877" s="5"/>
      <c r="AJ877" s="19"/>
      <c r="AK877" s="19"/>
      <c r="AL877" s="19"/>
      <c r="AM877" s="19"/>
      <c r="AN877" s="19"/>
    </row>
    <row r="878" spans="18:40" x14ac:dyDescent="0.2">
      <c r="R878" s="5"/>
      <c r="S878" s="5"/>
      <c r="T878" s="5"/>
      <c r="U878" s="5"/>
      <c r="V878" s="5"/>
      <c r="W878" s="5"/>
      <c r="X878" s="5"/>
      <c r="Y878" s="5"/>
      <c r="Z878" s="5"/>
      <c r="AA878" s="5"/>
      <c r="AB878" s="5"/>
      <c r="AC878" s="5"/>
      <c r="AD878" s="5"/>
      <c r="AE878" s="5"/>
      <c r="AF878" s="5"/>
      <c r="AG878" s="5"/>
      <c r="AH878" s="5"/>
      <c r="AI878" s="5"/>
      <c r="AJ878" s="19"/>
      <c r="AK878" s="19"/>
      <c r="AL878" s="19"/>
      <c r="AM878" s="19"/>
      <c r="AN878" s="19"/>
    </row>
    <row r="879" spans="18:40" x14ac:dyDescent="0.2">
      <c r="R879" s="5"/>
      <c r="S879" s="5"/>
      <c r="T879" s="5"/>
      <c r="U879" s="5"/>
      <c r="V879" s="5"/>
      <c r="W879" s="5"/>
      <c r="X879" s="5"/>
      <c r="Y879" s="5"/>
      <c r="Z879" s="5"/>
      <c r="AA879" s="5"/>
      <c r="AB879" s="5"/>
      <c r="AC879" s="5"/>
      <c r="AD879" s="5"/>
      <c r="AE879" s="5"/>
      <c r="AF879" s="5"/>
      <c r="AG879" s="5"/>
      <c r="AH879" s="5"/>
      <c r="AI879" s="5"/>
      <c r="AJ879" s="19"/>
      <c r="AK879" s="19"/>
      <c r="AL879" s="19"/>
      <c r="AM879" s="19"/>
      <c r="AN879" s="19"/>
    </row>
    <row r="880" spans="18:40" x14ac:dyDescent="0.2">
      <c r="R880" s="5"/>
      <c r="S880" s="5"/>
      <c r="T880" s="5"/>
      <c r="U880" s="5"/>
      <c r="V880" s="5"/>
      <c r="W880" s="5"/>
      <c r="X880" s="5"/>
      <c r="Y880" s="5"/>
      <c r="Z880" s="5"/>
      <c r="AA880" s="5"/>
      <c r="AB880" s="5"/>
      <c r="AC880" s="5"/>
      <c r="AD880" s="5"/>
      <c r="AE880" s="5"/>
      <c r="AF880" s="5"/>
      <c r="AG880" s="5"/>
      <c r="AH880" s="5"/>
      <c r="AI880" s="5"/>
      <c r="AJ880" s="19"/>
      <c r="AK880" s="19"/>
      <c r="AL880" s="19"/>
      <c r="AM880" s="19"/>
      <c r="AN880" s="19"/>
    </row>
    <row r="881" spans="18:40" x14ac:dyDescent="0.2">
      <c r="R881" s="5"/>
      <c r="S881" s="5"/>
      <c r="T881" s="5"/>
      <c r="U881" s="5"/>
      <c r="V881" s="5"/>
      <c r="W881" s="5"/>
      <c r="X881" s="5"/>
      <c r="Y881" s="5"/>
      <c r="Z881" s="5"/>
      <c r="AA881" s="5"/>
      <c r="AB881" s="5"/>
      <c r="AC881" s="5"/>
      <c r="AD881" s="5"/>
      <c r="AE881" s="5"/>
      <c r="AF881" s="5"/>
      <c r="AG881" s="5"/>
      <c r="AH881" s="5"/>
      <c r="AI881" s="5"/>
      <c r="AJ881" s="19"/>
      <c r="AK881" s="19"/>
      <c r="AL881" s="19"/>
      <c r="AM881" s="19"/>
      <c r="AN881" s="19"/>
    </row>
    <row r="882" spans="18:40" x14ac:dyDescent="0.2">
      <c r="R882" s="5"/>
      <c r="S882" s="5"/>
      <c r="T882" s="5"/>
      <c r="U882" s="5"/>
      <c r="V882" s="5"/>
      <c r="W882" s="5"/>
      <c r="X882" s="5"/>
      <c r="Y882" s="5"/>
      <c r="Z882" s="5"/>
      <c r="AA882" s="5"/>
      <c r="AB882" s="5"/>
      <c r="AC882" s="5"/>
      <c r="AD882" s="5"/>
      <c r="AE882" s="5"/>
      <c r="AF882" s="5"/>
      <c r="AG882" s="5"/>
      <c r="AH882" s="5"/>
      <c r="AI882" s="5"/>
      <c r="AJ882" s="19"/>
      <c r="AK882" s="19"/>
      <c r="AL882" s="19"/>
      <c r="AM882" s="19"/>
      <c r="AN882" s="19"/>
    </row>
    <row r="883" spans="18:40" x14ac:dyDescent="0.2">
      <c r="R883" s="5"/>
      <c r="S883" s="5"/>
      <c r="T883" s="5"/>
      <c r="U883" s="5"/>
      <c r="V883" s="5"/>
      <c r="W883" s="5"/>
      <c r="X883" s="5"/>
      <c r="Y883" s="5"/>
      <c r="Z883" s="5"/>
      <c r="AA883" s="5"/>
      <c r="AB883" s="5"/>
      <c r="AC883" s="5"/>
      <c r="AD883" s="5"/>
      <c r="AE883" s="5"/>
      <c r="AF883" s="5"/>
      <c r="AG883" s="5"/>
      <c r="AH883" s="5"/>
      <c r="AI883" s="5"/>
      <c r="AJ883" s="19"/>
      <c r="AK883" s="19"/>
      <c r="AL883" s="19"/>
      <c r="AM883" s="19"/>
      <c r="AN883" s="19"/>
    </row>
    <row r="884" spans="18:40" x14ac:dyDescent="0.2">
      <c r="R884" s="5"/>
      <c r="S884" s="5"/>
      <c r="T884" s="5"/>
      <c r="U884" s="5"/>
      <c r="V884" s="5"/>
      <c r="W884" s="5"/>
      <c r="X884" s="5"/>
      <c r="Y884" s="5"/>
      <c r="Z884" s="5"/>
      <c r="AA884" s="5"/>
      <c r="AB884" s="5"/>
      <c r="AC884" s="5"/>
      <c r="AD884" s="5"/>
      <c r="AE884" s="5"/>
      <c r="AF884" s="5"/>
      <c r="AG884" s="5"/>
      <c r="AH884" s="5"/>
      <c r="AI884" s="5"/>
      <c r="AJ884" s="19"/>
      <c r="AK884" s="19"/>
      <c r="AL884" s="19"/>
      <c r="AM884" s="19"/>
      <c r="AN884" s="19"/>
    </row>
    <row r="885" spans="18:40" x14ac:dyDescent="0.2">
      <c r="R885" s="5"/>
      <c r="S885" s="5"/>
      <c r="T885" s="5"/>
      <c r="U885" s="5"/>
      <c r="V885" s="5"/>
      <c r="W885" s="5"/>
      <c r="X885" s="5"/>
      <c r="Y885" s="5"/>
      <c r="Z885" s="5"/>
      <c r="AA885" s="5"/>
      <c r="AB885" s="5"/>
      <c r="AC885" s="5"/>
      <c r="AD885" s="5"/>
      <c r="AE885" s="5"/>
      <c r="AF885" s="5"/>
      <c r="AG885" s="5"/>
      <c r="AH885" s="5"/>
      <c r="AI885" s="5"/>
      <c r="AJ885" s="19"/>
      <c r="AK885" s="19"/>
      <c r="AL885" s="19"/>
      <c r="AM885" s="19"/>
      <c r="AN885" s="19"/>
    </row>
    <row r="886" spans="18:40" x14ac:dyDescent="0.2">
      <c r="R886" s="5"/>
      <c r="S886" s="5"/>
      <c r="T886" s="5"/>
      <c r="U886" s="5"/>
      <c r="V886" s="5"/>
      <c r="W886" s="5"/>
      <c r="X886" s="5"/>
      <c r="Y886" s="5"/>
      <c r="Z886" s="5"/>
      <c r="AA886" s="5"/>
      <c r="AB886" s="5"/>
      <c r="AC886" s="5"/>
      <c r="AD886" s="5"/>
      <c r="AE886" s="5"/>
      <c r="AF886" s="5"/>
      <c r="AG886" s="5"/>
      <c r="AH886" s="5"/>
      <c r="AI886" s="5"/>
      <c r="AJ886" s="19"/>
      <c r="AK886" s="19"/>
      <c r="AL886" s="19"/>
      <c r="AM886" s="19"/>
      <c r="AN886" s="19"/>
    </row>
    <row r="887" spans="18:40" x14ac:dyDescent="0.2">
      <c r="R887" s="5"/>
      <c r="S887" s="5"/>
      <c r="T887" s="5"/>
      <c r="U887" s="5"/>
      <c r="V887" s="5"/>
      <c r="W887" s="5"/>
      <c r="X887" s="5"/>
      <c r="Y887" s="5"/>
      <c r="Z887" s="5"/>
      <c r="AA887" s="5"/>
      <c r="AB887" s="5"/>
      <c r="AC887" s="5"/>
      <c r="AD887" s="5"/>
      <c r="AE887" s="5"/>
      <c r="AF887" s="5"/>
      <c r="AG887" s="5"/>
      <c r="AH887" s="5"/>
      <c r="AI887" s="5"/>
      <c r="AJ887" s="19"/>
      <c r="AK887" s="19"/>
      <c r="AL887" s="19"/>
      <c r="AM887" s="19"/>
      <c r="AN887" s="19"/>
    </row>
    <row r="888" spans="18:40" x14ac:dyDescent="0.2">
      <c r="R888" s="5"/>
      <c r="S888" s="5"/>
      <c r="T888" s="5"/>
      <c r="U888" s="5"/>
      <c r="V888" s="5"/>
      <c r="W888" s="5"/>
      <c r="X888" s="5"/>
      <c r="Y888" s="5"/>
      <c r="Z888" s="5"/>
      <c r="AA888" s="5"/>
      <c r="AB888" s="5"/>
      <c r="AC888" s="5"/>
      <c r="AD888" s="5"/>
      <c r="AE888" s="5"/>
      <c r="AF888" s="5"/>
      <c r="AG888" s="5"/>
      <c r="AH888" s="5"/>
      <c r="AI888" s="5"/>
      <c r="AJ888" s="19"/>
      <c r="AK888" s="19"/>
      <c r="AL888" s="19"/>
      <c r="AM888" s="19"/>
      <c r="AN888" s="19"/>
    </row>
    <row r="889" spans="18:40" x14ac:dyDescent="0.2">
      <c r="R889" s="5"/>
      <c r="S889" s="5"/>
      <c r="T889" s="5"/>
      <c r="U889" s="5"/>
      <c r="V889" s="5"/>
      <c r="W889" s="5"/>
      <c r="X889" s="5"/>
      <c r="Y889" s="5"/>
      <c r="Z889" s="5"/>
      <c r="AA889" s="5"/>
      <c r="AB889" s="5"/>
      <c r="AC889" s="5"/>
      <c r="AD889" s="5"/>
      <c r="AE889" s="5"/>
      <c r="AF889" s="5"/>
      <c r="AG889" s="5"/>
      <c r="AH889" s="5"/>
      <c r="AI889" s="5"/>
      <c r="AJ889" s="19"/>
      <c r="AK889" s="19"/>
      <c r="AL889" s="19"/>
      <c r="AM889" s="19"/>
      <c r="AN889" s="19"/>
    </row>
    <row r="890" spans="18:40" x14ac:dyDescent="0.2">
      <c r="R890" s="5"/>
      <c r="S890" s="5"/>
      <c r="T890" s="5"/>
      <c r="U890" s="5"/>
      <c r="V890" s="5"/>
      <c r="W890" s="5"/>
      <c r="X890" s="5"/>
      <c r="Y890" s="5"/>
      <c r="Z890" s="5"/>
      <c r="AA890" s="5"/>
      <c r="AB890" s="5"/>
      <c r="AC890" s="5"/>
      <c r="AD890" s="5"/>
      <c r="AE890" s="5"/>
      <c r="AF890" s="5"/>
      <c r="AG890" s="5"/>
      <c r="AH890" s="5"/>
      <c r="AI890" s="5"/>
      <c r="AJ890" s="19"/>
      <c r="AK890" s="19"/>
      <c r="AL890" s="19"/>
      <c r="AM890" s="19"/>
      <c r="AN890" s="19"/>
    </row>
    <row r="891" spans="18:40" x14ac:dyDescent="0.2">
      <c r="R891" s="5"/>
      <c r="S891" s="5"/>
      <c r="T891" s="5"/>
      <c r="U891" s="5"/>
      <c r="V891" s="5"/>
      <c r="W891" s="5"/>
      <c r="X891" s="5"/>
      <c r="Y891" s="5"/>
      <c r="Z891" s="5"/>
      <c r="AA891" s="5"/>
      <c r="AB891" s="5"/>
      <c r="AC891" s="5"/>
      <c r="AD891" s="5"/>
      <c r="AE891" s="5"/>
      <c r="AF891" s="5"/>
      <c r="AG891" s="5"/>
      <c r="AH891" s="5"/>
      <c r="AI891" s="5"/>
      <c r="AJ891" s="19"/>
      <c r="AK891" s="19"/>
      <c r="AL891" s="19"/>
      <c r="AM891" s="19"/>
      <c r="AN891" s="19"/>
    </row>
    <row r="892" spans="18:40" x14ac:dyDescent="0.2">
      <c r="R892" s="5"/>
      <c r="S892" s="5"/>
      <c r="T892" s="5"/>
      <c r="U892" s="5"/>
      <c r="V892" s="5"/>
      <c r="W892" s="5"/>
      <c r="X892" s="5"/>
      <c r="Y892" s="5"/>
      <c r="Z892" s="5"/>
      <c r="AA892" s="5"/>
      <c r="AB892" s="5"/>
      <c r="AC892" s="5"/>
      <c r="AD892" s="5"/>
      <c r="AE892" s="5"/>
      <c r="AF892" s="5"/>
      <c r="AG892" s="5"/>
      <c r="AH892" s="5"/>
      <c r="AI892" s="5"/>
      <c r="AJ892" s="19"/>
      <c r="AK892" s="19"/>
      <c r="AL892" s="19"/>
      <c r="AM892" s="19"/>
      <c r="AN892" s="19"/>
    </row>
    <row r="893" spans="18:40" x14ac:dyDescent="0.2">
      <c r="R893" s="5"/>
      <c r="S893" s="5"/>
      <c r="T893" s="5"/>
      <c r="U893" s="5"/>
      <c r="V893" s="5"/>
      <c r="W893" s="5"/>
      <c r="X893" s="5"/>
      <c r="Y893" s="5"/>
      <c r="Z893" s="5"/>
      <c r="AA893" s="5"/>
      <c r="AB893" s="5"/>
      <c r="AC893" s="5"/>
      <c r="AD893" s="5"/>
      <c r="AE893" s="5"/>
      <c r="AF893" s="5"/>
      <c r="AG893" s="5"/>
      <c r="AH893" s="5"/>
      <c r="AI893" s="5"/>
      <c r="AJ893" s="19"/>
      <c r="AK893" s="19"/>
      <c r="AL893" s="19"/>
      <c r="AM893" s="19"/>
      <c r="AN893" s="19"/>
    </row>
    <row r="894" spans="18:40" x14ac:dyDescent="0.2">
      <c r="R894" s="5"/>
      <c r="S894" s="5"/>
      <c r="T894" s="5"/>
      <c r="U894" s="5"/>
      <c r="V894" s="5"/>
      <c r="W894" s="5"/>
      <c r="X894" s="5"/>
      <c r="Y894" s="5"/>
      <c r="Z894" s="5"/>
      <c r="AA894" s="5"/>
      <c r="AB894" s="5"/>
      <c r="AC894" s="5"/>
      <c r="AD894" s="5"/>
      <c r="AE894" s="5"/>
      <c r="AF894" s="5"/>
      <c r="AG894" s="5"/>
      <c r="AH894" s="5"/>
      <c r="AI894" s="5"/>
      <c r="AJ894" s="19"/>
      <c r="AK894" s="19"/>
      <c r="AL894" s="19"/>
      <c r="AM894" s="19"/>
      <c r="AN894" s="19"/>
    </row>
    <row r="895" spans="18:40" x14ac:dyDescent="0.2">
      <c r="R895" s="5"/>
      <c r="S895" s="5"/>
      <c r="T895" s="5"/>
      <c r="U895" s="5"/>
      <c r="V895" s="5"/>
      <c r="W895" s="5"/>
      <c r="X895" s="5"/>
      <c r="Y895" s="5"/>
      <c r="Z895" s="5"/>
      <c r="AA895" s="5"/>
      <c r="AB895" s="5"/>
      <c r="AC895" s="5"/>
      <c r="AD895" s="5"/>
      <c r="AE895" s="5"/>
      <c r="AF895" s="5"/>
      <c r="AG895" s="5"/>
      <c r="AH895" s="5"/>
      <c r="AI895" s="5"/>
      <c r="AJ895" s="19"/>
      <c r="AK895" s="19"/>
      <c r="AL895" s="19"/>
      <c r="AM895" s="19"/>
      <c r="AN895" s="19"/>
    </row>
    <row r="896" spans="18:40" x14ac:dyDescent="0.2">
      <c r="R896" s="5"/>
      <c r="S896" s="5"/>
      <c r="T896" s="5"/>
      <c r="U896" s="5"/>
      <c r="V896" s="5"/>
      <c r="W896" s="5"/>
      <c r="X896" s="5"/>
      <c r="Y896" s="5"/>
      <c r="Z896" s="5"/>
      <c r="AA896" s="5"/>
      <c r="AB896" s="5"/>
      <c r="AC896" s="5"/>
      <c r="AD896" s="5"/>
      <c r="AE896" s="5"/>
      <c r="AF896" s="5"/>
      <c r="AG896" s="5"/>
      <c r="AH896" s="5"/>
      <c r="AI896" s="5"/>
      <c r="AJ896" s="19"/>
      <c r="AK896" s="19"/>
      <c r="AL896" s="19"/>
      <c r="AM896" s="19"/>
      <c r="AN896" s="19"/>
    </row>
    <row r="897" spans="18:40" x14ac:dyDescent="0.2">
      <c r="R897" s="5"/>
      <c r="S897" s="5"/>
      <c r="T897" s="5"/>
      <c r="U897" s="5"/>
      <c r="V897" s="5"/>
      <c r="W897" s="5"/>
      <c r="X897" s="5"/>
      <c r="Y897" s="5"/>
      <c r="Z897" s="5"/>
      <c r="AA897" s="5"/>
      <c r="AB897" s="5"/>
      <c r="AC897" s="5"/>
      <c r="AD897" s="5"/>
      <c r="AE897" s="5"/>
      <c r="AF897" s="5"/>
      <c r="AG897" s="5"/>
      <c r="AH897" s="5"/>
      <c r="AI897" s="5"/>
      <c r="AJ897" s="19"/>
      <c r="AK897" s="19"/>
      <c r="AL897" s="19"/>
      <c r="AM897" s="19"/>
      <c r="AN897" s="19"/>
    </row>
    <row r="898" spans="18:40" x14ac:dyDescent="0.2">
      <c r="R898" s="5"/>
      <c r="S898" s="5"/>
      <c r="T898" s="5"/>
      <c r="U898" s="5"/>
      <c r="V898" s="5"/>
      <c r="W898" s="5"/>
      <c r="X898" s="5"/>
      <c r="Y898" s="5"/>
      <c r="Z898" s="5"/>
      <c r="AA898" s="5"/>
      <c r="AB898" s="5"/>
      <c r="AC898" s="5"/>
      <c r="AD898" s="5"/>
      <c r="AE898" s="5"/>
      <c r="AF898" s="5"/>
      <c r="AG898" s="5"/>
      <c r="AH898" s="5"/>
      <c r="AI898" s="5"/>
      <c r="AJ898" s="19"/>
      <c r="AK898" s="19"/>
      <c r="AL898" s="19"/>
      <c r="AM898" s="19"/>
      <c r="AN898" s="19"/>
    </row>
    <row r="899" spans="18:40" x14ac:dyDescent="0.2">
      <c r="R899" s="5"/>
      <c r="S899" s="5"/>
      <c r="T899" s="5"/>
      <c r="U899" s="5"/>
      <c r="V899" s="5"/>
      <c r="W899" s="5"/>
      <c r="X899" s="5"/>
      <c r="Y899" s="5"/>
      <c r="Z899" s="5"/>
      <c r="AA899" s="5"/>
      <c r="AB899" s="5"/>
      <c r="AC899" s="5"/>
      <c r="AD899" s="5"/>
      <c r="AE899" s="5"/>
      <c r="AF899" s="5"/>
      <c r="AG899" s="5"/>
      <c r="AH899" s="5"/>
      <c r="AI899" s="5"/>
      <c r="AJ899" s="19"/>
      <c r="AK899" s="19"/>
      <c r="AL899" s="19"/>
      <c r="AM899" s="19"/>
      <c r="AN899" s="19"/>
    </row>
    <row r="900" spans="18:40" x14ac:dyDescent="0.2">
      <c r="R900" s="5"/>
      <c r="S900" s="5"/>
      <c r="T900" s="5"/>
      <c r="U900" s="5"/>
      <c r="V900" s="5"/>
      <c r="W900" s="5"/>
      <c r="X900" s="5"/>
      <c r="Y900" s="5"/>
      <c r="Z900" s="5"/>
      <c r="AA900" s="5"/>
      <c r="AB900" s="5"/>
      <c r="AC900" s="5"/>
      <c r="AD900" s="5"/>
      <c r="AE900" s="5"/>
      <c r="AF900" s="5"/>
      <c r="AG900" s="5"/>
      <c r="AH900" s="5"/>
      <c r="AI900" s="5"/>
      <c r="AJ900" s="19"/>
      <c r="AK900" s="19"/>
      <c r="AL900" s="19"/>
      <c r="AM900" s="19"/>
      <c r="AN900" s="19"/>
    </row>
    <row r="901" spans="18:40" x14ac:dyDescent="0.2">
      <c r="R901" s="5"/>
      <c r="S901" s="5"/>
      <c r="T901" s="5"/>
      <c r="U901" s="5"/>
      <c r="V901" s="5"/>
      <c r="W901" s="5"/>
      <c r="X901" s="5"/>
      <c r="Y901" s="5"/>
      <c r="Z901" s="5"/>
      <c r="AA901" s="5"/>
      <c r="AB901" s="5"/>
      <c r="AC901" s="5"/>
      <c r="AD901" s="5"/>
      <c r="AE901" s="5"/>
      <c r="AF901" s="5"/>
      <c r="AG901" s="5"/>
      <c r="AH901" s="5"/>
      <c r="AI901" s="5"/>
      <c r="AJ901" s="19"/>
      <c r="AK901" s="19"/>
      <c r="AL901" s="19"/>
      <c r="AM901" s="19"/>
      <c r="AN901" s="19"/>
    </row>
    <row r="902" spans="18:40" x14ac:dyDescent="0.2">
      <c r="R902" s="5"/>
      <c r="S902" s="5"/>
      <c r="T902" s="5"/>
      <c r="U902" s="5"/>
      <c r="V902" s="5"/>
      <c r="W902" s="5"/>
      <c r="X902" s="5"/>
      <c r="Y902" s="5"/>
      <c r="Z902" s="5"/>
      <c r="AA902" s="5"/>
      <c r="AB902" s="5"/>
      <c r="AC902" s="5"/>
      <c r="AD902" s="5"/>
      <c r="AE902" s="5"/>
      <c r="AF902" s="5"/>
      <c r="AG902" s="5"/>
      <c r="AH902" s="5"/>
      <c r="AI902" s="5"/>
      <c r="AJ902" s="19"/>
      <c r="AK902" s="19"/>
      <c r="AL902" s="19"/>
      <c r="AM902" s="19"/>
      <c r="AN902" s="19"/>
    </row>
    <row r="903" spans="18:40" x14ac:dyDescent="0.2">
      <c r="R903" s="5"/>
      <c r="S903" s="5"/>
      <c r="T903" s="5"/>
      <c r="U903" s="5"/>
      <c r="V903" s="5"/>
      <c r="W903" s="5"/>
      <c r="X903" s="5"/>
      <c r="Y903" s="5"/>
      <c r="Z903" s="5"/>
      <c r="AA903" s="5"/>
      <c r="AB903" s="5"/>
      <c r="AC903" s="5"/>
      <c r="AD903" s="5"/>
      <c r="AE903" s="5"/>
      <c r="AF903" s="5"/>
      <c r="AG903" s="5"/>
      <c r="AH903" s="5"/>
      <c r="AI903" s="5"/>
      <c r="AJ903" s="19"/>
      <c r="AK903" s="19"/>
      <c r="AL903" s="19"/>
      <c r="AM903" s="19"/>
      <c r="AN903" s="19"/>
    </row>
    <row r="904" spans="18:40" x14ac:dyDescent="0.2">
      <c r="R904" s="5"/>
      <c r="S904" s="5"/>
      <c r="T904" s="5"/>
      <c r="U904" s="5"/>
      <c r="V904" s="5"/>
      <c r="W904" s="5"/>
      <c r="X904" s="5"/>
      <c r="Y904" s="5"/>
      <c r="Z904" s="5"/>
      <c r="AA904" s="5"/>
      <c r="AB904" s="5"/>
      <c r="AC904" s="5"/>
      <c r="AD904" s="5"/>
      <c r="AE904" s="5"/>
      <c r="AF904" s="5"/>
      <c r="AG904" s="5"/>
      <c r="AH904" s="5"/>
      <c r="AI904" s="5"/>
      <c r="AJ904" s="19"/>
      <c r="AK904" s="19"/>
      <c r="AL904" s="19"/>
      <c r="AM904" s="19"/>
      <c r="AN904" s="19"/>
    </row>
    <row r="905" spans="18:40" x14ac:dyDescent="0.2">
      <c r="R905" s="5"/>
      <c r="S905" s="5"/>
      <c r="T905" s="5"/>
      <c r="U905" s="5"/>
      <c r="V905" s="5"/>
      <c r="W905" s="5"/>
      <c r="X905" s="5"/>
      <c r="Y905" s="5"/>
      <c r="Z905" s="5"/>
      <c r="AA905" s="5"/>
      <c r="AB905" s="5"/>
      <c r="AC905" s="5"/>
      <c r="AD905" s="5"/>
      <c r="AE905" s="5"/>
      <c r="AF905" s="5"/>
      <c r="AG905" s="5"/>
      <c r="AH905" s="5"/>
      <c r="AI905" s="5"/>
      <c r="AJ905" s="19"/>
      <c r="AK905" s="19"/>
      <c r="AL905" s="19"/>
      <c r="AM905" s="19"/>
      <c r="AN905" s="19"/>
    </row>
    <row r="906" spans="18:40" x14ac:dyDescent="0.2">
      <c r="R906" s="5"/>
      <c r="S906" s="5"/>
      <c r="T906" s="5"/>
      <c r="U906" s="5"/>
      <c r="V906" s="5"/>
      <c r="W906" s="5"/>
      <c r="X906" s="5"/>
      <c r="Y906" s="5"/>
      <c r="Z906" s="5"/>
      <c r="AA906" s="5"/>
      <c r="AB906" s="5"/>
      <c r="AC906" s="5"/>
      <c r="AD906" s="5"/>
      <c r="AE906" s="5"/>
      <c r="AF906" s="5"/>
      <c r="AG906" s="5"/>
      <c r="AH906" s="5"/>
      <c r="AI906" s="5"/>
      <c r="AJ906" s="19"/>
      <c r="AK906" s="19"/>
      <c r="AL906" s="19"/>
      <c r="AM906" s="19"/>
      <c r="AN906" s="19"/>
    </row>
    <row r="907" spans="18:40" x14ac:dyDescent="0.2">
      <c r="R907" s="5"/>
      <c r="S907" s="5"/>
      <c r="T907" s="5"/>
      <c r="U907" s="5"/>
      <c r="V907" s="5"/>
      <c r="W907" s="5"/>
      <c r="X907" s="5"/>
      <c r="Y907" s="5"/>
      <c r="Z907" s="5"/>
      <c r="AA907" s="5"/>
      <c r="AB907" s="5"/>
      <c r="AC907" s="5"/>
      <c r="AD907" s="5"/>
      <c r="AE907" s="5"/>
      <c r="AF907" s="5"/>
      <c r="AG907" s="5"/>
      <c r="AH907" s="5"/>
      <c r="AI907" s="5"/>
      <c r="AJ907" s="19"/>
      <c r="AK907" s="19"/>
      <c r="AL907" s="19"/>
      <c r="AM907" s="19"/>
      <c r="AN907" s="19"/>
    </row>
    <row r="908" spans="18:40" x14ac:dyDescent="0.2">
      <c r="R908" s="5"/>
      <c r="S908" s="5"/>
      <c r="T908" s="5"/>
      <c r="U908" s="5"/>
      <c r="V908" s="5"/>
      <c r="W908" s="5"/>
      <c r="X908" s="5"/>
      <c r="Y908" s="5"/>
      <c r="Z908" s="5"/>
      <c r="AA908" s="5"/>
      <c r="AB908" s="5"/>
      <c r="AC908" s="5"/>
      <c r="AD908" s="5"/>
      <c r="AE908" s="5"/>
      <c r="AF908" s="5"/>
      <c r="AG908" s="5"/>
      <c r="AH908" s="5"/>
      <c r="AI908" s="5"/>
      <c r="AJ908" s="19"/>
      <c r="AK908" s="19"/>
      <c r="AL908" s="19"/>
      <c r="AM908" s="19"/>
      <c r="AN908" s="19"/>
    </row>
    <row r="909" spans="18:40" x14ac:dyDescent="0.2">
      <c r="R909" s="5"/>
      <c r="S909" s="5"/>
      <c r="T909" s="5"/>
      <c r="U909" s="5"/>
      <c r="V909" s="5"/>
      <c r="W909" s="5"/>
      <c r="X909" s="5"/>
      <c r="Y909" s="5"/>
      <c r="Z909" s="5"/>
      <c r="AA909" s="5"/>
      <c r="AB909" s="5"/>
      <c r="AC909" s="5"/>
      <c r="AD909" s="5"/>
      <c r="AE909" s="5"/>
      <c r="AF909" s="5"/>
      <c r="AG909" s="5"/>
      <c r="AH909" s="5"/>
      <c r="AI909" s="5"/>
      <c r="AJ909" s="19"/>
      <c r="AK909" s="19"/>
      <c r="AL909" s="19"/>
      <c r="AM909" s="19"/>
      <c r="AN909" s="19"/>
    </row>
    <row r="910" spans="18:40" x14ac:dyDescent="0.2">
      <c r="R910" s="5"/>
      <c r="S910" s="5"/>
      <c r="T910" s="5"/>
      <c r="U910" s="5"/>
      <c r="V910" s="5"/>
      <c r="W910" s="5"/>
      <c r="X910" s="5"/>
      <c r="Y910" s="5"/>
      <c r="Z910" s="5"/>
      <c r="AA910" s="5"/>
      <c r="AB910" s="5"/>
      <c r="AC910" s="5"/>
      <c r="AD910" s="5"/>
      <c r="AE910" s="5"/>
      <c r="AF910" s="5"/>
      <c r="AG910" s="5"/>
      <c r="AH910" s="5"/>
      <c r="AI910" s="5"/>
      <c r="AJ910" s="19"/>
      <c r="AK910" s="19"/>
      <c r="AL910" s="19"/>
      <c r="AM910" s="19"/>
      <c r="AN910" s="19"/>
    </row>
    <row r="911" spans="18:40" x14ac:dyDescent="0.2">
      <c r="R911" s="5"/>
      <c r="S911" s="5"/>
      <c r="T911" s="5"/>
      <c r="U911" s="5"/>
      <c r="V911" s="5"/>
      <c r="W911" s="5"/>
      <c r="X911" s="5"/>
      <c r="Y911" s="5"/>
      <c r="Z911" s="5"/>
      <c r="AA911" s="5"/>
      <c r="AB911" s="5"/>
      <c r="AC911" s="5"/>
      <c r="AD911" s="5"/>
      <c r="AE911" s="5"/>
      <c r="AF911" s="5"/>
      <c r="AG911" s="5"/>
      <c r="AH911" s="5"/>
      <c r="AI911" s="5"/>
      <c r="AJ911" s="19"/>
      <c r="AK911" s="19"/>
      <c r="AL911" s="19"/>
      <c r="AM911" s="19"/>
      <c r="AN911" s="19"/>
    </row>
    <row r="912" spans="18:40" x14ac:dyDescent="0.2">
      <c r="R912" s="5"/>
      <c r="S912" s="5"/>
      <c r="T912" s="5"/>
      <c r="U912" s="5"/>
      <c r="V912" s="5"/>
      <c r="W912" s="5"/>
      <c r="X912" s="5"/>
      <c r="Y912" s="5"/>
      <c r="Z912" s="5"/>
      <c r="AA912" s="5"/>
      <c r="AB912" s="5"/>
      <c r="AC912" s="5"/>
      <c r="AD912" s="5"/>
      <c r="AE912" s="5"/>
      <c r="AF912" s="5"/>
      <c r="AG912" s="5"/>
      <c r="AH912" s="5"/>
      <c r="AI912" s="5"/>
      <c r="AJ912" s="19"/>
      <c r="AK912" s="19"/>
      <c r="AL912" s="19"/>
      <c r="AM912" s="19"/>
      <c r="AN912" s="19"/>
    </row>
    <row r="913" spans="18:40" x14ac:dyDescent="0.2">
      <c r="R913" s="5"/>
      <c r="S913" s="5"/>
      <c r="T913" s="5"/>
      <c r="U913" s="5"/>
      <c r="V913" s="5"/>
      <c r="W913" s="5"/>
      <c r="X913" s="5"/>
      <c r="Y913" s="5"/>
      <c r="Z913" s="5"/>
      <c r="AA913" s="5"/>
      <c r="AB913" s="5"/>
      <c r="AC913" s="5"/>
      <c r="AD913" s="5"/>
      <c r="AE913" s="5"/>
      <c r="AF913" s="5"/>
      <c r="AG913" s="5"/>
      <c r="AH913" s="5"/>
      <c r="AI913" s="5"/>
      <c r="AJ913" s="19"/>
      <c r="AK913" s="19"/>
      <c r="AL913" s="19"/>
      <c r="AM913" s="19"/>
      <c r="AN913" s="19"/>
    </row>
    <row r="914" spans="18:40" x14ac:dyDescent="0.2">
      <c r="R914" s="5"/>
      <c r="S914" s="5"/>
      <c r="T914" s="5"/>
      <c r="U914" s="5"/>
      <c r="V914" s="5"/>
      <c r="W914" s="5"/>
      <c r="X914" s="5"/>
      <c r="Y914" s="5"/>
      <c r="Z914" s="5"/>
      <c r="AA914" s="5"/>
      <c r="AB914" s="5"/>
      <c r="AC914" s="5"/>
      <c r="AD914" s="5"/>
      <c r="AE914" s="5"/>
      <c r="AF914" s="5"/>
      <c r="AG914" s="5"/>
      <c r="AH914" s="5"/>
      <c r="AI914" s="5"/>
      <c r="AJ914" s="19"/>
      <c r="AK914" s="19"/>
      <c r="AL914" s="19"/>
      <c r="AM914" s="19"/>
      <c r="AN914" s="19"/>
    </row>
    <row r="915" spans="18:40" x14ac:dyDescent="0.2">
      <c r="R915" s="5"/>
      <c r="S915" s="5"/>
      <c r="T915" s="5"/>
      <c r="U915" s="5"/>
      <c r="V915" s="5"/>
      <c r="W915" s="5"/>
      <c r="X915" s="5"/>
      <c r="Y915" s="5"/>
      <c r="Z915" s="5"/>
      <c r="AA915" s="5"/>
      <c r="AB915" s="5"/>
      <c r="AC915" s="5"/>
      <c r="AD915" s="5"/>
      <c r="AE915" s="5"/>
      <c r="AF915" s="5"/>
      <c r="AG915" s="5"/>
      <c r="AH915" s="5"/>
      <c r="AI915" s="5"/>
      <c r="AJ915" s="19"/>
      <c r="AK915" s="19"/>
      <c r="AL915" s="19"/>
      <c r="AM915" s="19"/>
      <c r="AN915" s="19"/>
    </row>
    <row r="916" spans="18:40" x14ac:dyDescent="0.2">
      <c r="R916" s="5"/>
      <c r="S916" s="5"/>
      <c r="T916" s="5"/>
      <c r="U916" s="5"/>
      <c r="V916" s="5"/>
      <c r="W916" s="5"/>
      <c r="X916" s="5"/>
      <c r="Y916" s="5"/>
      <c r="Z916" s="5"/>
      <c r="AA916" s="5"/>
      <c r="AB916" s="5"/>
      <c r="AC916" s="5"/>
      <c r="AD916" s="5"/>
      <c r="AE916" s="5"/>
      <c r="AF916" s="5"/>
      <c r="AG916" s="5"/>
      <c r="AH916" s="5"/>
      <c r="AI916" s="5"/>
      <c r="AJ916" s="19"/>
      <c r="AK916" s="19"/>
      <c r="AL916" s="19"/>
      <c r="AM916" s="19"/>
      <c r="AN916" s="19"/>
    </row>
    <row r="917" spans="18:40" x14ac:dyDescent="0.2">
      <c r="R917" s="5"/>
      <c r="S917" s="5"/>
      <c r="T917" s="5"/>
      <c r="U917" s="5"/>
      <c r="V917" s="5"/>
      <c r="W917" s="5"/>
      <c r="X917" s="5"/>
      <c r="Y917" s="5"/>
      <c r="Z917" s="5"/>
      <c r="AA917" s="5"/>
      <c r="AB917" s="5"/>
      <c r="AC917" s="5"/>
      <c r="AD917" s="5"/>
      <c r="AE917" s="5"/>
      <c r="AF917" s="5"/>
      <c r="AG917" s="5"/>
      <c r="AH917" s="5"/>
      <c r="AI917" s="5"/>
      <c r="AJ917" s="19"/>
      <c r="AK917" s="19"/>
      <c r="AL917" s="19"/>
      <c r="AM917" s="19"/>
      <c r="AN917" s="19"/>
    </row>
    <row r="918" spans="18:40" x14ac:dyDescent="0.2">
      <c r="R918" s="5"/>
      <c r="S918" s="5"/>
      <c r="T918" s="5"/>
      <c r="U918" s="5"/>
      <c r="V918" s="5"/>
      <c r="W918" s="5"/>
      <c r="X918" s="5"/>
      <c r="Y918" s="5"/>
      <c r="Z918" s="5"/>
      <c r="AA918" s="5"/>
      <c r="AB918" s="5"/>
      <c r="AC918" s="5"/>
      <c r="AD918" s="5"/>
      <c r="AE918" s="5"/>
      <c r="AF918" s="5"/>
      <c r="AG918" s="5"/>
      <c r="AH918" s="5"/>
      <c r="AI918" s="5"/>
      <c r="AJ918" s="19"/>
      <c r="AK918" s="19"/>
      <c r="AL918" s="19"/>
      <c r="AM918" s="19"/>
      <c r="AN918" s="19"/>
    </row>
    <row r="919" spans="18:40" x14ac:dyDescent="0.2">
      <c r="R919" s="5"/>
      <c r="S919" s="5"/>
      <c r="T919" s="5"/>
      <c r="U919" s="5"/>
      <c r="V919" s="5"/>
      <c r="W919" s="5"/>
      <c r="X919" s="5"/>
      <c r="Y919" s="5"/>
      <c r="Z919" s="5"/>
      <c r="AA919" s="5"/>
      <c r="AB919" s="5"/>
      <c r="AC919" s="5"/>
      <c r="AD919" s="5"/>
      <c r="AE919" s="5"/>
      <c r="AF919" s="5"/>
      <c r="AG919" s="5"/>
      <c r="AH919" s="5"/>
      <c r="AI919" s="5"/>
      <c r="AJ919" s="19"/>
      <c r="AK919" s="19"/>
      <c r="AL919" s="19"/>
      <c r="AM919" s="19"/>
      <c r="AN919" s="19"/>
    </row>
    <row r="920" spans="18:40" x14ac:dyDescent="0.2">
      <c r="R920" s="5"/>
      <c r="S920" s="5"/>
      <c r="T920" s="5"/>
      <c r="U920" s="5"/>
      <c r="V920" s="5"/>
      <c r="W920" s="5"/>
      <c r="X920" s="5"/>
      <c r="Y920" s="5"/>
      <c r="Z920" s="5"/>
      <c r="AA920" s="5"/>
      <c r="AB920" s="5"/>
      <c r="AC920" s="5"/>
      <c r="AD920" s="5"/>
      <c r="AE920" s="5"/>
      <c r="AF920" s="5"/>
      <c r="AG920" s="5"/>
      <c r="AH920" s="5"/>
      <c r="AI920" s="5"/>
      <c r="AJ920" s="19"/>
      <c r="AK920" s="19"/>
      <c r="AL920" s="19"/>
      <c r="AM920" s="19"/>
      <c r="AN920" s="19"/>
    </row>
    <row r="921" spans="18:40" x14ac:dyDescent="0.2">
      <c r="R921" s="5"/>
      <c r="S921" s="5"/>
      <c r="T921" s="5"/>
      <c r="U921" s="5"/>
      <c r="V921" s="5"/>
      <c r="W921" s="5"/>
      <c r="X921" s="5"/>
      <c r="Y921" s="5"/>
      <c r="Z921" s="5"/>
      <c r="AA921" s="5"/>
      <c r="AB921" s="5"/>
      <c r="AC921" s="5"/>
      <c r="AD921" s="5"/>
      <c r="AE921" s="5"/>
      <c r="AF921" s="5"/>
      <c r="AG921" s="5"/>
      <c r="AH921" s="5"/>
      <c r="AI921" s="5"/>
      <c r="AJ921" s="19"/>
      <c r="AK921" s="19"/>
      <c r="AL921" s="19"/>
      <c r="AM921" s="19"/>
      <c r="AN921" s="19"/>
    </row>
    <row r="922" spans="18:40" x14ac:dyDescent="0.2">
      <c r="R922" s="5"/>
      <c r="S922" s="5"/>
      <c r="T922" s="5"/>
      <c r="U922" s="5"/>
      <c r="V922" s="5"/>
      <c r="W922" s="5"/>
      <c r="X922" s="5"/>
      <c r="Y922" s="5"/>
      <c r="Z922" s="5"/>
      <c r="AA922" s="5"/>
      <c r="AB922" s="5"/>
      <c r="AC922" s="5"/>
      <c r="AD922" s="5"/>
      <c r="AE922" s="5"/>
      <c r="AF922" s="5"/>
      <c r="AG922" s="5"/>
      <c r="AH922" s="5"/>
      <c r="AI922" s="5"/>
      <c r="AJ922" s="19"/>
      <c r="AK922" s="19"/>
      <c r="AL922" s="19"/>
      <c r="AM922" s="19"/>
      <c r="AN922" s="19"/>
    </row>
    <row r="923" spans="18:40" x14ac:dyDescent="0.2">
      <c r="R923" s="5"/>
      <c r="S923" s="5"/>
      <c r="T923" s="5"/>
      <c r="U923" s="5"/>
      <c r="V923" s="5"/>
      <c r="W923" s="5"/>
      <c r="X923" s="5"/>
      <c r="Y923" s="5"/>
      <c r="Z923" s="5"/>
      <c r="AA923" s="5"/>
      <c r="AB923" s="5"/>
      <c r="AC923" s="5"/>
      <c r="AD923" s="5"/>
      <c r="AE923" s="5"/>
      <c r="AF923" s="5"/>
      <c r="AG923" s="5"/>
      <c r="AH923" s="5"/>
      <c r="AI923" s="5"/>
      <c r="AJ923" s="19"/>
      <c r="AK923" s="19"/>
      <c r="AL923" s="19"/>
      <c r="AM923" s="19"/>
      <c r="AN923" s="19"/>
    </row>
    <row r="924" spans="18:40" x14ac:dyDescent="0.2">
      <c r="R924" s="5"/>
      <c r="S924" s="5"/>
      <c r="T924" s="5"/>
      <c r="U924" s="5"/>
      <c r="V924" s="5"/>
      <c r="W924" s="5"/>
      <c r="X924" s="5"/>
      <c r="Y924" s="5"/>
      <c r="Z924" s="5"/>
      <c r="AA924" s="5"/>
      <c r="AB924" s="5"/>
      <c r="AC924" s="5"/>
      <c r="AD924" s="5"/>
      <c r="AE924" s="5"/>
      <c r="AF924" s="5"/>
      <c r="AG924" s="5"/>
      <c r="AH924" s="5"/>
      <c r="AI924" s="5"/>
      <c r="AJ924" s="19"/>
      <c r="AK924" s="19"/>
      <c r="AL924" s="19"/>
      <c r="AM924" s="19"/>
      <c r="AN924" s="19"/>
    </row>
    <row r="925" spans="18:40" x14ac:dyDescent="0.2">
      <c r="R925" s="5"/>
      <c r="S925" s="5"/>
      <c r="T925" s="5"/>
      <c r="U925" s="5"/>
      <c r="V925" s="5"/>
      <c r="W925" s="5"/>
      <c r="X925" s="5"/>
      <c r="Y925" s="5"/>
      <c r="Z925" s="5"/>
      <c r="AA925" s="5"/>
      <c r="AB925" s="5"/>
      <c r="AC925" s="5"/>
      <c r="AD925" s="5"/>
      <c r="AE925" s="5"/>
      <c r="AF925" s="5"/>
      <c r="AG925" s="5"/>
      <c r="AH925" s="5"/>
      <c r="AI925" s="5"/>
      <c r="AJ925" s="19"/>
      <c r="AK925" s="19"/>
      <c r="AL925" s="19"/>
      <c r="AM925" s="19"/>
      <c r="AN925" s="19"/>
    </row>
    <row r="926" spans="18:40" x14ac:dyDescent="0.2">
      <c r="R926" s="5"/>
      <c r="S926" s="5"/>
      <c r="T926" s="5"/>
      <c r="U926" s="5"/>
      <c r="V926" s="5"/>
      <c r="W926" s="5"/>
      <c r="X926" s="5"/>
      <c r="Y926" s="5"/>
      <c r="Z926" s="5"/>
      <c r="AA926" s="5"/>
      <c r="AB926" s="5"/>
      <c r="AC926" s="5"/>
      <c r="AD926" s="5"/>
      <c r="AE926" s="5"/>
      <c r="AF926" s="5"/>
      <c r="AG926" s="5"/>
      <c r="AH926" s="5"/>
      <c r="AI926" s="5"/>
      <c r="AJ926" s="19"/>
      <c r="AK926" s="19"/>
      <c r="AL926" s="19"/>
      <c r="AM926" s="19"/>
      <c r="AN926" s="19"/>
    </row>
    <row r="927" spans="18:40" x14ac:dyDescent="0.2">
      <c r="R927" s="5"/>
      <c r="S927" s="5"/>
      <c r="T927" s="5"/>
      <c r="U927" s="5"/>
      <c r="V927" s="5"/>
      <c r="W927" s="5"/>
      <c r="X927" s="5"/>
      <c r="Y927" s="5"/>
      <c r="Z927" s="5"/>
      <c r="AA927" s="5"/>
      <c r="AB927" s="5"/>
      <c r="AC927" s="5"/>
      <c r="AD927" s="5"/>
      <c r="AE927" s="5"/>
      <c r="AF927" s="5"/>
      <c r="AG927" s="5"/>
      <c r="AH927" s="5"/>
      <c r="AI927" s="5"/>
      <c r="AJ927" s="19"/>
      <c r="AK927" s="19"/>
      <c r="AL927" s="19"/>
      <c r="AM927" s="19"/>
      <c r="AN927" s="19"/>
    </row>
    <row r="928" spans="18:40" x14ac:dyDescent="0.2">
      <c r="R928" s="5"/>
      <c r="S928" s="5"/>
      <c r="T928" s="5"/>
      <c r="U928" s="5"/>
      <c r="V928" s="5"/>
      <c r="W928" s="5"/>
      <c r="X928" s="5"/>
      <c r="Y928" s="5"/>
      <c r="Z928" s="5"/>
      <c r="AA928" s="5"/>
      <c r="AB928" s="5"/>
      <c r="AC928" s="5"/>
      <c r="AD928" s="5"/>
      <c r="AE928" s="5"/>
      <c r="AF928" s="5"/>
      <c r="AG928" s="5"/>
      <c r="AH928" s="5"/>
      <c r="AI928" s="5"/>
      <c r="AJ928" s="19"/>
      <c r="AK928" s="19"/>
      <c r="AL928" s="19"/>
      <c r="AM928" s="19"/>
      <c r="AN928" s="19"/>
    </row>
    <row r="929" spans="18:40" x14ac:dyDescent="0.2">
      <c r="R929" s="5"/>
      <c r="S929" s="5"/>
      <c r="T929" s="5"/>
      <c r="U929" s="5"/>
      <c r="V929" s="5"/>
      <c r="W929" s="5"/>
      <c r="X929" s="5"/>
      <c r="Y929" s="5"/>
      <c r="Z929" s="5"/>
      <c r="AA929" s="5"/>
      <c r="AB929" s="5"/>
      <c r="AC929" s="5"/>
      <c r="AD929" s="5"/>
      <c r="AE929" s="5"/>
      <c r="AF929" s="5"/>
      <c r="AG929" s="5"/>
      <c r="AH929" s="5"/>
      <c r="AI929" s="5"/>
      <c r="AJ929" s="19"/>
      <c r="AK929" s="19"/>
      <c r="AL929" s="19"/>
      <c r="AM929" s="19"/>
      <c r="AN929" s="19"/>
    </row>
    <row r="930" spans="18:40" x14ac:dyDescent="0.2">
      <c r="R930" s="5"/>
      <c r="S930" s="5"/>
      <c r="T930" s="5"/>
      <c r="U930" s="5"/>
      <c r="V930" s="5"/>
      <c r="W930" s="5"/>
      <c r="X930" s="5"/>
      <c r="Y930" s="5"/>
      <c r="Z930" s="5"/>
      <c r="AA930" s="5"/>
      <c r="AB930" s="5"/>
      <c r="AC930" s="5"/>
      <c r="AD930" s="5"/>
      <c r="AE930" s="5"/>
      <c r="AF930" s="5"/>
      <c r="AG930" s="5"/>
      <c r="AH930" s="5"/>
      <c r="AI930" s="5"/>
      <c r="AJ930" s="19"/>
      <c r="AK930" s="19"/>
      <c r="AL930" s="19"/>
      <c r="AM930" s="19"/>
      <c r="AN930" s="19"/>
    </row>
    <row r="931" spans="18:40" x14ac:dyDescent="0.2">
      <c r="R931" s="5"/>
      <c r="S931" s="5"/>
      <c r="T931" s="5"/>
      <c r="U931" s="5"/>
      <c r="V931" s="5"/>
      <c r="W931" s="5"/>
      <c r="X931" s="5"/>
      <c r="Y931" s="5"/>
      <c r="Z931" s="5"/>
      <c r="AA931" s="5"/>
      <c r="AB931" s="5"/>
      <c r="AC931" s="5"/>
      <c r="AD931" s="5"/>
      <c r="AE931" s="5"/>
      <c r="AF931" s="5"/>
      <c r="AG931" s="5"/>
      <c r="AH931" s="5"/>
      <c r="AI931" s="5"/>
      <c r="AJ931" s="19"/>
      <c r="AK931" s="19"/>
      <c r="AL931" s="19"/>
      <c r="AM931" s="19"/>
      <c r="AN931" s="19"/>
    </row>
    <row r="932" spans="18:40" x14ac:dyDescent="0.2">
      <c r="R932" s="5"/>
      <c r="S932" s="5"/>
      <c r="T932" s="5"/>
      <c r="U932" s="5"/>
      <c r="V932" s="5"/>
      <c r="W932" s="5"/>
      <c r="X932" s="5"/>
      <c r="Y932" s="5"/>
      <c r="Z932" s="5"/>
      <c r="AA932" s="5"/>
      <c r="AB932" s="5"/>
      <c r="AC932" s="5"/>
      <c r="AD932" s="5"/>
      <c r="AE932" s="5"/>
      <c r="AF932" s="5"/>
      <c r="AG932" s="5"/>
      <c r="AH932" s="5"/>
      <c r="AI932" s="5"/>
      <c r="AJ932" s="19"/>
      <c r="AK932" s="19"/>
      <c r="AL932" s="19"/>
      <c r="AM932" s="19"/>
      <c r="AN932" s="19"/>
    </row>
    <row r="933" spans="18:40" x14ac:dyDescent="0.2">
      <c r="R933" s="5"/>
      <c r="S933" s="5"/>
      <c r="T933" s="5"/>
      <c r="U933" s="5"/>
      <c r="V933" s="5"/>
      <c r="W933" s="5"/>
      <c r="X933" s="5"/>
      <c r="Y933" s="5"/>
      <c r="Z933" s="5"/>
      <c r="AA933" s="5"/>
      <c r="AB933" s="5"/>
      <c r="AC933" s="5"/>
      <c r="AD933" s="5"/>
      <c r="AE933" s="5"/>
      <c r="AF933" s="5"/>
      <c r="AG933" s="5"/>
      <c r="AH933" s="5"/>
      <c r="AI933" s="5"/>
      <c r="AJ933" s="19"/>
      <c r="AK933" s="19"/>
      <c r="AL933" s="19"/>
      <c r="AM933" s="19"/>
      <c r="AN933" s="19"/>
    </row>
    <row r="934" spans="18:40" x14ac:dyDescent="0.2">
      <c r="R934" s="5"/>
      <c r="S934" s="5"/>
      <c r="T934" s="5"/>
      <c r="U934" s="5"/>
      <c r="V934" s="5"/>
      <c r="W934" s="5"/>
      <c r="X934" s="5"/>
      <c r="Y934" s="5"/>
      <c r="Z934" s="5"/>
      <c r="AA934" s="5"/>
      <c r="AB934" s="5"/>
      <c r="AC934" s="5"/>
      <c r="AD934" s="5"/>
      <c r="AE934" s="5"/>
      <c r="AF934" s="5"/>
      <c r="AG934" s="5"/>
      <c r="AH934" s="5"/>
      <c r="AI934" s="5"/>
      <c r="AJ934" s="19"/>
      <c r="AK934" s="19"/>
      <c r="AL934" s="19"/>
      <c r="AM934" s="19"/>
      <c r="AN934" s="19"/>
    </row>
    <row r="935" spans="18:40" x14ac:dyDescent="0.2">
      <c r="R935" s="5"/>
      <c r="S935" s="5"/>
      <c r="T935" s="5"/>
      <c r="U935" s="5"/>
      <c r="V935" s="5"/>
      <c r="W935" s="5"/>
      <c r="X935" s="5"/>
      <c r="Y935" s="5"/>
      <c r="Z935" s="5"/>
      <c r="AA935" s="5"/>
      <c r="AB935" s="5"/>
      <c r="AC935" s="5"/>
      <c r="AD935" s="5"/>
      <c r="AE935" s="5"/>
      <c r="AF935" s="5"/>
      <c r="AG935" s="5"/>
      <c r="AH935" s="5"/>
      <c r="AI935" s="5"/>
      <c r="AJ935" s="19"/>
      <c r="AK935" s="19"/>
      <c r="AL935" s="19"/>
      <c r="AM935" s="19"/>
      <c r="AN935" s="19"/>
    </row>
    <row r="936" spans="18:40" x14ac:dyDescent="0.2">
      <c r="R936" s="5"/>
      <c r="S936" s="5"/>
      <c r="T936" s="5"/>
      <c r="U936" s="5"/>
      <c r="V936" s="5"/>
      <c r="W936" s="5"/>
      <c r="X936" s="5"/>
      <c r="Y936" s="5"/>
      <c r="Z936" s="5"/>
      <c r="AA936" s="5"/>
      <c r="AB936" s="5"/>
      <c r="AC936" s="5"/>
      <c r="AD936" s="5"/>
      <c r="AE936" s="5"/>
      <c r="AF936" s="5"/>
      <c r="AG936" s="5"/>
      <c r="AH936" s="5"/>
      <c r="AI936" s="5"/>
      <c r="AJ936" s="19"/>
      <c r="AK936" s="19"/>
      <c r="AL936" s="19"/>
      <c r="AM936" s="19"/>
      <c r="AN936" s="19"/>
    </row>
    <row r="937" spans="18:40" x14ac:dyDescent="0.2">
      <c r="R937" s="5"/>
      <c r="S937" s="5"/>
      <c r="T937" s="5"/>
      <c r="U937" s="5"/>
      <c r="V937" s="5"/>
      <c r="W937" s="5"/>
      <c r="X937" s="5"/>
      <c r="Y937" s="5"/>
      <c r="Z937" s="5"/>
      <c r="AA937" s="5"/>
      <c r="AB937" s="5"/>
      <c r="AC937" s="5"/>
      <c r="AD937" s="5"/>
      <c r="AE937" s="5"/>
      <c r="AF937" s="5"/>
      <c r="AG937" s="5"/>
      <c r="AH937" s="5"/>
      <c r="AI937" s="5"/>
      <c r="AJ937" s="19"/>
      <c r="AK937" s="19"/>
      <c r="AL937" s="19"/>
      <c r="AM937" s="19"/>
      <c r="AN937" s="19"/>
    </row>
    <row r="938" spans="18:40" x14ac:dyDescent="0.2">
      <c r="R938" s="5"/>
      <c r="S938" s="5"/>
      <c r="T938" s="5"/>
      <c r="U938" s="5"/>
      <c r="V938" s="5"/>
      <c r="W938" s="5"/>
      <c r="X938" s="5"/>
      <c r="Y938" s="5"/>
      <c r="Z938" s="5"/>
      <c r="AA938" s="5"/>
      <c r="AB938" s="5"/>
      <c r="AC938" s="5"/>
      <c r="AD938" s="5"/>
      <c r="AE938" s="5"/>
      <c r="AF938" s="5"/>
      <c r="AG938" s="5"/>
      <c r="AH938" s="5"/>
      <c r="AI938" s="5"/>
      <c r="AJ938" s="19"/>
      <c r="AK938" s="19"/>
      <c r="AL938" s="19"/>
      <c r="AM938" s="19"/>
      <c r="AN938" s="19"/>
    </row>
    <row r="939" spans="18:40" x14ac:dyDescent="0.2">
      <c r="R939" s="5"/>
      <c r="S939" s="5"/>
      <c r="T939" s="5"/>
      <c r="U939" s="5"/>
      <c r="V939" s="5"/>
      <c r="W939" s="5"/>
      <c r="X939" s="5"/>
      <c r="Y939" s="5"/>
      <c r="Z939" s="5"/>
      <c r="AA939" s="5"/>
      <c r="AB939" s="5"/>
      <c r="AC939" s="5"/>
      <c r="AD939" s="5"/>
      <c r="AE939" s="5"/>
      <c r="AF939" s="5"/>
      <c r="AG939" s="5"/>
      <c r="AH939" s="5"/>
      <c r="AI939" s="5"/>
      <c r="AJ939" s="19"/>
      <c r="AK939" s="19"/>
      <c r="AL939" s="19"/>
      <c r="AM939" s="19"/>
      <c r="AN939" s="19"/>
    </row>
    <row r="940" spans="18:40" x14ac:dyDescent="0.2">
      <c r="R940" s="5"/>
      <c r="S940" s="5"/>
      <c r="T940" s="5"/>
      <c r="U940" s="5"/>
      <c r="V940" s="5"/>
      <c r="W940" s="5"/>
      <c r="X940" s="5"/>
      <c r="Y940" s="5"/>
      <c r="Z940" s="5"/>
      <c r="AA940" s="5"/>
      <c r="AB940" s="5"/>
      <c r="AC940" s="5"/>
      <c r="AD940" s="5"/>
      <c r="AE940" s="5"/>
      <c r="AF940" s="5"/>
      <c r="AG940" s="5"/>
      <c r="AH940" s="5"/>
      <c r="AI940" s="5"/>
      <c r="AJ940" s="19"/>
      <c r="AK940" s="19"/>
      <c r="AL940" s="19"/>
      <c r="AM940" s="19"/>
      <c r="AN940" s="19"/>
    </row>
    <row r="941" spans="18:40" x14ac:dyDescent="0.2">
      <c r="R941" s="5"/>
      <c r="S941" s="5"/>
      <c r="T941" s="5"/>
      <c r="U941" s="5"/>
      <c r="V941" s="5"/>
      <c r="W941" s="5"/>
      <c r="X941" s="5"/>
      <c r="Y941" s="5"/>
      <c r="Z941" s="5"/>
      <c r="AA941" s="5"/>
      <c r="AB941" s="5"/>
      <c r="AC941" s="5"/>
      <c r="AD941" s="5"/>
      <c r="AE941" s="5"/>
      <c r="AF941" s="5"/>
      <c r="AG941" s="5"/>
      <c r="AH941" s="5"/>
      <c r="AI941" s="5"/>
      <c r="AJ941" s="19"/>
      <c r="AK941" s="19"/>
      <c r="AL941" s="19"/>
      <c r="AM941" s="19"/>
      <c r="AN941" s="19"/>
    </row>
    <row r="942" spans="18:40" x14ac:dyDescent="0.2">
      <c r="R942" s="5"/>
      <c r="S942" s="5"/>
      <c r="T942" s="5"/>
      <c r="U942" s="5"/>
      <c r="V942" s="5"/>
      <c r="W942" s="5"/>
      <c r="X942" s="5"/>
      <c r="Y942" s="5"/>
      <c r="Z942" s="5"/>
      <c r="AA942" s="5"/>
      <c r="AB942" s="5"/>
      <c r="AC942" s="5"/>
      <c r="AD942" s="5"/>
      <c r="AE942" s="5"/>
      <c r="AF942" s="5"/>
      <c r="AG942" s="5"/>
      <c r="AH942" s="5"/>
      <c r="AI942" s="5"/>
      <c r="AJ942" s="19"/>
      <c r="AK942" s="19"/>
      <c r="AL942" s="19"/>
      <c r="AM942" s="19"/>
      <c r="AN942" s="19"/>
    </row>
    <row r="943" spans="18:40" x14ac:dyDescent="0.2">
      <c r="R943" s="5"/>
      <c r="S943" s="5"/>
      <c r="T943" s="5"/>
      <c r="U943" s="5"/>
      <c r="V943" s="5"/>
      <c r="W943" s="5"/>
      <c r="X943" s="5"/>
      <c r="Y943" s="5"/>
      <c r="Z943" s="5"/>
      <c r="AA943" s="5"/>
      <c r="AB943" s="5"/>
      <c r="AC943" s="5"/>
      <c r="AD943" s="5"/>
      <c r="AE943" s="5"/>
      <c r="AF943" s="5"/>
      <c r="AG943" s="5"/>
      <c r="AH943" s="5"/>
      <c r="AI943" s="5"/>
      <c r="AJ943" s="19"/>
      <c r="AK943" s="19"/>
      <c r="AL943" s="19"/>
      <c r="AM943" s="19"/>
      <c r="AN943" s="19"/>
    </row>
    <row r="944" spans="18:40" x14ac:dyDescent="0.2">
      <c r="R944" s="5"/>
      <c r="S944" s="5"/>
      <c r="T944" s="5"/>
      <c r="U944" s="5"/>
      <c r="V944" s="5"/>
      <c r="W944" s="5"/>
      <c r="X944" s="5"/>
      <c r="Y944" s="5"/>
      <c r="Z944" s="5"/>
      <c r="AA944" s="5"/>
      <c r="AB944" s="5"/>
      <c r="AC944" s="5"/>
      <c r="AD944" s="5"/>
      <c r="AE944" s="5"/>
      <c r="AF944" s="5"/>
      <c r="AG944" s="5"/>
      <c r="AH944" s="5"/>
      <c r="AI944" s="5"/>
      <c r="AJ944" s="19"/>
      <c r="AK944" s="19"/>
      <c r="AL944" s="19"/>
      <c r="AM944" s="19"/>
      <c r="AN944" s="19"/>
    </row>
    <row r="945" spans="18:40" x14ac:dyDescent="0.2">
      <c r="R945" s="5"/>
      <c r="S945" s="5"/>
      <c r="T945" s="5"/>
      <c r="U945" s="5"/>
      <c r="V945" s="5"/>
      <c r="W945" s="5"/>
      <c r="X945" s="5"/>
      <c r="Y945" s="5"/>
      <c r="Z945" s="5"/>
      <c r="AA945" s="5"/>
      <c r="AB945" s="5"/>
      <c r="AC945" s="5"/>
      <c r="AD945" s="5"/>
      <c r="AE945" s="5"/>
      <c r="AF945" s="5"/>
      <c r="AG945" s="5"/>
      <c r="AH945" s="5"/>
      <c r="AI945" s="5"/>
      <c r="AJ945" s="19"/>
      <c r="AK945" s="19"/>
      <c r="AL945" s="19"/>
      <c r="AM945" s="19"/>
      <c r="AN945" s="19"/>
    </row>
    <row r="946" spans="18:40" x14ac:dyDescent="0.2">
      <c r="R946" s="5"/>
      <c r="S946" s="5"/>
      <c r="T946" s="5"/>
      <c r="U946" s="5"/>
      <c r="V946" s="5"/>
      <c r="W946" s="5"/>
      <c r="X946" s="5"/>
      <c r="Y946" s="5"/>
      <c r="Z946" s="5"/>
      <c r="AA946" s="5"/>
      <c r="AB946" s="5"/>
      <c r="AC946" s="5"/>
      <c r="AD946" s="5"/>
      <c r="AE946" s="5"/>
      <c r="AF946" s="5"/>
      <c r="AG946" s="5"/>
      <c r="AH946" s="5"/>
      <c r="AI946" s="5"/>
      <c r="AJ946" s="19"/>
      <c r="AK946" s="19"/>
      <c r="AL946" s="19"/>
      <c r="AM946" s="19"/>
      <c r="AN946" s="19"/>
    </row>
    <row r="947" spans="18:40" x14ac:dyDescent="0.2">
      <c r="R947" s="5"/>
      <c r="S947" s="5"/>
      <c r="T947" s="5"/>
      <c r="U947" s="5"/>
      <c r="V947" s="5"/>
      <c r="W947" s="5"/>
      <c r="X947" s="5"/>
      <c r="Y947" s="5"/>
      <c r="Z947" s="5"/>
      <c r="AA947" s="5"/>
      <c r="AB947" s="5"/>
      <c r="AC947" s="5"/>
      <c r="AD947" s="5"/>
      <c r="AE947" s="5"/>
      <c r="AF947" s="5"/>
      <c r="AG947" s="5"/>
      <c r="AH947" s="5"/>
      <c r="AI947" s="5"/>
      <c r="AJ947" s="19"/>
      <c r="AK947" s="19"/>
      <c r="AL947" s="19"/>
      <c r="AM947" s="19"/>
      <c r="AN947" s="19"/>
    </row>
    <row r="948" spans="18:40" x14ac:dyDescent="0.2">
      <c r="R948" s="5"/>
      <c r="S948" s="5"/>
      <c r="T948" s="5"/>
      <c r="U948" s="5"/>
      <c r="V948" s="5"/>
      <c r="W948" s="5"/>
      <c r="X948" s="5"/>
      <c r="Y948" s="5"/>
      <c r="Z948" s="5"/>
      <c r="AA948" s="5"/>
      <c r="AB948" s="5"/>
      <c r="AC948" s="5"/>
      <c r="AD948" s="5"/>
      <c r="AE948" s="5"/>
      <c r="AF948" s="5"/>
      <c r="AG948" s="5"/>
      <c r="AH948" s="5"/>
      <c r="AI948" s="5"/>
      <c r="AJ948" s="19"/>
      <c r="AK948" s="19"/>
      <c r="AL948" s="19"/>
      <c r="AM948" s="19"/>
      <c r="AN948" s="19"/>
    </row>
    <row r="949" spans="18:40" x14ac:dyDescent="0.2">
      <c r="R949" s="5"/>
      <c r="S949" s="5"/>
      <c r="T949" s="5"/>
      <c r="U949" s="5"/>
      <c r="V949" s="5"/>
      <c r="W949" s="5"/>
      <c r="X949" s="5"/>
      <c r="Y949" s="5"/>
      <c r="Z949" s="5"/>
      <c r="AA949" s="5"/>
      <c r="AB949" s="5"/>
      <c r="AC949" s="5"/>
      <c r="AD949" s="5"/>
      <c r="AE949" s="5"/>
      <c r="AF949" s="5"/>
      <c r="AG949" s="5"/>
      <c r="AH949" s="5"/>
      <c r="AI949" s="5"/>
      <c r="AJ949" s="19"/>
      <c r="AK949" s="19"/>
      <c r="AL949" s="19"/>
      <c r="AM949" s="19"/>
      <c r="AN949" s="19"/>
    </row>
    <row r="950" spans="18:40" x14ac:dyDescent="0.2">
      <c r="R950" s="5"/>
      <c r="S950" s="5"/>
      <c r="T950" s="5"/>
      <c r="U950" s="5"/>
      <c r="V950" s="5"/>
      <c r="W950" s="5"/>
      <c r="X950" s="5"/>
      <c r="Y950" s="5"/>
      <c r="Z950" s="5"/>
      <c r="AA950" s="5"/>
      <c r="AB950" s="5"/>
      <c r="AC950" s="5"/>
      <c r="AD950" s="5"/>
      <c r="AE950" s="5"/>
      <c r="AF950" s="5"/>
      <c r="AG950" s="5"/>
      <c r="AH950" s="5"/>
      <c r="AI950" s="5"/>
      <c r="AJ950" s="19"/>
      <c r="AK950" s="19"/>
      <c r="AL950" s="19"/>
      <c r="AM950" s="19"/>
      <c r="AN950" s="19"/>
    </row>
    <row r="951" spans="18:40" x14ac:dyDescent="0.2">
      <c r="R951" s="5"/>
      <c r="S951" s="5"/>
      <c r="T951" s="5"/>
      <c r="U951" s="5"/>
      <c r="V951" s="5"/>
      <c r="W951" s="5"/>
      <c r="X951" s="5"/>
      <c r="Y951" s="5"/>
      <c r="Z951" s="5"/>
      <c r="AA951" s="5"/>
      <c r="AB951" s="5"/>
      <c r="AC951" s="5"/>
      <c r="AD951" s="5"/>
      <c r="AE951" s="5"/>
      <c r="AF951" s="5"/>
      <c r="AG951" s="5"/>
      <c r="AH951" s="5"/>
      <c r="AI951" s="5"/>
      <c r="AJ951" s="19"/>
      <c r="AK951" s="19"/>
      <c r="AL951" s="19"/>
      <c r="AM951" s="19"/>
      <c r="AN951" s="19"/>
    </row>
    <row r="952" spans="18:40" x14ac:dyDescent="0.2">
      <c r="R952" s="5"/>
      <c r="S952" s="5"/>
      <c r="T952" s="5"/>
      <c r="U952" s="5"/>
      <c r="V952" s="5"/>
      <c r="W952" s="5"/>
      <c r="X952" s="5"/>
      <c r="Y952" s="5"/>
      <c r="Z952" s="5"/>
      <c r="AA952" s="5"/>
      <c r="AB952" s="5"/>
      <c r="AC952" s="5"/>
      <c r="AD952" s="5"/>
      <c r="AE952" s="5"/>
      <c r="AF952" s="5"/>
      <c r="AG952" s="5"/>
      <c r="AH952" s="5"/>
      <c r="AI952" s="5"/>
      <c r="AJ952" s="19"/>
      <c r="AK952" s="19"/>
      <c r="AL952" s="19"/>
      <c r="AM952" s="19"/>
      <c r="AN952" s="19"/>
    </row>
    <row r="953" spans="18:40" x14ac:dyDescent="0.2">
      <c r="R953" s="5"/>
      <c r="S953" s="5"/>
      <c r="T953" s="5"/>
      <c r="U953" s="5"/>
      <c r="V953" s="5"/>
      <c r="W953" s="5"/>
      <c r="X953" s="5"/>
      <c r="Y953" s="5"/>
      <c r="Z953" s="5"/>
      <c r="AA953" s="5"/>
      <c r="AB953" s="5"/>
      <c r="AC953" s="5"/>
      <c r="AD953" s="5"/>
      <c r="AE953" s="5"/>
      <c r="AF953" s="5"/>
      <c r="AG953" s="5"/>
      <c r="AH953" s="5"/>
      <c r="AI953" s="5"/>
      <c r="AJ953" s="19"/>
      <c r="AK953" s="19"/>
      <c r="AL953" s="19"/>
      <c r="AM953" s="19"/>
      <c r="AN953" s="19"/>
    </row>
    <row r="954" spans="18:40" x14ac:dyDescent="0.2">
      <c r="R954" s="5"/>
      <c r="S954" s="5"/>
      <c r="T954" s="5"/>
      <c r="U954" s="5"/>
      <c r="V954" s="5"/>
      <c r="W954" s="5"/>
      <c r="X954" s="5"/>
      <c r="Y954" s="5"/>
      <c r="Z954" s="5"/>
      <c r="AA954" s="5"/>
      <c r="AB954" s="5"/>
      <c r="AC954" s="5"/>
      <c r="AD954" s="5"/>
      <c r="AE954" s="5"/>
      <c r="AF954" s="5"/>
      <c r="AG954" s="5"/>
      <c r="AH954" s="5"/>
      <c r="AI954" s="5"/>
      <c r="AJ954" s="19"/>
      <c r="AK954" s="19"/>
      <c r="AL954" s="19"/>
      <c r="AM954" s="19"/>
      <c r="AN954" s="19"/>
    </row>
    <row r="955" spans="18:40" x14ac:dyDescent="0.2">
      <c r="R955" s="5"/>
      <c r="S955" s="5"/>
      <c r="T955" s="5"/>
      <c r="U955" s="5"/>
      <c r="V955" s="5"/>
      <c r="W955" s="5"/>
      <c r="X955" s="5"/>
      <c r="Y955" s="5"/>
      <c r="Z955" s="5"/>
      <c r="AA955" s="5"/>
      <c r="AB955" s="5"/>
      <c r="AC955" s="5"/>
      <c r="AD955" s="5"/>
      <c r="AE955" s="5"/>
      <c r="AF955" s="5"/>
      <c r="AG955" s="5"/>
      <c r="AH955" s="5"/>
      <c r="AI955" s="5"/>
      <c r="AJ955" s="19"/>
      <c r="AK955" s="19"/>
      <c r="AL955" s="19"/>
      <c r="AM955" s="19"/>
      <c r="AN955" s="19"/>
    </row>
    <row r="956" spans="18:40" x14ac:dyDescent="0.2">
      <c r="R956" s="5"/>
      <c r="S956" s="5"/>
      <c r="T956" s="5"/>
      <c r="U956" s="5"/>
      <c r="V956" s="5"/>
      <c r="W956" s="5"/>
      <c r="X956" s="5"/>
      <c r="Y956" s="5"/>
      <c r="Z956" s="5"/>
      <c r="AA956" s="5"/>
      <c r="AB956" s="5"/>
      <c r="AC956" s="5"/>
      <c r="AD956" s="5"/>
      <c r="AE956" s="5"/>
      <c r="AF956" s="5"/>
      <c r="AG956" s="5"/>
      <c r="AH956" s="5"/>
      <c r="AI956" s="5"/>
      <c r="AJ956" s="19"/>
      <c r="AK956" s="19"/>
      <c r="AL956" s="19"/>
      <c r="AM956" s="19"/>
      <c r="AN956" s="19"/>
    </row>
    <row r="957" spans="18:40" x14ac:dyDescent="0.2">
      <c r="R957" s="5"/>
      <c r="S957" s="5"/>
      <c r="T957" s="5"/>
      <c r="U957" s="5"/>
      <c r="V957" s="5"/>
      <c r="W957" s="5"/>
      <c r="X957" s="5"/>
      <c r="Y957" s="5"/>
      <c r="Z957" s="5"/>
      <c r="AA957" s="5"/>
      <c r="AB957" s="5"/>
      <c r="AC957" s="5"/>
      <c r="AD957" s="5"/>
      <c r="AE957" s="5"/>
      <c r="AF957" s="5"/>
      <c r="AG957" s="5"/>
      <c r="AH957" s="5"/>
      <c r="AI957" s="5"/>
      <c r="AJ957" s="19"/>
      <c r="AK957" s="19"/>
      <c r="AL957" s="19"/>
      <c r="AM957" s="19"/>
      <c r="AN957" s="19"/>
    </row>
    <row r="958" spans="18:40" x14ac:dyDescent="0.2">
      <c r="R958" s="5"/>
      <c r="S958" s="5"/>
      <c r="T958" s="5"/>
      <c r="U958" s="5"/>
      <c r="V958" s="5"/>
      <c r="W958" s="5"/>
      <c r="X958" s="5"/>
      <c r="Y958" s="5"/>
      <c r="Z958" s="5"/>
      <c r="AA958" s="5"/>
      <c r="AB958" s="5"/>
      <c r="AC958" s="5"/>
      <c r="AD958" s="5"/>
      <c r="AE958" s="5"/>
      <c r="AF958" s="5"/>
      <c r="AG958" s="5"/>
      <c r="AH958" s="5"/>
      <c r="AI958" s="5"/>
      <c r="AJ958" s="19"/>
      <c r="AK958" s="19"/>
      <c r="AL958" s="19"/>
      <c r="AM958" s="19"/>
      <c r="AN958" s="19"/>
    </row>
    <row r="959" spans="18:40" x14ac:dyDescent="0.2">
      <c r="R959" s="5"/>
      <c r="S959" s="5"/>
      <c r="T959" s="5"/>
      <c r="U959" s="5"/>
      <c r="V959" s="5"/>
      <c r="W959" s="5"/>
      <c r="X959" s="5"/>
      <c r="Y959" s="5"/>
      <c r="Z959" s="5"/>
      <c r="AA959" s="5"/>
      <c r="AB959" s="5"/>
      <c r="AC959" s="5"/>
      <c r="AD959" s="5"/>
      <c r="AE959" s="5"/>
      <c r="AF959" s="5"/>
      <c r="AG959" s="5"/>
      <c r="AH959" s="5"/>
      <c r="AI959" s="5"/>
      <c r="AJ959" s="19"/>
      <c r="AK959" s="19"/>
      <c r="AL959" s="19"/>
      <c r="AM959" s="19"/>
      <c r="AN959" s="19"/>
    </row>
    <row r="960" spans="18:40" x14ac:dyDescent="0.2">
      <c r="R960" s="5"/>
      <c r="S960" s="5"/>
      <c r="T960" s="5"/>
      <c r="U960" s="5"/>
      <c r="V960" s="5"/>
      <c r="W960" s="5"/>
      <c r="X960" s="5"/>
      <c r="Y960" s="5"/>
      <c r="Z960" s="5"/>
      <c r="AA960" s="5"/>
      <c r="AB960" s="5"/>
      <c r="AC960" s="5"/>
      <c r="AD960" s="5"/>
      <c r="AE960" s="5"/>
      <c r="AF960" s="5"/>
      <c r="AG960" s="5"/>
      <c r="AH960" s="5"/>
      <c r="AI960" s="5"/>
      <c r="AJ960" s="19"/>
      <c r="AK960" s="19"/>
      <c r="AL960" s="19"/>
      <c r="AM960" s="19"/>
      <c r="AN960" s="19"/>
    </row>
    <row r="961" spans="18:40" x14ac:dyDescent="0.2">
      <c r="R961" s="5"/>
      <c r="S961" s="5"/>
      <c r="T961" s="5"/>
      <c r="U961" s="5"/>
      <c r="V961" s="5"/>
      <c r="W961" s="5"/>
      <c r="X961" s="5"/>
      <c r="Y961" s="5"/>
      <c r="Z961" s="5"/>
      <c r="AA961" s="5"/>
      <c r="AB961" s="5"/>
      <c r="AC961" s="5"/>
      <c r="AD961" s="5"/>
      <c r="AE961" s="5"/>
      <c r="AF961" s="5"/>
      <c r="AG961" s="5"/>
      <c r="AH961" s="5"/>
      <c r="AI961" s="5"/>
      <c r="AJ961" s="19"/>
      <c r="AK961" s="19"/>
      <c r="AL961" s="19"/>
      <c r="AM961" s="19"/>
      <c r="AN961" s="19"/>
    </row>
    <row r="962" spans="18:40" x14ac:dyDescent="0.2">
      <c r="R962" s="5"/>
      <c r="S962" s="5"/>
      <c r="T962" s="5"/>
      <c r="U962" s="5"/>
      <c r="V962" s="5"/>
      <c r="W962" s="5"/>
      <c r="X962" s="5"/>
      <c r="Y962" s="5"/>
      <c r="Z962" s="5"/>
      <c r="AA962" s="5"/>
      <c r="AB962" s="5"/>
      <c r="AC962" s="5"/>
      <c r="AD962" s="5"/>
      <c r="AE962" s="5"/>
      <c r="AF962" s="5"/>
      <c r="AG962" s="5"/>
      <c r="AH962" s="5"/>
      <c r="AI962" s="5"/>
      <c r="AJ962" s="19"/>
      <c r="AK962" s="19"/>
      <c r="AL962" s="19"/>
      <c r="AM962" s="19"/>
      <c r="AN962" s="19"/>
    </row>
    <row r="963" spans="18:40" x14ac:dyDescent="0.2">
      <c r="R963" s="5"/>
      <c r="S963" s="5"/>
      <c r="T963" s="5"/>
      <c r="U963" s="5"/>
      <c r="V963" s="5"/>
      <c r="W963" s="5"/>
      <c r="X963" s="5"/>
      <c r="Y963" s="5"/>
      <c r="Z963" s="5"/>
      <c r="AA963" s="5"/>
      <c r="AB963" s="5"/>
      <c r="AC963" s="5"/>
      <c r="AD963" s="5"/>
      <c r="AE963" s="5"/>
      <c r="AF963" s="5"/>
      <c r="AG963" s="5"/>
      <c r="AH963" s="5"/>
      <c r="AI963" s="5"/>
      <c r="AJ963" s="19"/>
      <c r="AK963" s="19"/>
      <c r="AL963" s="19"/>
      <c r="AM963" s="19"/>
      <c r="AN963" s="19"/>
    </row>
    <row r="964" spans="18:40" x14ac:dyDescent="0.2">
      <c r="R964" s="5"/>
      <c r="S964" s="5"/>
      <c r="T964" s="5"/>
      <c r="U964" s="5"/>
      <c r="V964" s="5"/>
      <c r="W964" s="5"/>
      <c r="X964" s="5"/>
      <c r="Y964" s="5"/>
      <c r="Z964" s="5"/>
      <c r="AA964" s="5"/>
      <c r="AB964" s="5"/>
      <c r="AC964" s="5"/>
      <c r="AD964" s="5"/>
      <c r="AE964" s="5"/>
      <c r="AF964" s="5"/>
      <c r="AG964" s="5"/>
      <c r="AH964" s="5"/>
      <c r="AI964" s="5"/>
      <c r="AJ964" s="19"/>
      <c r="AK964" s="19"/>
      <c r="AL964" s="19"/>
      <c r="AM964" s="19"/>
      <c r="AN964" s="19"/>
    </row>
    <row r="965" spans="18:40" x14ac:dyDescent="0.2">
      <c r="R965" s="5"/>
      <c r="S965" s="5"/>
      <c r="T965" s="5"/>
      <c r="U965" s="5"/>
      <c r="V965" s="5"/>
      <c r="W965" s="5"/>
      <c r="X965" s="5"/>
      <c r="Y965" s="5"/>
      <c r="Z965" s="5"/>
      <c r="AA965" s="5"/>
      <c r="AB965" s="5"/>
      <c r="AC965" s="5"/>
      <c r="AD965" s="5"/>
      <c r="AE965" s="5"/>
      <c r="AF965" s="5"/>
      <c r="AG965" s="5"/>
      <c r="AH965" s="5"/>
      <c r="AI965" s="5"/>
      <c r="AJ965" s="19"/>
      <c r="AK965" s="19"/>
      <c r="AL965" s="19"/>
      <c r="AM965" s="19"/>
      <c r="AN965" s="19"/>
    </row>
    <row r="966" spans="18:40" x14ac:dyDescent="0.2">
      <c r="R966" s="5"/>
      <c r="S966" s="5"/>
      <c r="T966" s="5"/>
      <c r="U966" s="5"/>
      <c r="V966" s="5"/>
      <c r="W966" s="5"/>
      <c r="X966" s="5"/>
      <c r="Y966" s="5"/>
      <c r="Z966" s="5"/>
      <c r="AA966" s="5"/>
      <c r="AB966" s="5"/>
      <c r="AC966" s="5"/>
      <c r="AD966" s="5"/>
      <c r="AE966" s="5"/>
      <c r="AF966" s="5"/>
      <c r="AG966" s="5"/>
      <c r="AH966" s="5"/>
      <c r="AI966" s="5"/>
      <c r="AJ966" s="19"/>
      <c r="AK966" s="19"/>
      <c r="AL966" s="19"/>
      <c r="AM966" s="19"/>
      <c r="AN966" s="19"/>
    </row>
    <row r="967" spans="18:40" x14ac:dyDescent="0.2">
      <c r="R967" s="5"/>
      <c r="S967" s="5"/>
      <c r="T967" s="5"/>
      <c r="U967" s="5"/>
      <c r="V967" s="5"/>
      <c r="W967" s="5"/>
      <c r="X967" s="5"/>
      <c r="Y967" s="5"/>
      <c r="Z967" s="5"/>
      <c r="AA967" s="5"/>
      <c r="AB967" s="5"/>
      <c r="AC967" s="5"/>
      <c r="AD967" s="5"/>
      <c r="AE967" s="5"/>
      <c r="AF967" s="5"/>
      <c r="AG967" s="5"/>
      <c r="AH967" s="5"/>
      <c r="AI967" s="5"/>
      <c r="AJ967" s="19"/>
      <c r="AK967" s="19"/>
      <c r="AL967" s="19"/>
      <c r="AM967" s="19"/>
      <c r="AN967" s="19"/>
    </row>
    <row r="968" spans="18:40" x14ac:dyDescent="0.2">
      <c r="R968" s="5"/>
      <c r="S968" s="5"/>
      <c r="T968" s="5"/>
      <c r="U968" s="5"/>
      <c r="V968" s="5"/>
      <c r="W968" s="5"/>
      <c r="X968" s="5"/>
      <c r="Y968" s="5"/>
      <c r="Z968" s="5"/>
      <c r="AA968" s="5"/>
      <c r="AB968" s="5"/>
      <c r="AC968" s="5"/>
      <c r="AD968" s="5"/>
      <c r="AE968" s="5"/>
      <c r="AF968" s="5"/>
      <c r="AG968" s="5"/>
      <c r="AH968" s="5"/>
      <c r="AI968" s="5"/>
      <c r="AJ968" s="19"/>
      <c r="AK968" s="19"/>
      <c r="AL968" s="19"/>
      <c r="AM968" s="19"/>
      <c r="AN968" s="19"/>
    </row>
    <row r="969" spans="18:40" x14ac:dyDescent="0.2">
      <c r="R969" s="5"/>
      <c r="S969" s="5"/>
      <c r="T969" s="5"/>
      <c r="U969" s="5"/>
      <c r="V969" s="5"/>
      <c r="W969" s="5"/>
      <c r="X969" s="5"/>
      <c r="Y969" s="5"/>
      <c r="Z969" s="5"/>
      <c r="AA969" s="5"/>
      <c r="AB969" s="5"/>
      <c r="AC969" s="5"/>
      <c r="AD969" s="5"/>
      <c r="AE969" s="5"/>
      <c r="AF969" s="5"/>
      <c r="AG969" s="5"/>
      <c r="AH969" s="5"/>
      <c r="AI969" s="5"/>
      <c r="AJ969" s="19"/>
      <c r="AK969" s="19"/>
      <c r="AL969" s="19"/>
      <c r="AM969" s="19"/>
      <c r="AN969" s="19"/>
    </row>
    <row r="970" spans="18:40" x14ac:dyDescent="0.2">
      <c r="R970" s="5"/>
      <c r="S970" s="5"/>
      <c r="T970" s="5"/>
      <c r="U970" s="5"/>
      <c r="V970" s="5"/>
      <c r="W970" s="5"/>
      <c r="X970" s="5"/>
      <c r="Y970" s="5"/>
      <c r="Z970" s="5"/>
      <c r="AA970" s="5"/>
      <c r="AB970" s="5"/>
      <c r="AC970" s="5"/>
      <c r="AD970" s="5"/>
      <c r="AE970" s="5"/>
      <c r="AF970" s="5"/>
      <c r="AG970" s="5"/>
      <c r="AH970" s="5"/>
      <c r="AI970" s="5"/>
      <c r="AJ970" s="19"/>
      <c r="AK970" s="19"/>
      <c r="AL970" s="19"/>
      <c r="AM970" s="19"/>
      <c r="AN970" s="19"/>
    </row>
    <row r="971" spans="18:40" x14ac:dyDescent="0.2">
      <c r="R971" s="5"/>
      <c r="S971" s="5"/>
      <c r="T971" s="5"/>
      <c r="U971" s="5"/>
      <c r="V971" s="5"/>
      <c r="W971" s="5"/>
      <c r="X971" s="5"/>
      <c r="Y971" s="5"/>
      <c r="Z971" s="5"/>
      <c r="AA971" s="5"/>
      <c r="AB971" s="5"/>
      <c r="AC971" s="5"/>
      <c r="AD971" s="5"/>
      <c r="AE971" s="5"/>
      <c r="AF971" s="5"/>
      <c r="AG971" s="5"/>
      <c r="AH971" s="5"/>
      <c r="AI971" s="5"/>
      <c r="AJ971" s="19"/>
      <c r="AK971" s="19"/>
      <c r="AL971" s="19"/>
      <c r="AM971" s="19"/>
      <c r="AN971" s="19"/>
    </row>
    <row r="972" spans="18:40" x14ac:dyDescent="0.2">
      <c r="R972" s="5"/>
      <c r="S972" s="5"/>
      <c r="T972" s="5"/>
      <c r="U972" s="5"/>
      <c r="V972" s="5"/>
      <c r="W972" s="5"/>
      <c r="X972" s="5"/>
      <c r="Y972" s="5"/>
      <c r="Z972" s="5"/>
      <c r="AA972" s="5"/>
      <c r="AB972" s="5"/>
      <c r="AC972" s="5"/>
      <c r="AD972" s="5"/>
      <c r="AE972" s="5"/>
      <c r="AF972" s="5"/>
      <c r="AG972" s="5"/>
      <c r="AH972" s="5"/>
      <c r="AI972" s="5"/>
      <c r="AJ972" s="19"/>
      <c r="AK972" s="19"/>
      <c r="AL972" s="19"/>
      <c r="AM972" s="19"/>
      <c r="AN972" s="19"/>
    </row>
    <row r="973" spans="18:40" x14ac:dyDescent="0.2">
      <c r="R973" s="5"/>
      <c r="S973" s="5"/>
      <c r="T973" s="5"/>
      <c r="U973" s="5"/>
      <c r="V973" s="5"/>
      <c r="W973" s="5"/>
      <c r="X973" s="5"/>
      <c r="Y973" s="5"/>
      <c r="Z973" s="5"/>
      <c r="AA973" s="5"/>
      <c r="AB973" s="5"/>
      <c r="AC973" s="5"/>
      <c r="AD973" s="5"/>
      <c r="AE973" s="5"/>
      <c r="AF973" s="5"/>
      <c r="AG973" s="5"/>
      <c r="AH973" s="5"/>
      <c r="AI973" s="5"/>
      <c r="AJ973" s="19"/>
      <c r="AK973" s="19"/>
      <c r="AL973" s="19"/>
      <c r="AM973" s="19"/>
      <c r="AN973" s="19"/>
    </row>
    <row r="974" spans="18:40" x14ac:dyDescent="0.2">
      <c r="R974" s="5"/>
      <c r="S974" s="5"/>
      <c r="T974" s="5"/>
      <c r="U974" s="5"/>
      <c r="V974" s="5"/>
      <c r="W974" s="5"/>
      <c r="X974" s="5"/>
      <c r="Y974" s="5"/>
      <c r="Z974" s="5"/>
      <c r="AA974" s="5"/>
      <c r="AB974" s="5"/>
      <c r="AC974" s="5"/>
      <c r="AD974" s="5"/>
      <c r="AE974" s="5"/>
      <c r="AF974" s="5"/>
      <c r="AG974" s="5"/>
      <c r="AH974" s="5"/>
      <c r="AI974" s="5"/>
      <c r="AJ974" s="19"/>
      <c r="AK974" s="19"/>
      <c r="AL974" s="19"/>
      <c r="AM974" s="19"/>
      <c r="AN974" s="19"/>
    </row>
    <row r="975" spans="18:40" x14ac:dyDescent="0.2">
      <c r="R975" s="5"/>
      <c r="S975" s="5"/>
      <c r="T975" s="5"/>
      <c r="U975" s="5"/>
      <c r="V975" s="5"/>
      <c r="W975" s="5"/>
      <c r="X975" s="5"/>
      <c r="Y975" s="5"/>
      <c r="Z975" s="5"/>
      <c r="AA975" s="5"/>
      <c r="AB975" s="5"/>
      <c r="AC975" s="5"/>
      <c r="AD975" s="5"/>
      <c r="AE975" s="5"/>
      <c r="AF975" s="5"/>
      <c r="AG975" s="5"/>
      <c r="AH975" s="5"/>
      <c r="AI975" s="5"/>
      <c r="AJ975" s="19"/>
      <c r="AK975" s="19"/>
      <c r="AL975" s="19"/>
      <c r="AM975" s="19"/>
      <c r="AN975" s="19"/>
    </row>
    <row r="976" spans="18:40" x14ac:dyDescent="0.2">
      <c r="R976" s="5"/>
      <c r="S976" s="5"/>
      <c r="T976" s="5"/>
      <c r="U976" s="5"/>
      <c r="V976" s="5"/>
      <c r="W976" s="5"/>
      <c r="X976" s="5"/>
      <c r="Y976" s="5"/>
      <c r="Z976" s="5"/>
      <c r="AA976" s="5"/>
      <c r="AB976" s="5"/>
      <c r="AC976" s="5"/>
      <c r="AD976" s="5"/>
      <c r="AE976" s="5"/>
      <c r="AF976" s="5"/>
      <c r="AG976" s="5"/>
      <c r="AH976" s="5"/>
      <c r="AI976" s="5"/>
      <c r="AJ976" s="19"/>
      <c r="AK976" s="19"/>
      <c r="AL976" s="19"/>
      <c r="AM976" s="19"/>
      <c r="AN976" s="19"/>
    </row>
    <row r="977" spans="18:40" x14ac:dyDescent="0.2">
      <c r="R977" s="5"/>
      <c r="S977" s="5"/>
      <c r="T977" s="5"/>
      <c r="U977" s="5"/>
      <c r="V977" s="5"/>
      <c r="W977" s="5"/>
      <c r="X977" s="5"/>
      <c r="Y977" s="5"/>
      <c r="Z977" s="5"/>
      <c r="AA977" s="5"/>
      <c r="AB977" s="5"/>
      <c r="AC977" s="5"/>
      <c r="AD977" s="5"/>
      <c r="AE977" s="5"/>
      <c r="AF977" s="5"/>
      <c r="AG977" s="5"/>
      <c r="AH977" s="5"/>
      <c r="AI977" s="5"/>
      <c r="AJ977" s="19"/>
      <c r="AK977" s="19"/>
      <c r="AL977" s="19"/>
      <c r="AM977" s="19"/>
      <c r="AN977" s="19"/>
    </row>
    <row r="978" spans="18:40" x14ac:dyDescent="0.2">
      <c r="R978" s="5"/>
      <c r="S978" s="5"/>
      <c r="T978" s="5"/>
      <c r="U978" s="5"/>
      <c r="V978" s="5"/>
      <c r="W978" s="5"/>
      <c r="X978" s="5"/>
      <c r="Y978" s="5"/>
      <c r="Z978" s="5"/>
      <c r="AA978" s="5"/>
      <c r="AB978" s="5"/>
      <c r="AC978" s="5"/>
      <c r="AD978" s="5"/>
      <c r="AE978" s="5"/>
      <c r="AF978" s="5"/>
      <c r="AG978" s="5"/>
      <c r="AH978" s="5"/>
      <c r="AI978" s="5"/>
      <c r="AJ978" s="19"/>
      <c r="AK978" s="19"/>
      <c r="AL978" s="19"/>
      <c r="AM978" s="19"/>
      <c r="AN978" s="19"/>
    </row>
    <row r="979" spans="18:40" x14ac:dyDescent="0.2">
      <c r="R979" s="5"/>
      <c r="S979" s="5"/>
      <c r="T979" s="5"/>
      <c r="U979" s="5"/>
      <c r="V979" s="5"/>
      <c r="W979" s="5"/>
      <c r="X979" s="5"/>
      <c r="Y979" s="5"/>
      <c r="Z979" s="5"/>
      <c r="AA979" s="5"/>
      <c r="AB979" s="5"/>
      <c r="AC979" s="5"/>
      <c r="AD979" s="5"/>
      <c r="AE979" s="5"/>
      <c r="AF979" s="5"/>
      <c r="AG979" s="5"/>
      <c r="AH979" s="5"/>
      <c r="AI979" s="5"/>
      <c r="AJ979" s="19"/>
      <c r="AK979" s="19"/>
      <c r="AL979" s="19"/>
      <c r="AM979" s="19"/>
      <c r="AN979" s="19"/>
    </row>
    <row r="980" spans="18:40" x14ac:dyDescent="0.2">
      <c r="R980" s="5"/>
      <c r="S980" s="5"/>
      <c r="T980" s="5"/>
      <c r="U980" s="5"/>
      <c r="V980" s="5"/>
      <c r="W980" s="5"/>
      <c r="X980" s="5"/>
      <c r="Y980" s="5"/>
      <c r="Z980" s="5"/>
      <c r="AA980" s="5"/>
      <c r="AB980" s="5"/>
      <c r="AC980" s="5"/>
      <c r="AD980" s="5"/>
      <c r="AE980" s="5"/>
      <c r="AF980" s="5"/>
      <c r="AG980" s="5"/>
      <c r="AH980" s="5"/>
      <c r="AI980" s="5"/>
      <c r="AJ980" s="19"/>
      <c r="AK980" s="19"/>
      <c r="AL980" s="19"/>
      <c r="AM980" s="19"/>
      <c r="AN980" s="19"/>
    </row>
    <row r="981" spans="18:40" x14ac:dyDescent="0.2">
      <c r="R981" s="5"/>
      <c r="S981" s="5"/>
      <c r="T981" s="5"/>
      <c r="U981" s="5"/>
      <c r="V981" s="5"/>
      <c r="W981" s="5"/>
      <c r="X981" s="5"/>
      <c r="Y981" s="5"/>
      <c r="Z981" s="5"/>
      <c r="AA981" s="5"/>
      <c r="AB981" s="5"/>
      <c r="AC981" s="5"/>
      <c r="AD981" s="5"/>
      <c r="AE981" s="5"/>
      <c r="AF981" s="5"/>
      <c r="AG981" s="5"/>
      <c r="AH981" s="5"/>
      <c r="AI981" s="5"/>
      <c r="AJ981" s="19"/>
      <c r="AK981" s="19"/>
      <c r="AL981" s="19"/>
      <c r="AM981" s="19"/>
      <c r="AN981" s="19"/>
    </row>
    <row r="982" spans="18:40" x14ac:dyDescent="0.2">
      <c r="R982" s="5"/>
      <c r="S982" s="5"/>
      <c r="T982" s="5"/>
      <c r="U982" s="5"/>
      <c r="V982" s="5"/>
      <c r="W982" s="5"/>
      <c r="X982" s="5"/>
      <c r="Y982" s="5"/>
      <c r="Z982" s="5"/>
      <c r="AA982" s="5"/>
      <c r="AB982" s="5"/>
      <c r="AC982" s="5"/>
      <c r="AD982" s="5"/>
      <c r="AE982" s="5"/>
      <c r="AF982" s="5"/>
      <c r="AG982" s="5"/>
      <c r="AH982" s="5"/>
      <c r="AI982" s="5"/>
      <c r="AJ982" s="19"/>
      <c r="AK982" s="19"/>
      <c r="AL982" s="19"/>
      <c r="AM982" s="19"/>
      <c r="AN982" s="19"/>
    </row>
    <row r="983" spans="18:40" x14ac:dyDescent="0.2">
      <c r="R983" s="5"/>
      <c r="S983" s="5"/>
      <c r="T983" s="5"/>
      <c r="U983" s="5"/>
      <c r="V983" s="5"/>
      <c r="W983" s="5"/>
      <c r="X983" s="5"/>
      <c r="Y983" s="5"/>
      <c r="Z983" s="5"/>
      <c r="AA983" s="5"/>
      <c r="AB983" s="5"/>
      <c r="AC983" s="5"/>
      <c r="AD983" s="5"/>
      <c r="AE983" s="5"/>
      <c r="AF983" s="5"/>
      <c r="AG983" s="5"/>
      <c r="AH983" s="5"/>
      <c r="AI983" s="5"/>
      <c r="AJ983" s="19"/>
      <c r="AK983" s="19"/>
      <c r="AL983" s="19"/>
      <c r="AM983" s="19"/>
      <c r="AN983" s="19"/>
    </row>
    <row r="984" spans="18:40" x14ac:dyDescent="0.2">
      <c r="R984" s="5"/>
      <c r="S984" s="5"/>
      <c r="T984" s="5"/>
      <c r="U984" s="5"/>
      <c r="V984" s="5"/>
      <c r="W984" s="5"/>
      <c r="X984" s="5"/>
      <c r="Y984" s="5"/>
      <c r="Z984" s="5"/>
      <c r="AA984" s="5"/>
      <c r="AB984" s="5"/>
      <c r="AC984" s="5"/>
      <c r="AD984" s="5"/>
      <c r="AE984" s="5"/>
      <c r="AF984" s="5"/>
      <c r="AG984" s="5"/>
      <c r="AH984" s="5"/>
      <c r="AI984" s="5"/>
      <c r="AJ984" s="19"/>
      <c r="AK984" s="19"/>
      <c r="AL984" s="19"/>
      <c r="AM984" s="19"/>
      <c r="AN984" s="19"/>
    </row>
    <row r="985" spans="18:40" x14ac:dyDescent="0.2">
      <c r="R985" s="5"/>
      <c r="S985" s="5"/>
      <c r="T985" s="5"/>
      <c r="U985" s="5"/>
      <c r="V985" s="5"/>
      <c r="W985" s="5"/>
      <c r="X985" s="5"/>
      <c r="Y985" s="5"/>
      <c r="Z985" s="5"/>
      <c r="AA985" s="5"/>
      <c r="AB985" s="5"/>
      <c r="AC985" s="5"/>
      <c r="AD985" s="5"/>
      <c r="AE985" s="5"/>
      <c r="AF985" s="5"/>
      <c r="AG985" s="5"/>
      <c r="AH985" s="5"/>
      <c r="AI985" s="5"/>
      <c r="AJ985" s="19"/>
      <c r="AK985" s="19"/>
      <c r="AL985" s="19"/>
      <c r="AM985" s="19"/>
      <c r="AN985" s="19"/>
    </row>
    <row r="986" spans="18:40" x14ac:dyDescent="0.2">
      <c r="R986" s="5"/>
      <c r="S986" s="5"/>
      <c r="T986" s="5"/>
      <c r="U986" s="5"/>
      <c r="V986" s="5"/>
      <c r="W986" s="5"/>
      <c r="X986" s="5"/>
      <c r="Y986" s="5"/>
      <c r="Z986" s="5"/>
      <c r="AA986" s="5"/>
      <c r="AB986" s="5"/>
      <c r="AC986" s="5"/>
      <c r="AD986" s="5"/>
      <c r="AE986" s="5"/>
      <c r="AF986" s="5"/>
      <c r="AG986" s="5"/>
      <c r="AH986" s="5"/>
      <c r="AI986" s="5"/>
      <c r="AJ986" s="19"/>
      <c r="AK986" s="19"/>
      <c r="AL986" s="19"/>
      <c r="AM986" s="19"/>
      <c r="AN986" s="19"/>
    </row>
    <row r="987" spans="18:40" x14ac:dyDescent="0.2">
      <c r="R987" s="5"/>
      <c r="S987" s="5"/>
      <c r="T987" s="5"/>
      <c r="U987" s="5"/>
      <c r="V987" s="5"/>
      <c r="W987" s="5"/>
      <c r="X987" s="5"/>
      <c r="Y987" s="5"/>
      <c r="Z987" s="5"/>
      <c r="AA987" s="5"/>
      <c r="AB987" s="5"/>
      <c r="AC987" s="5"/>
      <c r="AD987" s="5"/>
      <c r="AE987" s="5"/>
      <c r="AF987" s="5"/>
      <c r="AG987" s="5"/>
      <c r="AH987" s="5"/>
      <c r="AI987" s="5"/>
      <c r="AJ987" s="19"/>
      <c r="AK987" s="19"/>
      <c r="AL987" s="19"/>
      <c r="AM987" s="19"/>
      <c r="AN987" s="19"/>
    </row>
    <row r="988" spans="18:40" x14ac:dyDescent="0.2">
      <c r="R988" s="5"/>
      <c r="S988" s="5"/>
      <c r="T988" s="5"/>
      <c r="U988" s="5"/>
      <c r="V988" s="5"/>
      <c r="W988" s="5"/>
      <c r="X988" s="5"/>
      <c r="Y988" s="5"/>
      <c r="Z988" s="5"/>
      <c r="AA988" s="5"/>
      <c r="AB988" s="5"/>
      <c r="AC988" s="5"/>
      <c r="AD988" s="5"/>
      <c r="AE988" s="5"/>
      <c r="AF988" s="5"/>
      <c r="AG988" s="5"/>
      <c r="AH988" s="5"/>
      <c r="AI988" s="5"/>
      <c r="AJ988" s="19"/>
      <c r="AK988" s="19"/>
      <c r="AL988" s="19"/>
      <c r="AM988" s="19"/>
      <c r="AN988" s="19"/>
    </row>
    <row r="989" spans="18:40" x14ac:dyDescent="0.2">
      <c r="R989" s="5"/>
      <c r="S989" s="5"/>
      <c r="T989" s="5"/>
      <c r="U989" s="5"/>
      <c r="V989" s="5"/>
      <c r="W989" s="5"/>
      <c r="X989" s="5"/>
      <c r="Y989" s="5"/>
      <c r="Z989" s="5"/>
      <c r="AA989" s="5"/>
      <c r="AB989" s="5"/>
      <c r="AC989" s="5"/>
      <c r="AD989" s="5"/>
      <c r="AE989" s="5"/>
      <c r="AF989" s="5"/>
      <c r="AG989" s="5"/>
      <c r="AH989" s="5"/>
      <c r="AI989" s="5"/>
      <c r="AJ989" s="19"/>
      <c r="AK989" s="19"/>
      <c r="AL989" s="19"/>
      <c r="AM989" s="19"/>
      <c r="AN989" s="19"/>
    </row>
    <row r="990" spans="18:40" x14ac:dyDescent="0.2">
      <c r="R990" s="5"/>
      <c r="S990" s="5"/>
      <c r="T990" s="5"/>
      <c r="U990" s="5"/>
      <c r="V990" s="5"/>
      <c r="W990" s="5"/>
      <c r="X990" s="5"/>
      <c r="Y990" s="5"/>
      <c r="Z990" s="5"/>
      <c r="AA990" s="5"/>
      <c r="AB990" s="5"/>
      <c r="AC990" s="5"/>
      <c r="AD990" s="5"/>
      <c r="AE990" s="5"/>
      <c r="AF990" s="5"/>
      <c r="AG990" s="5"/>
      <c r="AH990" s="5"/>
      <c r="AI990" s="5"/>
      <c r="AJ990" s="19"/>
      <c r="AK990" s="19"/>
      <c r="AL990" s="19"/>
      <c r="AM990" s="19"/>
      <c r="AN990" s="19"/>
    </row>
    <row r="991" spans="18:40" x14ac:dyDescent="0.2">
      <c r="R991" s="5"/>
      <c r="S991" s="5"/>
      <c r="T991" s="5"/>
      <c r="U991" s="5"/>
      <c r="V991" s="5"/>
      <c r="W991" s="5"/>
      <c r="X991" s="5"/>
      <c r="Y991" s="5"/>
      <c r="Z991" s="5"/>
      <c r="AA991" s="5"/>
      <c r="AB991" s="5"/>
      <c r="AC991" s="5"/>
      <c r="AD991" s="5"/>
      <c r="AE991" s="5"/>
      <c r="AF991" s="5"/>
      <c r="AG991" s="5"/>
      <c r="AH991" s="5"/>
      <c r="AI991" s="5"/>
      <c r="AJ991" s="19"/>
      <c r="AK991" s="19"/>
      <c r="AL991" s="19"/>
      <c r="AM991" s="19"/>
      <c r="AN991" s="19"/>
    </row>
    <row r="992" spans="18:40" x14ac:dyDescent="0.2">
      <c r="R992" s="5"/>
      <c r="S992" s="5"/>
      <c r="T992" s="5"/>
      <c r="U992" s="5"/>
      <c r="V992" s="5"/>
      <c r="W992" s="5"/>
      <c r="X992" s="5"/>
      <c r="Y992" s="5"/>
      <c r="Z992" s="5"/>
      <c r="AA992" s="5"/>
      <c r="AB992" s="5"/>
      <c r="AC992" s="5"/>
      <c r="AD992" s="5"/>
      <c r="AE992" s="5"/>
      <c r="AF992" s="5"/>
      <c r="AG992" s="5"/>
      <c r="AH992" s="5"/>
      <c r="AI992" s="5"/>
      <c r="AJ992" s="19"/>
      <c r="AK992" s="19"/>
      <c r="AL992" s="19"/>
      <c r="AM992" s="19"/>
      <c r="AN992" s="19"/>
    </row>
    <row r="993" spans="18:40" x14ac:dyDescent="0.2">
      <c r="R993" s="5"/>
      <c r="S993" s="5"/>
      <c r="T993" s="5"/>
      <c r="U993" s="5"/>
      <c r="V993" s="5"/>
      <c r="W993" s="5"/>
      <c r="X993" s="5"/>
      <c r="Y993" s="5"/>
      <c r="Z993" s="5"/>
      <c r="AA993" s="5"/>
      <c r="AB993" s="5"/>
      <c r="AC993" s="5"/>
      <c r="AD993" s="5"/>
      <c r="AE993" s="5"/>
      <c r="AF993" s="5"/>
      <c r="AG993" s="5"/>
      <c r="AH993" s="5"/>
      <c r="AI993" s="5"/>
      <c r="AJ993" s="19"/>
      <c r="AK993" s="19"/>
      <c r="AL993" s="19"/>
      <c r="AM993" s="19"/>
      <c r="AN993" s="19"/>
    </row>
    <row r="994" spans="18:40" x14ac:dyDescent="0.2">
      <c r="R994" s="5"/>
      <c r="S994" s="5"/>
      <c r="T994" s="5"/>
      <c r="U994" s="5"/>
      <c r="V994" s="5"/>
      <c r="W994" s="5"/>
      <c r="X994" s="5"/>
      <c r="Y994" s="5"/>
      <c r="Z994" s="5"/>
      <c r="AA994" s="5"/>
      <c r="AB994" s="5"/>
      <c r="AC994" s="5"/>
      <c r="AD994" s="5"/>
      <c r="AE994" s="5"/>
      <c r="AF994" s="5"/>
      <c r="AG994" s="5"/>
      <c r="AH994" s="5"/>
      <c r="AI994" s="5"/>
      <c r="AJ994" s="19"/>
      <c r="AK994" s="19"/>
      <c r="AL994" s="19"/>
      <c r="AM994" s="19"/>
      <c r="AN994" s="19"/>
    </row>
    <row r="995" spans="18:40" x14ac:dyDescent="0.2">
      <c r="R995" s="5"/>
      <c r="S995" s="5"/>
      <c r="T995" s="5"/>
      <c r="U995" s="5"/>
      <c r="V995" s="5"/>
      <c r="W995" s="5"/>
      <c r="X995" s="5"/>
      <c r="Y995" s="5"/>
      <c r="Z995" s="5"/>
      <c r="AA995" s="5"/>
      <c r="AB995" s="5"/>
      <c r="AC995" s="5"/>
      <c r="AD995" s="5"/>
      <c r="AE995" s="5"/>
      <c r="AF995" s="5"/>
      <c r="AG995" s="5"/>
      <c r="AH995" s="5"/>
      <c r="AI995" s="5"/>
      <c r="AJ995" s="19"/>
      <c r="AK995" s="19"/>
      <c r="AL995" s="19"/>
      <c r="AM995" s="19"/>
      <c r="AN995" s="19"/>
    </row>
    <row r="996" spans="18:40" x14ac:dyDescent="0.2">
      <c r="R996" s="5"/>
      <c r="S996" s="5"/>
      <c r="T996" s="5"/>
      <c r="U996" s="5"/>
      <c r="V996" s="5"/>
      <c r="W996" s="5"/>
      <c r="X996" s="5"/>
      <c r="Y996" s="5"/>
      <c r="Z996" s="5"/>
      <c r="AA996" s="5"/>
      <c r="AB996" s="5"/>
      <c r="AC996" s="5"/>
      <c r="AD996" s="5"/>
      <c r="AE996" s="5"/>
      <c r="AF996" s="5"/>
      <c r="AG996" s="5"/>
      <c r="AH996" s="5"/>
      <c r="AI996" s="5"/>
      <c r="AJ996" s="19"/>
      <c r="AK996" s="19"/>
      <c r="AL996" s="19"/>
      <c r="AM996" s="19"/>
      <c r="AN996" s="19"/>
    </row>
    <row r="997" spans="18:40" x14ac:dyDescent="0.2">
      <c r="R997" s="5"/>
      <c r="S997" s="5"/>
      <c r="T997" s="5"/>
      <c r="U997" s="5"/>
      <c r="V997" s="5"/>
      <c r="W997" s="5"/>
      <c r="X997" s="5"/>
      <c r="Y997" s="5"/>
      <c r="Z997" s="5"/>
      <c r="AA997" s="5"/>
      <c r="AB997" s="5"/>
      <c r="AC997" s="5"/>
      <c r="AD997" s="5"/>
      <c r="AE997" s="5"/>
      <c r="AF997" s="5"/>
      <c r="AG997" s="5"/>
      <c r="AH997" s="5"/>
      <c r="AI997" s="5"/>
      <c r="AJ997" s="19"/>
      <c r="AK997" s="19"/>
      <c r="AL997" s="19"/>
      <c r="AM997" s="19"/>
      <c r="AN997" s="19"/>
    </row>
    <row r="998" spans="18:40" x14ac:dyDescent="0.2">
      <c r="R998" s="5"/>
      <c r="S998" s="5"/>
      <c r="T998" s="5"/>
      <c r="U998" s="5"/>
      <c r="V998" s="5"/>
      <c r="W998" s="5"/>
      <c r="X998" s="5"/>
      <c r="Y998" s="5"/>
      <c r="Z998" s="5"/>
      <c r="AA998" s="5"/>
      <c r="AB998" s="5"/>
      <c r="AC998" s="5"/>
      <c r="AD998" s="5"/>
      <c r="AE998" s="5"/>
      <c r="AF998" s="5"/>
      <c r="AG998" s="5"/>
      <c r="AH998" s="5"/>
      <c r="AI998" s="5"/>
      <c r="AJ998" s="19"/>
      <c r="AK998" s="19"/>
      <c r="AL998" s="19"/>
      <c r="AM998" s="19"/>
      <c r="AN998" s="19"/>
    </row>
    <row r="999" spans="18:40" x14ac:dyDescent="0.2">
      <c r="R999" s="5"/>
      <c r="S999" s="5"/>
      <c r="T999" s="5"/>
      <c r="U999" s="5"/>
      <c r="V999" s="5"/>
      <c r="W999" s="5"/>
      <c r="X999" s="5"/>
      <c r="Y999" s="5"/>
      <c r="Z999" s="5"/>
      <c r="AA999" s="5"/>
      <c r="AB999" s="5"/>
      <c r="AC999" s="5"/>
      <c r="AD999" s="5"/>
      <c r="AE999" s="5"/>
      <c r="AF999" s="5"/>
      <c r="AG999" s="5"/>
      <c r="AH999" s="5"/>
      <c r="AI999" s="5"/>
      <c r="AJ999" s="19"/>
      <c r="AK999" s="19"/>
      <c r="AL999" s="19"/>
      <c r="AM999" s="19"/>
      <c r="AN999" s="19"/>
    </row>
    <row r="1000" spans="18:40" x14ac:dyDescent="0.2">
      <c r="R1000" s="5"/>
      <c r="S1000" s="5"/>
      <c r="T1000" s="5"/>
      <c r="U1000" s="5"/>
      <c r="V1000" s="5"/>
      <c r="W1000" s="5"/>
      <c r="X1000" s="5"/>
      <c r="Y1000" s="5"/>
      <c r="Z1000" s="5"/>
      <c r="AA1000" s="5"/>
      <c r="AB1000" s="5"/>
      <c r="AC1000" s="5"/>
      <c r="AD1000" s="5"/>
      <c r="AE1000" s="5"/>
      <c r="AF1000" s="5"/>
      <c r="AG1000" s="5"/>
      <c r="AH1000" s="5"/>
      <c r="AI1000" s="5"/>
      <c r="AJ1000" s="19"/>
      <c r="AK1000" s="19"/>
      <c r="AL1000" s="19"/>
      <c r="AM1000" s="19"/>
      <c r="AN1000" s="19"/>
    </row>
    <row r="1001" spans="18:40" x14ac:dyDescent="0.2">
      <c r="R1001" s="5"/>
      <c r="S1001" s="5"/>
      <c r="T1001" s="5"/>
      <c r="U1001" s="5"/>
      <c r="V1001" s="5"/>
      <c r="W1001" s="5"/>
      <c r="X1001" s="5"/>
      <c r="Y1001" s="5"/>
      <c r="Z1001" s="5"/>
      <c r="AA1001" s="5"/>
      <c r="AB1001" s="5"/>
      <c r="AC1001" s="5"/>
      <c r="AD1001" s="5"/>
      <c r="AE1001" s="5"/>
      <c r="AF1001" s="5"/>
      <c r="AG1001" s="5"/>
      <c r="AH1001" s="5"/>
      <c r="AI1001" s="5"/>
      <c r="AJ1001" s="19"/>
      <c r="AK1001" s="19"/>
      <c r="AL1001" s="19"/>
      <c r="AM1001" s="19"/>
      <c r="AN1001" s="19"/>
    </row>
    <row r="1002" spans="18:40" x14ac:dyDescent="0.2">
      <c r="R1002" s="5"/>
      <c r="S1002" s="5"/>
      <c r="T1002" s="5"/>
      <c r="U1002" s="5"/>
      <c r="V1002" s="5"/>
      <c r="W1002" s="5"/>
      <c r="X1002" s="5"/>
      <c r="Y1002" s="5"/>
      <c r="Z1002" s="5"/>
      <c r="AA1002" s="5"/>
      <c r="AB1002" s="5"/>
      <c r="AC1002" s="5"/>
      <c r="AD1002" s="5"/>
      <c r="AE1002" s="5"/>
      <c r="AF1002" s="5"/>
      <c r="AG1002" s="5"/>
      <c r="AH1002" s="5"/>
      <c r="AI1002" s="5"/>
      <c r="AJ1002" s="19"/>
      <c r="AK1002" s="19"/>
      <c r="AL1002" s="19"/>
      <c r="AM1002" s="19"/>
      <c r="AN1002" s="19"/>
    </row>
    <row r="1003" spans="18:40" x14ac:dyDescent="0.2">
      <c r="R1003" s="5"/>
      <c r="S1003" s="5"/>
      <c r="T1003" s="5"/>
      <c r="U1003" s="5"/>
      <c r="V1003" s="5"/>
      <c r="W1003" s="5"/>
      <c r="X1003" s="5"/>
      <c r="Y1003" s="5"/>
      <c r="Z1003" s="5"/>
      <c r="AA1003" s="5"/>
      <c r="AB1003" s="5"/>
      <c r="AC1003" s="5"/>
      <c r="AD1003" s="5"/>
      <c r="AE1003" s="5"/>
      <c r="AF1003" s="5"/>
      <c r="AG1003" s="5"/>
      <c r="AH1003" s="5"/>
      <c r="AI1003" s="5"/>
      <c r="AJ1003" s="19"/>
      <c r="AK1003" s="19"/>
      <c r="AL1003" s="19"/>
      <c r="AM1003" s="19"/>
      <c r="AN1003" s="19"/>
    </row>
    <row r="1004" spans="18:40" x14ac:dyDescent="0.2">
      <c r="R1004" s="5"/>
      <c r="S1004" s="5"/>
      <c r="T1004" s="5"/>
      <c r="U1004" s="5"/>
      <c r="V1004" s="5"/>
      <c r="W1004" s="5"/>
      <c r="X1004" s="5"/>
      <c r="Y1004" s="5"/>
      <c r="Z1004" s="5"/>
      <c r="AA1004" s="5"/>
      <c r="AB1004" s="5"/>
      <c r="AC1004" s="5"/>
      <c r="AD1004" s="5"/>
      <c r="AE1004" s="5"/>
      <c r="AF1004" s="5"/>
      <c r="AG1004" s="5"/>
      <c r="AH1004" s="5"/>
      <c r="AI1004" s="5"/>
      <c r="AJ1004" s="19"/>
      <c r="AK1004" s="19"/>
      <c r="AL1004" s="19"/>
      <c r="AM1004" s="19"/>
      <c r="AN1004" s="19"/>
    </row>
    <row r="1005" spans="18:40" x14ac:dyDescent="0.2">
      <c r="R1005" s="5"/>
      <c r="S1005" s="5"/>
      <c r="T1005" s="5"/>
      <c r="U1005" s="5"/>
      <c r="V1005" s="5"/>
      <c r="W1005" s="5"/>
      <c r="X1005" s="5"/>
      <c r="Y1005" s="5"/>
      <c r="Z1005" s="5"/>
      <c r="AA1005" s="5"/>
      <c r="AB1005" s="5"/>
      <c r="AC1005" s="5"/>
      <c r="AD1005" s="5"/>
      <c r="AE1005" s="5"/>
      <c r="AF1005" s="5"/>
      <c r="AG1005" s="5"/>
      <c r="AH1005" s="5"/>
      <c r="AI1005" s="5"/>
      <c r="AJ1005" s="19"/>
      <c r="AK1005" s="19"/>
      <c r="AL1005" s="19"/>
      <c r="AM1005" s="19"/>
      <c r="AN1005" s="19"/>
    </row>
    <row r="1006" spans="18:40" x14ac:dyDescent="0.2">
      <c r="R1006" s="5"/>
      <c r="S1006" s="5"/>
      <c r="T1006" s="5"/>
      <c r="U1006" s="5"/>
      <c r="V1006" s="5"/>
      <c r="W1006" s="5"/>
      <c r="X1006" s="5"/>
      <c r="Y1006" s="5"/>
      <c r="Z1006" s="5"/>
      <c r="AA1006" s="5"/>
      <c r="AB1006" s="5"/>
      <c r="AC1006" s="5"/>
      <c r="AD1006" s="5"/>
      <c r="AE1006" s="5"/>
      <c r="AF1006" s="5"/>
      <c r="AG1006" s="5"/>
      <c r="AH1006" s="5"/>
      <c r="AI1006" s="5"/>
      <c r="AJ1006" s="19"/>
      <c r="AK1006" s="19"/>
      <c r="AL1006" s="19"/>
      <c r="AM1006" s="19"/>
      <c r="AN1006" s="19"/>
    </row>
    <row r="1007" spans="18:40" x14ac:dyDescent="0.2">
      <c r="R1007" s="5"/>
      <c r="S1007" s="5"/>
      <c r="T1007" s="5"/>
      <c r="U1007" s="5"/>
      <c r="V1007" s="5"/>
      <c r="W1007" s="5"/>
      <c r="X1007" s="5"/>
      <c r="Y1007" s="5"/>
      <c r="Z1007" s="5"/>
      <c r="AA1007" s="5"/>
      <c r="AB1007" s="5"/>
      <c r="AC1007" s="5"/>
      <c r="AD1007" s="5"/>
      <c r="AE1007" s="5"/>
      <c r="AF1007" s="5"/>
      <c r="AG1007" s="5"/>
      <c r="AH1007" s="5"/>
      <c r="AI1007" s="5"/>
      <c r="AJ1007" s="19"/>
      <c r="AK1007" s="19"/>
      <c r="AL1007" s="19"/>
      <c r="AM1007" s="19"/>
      <c r="AN1007" s="19"/>
    </row>
    <row r="1008" spans="18:40" x14ac:dyDescent="0.2">
      <c r="R1008" s="5"/>
      <c r="S1008" s="5"/>
      <c r="T1008" s="5"/>
      <c r="U1008" s="5"/>
      <c r="V1008" s="5"/>
      <c r="W1008" s="5"/>
      <c r="X1008" s="5"/>
      <c r="Y1008" s="5"/>
      <c r="Z1008" s="5"/>
      <c r="AA1008" s="5"/>
      <c r="AB1008" s="5"/>
      <c r="AC1008" s="5"/>
      <c r="AD1008" s="5"/>
      <c r="AE1008" s="5"/>
      <c r="AF1008" s="5"/>
      <c r="AG1008" s="5"/>
      <c r="AH1008" s="5"/>
      <c r="AI1008" s="5"/>
      <c r="AJ1008" s="19"/>
      <c r="AK1008" s="19"/>
      <c r="AL1008" s="19"/>
      <c r="AM1008" s="19"/>
      <c r="AN1008" s="19"/>
    </row>
    <row r="1009" spans="18:40" x14ac:dyDescent="0.2">
      <c r="R1009" s="5"/>
      <c r="S1009" s="5"/>
      <c r="T1009" s="5"/>
      <c r="U1009" s="5"/>
      <c r="V1009" s="5"/>
      <c r="W1009" s="5"/>
      <c r="X1009" s="5"/>
      <c r="Y1009" s="5"/>
      <c r="Z1009" s="5"/>
      <c r="AA1009" s="5"/>
      <c r="AB1009" s="5"/>
      <c r="AC1009" s="5"/>
      <c r="AD1009" s="5"/>
      <c r="AE1009" s="5"/>
      <c r="AF1009" s="5"/>
      <c r="AG1009" s="5"/>
      <c r="AH1009" s="5"/>
      <c r="AI1009" s="5"/>
      <c r="AJ1009" s="19"/>
      <c r="AK1009" s="19"/>
      <c r="AL1009" s="19"/>
      <c r="AM1009" s="19"/>
      <c r="AN1009" s="19"/>
    </row>
    <row r="1010" spans="18:40" x14ac:dyDescent="0.2">
      <c r="R1010" s="5"/>
      <c r="S1010" s="5"/>
      <c r="T1010" s="5"/>
      <c r="U1010" s="5"/>
      <c r="V1010" s="5"/>
      <c r="W1010" s="5"/>
      <c r="X1010" s="5"/>
      <c r="Y1010" s="5"/>
      <c r="Z1010" s="5"/>
      <c r="AA1010" s="5"/>
      <c r="AB1010" s="5"/>
      <c r="AC1010" s="5"/>
      <c r="AD1010" s="5"/>
      <c r="AE1010" s="5"/>
      <c r="AF1010" s="5"/>
      <c r="AG1010" s="5"/>
      <c r="AH1010" s="5"/>
      <c r="AI1010" s="5"/>
      <c r="AJ1010" s="19"/>
      <c r="AK1010" s="19"/>
      <c r="AL1010" s="19"/>
      <c r="AM1010" s="19"/>
      <c r="AN1010" s="19"/>
    </row>
    <row r="1011" spans="18:40" x14ac:dyDescent="0.2">
      <c r="R1011" s="5"/>
      <c r="S1011" s="5"/>
      <c r="T1011" s="5"/>
      <c r="U1011" s="5"/>
      <c r="V1011" s="5"/>
      <c r="W1011" s="5"/>
      <c r="X1011" s="5"/>
      <c r="Y1011" s="5"/>
      <c r="Z1011" s="5"/>
      <c r="AA1011" s="5"/>
      <c r="AB1011" s="5"/>
      <c r="AC1011" s="5"/>
      <c r="AD1011" s="5"/>
      <c r="AE1011" s="5"/>
      <c r="AF1011" s="5"/>
      <c r="AG1011" s="5"/>
      <c r="AH1011" s="5"/>
      <c r="AI1011" s="5"/>
      <c r="AJ1011" s="19"/>
      <c r="AK1011" s="19"/>
      <c r="AL1011" s="19"/>
      <c r="AM1011" s="19"/>
      <c r="AN1011" s="19"/>
    </row>
    <row r="1012" spans="18:40" x14ac:dyDescent="0.2">
      <c r="R1012" s="5"/>
      <c r="S1012" s="5"/>
      <c r="T1012" s="5"/>
      <c r="U1012" s="5"/>
      <c r="V1012" s="5"/>
      <c r="W1012" s="5"/>
      <c r="X1012" s="5"/>
      <c r="Y1012" s="5"/>
      <c r="Z1012" s="5"/>
      <c r="AA1012" s="5"/>
      <c r="AB1012" s="5"/>
      <c r="AC1012" s="5"/>
      <c r="AD1012" s="5"/>
      <c r="AE1012" s="5"/>
      <c r="AF1012" s="5"/>
      <c r="AG1012" s="5"/>
      <c r="AH1012" s="5"/>
      <c r="AI1012" s="5"/>
      <c r="AJ1012" s="19"/>
      <c r="AK1012" s="19"/>
      <c r="AL1012" s="19"/>
      <c r="AM1012" s="19"/>
      <c r="AN1012" s="19"/>
    </row>
    <row r="1013" spans="18:40" x14ac:dyDescent="0.2">
      <c r="R1013" s="5"/>
      <c r="S1013" s="5"/>
      <c r="T1013" s="5"/>
      <c r="U1013" s="5"/>
      <c r="V1013" s="5"/>
      <c r="W1013" s="5"/>
      <c r="X1013" s="5"/>
      <c r="Y1013" s="5"/>
      <c r="Z1013" s="5"/>
      <c r="AA1013" s="5"/>
      <c r="AB1013" s="5"/>
      <c r="AC1013" s="5"/>
      <c r="AD1013" s="5"/>
      <c r="AE1013" s="5"/>
      <c r="AF1013" s="5"/>
      <c r="AG1013" s="5"/>
      <c r="AH1013" s="5"/>
      <c r="AI1013" s="5"/>
      <c r="AJ1013" s="19"/>
      <c r="AK1013" s="19"/>
      <c r="AL1013" s="19"/>
      <c r="AM1013" s="19"/>
      <c r="AN1013" s="19"/>
    </row>
    <row r="1014" spans="18:40" x14ac:dyDescent="0.2">
      <c r="R1014" s="5"/>
      <c r="S1014" s="5"/>
      <c r="T1014" s="5"/>
      <c r="U1014" s="5"/>
      <c r="V1014" s="5"/>
      <c r="W1014" s="5"/>
      <c r="X1014" s="5"/>
      <c r="Y1014" s="5"/>
      <c r="Z1014" s="5"/>
      <c r="AA1014" s="5"/>
      <c r="AB1014" s="5"/>
      <c r="AC1014" s="5"/>
      <c r="AD1014" s="5"/>
      <c r="AE1014" s="5"/>
      <c r="AF1014" s="5"/>
      <c r="AG1014" s="5"/>
      <c r="AH1014" s="5"/>
      <c r="AI1014" s="5"/>
      <c r="AJ1014" s="19"/>
      <c r="AK1014" s="19"/>
      <c r="AL1014" s="19"/>
      <c r="AM1014" s="19"/>
      <c r="AN1014" s="19"/>
    </row>
    <row r="1015" spans="18:40" x14ac:dyDescent="0.2">
      <c r="R1015" s="5"/>
      <c r="S1015" s="5"/>
      <c r="T1015" s="5"/>
      <c r="U1015" s="5"/>
      <c r="V1015" s="5"/>
      <c r="W1015" s="5"/>
      <c r="X1015" s="5"/>
      <c r="Y1015" s="5"/>
      <c r="Z1015" s="5"/>
      <c r="AA1015" s="5"/>
      <c r="AB1015" s="5"/>
      <c r="AC1015" s="5"/>
      <c r="AD1015" s="5"/>
      <c r="AE1015" s="5"/>
      <c r="AF1015" s="5"/>
      <c r="AG1015" s="5"/>
      <c r="AH1015" s="5"/>
      <c r="AI1015" s="5"/>
      <c r="AJ1015" s="19"/>
      <c r="AK1015" s="19"/>
      <c r="AL1015" s="19"/>
      <c r="AM1015" s="19"/>
      <c r="AN1015" s="19"/>
    </row>
    <row r="1016" spans="18:40" x14ac:dyDescent="0.2">
      <c r="R1016" s="5"/>
      <c r="S1016" s="5"/>
      <c r="T1016" s="5"/>
      <c r="U1016" s="5"/>
      <c r="V1016" s="5"/>
      <c r="W1016" s="5"/>
      <c r="X1016" s="5"/>
      <c r="Y1016" s="5"/>
      <c r="Z1016" s="5"/>
      <c r="AA1016" s="5"/>
      <c r="AB1016" s="5"/>
      <c r="AC1016" s="5"/>
      <c r="AD1016" s="5"/>
      <c r="AE1016" s="5"/>
      <c r="AF1016" s="5"/>
      <c r="AG1016" s="5"/>
      <c r="AH1016" s="5"/>
      <c r="AI1016" s="5"/>
      <c r="AJ1016" s="19"/>
      <c r="AK1016" s="19"/>
      <c r="AL1016" s="19"/>
      <c r="AM1016" s="19"/>
      <c r="AN1016" s="19"/>
    </row>
    <row r="1017" spans="18:40" x14ac:dyDescent="0.2">
      <c r="R1017" s="5"/>
      <c r="S1017" s="5"/>
      <c r="T1017" s="5"/>
      <c r="U1017" s="5"/>
      <c r="V1017" s="5"/>
      <c r="W1017" s="5"/>
      <c r="X1017" s="5"/>
      <c r="Y1017" s="5"/>
      <c r="Z1017" s="5"/>
      <c r="AA1017" s="5"/>
      <c r="AB1017" s="5"/>
      <c r="AC1017" s="5"/>
      <c r="AD1017" s="5"/>
      <c r="AE1017" s="5"/>
      <c r="AF1017" s="5"/>
      <c r="AG1017" s="5"/>
      <c r="AH1017" s="5"/>
      <c r="AI1017" s="5"/>
      <c r="AJ1017" s="19"/>
      <c r="AK1017" s="19"/>
      <c r="AL1017" s="19"/>
      <c r="AM1017" s="19"/>
      <c r="AN1017" s="19"/>
    </row>
    <row r="1018" spans="18:40" x14ac:dyDescent="0.2">
      <c r="R1018" s="5"/>
      <c r="S1018" s="5"/>
      <c r="T1018" s="5"/>
      <c r="U1018" s="5"/>
      <c r="V1018" s="5"/>
      <c r="W1018" s="5"/>
      <c r="X1018" s="5"/>
      <c r="Y1018" s="5"/>
      <c r="Z1018" s="5"/>
      <c r="AA1018" s="5"/>
      <c r="AB1018" s="5"/>
      <c r="AC1018" s="5"/>
      <c r="AD1018" s="5"/>
      <c r="AE1018" s="5"/>
      <c r="AF1018" s="5"/>
      <c r="AG1018" s="5"/>
      <c r="AH1018" s="5"/>
      <c r="AI1018" s="5"/>
      <c r="AJ1018" s="19"/>
      <c r="AK1018" s="19"/>
      <c r="AL1018" s="19"/>
      <c r="AM1018" s="19"/>
      <c r="AN1018" s="19"/>
    </row>
    <row r="1019" spans="18:40" x14ac:dyDescent="0.2">
      <c r="R1019" s="5"/>
      <c r="S1019" s="5"/>
      <c r="T1019" s="5"/>
      <c r="U1019" s="5"/>
      <c r="V1019" s="5"/>
      <c r="W1019" s="5"/>
      <c r="X1019" s="5"/>
      <c r="Y1019" s="5"/>
      <c r="Z1019" s="5"/>
      <c r="AA1019" s="5"/>
      <c r="AB1019" s="5"/>
      <c r="AC1019" s="5"/>
      <c r="AD1019" s="5"/>
      <c r="AE1019" s="5"/>
      <c r="AF1019" s="5"/>
      <c r="AG1019" s="5"/>
      <c r="AH1019" s="5"/>
      <c r="AI1019" s="5"/>
      <c r="AJ1019" s="19"/>
      <c r="AK1019" s="19"/>
      <c r="AL1019" s="19"/>
      <c r="AM1019" s="19"/>
      <c r="AN1019" s="19"/>
    </row>
    <row r="1020" spans="18:40" x14ac:dyDescent="0.2">
      <c r="R1020" s="5"/>
      <c r="S1020" s="5"/>
      <c r="T1020" s="5"/>
      <c r="U1020" s="5"/>
      <c r="V1020" s="5"/>
      <c r="W1020" s="5"/>
      <c r="X1020" s="5"/>
      <c r="Y1020" s="5"/>
      <c r="Z1020" s="5"/>
      <c r="AA1020" s="5"/>
      <c r="AB1020" s="5"/>
      <c r="AC1020" s="5"/>
      <c r="AD1020" s="5"/>
      <c r="AE1020" s="5"/>
      <c r="AF1020" s="5"/>
      <c r="AG1020" s="5"/>
      <c r="AH1020" s="5"/>
      <c r="AI1020" s="5"/>
      <c r="AJ1020" s="19"/>
      <c r="AK1020" s="19"/>
      <c r="AL1020" s="19"/>
      <c r="AM1020" s="19"/>
      <c r="AN1020" s="19"/>
    </row>
    <row r="1021" spans="18:40" x14ac:dyDescent="0.2">
      <c r="R1021" s="5"/>
      <c r="S1021" s="5"/>
      <c r="T1021" s="5"/>
      <c r="U1021" s="5"/>
      <c r="V1021" s="5"/>
      <c r="W1021" s="5"/>
      <c r="X1021" s="5"/>
      <c r="Y1021" s="5"/>
      <c r="Z1021" s="5"/>
      <c r="AA1021" s="5"/>
      <c r="AB1021" s="5"/>
      <c r="AC1021" s="5"/>
      <c r="AD1021" s="5"/>
      <c r="AE1021" s="5"/>
      <c r="AF1021" s="5"/>
      <c r="AG1021" s="5"/>
      <c r="AH1021" s="5"/>
      <c r="AI1021" s="5"/>
      <c r="AJ1021" s="19"/>
      <c r="AK1021" s="19"/>
      <c r="AL1021" s="19"/>
      <c r="AM1021" s="19"/>
      <c r="AN1021" s="19"/>
    </row>
    <row r="1022" spans="18:40" x14ac:dyDescent="0.2">
      <c r="R1022" s="5"/>
      <c r="S1022" s="5"/>
      <c r="T1022" s="5"/>
      <c r="U1022" s="5"/>
      <c r="V1022" s="5"/>
      <c r="W1022" s="5"/>
      <c r="X1022" s="5"/>
      <c r="Y1022" s="5"/>
      <c r="Z1022" s="5"/>
      <c r="AA1022" s="5"/>
      <c r="AB1022" s="5"/>
      <c r="AC1022" s="5"/>
      <c r="AD1022" s="5"/>
      <c r="AE1022" s="5"/>
      <c r="AF1022" s="5"/>
      <c r="AG1022" s="5"/>
      <c r="AH1022" s="5"/>
      <c r="AI1022" s="5"/>
      <c r="AJ1022" s="19"/>
      <c r="AK1022" s="19"/>
      <c r="AL1022" s="19"/>
      <c r="AM1022" s="19"/>
      <c r="AN1022" s="19"/>
    </row>
    <row r="1023" spans="18:40" x14ac:dyDescent="0.2">
      <c r="R1023" s="5"/>
      <c r="S1023" s="5"/>
      <c r="T1023" s="5"/>
      <c r="U1023" s="5"/>
      <c r="V1023" s="5"/>
      <c r="W1023" s="5"/>
      <c r="X1023" s="5"/>
      <c r="Y1023" s="5"/>
      <c r="Z1023" s="5"/>
      <c r="AA1023" s="5"/>
      <c r="AB1023" s="5"/>
      <c r="AC1023" s="5"/>
      <c r="AD1023" s="5"/>
      <c r="AE1023" s="5"/>
      <c r="AF1023" s="5"/>
      <c r="AG1023" s="5"/>
      <c r="AH1023" s="5"/>
      <c r="AI1023" s="5"/>
      <c r="AJ1023" s="19"/>
      <c r="AK1023" s="19"/>
      <c r="AL1023" s="19"/>
      <c r="AM1023" s="19"/>
      <c r="AN1023" s="19"/>
    </row>
    <row r="1024" spans="18:40" x14ac:dyDescent="0.2">
      <c r="R1024" s="5"/>
      <c r="S1024" s="5"/>
      <c r="T1024" s="5"/>
      <c r="U1024" s="5"/>
      <c r="V1024" s="5"/>
      <c r="W1024" s="5"/>
      <c r="X1024" s="5"/>
      <c r="Y1024" s="5"/>
      <c r="Z1024" s="5"/>
      <c r="AA1024" s="5"/>
      <c r="AB1024" s="5"/>
      <c r="AC1024" s="5"/>
      <c r="AD1024" s="5"/>
      <c r="AE1024" s="5"/>
      <c r="AF1024" s="5"/>
      <c r="AG1024" s="5"/>
      <c r="AH1024" s="5"/>
      <c r="AI1024" s="5"/>
      <c r="AJ1024" s="19"/>
      <c r="AK1024" s="19"/>
      <c r="AL1024" s="19"/>
      <c r="AM1024" s="19"/>
      <c r="AN1024" s="19"/>
    </row>
    <row r="1025" spans="18:40" x14ac:dyDescent="0.2">
      <c r="R1025" s="5"/>
      <c r="S1025" s="5"/>
      <c r="T1025" s="5"/>
      <c r="U1025" s="5"/>
      <c r="V1025" s="5"/>
      <c r="W1025" s="5"/>
      <c r="X1025" s="5"/>
      <c r="Y1025" s="5"/>
      <c r="Z1025" s="5"/>
      <c r="AA1025" s="5"/>
      <c r="AB1025" s="5"/>
      <c r="AC1025" s="5"/>
      <c r="AD1025" s="5"/>
      <c r="AE1025" s="5"/>
      <c r="AF1025" s="5"/>
      <c r="AG1025" s="5"/>
      <c r="AH1025" s="5"/>
      <c r="AI1025" s="5"/>
      <c r="AJ1025" s="19"/>
      <c r="AK1025" s="19"/>
      <c r="AL1025" s="19"/>
      <c r="AM1025" s="19"/>
      <c r="AN1025" s="19"/>
    </row>
    <row r="1026" spans="18:40" x14ac:dyDescent="0.2">
      <c r="R1026" s="5"/>
      <c r="S1026" s="5"/>
      <c r="T1026" s="5"/>
      <c r="U1026" s="5"/>
      <c r="V1026" s="5"/>
      <c r="W1026" s="5"/>
      <c r="X1026" s="5"/>
      <c r="Y1026" s="5"/>
      <c r="Z1026" s="5"/>
      <c r="AA1026" s="5"/>
      <c r="AB1026" s="5"/>
      <c r="AC1026" s="5"/>
      <c r="AD1026" s="5"/>
      <c r="AE1026" s="5"/>
      <c r="AF1026" s="5"/>
      <c r="AG1026" s="5"/>
      <c r="AH1026" s="5"/>
      <c r="AI1026" s="5"/>
      <c r="AJ1026" s="19"/>
      <c r="AK1026" s="19"/>
      <c r="AL1026" s="19"/>
      <c r="AM1026" s="19"/>
      <c r="AN1026" s="19"/>
    </row>
    <row r="1027" spans="18:40" x14ac:dyDescent="0.2">
      <c r="R1027" s="5"/>
      <c r="S1027" s="5"/>
      <c r="T1027" s="5"/>
      <c r="U1027" s="5"/>
      <c r="V1027" s="5"/>
      <c r="W1027" s="5"/>
      <c r="X1027" s="5"/>
      <c r="Y1027" s="5"/>
      <c r="Z1027" s="5"/>
      <c r="AA1027" s="5"/>
      <c r="AB1027" s="5"/>
      <c r="AC1027" s="5"/>
      <c r="AD1027" s="5"/>
      <c r="AE1027" s="5"/>
      <c r="AF1027" s="5"/>
      <c r="AG1027" s="5"/>
      <c r="AH1027" s="5"/>
      <c r="AI1027" s="5"/>
      <c r="AJ1027" s="19"/>
      <c r="AK1027" s="19"/>
      <c r="AL1027" s="19"/>
      <c r="AM1027" s="19"/>
      <c r="AN1027" s="19"/>
    </row>
    <row r="1028" spans="18:40" x14ac:dyDescent="0.2">
      <c r="R1028" s="5"/>
      <c r="S1028" s="5"/>
      <c r="T1028" s="5"/>
      <c r="U1028" s="5"/>
      <c r="V1028" s="5"/>
      <c r="W1028" s="5"/>
      <c r="X1028" s="5"/>
      <c r="Y1028" s="5"/>
      <c r="Z1028" s="5"/>
      <c r="AA1028" s="5"/>
      <c r="AB1028" s="5"/>
      <c r="AC1028" s="5"/>
      <c r="AD1028" s="5"/>
      <c r="AE1028" s="5"/>
      <c r="AF1028" s="5"/>
      <c r="AG1028" s="5"/>
      <c r="AH1028" s="5"/>
      <c r="AI1028" s="5"/>
      <c r="AJ1028" s="19"/>
      <c r="AK1028" s="19"/>
      <c r="AL1028" s="19"/>
      <c r="AM1028" s="19"/>
      <c r="AN1028" s="19"/>
    </row>
    <row r="1029" spans="18:40" x14ac:dyDescent="0.2">
      <c r="R1029" s="5"/>
      <c r="S1029" s="5"/>
      <c r="T1029" s="5"/>
      <c r="U1029" s="5"/>
      <c r="V1029" s="5"/>
      <c r="W1029" s="5"/>
      <c r="X1029" s="5"/>
      <c r="Y1029" s="5"/>
      <c r="Z1029" s="5"/>
      <c r="AA1029" s="5"/>
      <c r="AB1029" s="5"/>
      <c r="AC1029" s="5"/>
      <c r="AD1029" s="5"/>
      <c r="AE1029" s="5"/>
      <c r="AF1029" s="5"/>
      <c r="AG1029" s="5"/>
      <c r="AH1029" s="5"/>
      <c r="AI1029" s="5"/>
      <c r="AJ1029" s="19"/>
      <c r="AK1029" s="19"/>
      <c r="AL1029" s="19"/>
      <c r="AM1029" s="19"/>
      <c r="AN1029" s="19"/>
    </row>
    <row r="1030" spans="18:40" x14ac:dyDescent="0.2">
      <c r="R1030" s="5"/>
      <c r="S1030" s="5"/>
      <c r="T1030" s="5"/>
      <c r="U1030" s="5"/>
      <c r="V1030" s="5"/>
      <c r="W1030" s="5"/>
      <c r="X1030" s="5"/>
      <c r="Y1030" s="5"/>
      <c r="Z1030" s="5"/>
      <c r="AA1030" s="5"/>
      <c r="AB1030" s="5"/>
      <c r="AC1030" s="5"/>
      <c r="AD1030" s="5"/>
      <c r="AE1030" s="5"/>
      <c r="AF1030" s="5"/>
      <c r="AG1030" s="5"/>
      <c r="AH1030" s="5"/>
      <c r="AI1030" s="5"/>
      <c r="AJ1030" s="19"/>
      <c r="AK1030" s="19"/>
      <c r="AL1030" s="19"/>
      <c r="AM1030" s="19"/>
      <c r="AN1030" s="19"/>
    </row>
    <row r="1031" spans="18:40" x14ac:dyDescent="0.2">
      <c r="R1031" s="5"/>
      <c r="S1031" s="5"/>
      <c r="T1031" s="5"/>
      <c r="U1031" s="5"/>
      <c r="V1031" s="5"/>
      <c r="W1031" s="5"/>
      <c r="X1031" s="5"/>
      <c r="Y1031" s="5"/>
      <c r="Z1031" s="5"/>
      <c r="AA1031" s="5"/>
      <c r="AB1031" s="5"/>
      <c r="AC1031" s="5"/>
      <c r="AD1031" s="5"/>
      <c r="AE1031" s="5"/>
      <c r="AF1031" s="5"/>
      <c r="AG1031" s="5"/>
      <c r="AH1031" s="5"/>
      <c r="AI1031" s="5"/>
      <c r="AJ1031" s="19"/>
      <c r="AK1031" s="19"/>
      <c r="AL1031" s="19"/>
      <c r="AM1031" s="19"/>
      <c r="AN1031" s="19"/>
    </row>
    <row r="1032" spans="18:40" x14ac:dyDescent="0.2">
      <c r="R1032" s="5"/>
      <c r="S1032" s="5"/>
      <c r="T1032" s="5"/>
      <c r="U1032" s="5"/>
      <c r="V1032" s="5"/>
      <c r="W1032" s="5"/>
      <c r="X1032" s="5"/>
      <c r="Y1032" s="5"/>
      <c r="Z1032" s="5"/>
      <c r="AA1032" s="5"/>
      <c r="AB1032" s="5"/>
      <c r="AC1032" s="5"/>
      <c r="AD1032" s="5"/>
      <c r="AE1032" s="5"/>
      <c r="AF1032" s="5"/>
      <c r="AG1032" s="5"/>
      <c r="AH1032" s="5"/>
      <c r="AI1032" s="5"/>
      <c r="AJ1032" s="19"/>
      <c r="AK1032" s="19"/>
      <c r="AL1032" s="19"/>
      <c r="AM1032" s="19"/>
      <c r="AN1032" s="19"/>
    </row>
    <row r="1033" spans="18:40" x14ac:dyDescent="0.2">
      <c r="R1033" s="5"/>
      <c r="S1033" s="5"/>
      <c r="T1033" s="5"/>
      <c r="U1033" s="5"/>
      <c r="V1033" s="5"/>
      <c r="W1033" s="5"/>
      <c r="X1033" s="5"/>
      <c r="Y1033" s="5"/>
      <c r="Z1033" s="5"/>
      <c r="AA1033" s="5"/>
      <c r="AB1033" s="5"/>
      <c r="AC1033" s="5"/>
      <c r="AD1033" s="5"/>
      <c r="AE1033" s="5"/>
      <c r="AF1033" s="5"/>
      <c r="AG1033" s="5"/>
      <c r="AH1033" s="5"/>
      <c r="AI1033" s="5"/>
      <c r="AJ1033" s="19"/>
      <c r="AK1033" s="19"/>
      <c r="AL1033" s="19"/>
      <c r="AM1033" s="19"/>
      <c r="AN1033" s="19"/>
    </row>
    <row r="1034" spans="18:40" x14ac:dyDescent="0.2">
      <c r="R1034" s="5"/>
      <c r="S1034" s="5"/>
      <c r="T1034" s="5"/>
      <c r="U1034" s="5"/>
      <c r="V1034" s="5"/>
      <c r="W1034" s="5"/>
      <c r="X1034" s="5"/>
      <c r="Y1034" s="5"/>
      <c r="Z1034" s="5"/>
      <c r="AA1034" s="5"/>
      <c r="AB1034" s="5"/>
      <c r="AC1034" s="5"/>
      <c r="AD1034" s="5"/>
      <c r="AE1034" s="5"/>
      <c r="AF1034" s="5"/>
      <c r="AG1034" s="5"/>
      <c r="AH1034" s="5"/>
      <c r="AI1034" s="5"/>
      <c r="AJ1034" s="19"/>
      <c r="AK1034" s="19"/>
      <c r="AL1034" s="19"/>
      <c r="AM1034" s="19"/>
      <c r="AN1034" s="19"/>
    </row>
    <row r="1035" spans="18:40" x14ac:dyDescent="0.2">
      <c r="R1035" s="5"/>
      <c r="S1035" s="5"/>
      <c r="T1035" s="5"/>
      <c r="U1035" s="5"/>
      <c r="V1035" s="5"/>
      <c r="W1035" s="5"/>
      <c r="X1035" s="5"/>
      <c r="Y1035" s="5"/>
      <c r="Z1035" s="5"/>
      <c r="AA1035" s="5"/>
      <c r="AB1035" s="5"/>
      <c r="AC1035" s="5"/>
      <c r="AD1035" s="5"/>
      <c r="AE1035" s="5"/>
      <c r="AF1035" s="5"/>
      <c r="AG1035" s="5"/>
      <c r="AH1035" s="5"/>
      <c r="AI1035" s="5"/>
      <c r="AJ1035" s="19"/>
      <c r="AK1035" s="19"/>
      <c r="AL1035" s="19"/>
      <c r="AM1035" s="19"/>
      <c r="AN1035" s="19"/>
    </row>
    <row r="1036" spans="18:40" x14ac:dyDescent="0.2">
      <c r="R1036" s="5"/>
      <c r="S1036" s="5"/>
      <c r="T1036" s="5"/>
      <c r="U1036" s="5"/>
      <c r="V1036" s="5"/>
      <c r="W1036" s="5"/>
      <c r="X1036" s="5"/>
      <c r="Y1036" s="5"/>
      <c r="Z1036" s="5"/>
      <c r="AA1036" s="5"/>
      <c r="AB1036" s="5"/>
      <c r="AC1036" s="5"/>
      <c r="AD1036" s="5"/>
      <c r="AE1036" s="5"/>
      <c r="AF1036" s="5"/>
      <c r="AG1036" s="5"/>
      <c r="AH1036" s="5"/>
      <c r="AI1036" s="5"/>
      <c r="AJ1036" s="19"/>
      <c r="AK1036" s="19"/>
      <c r="AL1036" s="19"/>
      <c r="AM1036" s="19"/>
      <c r="AN1036" s="19"/>
    </row>
    <row r="1037" spans="18:40" x14ac:dyDescent="0.2">
      <c r="R1037" s="5"/>
      <c r="S1037" s="5"/>
      <c r="T1037" s="5"/>
      <c r="U1037" s="5"/>
      <c r="V1037" s="5"/>
      <c r="W1037" s="5"/>
      <c r="X1037" s="5"/>
      <c r="Y1037" s="5"/>
      <c r="Z1037" s="5"/>
      <c r="AA1037" s="5"/>
      <c r="AB1037" s="5"/>
      <c r="AC1037" s="5"/>
      <c r="AD1037" s="5"/>
      <c r="AE1037" s="5"/>
      <c r="AF1037" s="5"/>
      <c r="AG1037" s="5"/>
      <c r="AH1037" s="5"/>
      <c r="AI1037" s="5"/>
      <c r="AJ1037" s="19"/>
      <c r="AK1037" s="19"/>
      <c r="AL1037" s="19"/>
      <c r="AM1037" s="19"/>
      <c r="AN1037" s="19"/>
    </row>
    <row r="1038" spans="18:40" x14ac:dyDescent="0.2">
      <c r="R1038" s="5"/>
      <c r="S1038" s="5"/>
      <c r="T1038" s="5"/>
      <c r="U1038" s="5"/>
      <c r="V1038" s="5"/>
      <c r="W1038" s="5"/>
      <c r="X1038" s="5"/>
      <c r="Y1038" s="5"/>
      <c r="Z1038" s="5"/>
      <c r="AA1038" s="5"/>
      <c r="AB1038" s="5"/>
      <c r="AC1038" s="5"/>
      <c r="AD1038" s="5"/>
      <c r="AE1038" s="5"/>
      <c r="AF1038" s="5"/>
      <c r="AG1038" s="5"/>
      <c r="AH1038" s="5"/>
      <c r="AI1038" s="5"/>
      <c r="AJ1038" s="19"/>
      <c r="AK1038" s="19"/>
      <c r="AL1038" s="19"/>
      <c r="AM1038" s="19"/>
      <c r="AN1038" s="19"/>
    </row>
    <row r="1039" spans="18:40" x14ac:dyDescent="0.2">
      <c r="R1039" s="5"/>
      <c r="S1039" s="5"/>
      <c r="T1039" s="5"/>
      <c r="U1039" s="5"/>
      <c r="V1039" s="5"/>
      <c r="W1039" s="5"/>
      <c r="X1039" s="5"/>
      <c r="Y1039" s="5"/>
      <c r="Z1039" s="5"/>
      <c r="AA1039" s="5"/>
      <c r="AB1039" s="5"/>
      <c r="AC1039" s="5"/>
      <c r="AD1039" s="5"/>
      <c r="AE1039" s="5"/>
      <c r="AF1039" s="5"/>
      <c r="AG1039" s="5"/>
      <c r="AH1039" s="5"/>
      <c r="AI1039" s="5"/>
      <c r="AJ1039" s="19"/>
      <c r="AK1039" s="19"/>
      <c r="AL1039" s="19"/>
      <c r="AM1039" s="19"/>
      <c r="AN1039" s="19"/>
    </row>
    <row r="1040" spans="18:40" x14ac:dyDescent="0.2">
      <c r="R1040" s="5"/>
      <c r="S1040" s="5"/>
      <c r="T1040" s="5"/>
      <c r="U1040" s="5"/>
      <c r="V1040" s="5"/>
      <c r="W1040" s="5"/>
      <c r="X1040" s="5"/>
      <c r="Y1040" s="5"/>
      <c r="Z1040" s="5"/>
      <c r="AA1040" s="5"/>
      <c r="AB1040" s="5"/>
      <c r="AC1040" s="5"/>
      <c r="AD1040" s="5"/>
      <c r="AE1040" s="5"/>
      <c r="AF1040" s="5"/>
      <c r="AG1040" s="5"/>
      <c r="AH1040" s="5"/>
      <c r="AI1040" s="5"/>
      <c r="AJ1040" s="19"/>
      <c r="AK1040" s="19"/>
      <c r="AL1040" s="19"/>
      <c r="AM1040" s="19"/>
      <c r="AN1040" s="19"/>
    </row>
    <row r="1041" spans="18:40" x14ac:dyDescent="0.2">
      <c r="R1041" s="5"/>
      <c r="S1041" s="5"/>
      <c r="T1041" s="5"/>
      <c r="U1041" s="5"/>
      <c r="V1041" s="5"/>
      <c r="W1041" s="5"/>
      <c r="X1041" s="5"/>
      <c r="Y1041" s="5"/>
      <c r="Z1041" s="5"/>
      <c r="AA1041" s="5"/>
      <c r="AB1041" s="5"/>
      <c r="AC1041" s="5"/>
      <c r="AD1041" s="5"/>
      <c r="AE1041" s="5"/>
      <c r="AF1041" s="5"/>
      <c r="AG1041" s="5"/>
      <c r="AH1041" s="5"/>
      <c r="AI1041" s="5"/>
      <c r="AJ1041" s="19"/>
      <c r="AK1041" s="19"/>
      <c r="AL1041" s="19"/>
      <c r="AM1041" s="19"/>
      <c r="AN1041" s="19"/>
    </row>
    <row r="1042" spans="18:40" x14ac:dyDescent="0.2">
      <c r="R1042" s="5"/>
      <c r="S1042" s="5"/>
      <c r="T1042" s="5"/>
      <c r="U1042" s="5"/>
      <c r="V1042" s="5"/>
      <c r="W1042" s="5"/>
      <c r="X1042" s="5"/>
      <c r="Y1042" s="5"/>
      <c r="Z1042" s="5"/>
      <c r="AA1042" s="5"/>
      <c r="AB1042" s="5"/>
      <c r="AC1042" s="5"/>
      <c r="AD1042" s="5"/>
      <c r="AE1042" s="5"/>
      <c r="AF1042" s="5"/>
      <c r="AG1042" s="5"/>
      <c r="AH1042" s="5"/>
      <c r="AI1042" s="5"/>
      <c r="AJ1042" s="19"/>
      <c r="AK1042" s="19"/>
      <c r="AL1042" s="19"/>
      <c r="AM1042" s="19"/>
      <c r="AN1042" s="19"/>
    </row>
    <row r="1043" spans="18:40" x14ac:dyDescent="0.2">
      <c r="R1043" s="5"/>
      <c r="S1043" s="5"/>
      <c r="T1043" s="5"/>
      <c r="U1043" s="5"/>
      <c r="V1043" s="5"/>
      <c r="W1043" s="5"/>
      <c r="X1043" s="5"/>
      <c r="Y1043" s="5"/>
      <c r="Z1043" s="5"/>
      <c r="AA1043" s="5"/>
      <c r="AB1043" s="5"/>
      <c r="AC1043" s="5"/>
      <c r="AD1043" s="5"/>
      <c r="AE1043" s="5"/>
      <c r="AF1043" s="5"/>
      <c r="AG1043" s="5"/>
      <c r="AH1043" s="5"/>
      <c r="AI1043" s="5"/>
      <c r="AJ1043" s="19"/>
      <c r="AK1043" s="19"/>
      <c r="AL1043" s="19"/>
      <c r="AM1043" s="19"/>
      <c r="AN1043" s="19"/>
    </row>
    <row r="1044" spans="18:40" x14ac:dyDescent="0.2">
      <c r="R1044" s="5"/>
      <c r="S1044" s="5"/>
      <c r="T1044" s="5"/>
      <c r="U1044" s="5"/>
      <c r="V1044" s="5"/>
      <c r="W1044" s="5"/>
      <c r="X1044" s="5"/>
      <c r="Y1044" s="5"/>
      <c r="Z1044" s="5"/>
      <c r="AA1044" s="5"/>
      <c r="AB1044" s="5"/>
      <c r="AC1044" s="5"/>
      <c r="AD1044" s="5"/>
      <c r="AE1044" s="5"/>
      <c r="AF1044" s="5"/>
      <c r="AG1044" s="5"/>
      <c r="AH1044" s="5"/>
      <c r="AI1044" s="5"/>
      <c r="AJ1044" s="19"/>
      <c r="AK1044" s="19"/>
      <c r="AL1044" s="19"/>
      <c r="AM1044" s="19"/>
      <c r="AN1044" s="19"/>
    </row>
    <row r="1045" spans="18:40" x14ac:dyDescent="0.2">
      <c r="R1045" s="5"/>
      <c r="S1045" s="5"/>
      <c r="T1045" s="5"/>
      <c r="U1045" s="5"/>
      <c r="V1045" s="5"/>
      <c r="W1045" s="5"/>
      <c r="X1045" s="5"/>
      <c r="Y1045" s="5"/>
      <c r="Z1045" s="5"/>
      <c r="AA1045" s="5"/>
      <c r="AB1045" s="5"/>
      <c r="AC1045" s="5"/>
      <c r="AD1045" s="5"/>
      <c r="AE1045" s="5"/>
      <c r="AF1045" s="5"/>
      <c r="AG1045" s="5"/>
      <c r="AH1045" s="5"/>
      <c r="AI1045" s="5"/>
      <c r="AJ1045" s="19"/>
      <c r="AK1045" s="19"/>
      <c r="AL1045" s="19"/>
      <c r="AM1045" s="19"/>
      <c r="AN1045" s="19"/>
    </row>
    <row r="1046" spans="18:40" x14ac:dyDescent="0.2">
      <c r="R1046" s="5"/>
      <c r="S1046" s="5"/>
      <c r="T1046" s="5"/>
      <c r="U1046" s="5"/>
      <c r="V1046" s="5"/>
      <c r="W1046" s="5"/>
      <c r="X1046" s="5"/>
      <c r="Y1046" s="5"/>
      <c r="Z1046" s="5"/>
      <c r="AA1046" s="5"/>
      <c r="AB1046" s="5"/>
      <c r="AC1046" s="5"/>
      <c r="AD1046" s="5"/>
      <c r="AE1046" s="5"/>
      <c r="AF1046" s="5"/>
      <c r="AG1046" s="5"/>
      <c r="AH1046" s="5"/>
      <c r="AI1046" s="5"/>
      <c r="AJ1046" s="19"/>
      <c r="AK1046" s="19"/>
      <c r="AL1046" s="19"/>
      <c r="AM1046" s="19"/>
      <c r="AN1046" s="19"/>
    </row>
    <row r="1047" spans="18:40" x14ac:dyDescent="0.2">
      <c r="R1047" s="5"/>
      <c r="S1047" s="5"/>
      <c r="T1047" s="5"/>
      <c r="U1047" s="5"/>
      <c r="V1047" s="5"/>
      <c r="W1047" s="5"/>
      <c r="X1047" s="5"/>
      <c r="Y1047" s="5"/>
      <c r="Z1047" s="5"/>
      <c r="AA1047" s="5"/>
      <c r="AB1047" s="5"/>
      <c r="AC1047" s="5"/>
      <c r="AD1047" s="5"/>
      <c r="AE1047" s="5"/>
      <c r="AF1047" s="5"/>
      <c r="AG1047" s="5"/>
      <c r="AH1047" s="5"/>
      <c r="AI1047" s="5"/>
      <c r="AJ1047" s="19"/>
      <c r="AK1047" s="19"/>
      <c r="AL1047" s="19"/>
      <c r="AM1047" s="19"/>
      <c r="AN1047" s="19"/>
    </row>
    <row r="1048" spans="18:40" x14ac:dyDescent="0.2">
      <c r="R1048" s="5"/>
      <c r="S1048" s="5"/>
      <c r="T1048" s="5"/>
      <c r="U1048" s="5"/>
      <c r="V1048" s="5"/>
      <c r="W1048" s="5"/>
      <c r="X1048" s="5"/>
      <c r="Y1048" s="5"/>
      <c r="Z1048" s="5"/>
      <c r="AA1048" s="5"/>
      <c r="AB1048" s="5"/>
      <c r="AC1048" s="5"/>
      <c r="AD1048" s="5"/>
      <c r="AE1048" s="5"/>
      <c r="AF1048" s="5"/>
      <c r="AG1048" s="5"/>
      <c r="AH1048" s="5"/>
      <c r="AI1048" s="5"/>
      <c r="AJ1048" s="19"/>
      <c r="AK1048" s="19"/>
      <c r="AL1048" s="19"/>
      <c r="AM1048" s="19"/>
      <c r="AN1048" s="19"/>
    </row>
    <row r="1049" spans="18:40" x14ac:dyDescent="0.2">
      <c r="R1049" s="5"/>
      <c r="S1049" s="5"/>
      <c r="T1049" s="5"/>
      <c r="U1049" s="5"/>
      <c r="V1049" s="5"/>
      <c r="W1049" s="5"/>
      <c r="X1049" s="5"/>
      <c r="Y1049" s="5"/>
      <c r="Z1049" s="5"/>
      <c r="AA1049" s="5"/>
      <c r="AB1049" s="5"/>
      <c r="AC1049" s="5"/>
      <c r="AD1049" s="5"/>
      <c r="AE1049" s="5"/>
      <c r="AF1049" s="5"/>
      <c r="AG1049" s="5"/>
      <c r="AH1049" s="5"/>
      <c r="AI1049" s="5"/>
      <c r="AJ1049" s="19"/>
      <c r="AK1049" s="19"/>
      <c r="AL1049" s="19"/>
      <c r="AM1049" s="19"/>
      <c r="AN1049" s="19"/>
    </row>
    <row r="1050" spans="18:40" x14ac:dyDescent="0.2">
      <c r="R1050" s="5"/>
      <c r="S1050" s="5"/>
      <c r="T1050" s="5"/>
      <c r="U1050" s="5"/>
      <c r="V1050" s="5"/>
      <c r="W1050" s="5"/>
      <c r="X1050" s="5"/>
      <c r="Y1050" s="5"/>
      <c r="Z1050" s="5"/>
      <c r="AA1050" s="5"/>
      <c r="AB1050" s="5"/>
      <c r="AC1050" s="5"/>
      <c r="AD1050" s="5"/>
      <c r="AE1050" s="5"/>
      <c r="AF1050" s="5"/>
      <c r="AG1050" s="5"/>
      <c r="AH1050" s="5"/>
      <c r="AI1050" s="5"/>
      <c r="AJ1050" s="19"/>
      <c r="AK1050" s="19"/>
      <c r="AL1050" s="19"/>
      <c r="AM1050" s="19"/>
      <c r="AN1050" s="19"/>
    </row>
    <row r="1051" spans="18:40" x14ac:dyDescent="0.2">
      <c r="R1051" s="5"/>
      <c r="S1051" s="5"/>
      <c r="T1051" s="5"/>
      <c r="U1051" s="5"/>
      <c r="V1051" s="5"/>
      <c r="W1051" s="5"/>
      <c r="X1051" s="5"/>
      <c r="Y1051" s="5"/>
      <c r="Z1051" s="5"/>
      <c r="AA1051" s="5"/>
      <c r="AB1051" s="5"/>
      <c r="AC1051" s="5"/>
      <c r="AD1051" s="5"/>
      <c r="AE1051" s="5"/>
      <c r="AF1051" s="5"/>
      <c r="AG1051" s="5"/>
      <c r="AH1051" s="5"/>
      <c r="AI1051" s="5"/>
      <c r="AJ1051" s="19"/>
      <c r="AK1051" s="19"/>
      <c r="AL1051" s="19"/>
      <c r="AM1051" s="19"/>
      <c r="AN1051" s="19"/>
    </row>
    <row r="1052" spans="18:40" x14ac:dyDescent="0.2">
      <c r="R1052" s="5"/>
      <c r="S1052" s="5"/>
      <c r="T1052" s="5"/>
      <c r="U1052" s="5"/>
      <c r="V1052" s="5"/>
      <c r="W1052" s="5"/>
      <c r="X1052" s="5"/>
      <c r="Y1052" s="5"/>
      <c r="Z1052" s="5"/>
      <c r="AA1052" s="5"/>
      <c r="AB1052" s="5"/>
      <c r="AC1052" s="5"/>
      <c r="AD1052" s="5"/>
      <c r="AE1052" s="5"/>
      <c r="AF1052" s="5"/>
      <c r="AG1052" s="5"/>
      <c r="AH1052" s="5"/>
      <c r="AI1052" s="5"/>
      <c r="AJ1052" s="19"/>
      <c r="AK1052" s="19"/>
      <c r="AL1052" s="19"/>
      <c r="AM1052" s="19"/>
      <c r="AN1052" s="19"/>
    </row>
    <row r="1053" spans="18:40" x14ac:dyDescent="0.2">
      <c r="R1053" s="5"/>
      <c r="S1053" s="5"/>
      <c r="T1053" s="5"/>
      <c r="U1053" s="5"/>
      <c r="V1053" s="5"/>
      <c r="W1053" s="5"/>
      <c r="X1053" s="5"/>
      <c r="Y1053" s="5"/>
      <c r="Z1053" s="5"/>
      <c r="AA1053" s="5"/>
      <c r="AB1053" s="5"/>
      <c r="AC1053" s="5"/>
      <c r="AD1053" s="5"/>
      <c r="AE1053" s="5"/>
      <c r="AF1053" s="5"/>
      <c r="AG1053" s="5"/>
      <c r="AH1053" s="5"/>
      <c r="AI1053" s="5"/>
      <c r="AJ1053" s="19"/>
      <c r="AK1053" s="19"/>
      <c r="AL1053" s="19"/>
      <c r="AM1053" s="19"/>
      <c r="AN1053" s="19"/>
    </row>
    <row r="1054" spans="18:40" x14ac:dyDescent="0.2">
      <c r="R1054" s="5"/>
      <c r="S1054" s="5"/>
      <c r="T1054" s="5"/>
      <c r="U1054" s="5"/>
      <c r="V1054" s="5"/>
      <c r="W1054" s="5"/>
      <c r="X1054" s="5"/>
      <c r="Y1054" s="5"/>
      <c r="Z1054" s="5"/>
      <c r="AA1054" s="5"/>
      <c r="AB1054" s="5"/>
      <c r="AC1054" s="5"/>
      <c r="AD1054" s="5"/>
      <c r="AE1054" s="5"/>
      <c r="AF1054" s="5"/>
      <c r="AG1054" s="5"/>
      <c r="AH1054" s="5"/>
      <c r="AI1054" s="5"/>
      <c r="AJ1054" s="19"/>
      <c r="AK1054" s="19"/>
      <c r="AL1054" s="19"/>
      <c r="AM1054" s="19"/>
      <c r="AN1054" s="19"/>
    </row>
    <row r="1055" spans="18:40" x14ac:dyDescent="0.2">
      <c r="R1055" s="5"/>
      <c r="S1055" s="5"/>
      <c r="T1055" s="5"/>
      <c r="U1055" s="5"/>
      <c r="V1055" s="5"/>
      <c r="W1055" s="5"/>
      <c r="X1055" s="5"/>
      <c r="Y1055" s="5"/>
      <c r="Z1055" s="5"/>
      <c r="AA1055" s="5"/>
      <c r="AB1055" s="5"/>
      <c r="AC1055" s="5"/>
      <c r="AD1055" s="5"/>
      <c r="AE1055" s="5"/>
      <c r="AF1055" s="5"/>
      <c r="AG1055" s="5"/>
      <c r="AH1055" s="5"/>
      <c r="AI1055" s="5"/>
      <c r="AJ1055" s="19"/>
      <c r="AK1055" s="19"/>
      <c r="AL1055" s="19"/>
      <c r="AM1055" s="19"/>
      <c r="AN1055" s="19"/>
    </row>
    <row r="1056" spans="18:40" x14ac:dyDescent="0.2">
      <c r="R1056" s="5"/>
      <c r="S1056" s="5"/>
      <c r="T1056" s="5"/>
      <c r="U1056" s="5"/>
      <c r="V1056" s="5"/>
      <c r="W1056" s="5"/>
      <c r="X1056" s="5"/>
      <c r="Y1056" s="5"/>
      <c r="Z1056" s="5"/>
      <c r="AA1056" s="5"/>
      <c r="AB1056" s="5"/>
      <c r="AC1056" s="5"/>
      <c r="AD1056" s="5"/>
      <c r="AE1056" s="5"/>
      <c r="AF1056" s="5"/>
      <c r="AG1056" s="5"/>
      <c r="AH1056" s="5"/>
      <c r="AI1056" s="5"/>
      <c r="AJ1056" s="19"/>
      <c r="AK1056" s="19"/>
      <c r="AL1056" s="19"/>
      <c r="AM1056" s="19"/>
      <c r="AN1056" s="19"/>
    </row>
    <row r="1057" spans="18:40" x14ac:dyDescent="0.2">
      <c r="R1057" s="5"/>
      <c r="S1057" s="5"/>
      <c r="T1057" s="5"/>
      <c r="U1057" s="5"/>
      <c r="V1057" s="5"/>
      <c r="W1057" s="5"/>
      <c r="X1057" s="5"/>
      <c r="Y1057" s="5"/>
      <c r="Z1057" s="5"/>
      <c r="AA1057" s="5"/>
      <c r="AB1057" s="5"/>
      <c r="AC1057" s="5"/>
      <c r="AD1057" s="5"/>
      <c r="AE1057" s="5"/>
      <c r="AF1057" s="5"/>
      <c r="AG1057" s="5"/>
      <c r="AH1057" s="5"/>
      <c r="AI1057" s="5"/>
      <c r="AJ1057" s="19"/>
      <c r="AK1057" s="19"/>
      <c r="AL1057" s="19"/>
      <c r="AM1057" s="19"/>
      <c r="AN1057" s="19"/>
    </row>
    <row r="1058" spans="18:40" x14ac:dyDescent="0.2">
      <c r="R1058" s="5"/>
      <c r="S1058" s="5"/>
      <c r="T1058" s="5"/>
      <c r="U1058" s="5"/>
      <c r="V1058" s="5"/>
      <c r="W1058" s="5"/>
      <c r="X1058" s="5"/>
      <c r="Y1058" s="5"/>
      <c r="Z1058" s="5"/>
      <c r="AA1058" s="5"/>
      <c r="AB1058" s="5"/>
      <c r="AC1058" s="5"/>
      <c r="AD1058" s="5"/>
      <c r="AE1058" s="5"/>
      <c r="AF1058" s="5"/>
      <c r="AG1058" s="5"/>
      <c r="AH1058" s="5"/>
      <c r="AI1058" s="5"/>
      <c r="AJ1058" s="19"/>
      <c r="AK1058" s="19"/>
      <c r="AL1058" s="19"/>
      <c r="AM1058" s="19"/>
      <c r="AN1058" s="19"/>
    </row>
    <row r="1059" spans="18:40" x14ac:dyDescent="0.2">
      <c r="R1059" s="5"/>
      <c r="S1059" s="5"/>
      <c r="T1059" s="5"/>
      <c r="U1059" s="5"/>
      <c r="V1059" s="5"/>
      <c r="W1059" s="5"/>
      <c r="X1059" s="5"/>
      <c r="Y1059" s="5"/>
      <c r="Z1059" s="5"/>
      <c r="AA1059" s="5"/>
      <c r="AB1059" s="5"/>
      <c r="AC1059" s="5"/>
      <c r="AD1059" s="5"/>
      <c r="AE1059" s="5"/>
      <c r="AF1059" s="5"/>
      <c r="AG1059" s="5"/>
      <c r="AH1059" s="5"/>
      <c r="AI1059" s="5"/>
      <c r="AJ1059" s="19"/>
      <c r="AK1059" s="19"/>
      <c r="AL1059" s="19"/>
      <c r="AM1059" s="19"/>
      <c r="AN1059" s="19"/>
    </row>
    <row r="1060" spans="18:40" x14ac:dyDescent="0.2">
      <c r="R1060" s="5"/>
      <c r="S1060" s="5"/>
      <c r="T1060" s="5"/>
      <c r="U1060" s="5"/>
      <c r="V1060" s="5"/>
      <c r="W1060" s="5"/>
      <c r="X1060" s="5"/>
      <c r="Y1060" s="5"/>
      <c r="Z1060" s="5"/>
      <c r="AA1060" s="5"/>
      <c r="AB1060" s="5"/>
      <c r="AC1060" s="5"/>
      <c r="AD1060" s="5"/>
      <c r="AE1060" s="5"/>
      <c r="AF1060" s="5"/>
      <c r="AG1060" s="5"/>
      <c r="AH1060" s="5"/>
      <c r="AI1060" s="5"/>
      <c r="AJ1060" s="19"/>
      <c r="AK1060" s="19"/>
      <c r="AL1060" s="19"/>
      <c r="AM1060" s="19"/>
      <c r="AN1060" s="19"/>
    </row>
    <row r="1061" spans="18:40" x14ac:dyDescent="0.2">
      <c r="R1061" s="5"/>
      <c r="S1061" s="5"/>
      <c r="T1061" s="5"/>
      <c r="U1061" s="5"/>
      <c r="V1061" s="5"/>
      <c r="W1061" s="5"/>
      <c r="X1061" s="5"/>
      <c r="Y1061" s="5"/>
      <c r="Z1061" s="5"/>
      <c r="AA1061" s="5"/>
      <c r="AB1061" s="5"/>
      <c r="AC1061" s="5"/>
      <c r="AD1061" s="5"/>
      <c r="AE1061" s="5"/>
      <c r="AF1061" s="5"/>
      <c r="AG1061" s="5"/>
      <c r="AH1061" s="5"/>
      <c r="AI1061" s="5"/>
      <c r="AJ1061" s="19"/>
      <c r="AK1061" s="19"/>
      <c r="AL1061" s="19"/>
      <c r="AM1061" s="19"/>
      <c r="AN1061" s="19"/>
    </row>
    <row r="1062" spans="18:40" x14ac:dyDescent="0.2">
      <c r="R1062" s="5"/>
      <c r="S1062" s="5"/>
      <c r="T1062" s="5"/>
      <c r="U1062" s="5"/>
      <c r="V1062" s="5"/>
      <c r="W1062" s="5"/>
      <c r="X1062" s="5"/>
      <c r="Y1062" s="5"/>
      <c r="Z1062" s="5"/>
      <c r="AA1062" s="5"/>
      <c r="AB1062" s="5"/>
      <c r="AC1062" s="5"/>
      <c r="AD1062" s="5"/>
      <c r="AE1062" s="5"/>
      <c r="AF1062" s="5"/>
      <c r="AG1062" s="5"/>
      <c r="AH1062" s="5"/>
      <c r="AI1062" s="5"/>
      <c r="AJ1062" s="19"/>
      <c r="AK1062" s="19"/>
      <c r="AL1062" s="19"/>
      <c r="AM1062" s="19"/>
      <c r="AN1062" s="19"/>
    </row>
    <row r="1063" spans="18:40" x14ac:dyDescent="0.2">
      <c r="R1063" s="5"/>
      <c r="S1063" s="5"/>
      <c r="T1063" s="5"/>
      <c r="U1063" s="5"/>
      <c r="V1063" s="5"/>
      <c r="W1063" s="5"/>
      <c r="X1063" s="5"/>
      <c r="Y1063" s="5"/>
      <c r="Z1063" s="5"/>
      <c r="AA1063" s="5"/>
      <c r="AB1063" s="5"/>
      <c r="AC1063" s="5"/>
      <c r="AD1063" s="5"/>
      <c r="AE1063" s="5"/>
      <c r="AF1063" s="5"/>
      <c r="AG1063" s="5"/>
      <c r="AH1063" s="5"/>
      <c r="AI1063" s="5"/>
      <c r="AJ1063" s="19"/>
      <c r="AK1063" s="19"/>
      <c r="AL1063" s="19"/>
      <c r="AM1063" s="19"/>
      <c r="AN1063" s="19"/>
    </row>
    <row r="1064" spans="18:40" x14ac:dyDescent="0.2">
      <c r="R1064" s="5"/>
      <c r="S1064" s="5"/>
      <c r="T1064" s="5"/>
      <c r="U1064" s="5"/>
      <c r="V1064" s="5"/>
      <c r="W1064" s="5"/>
      <c r="X1064" s="5"/>
      <c r="Y1064" s="5"/>
      <c r="Z1064" s="5"/>
      <c r="AA1064" s="5"/>
      <c r="AB1064" s="5"/>
      <c r="AC1064" s="5"/>
      <c r="AD1064" s="5"/>
      <c r="AE1064" s="5"/>
      <c r="AF1064" s="5"/>
      <c r="AG1064" s="5"/>
      <c r="AH1064" s="5"/>
      <c r="AI1064" s="5"/>
      <c r="AJ1064" s="19"/>
      <c r="AK1064" s="19"/>
      <c r="AL1064" s="19"/>
      <c r="AM1064" s="19"/>
      <c r="AN1064" s="19"/>
    </row>
    <row r="1065" spans="18:40" x14ac:dyDescent="0.2">
      <c r="R1065" s="5"/>
      <c r="S1065" s="5"/>
      <c r="T1065" s="5"/>
      <c r="U1065" s="5"/>
      <c r="V1065" s="5"/>
      <c r="W1065" s="5"/>
      <c r="X1065" s="5"/>
      <c r="Y1065" s="5"/>
      <c r="Z1065" s="5"/>
      <c r="AA1065" s="5"/>
      <c r="AB1065" s="5"/>
      <c r="AC1065" s="5"/>
      <c r="AD1065" s="5"/>
      <c r="AE1065" s="5"/>
      <c r="AF1065" s="5"/>
      <c r="AG1065" s="5"/>
      <c r="AH1065" s="5"/>
      <c r="AI1065" s="5"/>
      <c r="AJ1065" s="19"/>
      <c r="AK1065" s="19"/>
      <c r="AL1065" s="19"/>
      <c r="AM1065" s="19"/>
      <c r="AN1065" s="19"/>
    </row>
    <row r="1066" spans="18:40" x14ac:dyDescent="0.2">
      <c r="R1066" s="5"/>
      <c r="S1066" s="5"/>
      <c r="T1066" s="5"/>
      <c r="U1066" s="5"/>
      <c r="V1066" s="5"/>
      <c r="W1066" s="5"/>
      <c r="X1066" s="5"/>
      <c r="Y1066" s="5"/>
      <c r="Z1066" s="5"/>
      <c r="AA1066" s="5"/>
      <c r="AB1066" s="5"/>
      <c r="AC1066" s="5"/>
      <c r="AD1066" s="5"/>
      <c r="AE1066" s="5"/>
      <c r="AF1066" s="5"/>
      <c r="AG1066" s="5"/>
      <c r="AH1066" s="5"/>
      <c r="AI1066" s="5"/>
      <c r="AJ1066" s="19"/>
      <c r="AK1066" s="19"/>
      <c r="AL1066" s="19"/>
      <c r="AM1066" s="19"/>
      <c r="AN1066" s="19"/>
    </row>
    <row r="1067" spans="18:40" x14ac:dyDescent="0.2">
      <c r="R1067" s="5"/>
      <c r="S1067" s="5"/>
      <c r="T1067" s="5"/>
      <c r="U1067" s="5"/>
      <c r="V1067" s="5"/>
      <c r="W1067" s="5"/>
      <c r="X1067" s="5"/>
      <c r="Y1067" s="5"/>
      <c r="Z1067" s="5"/>
      <c r="AA1067" s="5"/>
      <c r="AB1067" s="5"/>
      <c r="AC1067" s="5"/>
      <c r="AD1067" s="5"/>
      <c r="AE1067" s="5"/>
      <c r="AF1067" s="5"/>
      <c r="AG1067" s="5"/>
      <c r="AH1067" s="5"/>
      <c r="AI1067" s="5"/>
      <c r="AJ1067" s="19"/>
      <c r="AK1067" s="19"/>
      <c r="AL1067" s="19"/>
      <c r="AM1067" s="19"/>
      <c r="AN1067" s="19"/>
    </row>
    <row r="1068" spans="18:40" x14ac:dyDescent="0.2">
      <c r="R1068" s="5"/>
      <c r="S1068" s="5"/>
      <c r="T1068" s="5"/>
      <c r="U1068" s="5"/>
      <c r="V1068" s="5"/>
      <c r="W1068" s="5"/>
      <c r="X1068" s="5"/>
      <c r="Y1068" s="5"/>
      <c r="Z1068" s="5"/>
      <c r="AA1068" s="5"/>
      <c r="AB1068" s="5"/>
      <c r="AC1068" s="5"/>
      <c r="AD1068" s="5"/>
      <c r="AE1068" s="5"/>
      <c r="AF1068" s="5"/>
      <c r="AG1068" s="5"/>
      <c r="AH1068" s="5"/>
      <c r="AI1068" s="5"/>
      <c r="AJ1068" s="19"/>
      <c r="AK1068" s="19"/>
      <c r="AL1068" s="19"/>
      <c r="AM1068" s="19"/>
      <c r="AN1068" s="19"/>
    </row>
    <row r="1069" spans="18:40" x14ac:dyDescent="0.2">
      <c r="R1069" s="5"/>
      <c r="S1069" s="5"/>
      <c r="T1069" s="5"/>
      <c r="U1069" s="5"/>
      <c r="V1069" s="5"/>
      <c r="W1069" s="5"/>
      <c r="X1069" s="5"/>
      <c r="Y1069" s="5"/>
      <c r="Z1069" s="5"/>
      <c r="AA1069" s="5"/>
      <c r="AB1069" s="5"/>
      <c r="AC1069" s="5"/>
      <c r="AD1069" s="5"/>
      <c r="AE1069" s="5"/>
      <c r="AF1069" s="5"/>
      <c r="AG1069" s="5"/>
      <c r="AH1069" s="5"/>
      <c r="AI1069" s="5"/>
      <c r="AJ1069" s="19"/>
      <c r="AK1069" s="19"/>
      <c r="AL1069" s="19"/>
      <c r="AM1069" s="19"/>
      <c r="AN1069" s="19"/>
    </row>
    <row r="1070" spans="18:40" x14ac:dyDescent="0.2">
      <c r="R1070" s="5"/>
      <c r="S1070" s="5"/>
      <c r="T1070" s="5"/>
      <c r="U1070" s="5"/>
      <c r="V1070" s="5"/>
      <c r="W1070" s="5"/>
      <c r="X1070" s="5"/>
      <c r="Y1070" s="5"/>
      <c r="Z1070" s="5"/>
      <c r="AA1070" s="5"/>
      <c r="AB1070" s="5"/>
      <c r="AC1070" s="5"/>
      <c r="AD1070" s="5"/>
      <c r="AE1070" s="5"/>
      <c r="AF1070" s="5"/>
      <c r="AG1070" s="5"/>
      <c r="AH1070" s="5"/>
      <c r="AI1070" s="5"/>
      <c r="AJ1070" s="19"/>
      <c r="AK1070" s="19"/>
      <c r="AL1070" s="19"/>
      <c r="AM1070" s="19"/>
      <c r="AN1070" s="19"/>
    </row>
    <row r="1071" spans="18:40" x14ac:dyDescent="0.2">
      <c r="R1071" s="5"/>
      <c r="S1071" s="5"/>
      <c r="T1071" s="5"/>
      <c r="U1071" s="5"/>
      <c r="V1071" s="5"/>
      <c r="W1071" s="5"/>
      <c r="X1071" s="5"/>
      <c r="Y1071" s="5"/>
      <c r="Z1071" s="5"/>
      <c r="AA1071" s="5"/>
      <c r="AB1071" s="5"/>
      <c r="AC1071" s="5"/>
      <c r="AD1071" s="5"/>
      <c r="AE1071" s="5"/>
      <c r="AF1071" s="5"/>
      <c r="AG1071" s="5"/>
      <c r="AH1071" s="5"/>
      <c r="AI1071" s="5"/>
      <c r="AJ1071" s="19"/>
      <c r="AK1071" s="19"/>
      <c r="AL1071" s="19"/>
      <c r="AM1071" s="19"/>
      <c r="AN1071" s="19"/>
    </row>
    <row r="1072" spans="18:40" x14ac:dyDescent="0.2">
      <c r="R1072" s="5"/>
      <c r="S1072" s="5"/>
      <c r="T1072" s="5"/>
      <c r="U1072" s="5"/>
      <c r="V1072" s="5"/>
      <c r="W1072" s="5"/>
      <c r="X1072" s="5"/>
      <c r="Y1072" s="5"/>
      <c r="Z1072" s="5"/>
      <c r="AA1072" s="5"/>
      <c r="AB1072" s="5"/>
      <c r="AC1072" s="5"/>
      <c r="AD1072" s="5"/>
      <c r="AE1072" s="5"/>
      <c r="AF1072" s="5"/>
      <c r="AG1072" s="5"/>
      <c r="AH1072" s="5"/>
      <c r="AI1072" s="5"/>
      <c r="AJ1072" s="19"/>
      <c r="AK1072" s="19"/>
      <c r="AL1072" s="19"/>
      <c r="AM1072" s="19"/>
      <c r="AN1072" s="19"/>
    </row>
    <row r="1073" spans="18:40" x14ac:dyDescent="0.2">
      <c r="R1073" s="5"/>
      <c r="S1073" s="5"/>
      <c r="T1073" s="5"/>
      <c r="U1073" s="5"/>
      <c r="V1073" s="5"/>
      <c r="W1073" s="5"/>
      <c r="X1073" s="5"/>
      <c r="Y1073" s="5"/>
      <c r="Z1073" s="5"/>
      <c r="AA1073" s="5"/>
      <c r="AB1073" s="5"/>
      <c r="AC1073" s="5"/>
      <c r="AD1073" s="5"/>
      <c r="AE1073" s="5"/>
      <c r="AF1073" s="5"/>
      <c r="AG1073" s="5"/>
      <c r="AH1073" s="5"/>
      <c r="AI1073" s="5"/>
      <c r="AJ1073" s="19"/>
      <c r="AK1073" s="19"/>
      <c r="AL1073" s="19"/>
      <c r="AM1073" s="19"/>
      <c r="AN1073" s="19"/>
    </row>
    <row r="1074" spans="18:40" x14ac:dyDescent="0.2">
      <c r="R1074" s="5"/>
      <c r="S1074" s="5"/>
      <c r="T1074" s="5"/>
      <c r="U1074" s="5"/>
      <c r="V1074" s="5"/>
      <c r="W1074" s="5"/>
      <c r="X1074" s="5"/>
      <c r="Y1074" s="5"/>
      <c r="Z1074" s="5"/>
      <c r="AA1074" s="5"/>
      <c r="AB1074" s="5"/>
      <c r="AC1074" s="5"/>
      <c r="AD1074" s="5"/>
      <c r="AE1074" s="5"/>
      <c r="AF1074" s="5"/>
      <c r="AG1074" s="5"/>
      <c r="AH1074" s="5"/>
      <c r="AI1074" s="5"/>
      <c r="AJ1074" s="19"/>
      <c r="AK1074" s="19"/>
      <c r="AL1074" s="19"/>
      <c r="AM1074" s="19"/>
      <c r="AN1074" s="19"/>
    </row>
    <row r="1075" spans="18:40" x14ac:dyDescent="0.2">
      <c r="R1075" s="5"/>
      <c r="S1075" s="5"/>
      <c r="T1075" s="5"/>
      <c r="U1075" s="5"/>
      <c r="V1075" s="5"/>
      <c r="W1075" s="5"/>
      <c r="X1075" s="5"/>
      <c r="Y1075" s="5"/>
      <c r="Z1075" s="5"/>
      <c r="AA1075" s="5"/>
      <c r="AB1075" s="5"/>
      <c r="AC1075" s="5"/>
      <c r="AD1075" s="5"/>
      <c r="AE1075" s="5"/>
      <c r="AF1075" s="5"/>
      <c r="AG1075" s="5"/>
      <c r="AH1075" s="5"/>
      <c r="AI1075" s="5"/>
      <c r="AJ1075" s="19"/>
      <c r="AK1075" s="19"/>
      <c r="AL1075" s="19"/>
      <c r="AM1075" s="19"/>
      <c r="AN1075" s="19"/>
    </row>
    <row r="1076" spans="18:40" x14ac:dyDescent="0.2">
      <c r="R1076" s="5"/>
      <c r="S1076" s="5"/>
      <c r="T1076" s="5"/>
      <c r="U1076" s="5"/>
      <c r="V1076" s="5"/>
      <c r="W1076" s="5"/>
      <c r="X1076" s="5"/>
      <c r="Y1076" s="5"/>
      <c r="Z1076" s="5"/>
      <c r="AA1076" s="5"/>
      <c r="AB1076" s="5"/>
      <c r="AC1076" s="5"/>
      <c r="AD1076" s="5"/>
      <c r="AE1076" s="5"/>
      <c r="AF1076" s="5"/>
      <c r="AG1076" s="5"/>
      <c r="AH1076" s="5"/>
      <c r="AI1076" s="5"/>
      <c r="AJ1076" s="19"/>
      <c r="AK1076" s="19"/>
      <c r="AL1076" s="19"/>
      <c r="AM1076" s="19"/>
      <c r="AN1076" s="19"/>
    </row>
    <row r="1077" spans="18:40" x14ac:dyDescent="0.2">
      <c r="R1077" s="5"/>
      <c r="S1077" s="5"/>
      <c r="T1077" s="5"/>
      <c r="U1077" s="5"/>
      <c r="V1077" s="5"/>
      <c r="W1077" s="5"/>
      <c r="X1077" s="5"/>
      <c r="Y1077" s="5"/>
      <c r="Z1077" s="5"/>
      <c r="AA1077" s="5"/>
      <c r="AB1077" s="5"/>
      <c r="AC1077" s="5"/>
      <c r="AD1077" s="5"/>
      <c r="AE1077" s="5"/>
      <c r="AF1077" s="5"/>
      <c r="AG1077" s="5"/>
      <c r="AH1077" s="5"/>
      <c r="AI1077" s="5"/>
      <c r="AJ1077" s="19"/>
      <c r="AK1077" s="19"/>
      <c r="AL1077" s="19"/>
      <c r="AM1077" s="19"/>
      <c r="AN1077" s="19"/>
    </row>
    <row r="1078" spans="18:40" x14ac:dyDescent="0.2">
      <c r="R1078" s="5"/>
      <c r="S1078" s="5"/>
      <c r="T1078" s="5"/>
      <c r="U1078" s="5"/>
      <c r="V1078" s="5"/>
      <c r="W1078" s="5"/>
      <c r="X1078" s="5"/>
      <c r="Y1078" s="5"/>
      <c r="Z1078" s="5"/>
      <c r="AA1078" s="5"/>
      <c r="AB1078" s="5"/>
      <c r="AC1078" s="5"/>
      <c r="AD1078" s="5"/>
      <c r="AE1078" s="5"/>
      <c r="AF1078" s="5"/>
      <c r="AG1078" s="5"/>
      <c r="AH1078" s="5"/>
      <c r="AI1078" s="5"/>
      <c r="AJ1078" s="19"/>
      <c r="AK1078" s="19"/>
      <c r="AL1078" s="19"/>
      <c r="AM1078" s="19"/>
      <c r="AN1078" s="19"/>
    </row>
    <row r="1079" spans="18:40" x14ac:dyDescent="0.2">
      <c r="R1079" s="5"/>
      <c r="S1079" s="5"/>
      <c r="T1079" s="5"/>
      <c r="U1079" s="5"/>
      <c r="V1079" s="5"/>
      <c r="W1079" s="5"/>
      <c r="X1079" s="5"/>
      <c r="Y1079" s="5"/>
      <c r="Z1079" s="5"/>
      <c r="AA1079" s="5"/>
      <c r="AB1079" s="5"/>
      <c r="AC1079" s="5"/>
      <c r="AD1079" s="5"/>
      <c r="AE1079" s="5"/>
      <c r="AF1079" s="5"/>
      <c r="AG1079" s="5"/>
      <c r="AH1079" s="5"/>
      <c r="AI1079" s="5"/>
      <c r="AJ1079" s="19"/>
      <c r="AK1079" s="19"/>
      <c r="AL1079" s="19"/>
      <c r="AM1079" s="19"/>
      <c r="AN1079" s="19"/>
    </row>
    <row r="1080" spans="18:40" x14ac:dyDescent="0.2">
      <c r="R1080" s="5"/>
      <c r="S1080" s="5"/>
      <c r="T1080" s="5"/>
      <c r="U1080" s="5"/>
      <c r="V1080" s="5"/>
      <c r="W1080" s="5"/>
      <c r="X1080" s="5"/>
      <c r="Y1080" s="5"/>
      <c r="Z1080" s="5"/>
      <c r="AA1080" s="5"/>
      <c r="AB1080" s="5"/>
      <c r="AC1080" s="5"/>
      <c r="AD1080" s="5"/>
      <c r="AE1080" s="5"/>
      <c r="AF1080" s="5"/>
      <c r="AG1080" s="5"/>
      <c r="AH1080" s="5"/>
      <c r="AI1080" s="5"/>
      <c r="AJ1080" s="19"/>
      <c r="AK1080" s="19"/>
      <c r="AL1080" s="19"/>
      <c r="AM1080" s="19"/>
      <c r="AN1080" s="19"/>
    </row>
    <row r="1081" spans="18:40" x14ac:dyDescent="0.2">
      <c r="R1081" s="5"/>
      <c r="S1081" s="5"/>
      <c r="T1081" s="5"/>
      <c r="U1081" s="5"/>
      <c r="V1081" s="5"/>
      <c r="W1081" s="5"/>
      <c r="X1081" s="5"/>
      <c r="Y1081" s="5"/>
      <c r="Z1081" s="5"/>
      <c r="AA1081" s="5"/>
      <c r="AB1081" s="5"/>
      <c r="AC1081" s="5"/>
      <c r="AD1081" s="5"/>
      <c r="AE1081" s="5"/>
      <c r="AF1081" s="5"/>
      <c r="AG1081" s="5"/>
      <c r="AH1081" s="5"/>
      <c r="AI1081" s="5"/>
      <c r="AJ1081" s="19"/>
      <c r="AK1081" s="19"/>
      <c r="AL1081" s="19"/>
      <c r="AM1081" s="19"/>
      <c r="AN1081" s="19"/>
    </row>
    <row r="1082" spans="18:40" x14ac:dyDescent="0.2">
      <c r="R1082" s="5"/>
      <c r="S1082" s="5"/>
      <c r="T1082" s="5"/>
      <c r="U1082" s="5"/>
      <c r="V1082" s="5"/>
      <c r="W1082" s="5"/>
      <c r="X1082" s="5"/>
      <c r="Y1082" s="5"/>
      <c r="Z1082" s="5"/>
      <c r="AA1082" s="5"/>
      <c r="AB1082" s="5"/>
      <c r="AC1082" s="5"/>
      <c r="AD1082" s="5"/>
      <c r="AE1082" s="5"/>
      <c r="AF1082" s="5"/>
      <c r="AG1082" s="5"/>
      <c r="AH1082" s="5"/>
      <c r="AI1082" s="5"/>
      <c r="AJ1082" s="19"/>
      <c r="AK1082" s="19"/>
      <c r="AL1082" s="19"/>
      <c r="AM1082" s="19"/>
      <c r="AN1082" s="19"/>
    </row>
    <row r="1083" spans="18:40" x14ac:dyDescent="0.2">
      <c r="R1083" s="5"/>
      <c r="S1083" s="5"/>
      <c r="T1083" s="5"/>
      <c r="U1083" s="5"/>
      <c r="V1083" s="5"/>
      <c r="W1083" s="5"/>
      <c r="X1083" s="5"/>
      <c r="Y1083" s="5"/>
      <c r="Z1083" s="5"/>
      <c r="AA1083" s="5"/>
      <c r="AB1083" s="5"/>
      <c r="AC1083" s="5"/>
      <c r="AD1083" s="5"/>
      <c r="AE1083" s="5"/>
      <c r="AF1083" s="5"/>
      <c r="AG1083" s="5"/>
      <c r="AH1083" s="5"/>
      <c r="AI1083" s="5"/>
      <c r="AJ1083" s="19"/>
      <c r="AK1083" s="19"/>
      <c r="AL1083" s="19"/>
      <c r="AM1083" s="19"/>
      <c r="AN1083" s="19"/>
    </row>
    <row r="1084" spans="18:40" x14ac:dyDescent="0.2">
      <c r="R1084" s="5"/>
      <c r="S1084" s="5"/>
      <c r="T1084" s="5"/>
      <c r="U1084" s="5"/>
      <c r="V1084" s="5"/>
      <c r="W1084" s="5"/>
      <c r="X1084" s="5"/>
      <c r="Y1084" s="5"/>
      <c r="Z1084" s="5"/>
      <c r="AA1084" s="5"/>
      <c r="AB1084" s="5"/>
      <c r="AC1084" s="5"/>
      <c r="AD1084" s="5"/>
      <c r="AE1084" s="5"/>
      <c r="AF1084" s="5"/>
      <c r="AG1084" s="5"/>
      <c r="AH1084" s="5"/>
      <c r="AI1084" s="5"/>
      <c r="AJ1084" s="19"/>
      <c r="AK1084" s="19"/>
      <c r="AL1084" s="19"/>
      <c r="AM1084" s="19"/>
      <c r="AN1084" s="19"/>
    </row>
    <row r="1085" spans="18:40" x14ac:dyDescent="0.2">
      <c r="R1085" s="5"/>
      <c r="S1085" s="5"/>
      <c r="T1085" s="5"/>
      <c r="U1085" s="5"/>
      <c r="V1085" s="5"/>
      <c r="W1085" s="5"/>
      <c r="X1085" s="5"/>
      <c r="Y1085" s="5"/>
      <c r="Z1085" s="5"/>
      <c r="AA1085" s="5"/>
      <c r="AB1085" s="5"/>
      <c r="AC1085" s="5"/>
      <c r="AD1085" s="5"/>
      <c r="AE1085" s="5"/>
      <c r="AF1085" s="5"/>
      <c r="AG1085" s="5"/>
      <c r="AH1085" s="5"/>
      <c r="AI1085" s="5"/>
      <c r="AJ1085" s="19"/>
      <c r="AK1085" s="19"/>
      <c r="AL1085" s="19"/>
      <c r="AM1085" s="19"/>
      <c r="AN1085" s="19"/>
    </row>
    <row r="1086" spans="18:40" x14ac:dyDescent="0.2">
      <c r="R1086" s="5"/>
      <c r="S1086" s="5"/>
      <c r="T1086" s="5"/>
      <c r="U1086" s="5"/>
      <c r="V1086" s="5"/>
      <c r="W1086" s="5"/>
      <c r="X1086" s="5"/>
      <c r="Y1086" s="5"/>
      <c r="Z1086" s="5"/>
      <c r="AA1086" s="5"/>
      <c r="AB1086" s="5"/>
      <c r="AC1086" s="5"/>
      <c r="AD1086" s="5"/>
      <c r="AE1086" s="5"/>
      <c r="AF1086" s="5"/>
      <c r="AG1086" s="5"/>
      <c r="AH1086" s="5"/>
      <c r="AI1086" s="5"/>
      <c r="AJ1086" s="19"/>
      <c r="AK1086" s="19"/>
      <c r="AL1086" s="19"/>
      <c r="AM1086" s="19"/>
      <c r="AN1086" s="19"/>
    </row>
    <row r="1087" spans="18:40" x14ac:dyDescent="0.2">
      <c r="R1087" s="5"/>
      <c r="S1087" s="5"/>
      <c r="T1087" s="5"/>
      <c r="U1087" s="5"/>
      <c r="V1087" s="5"/>
      <c r="W1087" s="5"/>
      <c r="X1087" s="5"/>
      <c r="Y1087" s="5"/>
      <c r="Z1087" s="5"/>
      <c r="AA1087" s="5"/>
      <c r="AB1087" s="5"/>
      <c r="AC1087" s="5"/>
      <c r="AD1087" s="5"/>
      <c r="AE1087" s="5"/>
      <c r="AF1087" s="5"/>
      <c r="AG1087" s="5"/>
      <c r="AH1087" s="5"/>
      <c r="AI1087" s="5"/>
      <c r="AJ1087" s="19"/>
      <c r="AK1087" s="19"/>
      <c r="AL1087" s="19"/>
      <c r="AM1087" s="19"/>
      <c r="AN1087" s="19"/>
    </row>
    <row r="1088" spans="18:40" x14ac:dyDescent="0.2">
      <c r="R1088" s="5"/>
      <c r="S1088" s="5"/>
      <c r="T1088" s="5"/>
      <c r="U1088" s="5"/>
      <c r="V1088" s="5"/>
      <c r="W1088" s="5"/>
      <c r="X1088" s="5"/>
      <c r="Y1088" s="5"/>
      <c r="Z1088" s="5"/>
      <c r="AA1088" s="5"/>
      <c r="AB1088" s="5"/>
      <c r="AC1088" s="5"/>
      <c r="AD1088" s="5"/>
      <c r="AE1088" s="5"/>
      <c r="AF1088" s="5"/>
      <c r="AG1088" s="5"/>
      <c r="AH1088" s="5"/>
      <c r="AI1088" s="5"/>
      <c r="AJ1088" s="19"/>
      <c r="AK1088" s="19"/>
      <c r="AL1088" s="19"/>
      <c r="AM1088" s="19"/>
      <c r="AN1088" s="19"/>
    </row>
    <row r="1089" spans="18:40" x14ac:dyDescent="0.2">
      <c r="R1089" s="5"/>
      <c r="S1089" s="5"/>
      <c r="T1089" s="5"/>
      <c r="U1089" s="5"/>
      <c r="V1089" s="5"/>
      <c r="W1089" s="5"/>
      <c r="X1089" s="5"/>
      <c r="Y1089" s="5"/>
      <c r="Z1089" s="5"/>
      <c r="AA1089" s="5"/>
      <c r="AB1089" s="5"/>
      <c r="AC1089" s="5"/>
      <c r="AD1089" s="5"/>
      <c r="AE1089" s="5"/>
      <c r="AF1089" s="5"/>
      <c r="AG1089" s="5"/>
      <c r="AH1089" s="5"/>
      <c r="AI1089" s="5"/>
      <c r="AJ1089" s="19"/>
      <c r="AK1089" s="19"/>
      <c r="AL1089" s="19"/>
      <c r="AM1089" s="19"/>
      <c r="AN1089" s="19"/>
    </row>
    <row r="1090" spans="18:40" x14ac:dyDescent="0.2">
      <c r="R1090" s="5"/>
      <c r="S1090" s="5"/>
      <c r="T1090" s="5"/>
      <c r="U1090" s="5"/>
      <c r="V1090" s="5"/>
      <c r="W1090" s="5"/>
      <c r="X1090" s="5"/>
      <c r="Y1090" s="5"/>
      <c r="Z1090" s="5"/>
      <c r="AA1090" s="5"/>
      <c r="AB1090" s="5"/>
      <c r="AC1090" s="5"/>
      <c r="AD1090" s="5"/>
      <c r="AE1090" s="5"/>
      <c r="AF1090" s="5"/>
      <c r="AG1090" s="5"/>
      <c r="AH1090" s="5"/>
      <c r="AI1090" s="5"/>
      <c r="AJ1090" s="19"/>
      <c r="AK1090" s="19"/>
      <c r="AL1090" s="19"/>
      <c r="AM1090" s="19"/>
      <c r="AN1090" s="19"/>
    </row>
    <row r="1091" spans="18:40" x14ac:dyDescent="0.2">
      <c r="R1091" s="5"/>
      <c r="S1091" s="5"/>
      <c r="T1091" s="5"/>
      <c r="U1091" s="5"/>
      <c r="V1091" s="5"/>
      <c r="W1091" s="5"/>
      <c r="X1091" s="5"/>
      <c r="Y1091" s="5"/>
      <c r="Z1091" s="5"/>
      <c r="AA1091" s="5"/>
      <c r="AB1091" s="5"/>
      <c r="AC1091" s="5"/>
      <c r="AD1091" s="5"/>
      <c r="AE1091" s="5"/>
      <c r="AF1091" s="5"/>
      <c r="AG1091" s="5"/>
      <c r="AH1091" s="5"/>
      <c r="AI1091" s="5"/>
      <c r="AJ1091" s="19"/>
      <c r="AK1091" s="19"/>
      <c r="AL1091" s="19"/>
      <c r="AM1091" s="19"/>
      <c r="AN1091" s="19"/>
    </row>
    <row r="1092" spans="18:40" x14ac:dyDescent="0.2">
      <c r="R1092" s="5"/>
      <c r="S1092" s="5"/>
      <c r="T1092" s="5"/>
      <c r="U1092" s="5"/>
      <c r="V1092" s="5"/>
      <c r="W1092" s="5"/>
      <c r="X1092" s="5"/>
      <c r="Y1092" s="5"/>
      <c r="Z1092" s="5"/>
      <c r="AA1092" s="5"/>
      <c r="AB1092" s="5"/>
      <c r="AC1092" s="5"/>
      <c r="AD1092" s="5"/>
      <c r="AE1092" s="5"/>
      <c r="AF1092" s="5"/>
      <c r="AG1092" s="5"/>
      <c r="AH1092" s="5"/>
      <c r="AI1092" s="5"/>
      <c r="AJ1092" s="19"/>
      <c r="AK1092" s="19"/>
      <c r="AL1092" s="19"/>
      <c r="AM1092" s="19"/>
      <c r="AN1092" s="19"/>
    </row>
    <row r="1093" spans="18:40" x14ac:dyDescent="0.2">
      <c r="R1093" s="5"/>
      <c r="S1093" s="5"/>
      <c r="T1093" s="5"/>
      <c r="U1093" s="5"/>
      <c r="V1093" s="5"/>
      <c r="W1093" s="5"/>
      <c r="X1093" s="5"/>
      <c r="Y1093" s="5"/>
      <c r="Z1093" s="5"/>
      <c r="AA1093" s="5"/>
      <c r="AB1093" s="5"/>
      <c r="AC1093" s="5"/>
      <c r="AD1093" s="5"/>
      <c r="AE1093" s="5"/>
      <c r="AF1093" s="5"/>
      <c r="AG1093" s="5"/>
      <c r="AH1093" s="5"/>
      <c r="AI1093" s="5"/>
      <c r="AJ1093" s="19"/>
      <c r="AK1093" s="19"/>
      <c r="AL1093" s="19"/>
      <c r="AM1093" s="19"/>
      <c r="AN1093" s="19"/>
    </row>
    <row r="1094" spans="18:40" x14ac:dyDescent="0.2">
      <c r="R1094" s="5"/>
      <c r="S1094" s="5"/>
      <c r="T1094" s="5"/>
      <c r="U1094" s="5"/>
      <c r="V1094" s="5"/>
      <c r="W1094" s="5"/>
      <c r="X1094" s="5"/>
      <c r="Y1094" s="5"/>
      <c r="Z1094" s="5"/>
      <c r="AA1094" s="5"/>
      <c r="AB1094" s="5"/>
      <c r="AC1094" s="5"/>
      <c r="AD1094" s="5"/>
      <c r="AE1094" s="5"/>
      <c r="AF1094" s="5"/>
      <c r="AG1094" s="5"/>
      <c r="AH1094" s="5"/>
      <c r="AI1094" s="5"/>
      <c r="AJ1094" s="19"/>
      <c r="AK1094" s="19"/>
      <c r="AL1094" s="19"/>
      <c r="AM1094" s="19"/>
      <c r="AN1094" s="19"/>
    </row>
    <row r="1095" spans="18:40" x14ac:dyDescent="0.2">
      <c r="R1095" s="5"/>
      <c r="S1095" s="5"/>
      <c r="T1095" s="5"/>
      <c r="U1095" s="5"/>
      <c r="V1095" s="5"/>
      <c r="W1095" s="5"/>
      <c r="X1095" s="5"/>
      <c r="Y1095" s="5"/>
      <c r="Z1095" s="5"/>
      <c r="AA1095" s="5"/>
      <c r="AB1095" s="5"/>
      <c r="AC1095" s="5"/>
      <c r="AD1095" s="5"/>
      <c r="AE1095" s="5"/>
      <c r="AF1095" s="5"/>
      <c r="AG1095" s="5"/>
      <c r="AH1095" s="5"/>
      <c r="AI1095" s="5"/>
      <c r="AJ1095" s="19"/>
      <c r="AK1095" s="19"/>
      <c r="AL1095" s="19"/>
      <c r="AM1095" s="19"/>
      <c r="AN1095" s="19"/>
    </row>
    <row r="1096" spans="18:40" x14ac:dyDescent="0.2">
      <c r="R1096" s="5"/>
      <c r="S1096" s="5"/>
      <c r="T1096" s="5"/>
      <c r="U1096" s="5"/>
      <c r="V1096" s="5"/>
      <c r="W1096" s="5"/>
      <c r="X1096" s="5"/>
      <c r="Y1096" s="5"/>
      <c r="Z1096" s="5"/>
      <c r="AA1096" s="5"/>
      <c r="AB1096" s="5"/>
      <c r="AC1096" s="5"/>
      <c r="AD1096" s="5"/>
      <c r="AE1096" s="5"/>
      <c r="AF1096" s="5"/>
      <c r="AG1096" s="5"/>
      <c r="AH1096" s="5"/>
      <c r="AI1096" s="5"/>
      <c r="AJ1096" s="19"/>
      <c r="AK1096" s="19"/>
      <c r="AL1096" s="19"/>
      <c r="AM1096" s="19"/>
      <c r="AN1096" s="19"/>
    </row>
    <row r="1097" spans="18:40" x14ac:dyDescent="0.2">
      <c r="R1097" s="5"/>
      <c r="S1097" s="5"/>
      <c r="T1097" s="5"/>
      <c r="U1097" s="5"/>
      <c r="V1097" s="5"/>
      <c r="W1097" s="5"/>
      <c r="X1097" s="5"/>
      <c r="Y1097" s="5"/>
      <c r="Z1097" s="5"/>
      <c r="AA1097" s="5"/>
      <c r="AB1097" s="5"/>
      <c r="AC1097" s="5"/>
      <c r="AD1097" s="5"/>
      <c r="AE1097" s="5"/>
      <c r="AF1097" s="5"/>
      <c r="AG1097" s="5"/>
      <c r="AH1097" s="5"/>
      <c r="AI1097" s="5"/>
      <c r="AJ1097" s="19"/>
      <c r="AK1097" s="19"/>
      <c r="AL1097" s="19"/>
      <c r="AM1097" s="19"/>
      <c r="AN1097" s="19"/>
    </row>
    <row r="1098" spans="18:40" x14ac:dyDescent="0.2">
      <c r="R1098" s="5"/>
      <c r="S1098" s="5"/>
      <c r="T1098" s="5"/>
      <c r="U1098" s="5"/>
      <c r="V1098" s="5"/>
      <c r="W1098" s="5"/>
      <c r="X1098" s="5"/>
      <c r="Y1098" s="5"/>
      <c r="Z1098" s="5"/>
      <c r="AA1098" s="5"/>
      <c r="AB1098" s="5"/>
      <c r="AC1098" s="5"/>
      <c r="AD1098" s="5"/>
      <c r="AE1098" s="5"/>
      <c r="AF1098" s="5"/>
      <c r="AG1098" s="5"/>
      <c r="AH1098" s="5"/>
      <c r="AI1098" s="5"/>
      <c r="AJ1098" s="19"/>
      <c r="AK1098" s="19"/>
      <c r="AL1098" s="19"/>
      <c r="AM1098" s="19"/>
      <c r="AN1098" s="19"/>
    </row>
    <row r="1099" spans="18:40" x14ac:dyDescent="0.2">
      <c r="R1099" s="5"/>
      <c r="S1099" s="5"/>
      <c r="T1099" s="5"/>
      <c r="U1099" s="5"/>
      <c r="V1099" s="5"/>
      <c r="W1099" s="5"/>
      <c r="X1099" s="5"/>
      <c r="Y1099" s="5"/>
      <c r="Z1099" s="5"/>
      <c r="AA1099" s="5"/>
      <c r="AB1099" s="5"/>
      <c r="AC1099" s="5"/>
      <c r="AD1099" s="5"/>
      <c r="AE1099" s="5"/>
      <c r="AF1099" s="5"/>
      <c r="AG1099" s="5"/>
      <c r="AH1099" s="5"/>
      <c r="AI1099" s="5"/>
      <c r="AJ1099" s="19"/>
      <c r="AK1099" s="19"/>
      <c r="AL1099" s="19"/>
      <c r="AM1099" s="19"/>
      <c r="AN1099" s="19"/>
    </row>
    <row r="1100" spans="18:40" x14ac:dyDescent="0.2">
      <c r="R1100" s="5"/>
      <c r="S1100" s="5"/>
      <c r="T1100" s="5"/>
      <c r="U1100" s="5"/>
      <c r="V1100" s="5"/>
      <c r="W1100" s="5"/>
      <c r="X1100" s="5"/>
      <c r="Y1100" s="5"/>
      <c r="Z1100" s="5"/>
      <c r="AA1100" s="5"/>
      <c r="AB1100" s="5"/>
      <c r="AC1100" s="5"/>
      <c r="AD1100" s="5"/>
      <c r="AE1100" s="5"/>
      <c r="AF1100" s="5"/>
      <c r="AG1100" s="5"/>
      <c r="AH1100" s="5"/>
      <c r="AI1100" s="5"/>
      <c r="AJ1100" s="19"/>
      <c r="AK1100" s="19"/>
      <c r="AL1100" s="19"/>
      <c r="AM1100" s="19"/>
      <c r="AN1100" s="19"/>
    </row>
    <row r="1101" spans="18:40" x14ac:dyDescent="0.2">
      <c r="R1101" s="5"/>
      <c r="S1101" s="5"/>
      <c r="T1101" s="5"/>
      <c r="U1101" s="5"/>
      <c r="V1101" s="5"/>
      <c r="W1101" s="5"/>
      <c r="X1101" s="5"/>
      <c r="Y1101" s="5"/>
      <c r="Z1101" s="5"/>
      <c r="AA1101" s="5"/>
      <c r="AB1101" s="5"/>
      <c r="AC1101" s="5"/>
      <c r="AD1101" s="5"/>
      <c r="AE1101" s="5"/>
      <c r="AF1101" s="5"/>
      <c r="AG1101" s="5"/>
      <c r="AH1101" s="5"/>
      <c r="AI1101" s="5"/>
      <c r="AJ1101" s="19"/>
      <c r="AK1101" s="19"/>
      <c r="AL1101" s="19"/>
      <c r="AM1101" s="19"/>
      <c r="AN1101" s="19"/>
    </row>
    <row r="1102" spans="18:40" x14ac:dyDescent="0.2">
      <c r="R1102" s="5"/>
      <c r="S1102" s="5"/>
      <c r="T1102" s="5"/>
      <c r="U1102" s="5"/>
      <c r="V1102" s="5"/>
      <c r="W1102" s="5"/>
      <c r="X1102" s="5"/>
      <c r="Y1102" s="5"/>
      <c r="Z1102" s="5"/>
      <c r="AA1102" s="5"/>
      <c r="AB1102" s="5"/>
      <c r="AC1102" s="5"/>
      <c r="AD1102" s="5"/>
      <c r="AE1102" s="5"/>
      <c r="AF1102" s="5"/>
      <c r="AG1102" s="5"/>
      <c r="AH1102" s="5"/>
      <c r="AI1102" s="5"/>
      <c r="AJ1102" s="19"/>
      <c r="AK1102" s="19"/>
      <c r="AL1102" s="19"/>
      <c r="AM1102" s="19"/>
      <c r="AN1102" s="19"/>
    </row>
    <row r="1103" spans="18:40" x14ac:dyDescent="0.2">
      <c r="R1103" s="5"/>
      <c r="S1103" s="5"/>
      <c r="T1103" s="5"/>
      <c r="U1103" s="5"/>
      <c r="V1103" s="5"/>
      <c r="W1103" s="5"/>
      <c r="X1103" s="5"/>
      <c r="Y1103" s="5"/>
      <c r="Z1103" s="5"/>
      <c r="AA1103" s="5"/>
      <c r="AB1103" s="5"/>
      <c r="AC1103" s="5"/>
      <c r="AD1103" s="5"/>
      <c r="AE1103" s="5"/>
      <c r="AF1103" s="5"/>
      <c r="AG1103" s="5"/>
      <c r="AH1103" s="5"/>
      <c r="AI1103" s="5"/>
      <c r="AJ1103" s="19"/>
      <c r="AK1103" s="19"/>
      <c r="AL1103" s="19"/>
      <c r="AM1103" s="19"/>
      <c r="AN1103" s="19"/>
    </row>
    <row r="1104" spans="18:40" x14ac:dyDescent="0.2">
      <c r="R1104" s="5"/>
      <c r="S1104" s="5"/>
      <c r="T1104" s="5"/>
      <c r="U1104" s="5"/>
      <c r="V1104" s="5"/>
      <c r="W1104" s="5"/>
      <c r="X1104" s="5"/>
      <c r="Y1104" s="5"/>
      <c r="Z1104" s="5"/>
      <c r="AA1104" s="5"/>
      <c r="AB1104" s="5"/>
      <c r="AC1104" s="5"/>
      <c r="AD1104" s="5"/>
      <c r="AE1104" s="5"/>
      <c r="AF1104" s="5"/>
      <c r="AG1104" s="5"/>
      <c r="AH1104" s="5"/>
      <c r="AI1104" s="5"/>
      <c r="AJ1104" s="19"/>
      <c r="AK1104" s="19"/>
      <c r="AL1104" s="19"/>
      <c r="AM1104" s="19"/>
      <c r="AN1104" s="19"/>
    </row>
    <row r="1105" spans="18:40" x14ac:dyDescent="0.2">
      <c r="R1105" s="5"/>
      <c r="S1105" s="5"/>
      <c r="T1105" s="5"/>
      <c r="U1105" s="5"/>
      <c r="V1105" s="5"/>
      <c r="W1105" s="5"/>
      <c r="X1105" s="5"/>
      <c r="Y1105" s="5"/>
      <c r="Z1105" s="5"/>
      <c r="AA1105" s="5"/>
      <c r="AB1105" s="5"/>
      <c r="AC1105" s="5"/>
      <c r="AD1105" s="5"/>
      <c r="AE1105" s="5"/>
      <c r="AF1105" s="5"/>
      <c r="AG1105" s="5"/>
      <c r="AH1105" s="5"/>
      <c r="AI1105" s="5"/>
      <c r="AJ1105" s="19"/>
      <c r="AK1105" s="19"/>
      <c r="AL1105" s="19"/>
      <c r="AM1105" s="19"/>
      <c r="AN1105" s="19"/>
    </row>
    <row r="1106" spans="18:40" x14ac:dyDescent="0.2">
      <c r="R1106" s="5"/>
      <c r="S1106" s="5"/>
      <c r="T1106" s="5"/>
      <c r="U1106" s="5"/>
      <c r="V1106" s="5"/>
      <c r="W1106" s="5"/>
      <c r="X1106" s="5"/>
      <c r="Y1106" s="5"/>
      <c r="Z1106" s="5"/>
      <c r="AA1106" s="5"/>
      <c r="AB1106" s="5"/>
      <c r="AC1106" s="5"/>
      <c r="AD1106" s="5"/>
      <c r="AE1106" s="5"/>
      <c r="AF1106" s="5"/>
      <c r="AG1106" s="5"/>
      <c r="AH1106" s="5"/>
      <c r="AI1106" s="5"/>
      <c r="AJ1106" s="19"/>
      <c r="AK1106" s="19"/>
      <c r="AL1106" s="19"/>
      <c r="AM1106" s="19"/>
      <c r="AN1106" s="19"/>
    </row>
    <row r="1107" spans="18:40" x14ac:dyDescent="0.2">
      <c r="R1107" s="5"/>
      <c r="S1107" s="5"/>
      <c r="T1107" s="5"/>
      <c r="U1107" s="5"/>
      <c r="V1107" s="5"/>
      <c r="W1107" s="5"/>
      <c r="X1107" s="5"/>
      <c r="Y1107" s="5"/>
      <c r="Z1107" s="5"/>
      <c r="AA1107" s="5"/>
      <c r="AB1107" s="5"/>
      <c r="AC1107" s="5"/>
      <c r="AD1107" s="5"/>
      <c r="AE1107" s="5"/>
      <c r="AF1107" s="5"/>
      <c r="AG1107" s="5"/>
      <c r="AH1107" s="5"/>
      <c r="AI1107" s="5"/>
      <c r="AJ1107" s="19"/>
      <c r="AK1107" s="19"/>
      <c r="AL1107" s="19"/>
      <c r="AM1107" s="19"/>
      <c r="AN1107" s="19"/>
    </row>
    <row r="1108" spans="18:40" x14ac:dyDescent="0.2">
      <c r="R1108" s="5"/>
      <c r="S1108" s="5"/>
      <c r="T1108" s="5"/>
      <c r="U1108" s="5"/>
      <c r="V1108" s="5"/>
      <c r="W1108" s="5"/>
      <c r="X1108" s="5"/>
      <c r="Y1108" s="5"/>
      <c r="Z1108" s="5"/>
      <c r="AA1108" s="5"/>
      <c r="AB1108" s="5"/>
      <c r="AC1108" s="5"/>
      <c r="AD1108" s="5"/>
      <c r="AE1108" s="5"/>
      <c r="AF1108" s="5"/>
      <c r="AG1108" s="5"/>
      <c r="AH1108" s="5"/>
      <c r="AI1108" s="5"/>
      <c r="AJ1108" s="19"/>
      <c r="AK1108" s="19"/>
      <c r="AL1108" s="19"/>
      <c r="AM1108" s="19"/>
      <c r="AN1108" s="19"/>
    </row>
    <row r="1109" spans="18:40" x14ac:dyDescent="0.2">
      <c r="R1109" s="5"/>
      <c r="S1109" s="5"/>
      <c r="T1109" s="5"/>
      <c r="U1109" s="5"/>
      <c r="V1109" s="5"/>
      <c r="W1109" s="5"/>
      <c r="X1109" s="5"/>
      <c r="Y1109" s="5"/>
      <c r="Z1109" s="5"/>
      <c r="AA1109" s="5"/>
      <c r="AB1109" s="5"/>
      <c r="AC1109" s="5"/>
      <c r="AD1109" s="5"/>
      <c r="AE1109" s="5"/>
      <c r="AF1109" s="5"/>
      <c r="AG1109" s="5"/>
      <c r="AH1109" s="5"/>
      <c r="AI1109" s="5"/>
      <c r="AJ1109" s="19"/>
      <c r="AK1109" s="19"/>
      <c r="AL1109" s="19"/>
      <c r="AM1109" s="19"/>
      <c r="AN1109" s="19"/>
    </row>
    <row r="1110" spans="18:40" x14ac:dyDescent="0.2">
      <c r="R1110" s="5"/>
      <c r="S1110" s="5"/>
      <c r="T1110" s="5"/>
      <c r="U1110" s="5"/>
      <c r="V1110" s="5"/>
      <c r="W1110" s="5"/>
      <c r="X1110" s="5"/>
      <c r="Y1110" s="5"/>
      <c r="Z1110" s="5"/>
      <c r="AA1110" s="5"/>
      <c r="AB1110" s="5"/>
      <c r="AC1110" s="5"/>
      <c r="AD1110" s="5"/>
      <c r="AE1110" s="5"/>
      <c r="AF1110" s="5"/>
      <c r="AG1110" s="5"/>
      <c r="AH1110" s="5"/>
      <c r="AI1110" s="5"/>
      <c r="AJ1110" s="19"/>
      <c r="AK1110" s="19"/>
      <c r="AL1110" s="19"/>
      <c r="AM1110" s="19"/>
      <c r="AN1110" s="19"/>
    </row>
    <row r="1111" spans="18:40" x14ac:dyDescent="0.2">
      <c r="R1111" s="5"/>
      <c r="S1111" s="5"/>
      <c r="T1111" s="5"/>
      <c r="U1111" s="5"/>
      <c r="V1111" s="5"/>
      <c r="W1111" s="5"/>
      <c r="X1111" s="5"/>
      <c r="Y1111" s="5"/>
      <c r="Z1111" s="5"/>
      <c r="AA1111" s="5"/>
      <c r="AB1111" s="5"/>
      <c r="AC1111" s="5"/>
      <c r="AD1111" s="5"/>
      <c r="AE1111" s="5"/>
      <c r="AF1111" s="5"/>
      <c r="AG1111" s="5"/>
      <c r="AH1111" s="5"/>
      <c r="AI1111" s="5"/>
      <c r="AJ1111" s="19"/>
      <c r="AK1111" s="19"/>
      <c r="AL1111" s="19"/>
      <c r="AM1111" s="19"/>
      <c r="AN1111" s="19"/>
    </row>
    <row r="1112" spans="18:40" x14ac:dyDescent="0.2">
      <c r="R1112" s="5"/>
      <c r="S1112" s="5"/>
      <c r="T1112" s="5"/>
      <c r="U1112" s="5"/>
      <c r="V1112" s="5"/>
      <c r="W1112" s="5"/>
      <c r="X1112" s="5"/>
      <c r="Y1112" s="5"/>
      <c r="Z1112" s="5"/>
      <c r="AA1112" s="5"/>
      <c r="AB1112" s="5"/>
      <c r="AC1112" s="5"/>
      <c r="AD1112" s="5"/>
      <c r="AE1112" s="5"/>
      <c r="AF1112" s="5"/>
      <c r="AG1112" s="5"/>
      <c r="AH1112" s="5"/>
      <c r="AI1112" s="5"/>
      <c r="AJ1112" s="19"/>
      <c r="AK1112" s="19"/>
      <c r="AL1112" s="19"/>
      <c r="AM1112" s="19"/>
      <c r="AN1112" s="19"/>
    </row>
    <row r="1113" spans="18:40" x14ac:dyDescent="0.2">
      <c r="R1113" s="5"/>
      <c r="S1113" s="5"/>
      <c r="T1113" s="5"/>
      <c r="U1113" s="5"/>
      <c r="V1113" s="5"/>
      <c r="W1113" s="5"/>
      <c r="X1113" s="5"/>
      <c r="Y1113" s="5"/>
      <c r="Z1113" s="5"/>
      <c r="AA1113" s="5"/>
      <c r="AB1113" s="5"/>
      <c r="AC1113" s="5"/>
      <c r="AD1113" s="5"/>
      <c r="AE1113" s="5"/>
      <c r="AF1113" s="5"/>
      <c r="AG1113" s="5"/>
      <c r="AH1113" s="5"/>
      <c r="AI1113" s="5"/>
      <c r="AJ1113" s="19"/>
      <c r="AK1113" s="19"/>
      <c r="AL1113" s="19"/>
      <c r="AM1113" s="19"/>
      <c r="AN1113" s="19"/>
    </row>
    <row r="1114" spans="18:40" x14ac:dyDescent="0.2">
      <c r="R1114" s="5"/>
      <c r="S1114" s="5"/>
      <c r="T1114" s="5"/>
      <c r="U1114" s="5"/>
      <c r="V1114" s="5"/>
      <c r="W1114" s="5"/>
      <c r="X1114" s="5"/>
      <c r="Y1114" s="5"/>
      <c r="Z1114" s="5"/>
      <c r="AA1114" s="5"/>
      <c r="AB1114" s="5"/>
      <c r="AC1114" s="5"/>
      <c r="AD1114" s="5"/>
      <c r="AE1114" s="5"/>
      <c r="AF1114" s="5"/>
      <c r="AG1114" s="5"/>
      <c r="AH1114" s="5"/>
      <c r="AI1114" s="5"/>
      <c r="AJ1114" s="19"/>
      <c r="AK1114" s="19"/>
      <c r="AL1114" s="19"/>
      <c r="AM1114" s="19"/>
      <c r="AN1114" s="19"/>
    </row>
    <row r="1115" spans="18:40" x14ac:dyDescent="0.2">
      <c r="R1115" s="5"/>
      <c r="S1115" s="5"/>
      <c r="T1115" s="5"/>
      <c r="U1115" s="5"/>
      <c r="V1115" s="5"/>
      <c r="W1115" s="5"/>
      <c r="X1115" s="5"/>
      <c r="Y1115" s="5"/>
      <c r="Z1115" s="5"/>
      <c r="AA1115" s="5"/>
      <c r="AB1115" s="5"/>
      <c r="AC1115" s="5"/>
      <c r="AD1115" s="5"/>
      <c r="AE1115" s="5"/>
      <c r="AF1115" s="5"/>
      <c r="AG1115" s="5"/>
      <c r="AH1115" s="5"/>
      <c r="AI1115" s="5"/>
      <c r="AJ1115" s="19"/>
      <c r="AK1115" s="19"/>
      <c r="AL1115" s="19"/>
      <c r="AM1115" s="19"/>
      <c r="AN1115" s="19"/>
    </row>
    <row r="1116" spans="18:40" x14ac:dyDescent="0.2">
      <c r="R1116" s="5"/>
      <c r="S1116" s="5"/>
      <c r="T1116" s="5"/>
      <c r="U1116" s="5"/>
      <c r="V1116" s="5"/>
      <c r="W1116" s="5"/>
      <c r="X1116" s="5"/>
      <c r="Y1116" s="5"/>
      <c r="Z1116" s="5"/>
      <c r="AA1116" s="5"/>
      <c r="AB1116" s="5"/>
      <c r="AC1116" s="5"/>
      <c r="AD1116" s="5"/>
      <c r="AE1116" s="5"/>
      <c r="AF1116" s="5"/>
      <c r="AG1116" s="5"/>
      <c r="AH1116" s="5"/>
      <c r="AI1116" s="5"/>
      <c r="AJ1116" s="19"/>
      <c r="AK1116" s="19"/>
      <c r="AL1116" s="19"/>
      <c r="AM1116" s="19"/>
      <c r="AN1116" s="19"/>
    </row>
    <row r="1117" spans="18:40" x14ac:dyDescent="0.2">
      <c r="R1117" s="5"/>
      <c r="S1117" s="5"/>
      <c r="T1117" s="5"/>
      <c r="U1117" s="5"/>
      <c r="V1117" s="5"/>
      <c r="W1117" s="5"/>
      <c r="X1117" s="5"/>
      <c r="Y1117" s="5"/>
      <c r="Z1117" s="5"/>
      <c r="AA1117" s="5"/>
      <c r="AB1117" s="5"/>
      <c r="AC1117" s="5"/>
      <c r="AD1117" s="5"/>
      <c r="AE1117" s="5"/>
      <c r="AF1117" s="5"/>
      <c r="AG1117" s="5"/>
      <c r="AH1117" s="5"/>
      <c r="AI1117" s="5"/>
      <c r="AJ1117" s="19"/>
      <c r="AK1117" s="19"/>
      <c r="AL1117" s="19"/>
      <c r="AM1117" s="19"/>
      <c r="AN1117" s="19"/>
    </row>
    <row r="1118" spans="18:40" x14ac:dyDescent="0.2">
      <c r="R1118" s="5"/>
      <c r="S1118" s="5"/>
      <c r="T1118" s="5"/>
      <c r="U1118" s="5"/>
      <c r="V1118" s="5"/>
      <c r="W1118" s="5"/>
      <c r="X1118" s="5"/>
      <c r="Y1118" s="5"/>
      <c r="Z1118" s="5"/>
      <c r="AA1118" s="5"/>
      <c r="AB1118" s="5"/>
      <c r="AC1118" s="5"/>
      <c r="AD1118" s="5"/>
      <c r="AE1118" s="5"/>
      <c r="AF1118" s="5"/>
      <c r="AG1118" s="5"/>
      <c r="AH1118" s="5"/>
      <c r="AI1118" s="5"/>
      <c r="AJ1118" s="19"/>
      <c r="AK1118" s="19"/>
      <c r="AL1118" s="19"/>
      <c r="AM1118" s="19"/>
      <c r="AN1118" s="19"/>
    </row>
    <row r="1119" spans="18:40" x14ac:dyDescent="0.2">
      <c r="R1119" s="5"/>
      <c r="S1119" s="5"/>
      <c r="T1119" s="5"/>
      <c r="U1119" s="5"/>
      <c r="V1119" s="5"/>
      <c r="W1119" s="5"/>
      <c r="X1119" s="5"/>
      <c r="Y1119" s="5"/>
      <c r="Z1119" s="5"/>
      <c r="AA1119" s="5"/>
      <c r="AB1119" s="5"/>
      <c r="AC1119" s="5"/>
      <c r="AD1119" s="5"/>
      <c r="AE1119" s="5"/>
      <c r="AF1119" s="5"/>
      <c r="AG1119" s="5"/>
      <c r="AH1119" s="5"/>
      <c r="AI1119" s="5"/>
      <c r="AJ1119" s="19"/>
      <c r="AK1119" s="19"/>
      <c r="AL1119" s="19"/>
      <c r="AM1119" s="19"/>
      <c r="AN1119" s="19"/>
    </row>
    <row r="1120" spans="18:40" x14ac:dyDescent="0.2">
      <c r="R1120" s="5"/>
      <c r="S1120" s="5"/>
      <c r="T1120" s="5"/>
      <c r="U1120" s="5"/>
      <c r="V1120" s="5"/>
      <c r="W1120" s="5"/>
      <c r="X1120" s="5"/>
      <c r="Y1120" s="5"/>
      <c r="Z1120" s="5"/>
      <c r="AA1120" s="5"/>
      <c r="AB1120" s="5"/>
      <c r="AC1120" s="5"/>
      <c r="AD1120" s="5"/>
      <c r="AE1120" s="5"/>
      <c r="AF1120" s="5"/>
      <c r="AG1120" s="5"/>
      <c r="AH1120" s="5"/>
      <c r="AI1120" s="5"/>
      <c r="AJ1120" s="19"/>
      <c r="AK1120" s="19"/>
      <c r="AL1120" s="19"/>
      <c r="AM1120" s="19"/>
      <c r="AN1120" s="19"/>
    </row>
    <row r="1121" spans="18:40" x14ac:dyDescent="0.2">
      <c r="R1121" s="5"/>
      <c r="S1121" s="5"/>
      <c r="T1121" s="5"/>
      <c r="U1121" s="5"/>
      <c r="V1121" s="5"/>
      <c r="W1121" s="5"/>
      <c r="X1121" s="5"/>
      <c r="Y1121" s="5"/>
      <c r="Z1121" s="5"/>
      <c r="AA1121" s="5"/>
      <c r="AB1121" s="5"/>
      <c r="AC1121" s="5"/>
      <c r="AD1121" s="5"/>
      <c r="AE1121" s="5"/>
      <c r="AF1121" s="5"/>
      <c r="AG1121" s="5"/>
      <c r="AH1121" s="5"/>
      <c r="AI1121" s="5"/>
      <c r="AJ1121" s="19"/>
      <c r="AK1121" s="19"/>
      <c r="AL1121" s="19"/>
      <c r="AM1121" s="19"/>
      <c r="AN1121" s="19"/>
    </row>
    <row r="1122" spans="18:40" x14ac:dyDescent="0.2">
      <c r="R1122" s="5"/>
      <c r="S1122" s="5"/>
      <c r="T1122" s="5"/>
      <c r="U1122" s="5"/>
      <c r="V1122" s="5"/>
      <c r="W1122" s="5"/>
      <c r="X1122" s="5"/>
      <c r="Y1122" s="5"/>
      <c r="Z1122" s="5"/>
      <c r="AA1122" s="5"/>
      <c r="AB1122" s="5"/>
      <c r="AC1122" s="5"/>
      <c r="AD1122" s="5"/>
      <c r="AE1122" s="5"/>
      <c r="AF1122" s="5"/>
      <c r="AG1122" s="5"/>
      <c r="AH1122" s="5"/>
      <c r="AI1122" s="5"/>
      <c r="AJ1122" s="19"/>
      <c r="AK1122" s="19"/>
      <c r="AL1122" s="19"/>
      <c r="AM1122" s="19"/>
      <c r="AN1122" s="19"/>
    </row>
    <row r="1123" spans="18:40" x14ac:dyDescent="0.2">
      <c r="R1123" s="5"/>
      <c r="S1123" s="5"/>
      <c r="T1123" s="5"/>
      <c r="U1123" s="5"/>
      <c r="V1123" s="5"/>
      <c r="W1123" s="5"/>
      <c r="X1123" s="5"/>
      <c r="Y1123" s="5"/>
      <c r="Z1123" s="5"/>
      <c r="AA1123" s="5"/>
      <c r="AB1123" s="5"/>
      <c r="AC1123" s="5"/>
      <c r="AD1123" s="5"/>
      <c r="AE1123" s="5"/>
      <c r="AF1123" s="5"/>
      <c r="AG1123" s="5"/>
      <c r="AH1123" s="5"/>
      <c r="AI1123" s="5"/>
      <c r="AJ1123" s="19"/>
      <c r="AK1123" s="19"/>
      <c r="AL1123" s="19"/>
      <c r="AM1123" s="19"/>
      <c r="AN1123" s="19"/>
    </row>
    <row r="1124" spans="18:40" x14ac:dyDescent="0.2">
      <c r="R1124" s="5"/>
      <c r="S1124" s="5"/>
      <c r="T1124" s="5"/>
      <c r="U1124" s="5"/>
      <c r="V1124" s="5"/>
      <c r="W1124" s="5"/>
      <c r="X1124" s="5"/>
      <c r="Y1124" s="5"/>
      <c r="Z1124" s="5"/>
      <c r="AA1124" s="5"/>
      <c r="AB1124" s="5"/>
      <c r="AC1124" s="5"/>
      <c r="AD1124" s="5"/>
      <c r="AE1124" s="5"/>
      <c r="AF1124" s="5"/>
      <c r="AG1124" s="5"/>
      <c r="AH1124" s="5"/>
      <c r="AI1124" s="5"/>
      <c r="AJ1124" s="19"/>
      <c r="AK1124" s="19"/>
      <c r="AL1124" s="19"/>
      <c r="AM1124" s="19"/>
      <c r="AN1124" s="19"/>
    </row>
    <row r="1125" spans="18:40" x14ac:dyDescent="0.2">
      <c r="R1125" s="5"/>
      <c r="S1125" s="5"/>
      <c r="T1125" s="5"/>
      <c r="U1125" s="5"/>
      <c r="V1125" s="5"/>
      <c r="W1125" s="5"/>
      <c r="X1125" s="5"/>
      <c r="Y1125" s="5"/>
      <c r="Z1125" s="5"/>
      <c r="AA1125" s="5"/>
      <c r="AB1125" s="5"/>
      <c r="AC1125" s="5"/>
      <c r="AD1125" s="5"/>
      <c r="AE1125" s="5"/>
      <c r="AF1125" s="5"/>
      <c r="AG1125" s="5"/>
      <c r="AH1125" s="5"/>
      <c r="AI1125" s="5"/>
      <c r="AJ1125" s="19"/>
      <c r="AK1125" s="19"/>
      <c r="AL1125" s="19"/>
      <c r="AM1125" s="19"/>
      <c r="AN1125" s="19"/>
    </row>
    <row r="1126" spans="18:40" x14ac:dyDescent="0.2">
      <c r="R1126" s="5"/>
      <c r="S1126" s="5"/>
      <c r="T1126" s="5"/>
      <c r="U1126" s="5"/>
      <c r="V1126" s="5"/>
      <c r="W1126" s="5"/>
      <c r="X1126" s="5"/>
      <c r="Y1126" s="5"/>
      <c r="Z1126" s="5"/>
      <c r="AA1126" s="5"/>
      <c r="AB1126" s="5"/>
      <c r="AC1126" s="5"/>
      <c r="AD1126" s="5"/>
      <c r="AE1126" s="5"/>
      <c r="AF1126" s="5"/>
      <c r="AG1126" s="5"/>
      <c r="AH1126" s="5"/>
      <c r="AI1126" s="5"/>
      <c r="AJ1126" s="19"/>
      <c r="AK1126" s="19"/>
      <c r="AL1126" s="19"/>
      <c r="AM1126" s="19"/>
      <c r="AN1126" s="19"/>
    </row>
    <row r="1127" spans="18:40" x14ac:dyDescent="0.2">
      <c r="R1127" s="5"/>
      <c r="S1127" s="5"/>
      <c r="T1127" s="5"/>
      <c r="U1127" s="5"/>
      <c r="V1127" s="5"/>
      <c r="W1127" s="5"/>
      <c r="X1127" s="5"/>
      <c r="Y1127" s="5"/>
      <c r="Z1127" s="5"/>
      <c r="AA1127" s="5"/>
      <c r="AB1127" s="5"/>
      <c r="AC1127" s="5"/>
      <c r="AD1127" s="5"/>
      <c r="AE1127" s="5"/>
      <c r="AF1127" s="5"/>
      <c r="AG1127" s="5"/>
      <c r="AH1127" s="5"/>
      <c r="AI1127" s="5"/>
      <c r="AJ1127" s="19"/>
      <c r="AK1127" s="19"/>
      <c r="AL1127" s="19"/>
      <c r="AM1127" s="19"/>
      <c r="AN1127" s="19"/>
    </row>
    <row r="1128" spans="18:40" x14ac:dyDescent="0.2">
      <c r="R1128" s="5"/>
      <c r="S1128" s="5"/>
      <c r="T1128" s="5"/>
      <c r="U1128" s="5"/>
      <c r="V1128" s="5"/>
      <c r="W1128" s="5"/>
      <c r="X1128" s="5"/>
      <c r="Y1128" s="5"/>
      <c r="Z1128" s="5"/>
      <c r="AA1128" s="5"/>
      <c r="AB1128" s="5"/>
      <c r="AC1128" s="5"/>
      <c r="AD1128" s="5"/>
      <c r="AE1128" s="5"/>
      <c r="AF1128" s="5"/>
      <c r="AG1128" s="5"/>
      <c r="AH1128" s="5"/>
      <c r="AI1128" s="5"/>
      <c r="AJ1128" s="19"/>
      <c r="AK1128" s="19"/>
      <c r="AL1128" s="19"/>
      <c r="AM1128" s="19"/>
      <c r="AN1128" s="19"/>
    </row>
    <row r="1129" spans="18:40" x14ac:dyDescent="0.2">
      <c r="R1129" s="5"/>
      <c r="S1129" s="5"/>
      <c r="T1129" s="5"/>
      <c r="U1129" s="5"/>
      <c r="V1129" s="5"/>
      <c r="W1129" s="5"/>
      <c r="X1129" s="5"/>
      <c r="Y1129" s="5"/>
      <c r="Z1129" s="5"/>
      <c r="AA1129" s="5"/>
      <c r="AB1129" s="5"/>
      <c r="AC1129" s="5"/>
      <c r="AD1129" s="5"/>
      <c r="AE1129" s="5"/>
      <c r="AF1129" s="5"/>
      <c r="AG1129" s="5"/>
      <c r="AH1129" s="5"/>
      <c r="AI1129" s="5"/>
      <c r="AJ1129" s="19"/>
      <c r="AK1129" s="19"/>
      <c r="AL1129" s="19"/>
      <c r="AM1129" s="19"/>
      <c r="AN1129" s="19"/>
    </row>
    <row r="1130" spans="18:40" x14ac:dyDescent="0.2">
      <c r="R1130" s="5"/>
      <c r="S1130" s="5"/>
      <c r="T1130" s="5"/>
      <c r="U1130" s="5"/>
      <c r="V1130" s="5"/>
      <c r="W1130" s="5"/>
      <c r="X1130" s="5"/>
      <c r="Y1130" s="5"/>
      <c r="Z1130" s="5"/>
      <c r="AA1130" s="5"/>
      <c r="AB1130" s="5"/>
      <c r="AC1130" s="5"/>
      <c r="AD1130" s="5"/>
      <c r="AE1130" s="5"/>
      <c r="AF1130" s="5"/>
      <c r="AG1130" s="5"/>
      <c r="AH1130" s="5"/>
      <c r="AI1130" s="5"/>
      <c r="AJ1130" s="19"/>
      <c r="AK1130" s="19"/>
      <c r="AL1130" s="19"/>
      <c r="AM1130" s="19"/>
      <c r="AN1130" s="19"/>
    </row>
    <row r="1131" spans="18:40" x14ac:dyDescent="0.2">
      <c r="R1131" s="5"/>
      <c r="S1131" s="5"/>
      <c r="T1131" s="5"/>
      <c r="U1131" s="5"/>
      <c r="V1131" s="5"/>
      <c r="W1131" s="5"/>
      <c r="X1131" s="5"/>
      <c r="Y1131" s="5"/>
      <c r="Z1131" s="5"/>
      <c r="AA1131" s="5"/>
      <c r="AB1131" s="5"/>
      <c r="AC1131" s="5"/>
      <c r="AD1131" s="5"/>
      <c r="AE1131" s="5"/>
      <c r="AF1131" s="5"/>
      <c r="AG1131" s="5"/>
      <c r="AH1131" s="5"/>
      <c r="AI1131" s="5"/>
      <c r="AJ1131" s="19"/>
      <c r="AK1131" s="19"/>
      <c r="AL1131" s="19"/>
      <c r="AM1131" s="19"/>
      <c r="AN1131" s="19"/>
    </row>
    <row r="1132" spans="18:40" x14ac:dyDescent="0.2">
      <c r="R1132" s="5"/>
      <c r="S1132" s="5"/>
      <c r="T1132" s="5"/>
      <c r="U1132" s="5"/>
      <c r="V1132" s="5"/>
      <c r="W1132" s="5"/>
      <c r="X1132" s="5"/>
      <c r="Y1132" s="5"/>
      <c r="Z1132" s="5"/>
      <c r="AA1132" s="5"/>
      <c r="AB1132" s="5"/>
      <c r="AC1132" s="5"/>
      <c r="AD1132" s="5"/>
      <c r="AE1132" s="5"/>
      <c r="AF1132" s="5"/>
      <c r="AG1132" s="5"/>
      <c r="AH1132" s="5"/>
      <c r="AI1132" s="5"/>
      <c r="AJ1132" s="19"/>
      <c r="AK1132" s="19"/>
      <c r="AL1132" s="19"/>
      <c r="AM1132" s="19"/>
      <c r="AN1132" s="19"/>
    </row>
    <row r="1133" spans="18:40" x14ac:dyDescent="0.2">
      <c r="R1133" s="5"/>
      <c r="S1133" s="5"/>
      <c r="T1133" s="5"/>
      <c r="U1133" s="5"/>
      <c r="V1133" s="5"/>
      <c r="W1133" s="5"/>
      <c r="X1133" s="5"/>
      <c r="Y1133" s="5"/>
      <c r="Z1133" s="5"/>
      <c r="AA1133" s="5"/>
      <c r="AB1133" s="5"/>
      <c r="AC1133" s="5"/>
      <c r="AD1133" s="5"/>
      <c r="AE1133" s="5"/>
      <c r="AF1133" s="5"/>
      <c r="AG1133" s="5"/>
      <c r="AH1133" s="5"/>
      <c r="AI1133" s="5"/>
      <c r="AJ1133" s="19"/>
      <c r="AK1133" s="19"/>
      <c r="AL1133" s="19"/>
      <c r="AM1133" s="19"/>
      <c r="AN1133" s="19"/>
    </row>
    <row r="1134" spans="18:40" x14ac:dyDescent="0.2">
      <c r="R1134" s="5"/>
      <c r="S1134" s="5"/>
      <c r="T1134" s="5"/>
      <c r="U1134" s="5"/>
      <c r="V1134" s="5"/>
      <c r="W1134" s="5"/>
      <c r="X1134" s="5"/>
      <c r="Y1134" s="5"/>
      <c r="Z1134" s="5"/>
      <c r="AA1134" s="5"/>
      <c r="AB1134" s="5"/>
      <c r="AC1134" s="5"/>
      <c r="AD1134" s="5"/>
      <c r="AE1134" s="5"/>
      <c r="AF1134" s="5"/>
      <c r="AG1134" s="5"/>
      <c r="AH1134" s="5"/>
      <c r="AI1134" s="5"/>
      <c r="AJ1134" s="19"/>
      <c r="AK1134" s="19"/>
      <c r="AL1134" s="19"/>
      <c r="AM1134" s="19"/>
      <c r="AN1134" s="19"/>
    </row>
    <row r="1135" spans="18:40" x14ac:dyDescent="0.2">
      <c r="R1135" s="5"/>
      <c r="S1135" s="5"/>
      <c r="T1135" s="5"/>
      <c r="U1135" s="5"/>
      <c r="V1135" s="5"/>
      <c r="W1135" s="5"/>
      <c r="X1135" s="5"/>
      <c r="Y1135" s="5"/>
      <c r="Z1135" s="5"/>
      <c r="AA1135" s="5"/>
      <c r="AB1135" s="5"/>
      <c r="AC1135" s="5"/>
      <c r="AD1135" s="5"/>
      <c r="AE1135" s="5"/>
      <c r="AF1135" s="5"/>
      <c r="AG1135" s="5"/>
      <c r="AH1135" s="5"/>
      <c r="AI1135" s="5"/>
      <c r="AJ1135" s="19"/>
      <c r="AK1135" s="19"/>
      <c r="AL1135" s="19"/>
      <c r="AM1135" s="19"/>
      <c r="AN1135" s="19"/>
    </row>
    <row r="1136" spans="18:40" x14ac:dyDescent="0.2">
      <c r="R1136" s="5"/>
      <c r="S1136" s="5"/>
      <c r="T1136" s="5"/>
      <c r="U1136" s="5"/>
      <c r="V1136" s="5"/>
      <c r="W1136" s="5"/>
      <c r="X1136" s="5"/>
      <c r="Y1136" s="5"/>
      <c r="Z1136" s="5"/>
      <c r="AA1136" s="5"/>
      <c r="AB1136" s="5"/>
      <c r="AC1136" s="5"/>
      <c r="AD1136" s="5"/>
      <c r="AE1136" s="5"/>
      <c r="AF1136" s="5"/>
      <c r="AG1136" s="5"/>
      <c r="AH1136" s="5"/>
      <c r="AI1136" s="5"/>
      <c r="AJ1136" s="19"/>
      <c r="AK1136" s="19"/>
      <c r="AL1136" s="19"/>
      <c r="AM1136" s="19"/>
      <c r="AN1136" s="19"/>
    </row>
    <row r="1137" spans="18:40" x14ac:dyDescent="0.2">
      <c r="R1137" s="5"/>
      <c r="S1137" s="5"/>
      <c r="T1137" s="5"/>
      <c r="U1137" s="5"/>
      <c r="V1137" s="5"/>
      <c r="W1137" s="5"/>
      <c r="X1137" s="5"/>
      <c r="Y1137" s="5"/>
      <c r="Z1137" s="5"/>
      <c r="AA1137" s="5"/>
      <c r="AB1137" s="5"/>
      <c r="AC1137" s="5"/>
      <c r="AD1137" s="5"/>
      <c r="AE1137" s="5"/>
      <c r="AF1137" s="5"/>
      <c r="AG1137" s="5"/>
      <c r="AH1137" s="5"/>
      <c r="AI1137" s="5"/>
      <c r="AJ1137" s="19"/>
      <c r="AK1137" s="19"/>
      <c r="AL1137" s="19"/>
      <c r="AM1137" s="19"/>
      <c r="AN1137" s="19"/>
    </row>
    <row r="1138" spans="18:40" x14ac:dyDescent="0.2">
      <c r="R1138" s="5"/>
      <c r="S1138" s="5"/>
      <c r="T1138" s="5"/>
      <c r="U1138" s="5"/>
      <c r="V1138" s="5"/>
      <c r="W1138" s="5"/>
      <c r="X1138" s="5"/>
      <c r="Y1138" s="5"/>
      <c r="Z1138" s="5"/>
      <c r="AA1138" s="5"/>
      <c r="AB1138" s="5"/>
      <c r="AC1138" s="5"/>
      <c r="AD1138" s="5"/>
      <c r="AE1138" s="5"/>
      <c r="AF1138" s="5"/>
      <c r="AG1138" s="5"/>
      <c r="AH1138" s="5"/>
      <c r="AI1138" s="5"/>
      <c r="AJ1138" s="19"/>
      <c r="AK1138" s="19"/>
      <c r="AL1138" s="19"/>
      <c r="AM1138" s="19"/>
      <c r="AN1138" s="19"/>
    </row>
    <row r="1139" spans="18:40" x14ac:dyDescent="0.2">
      <c r="R1139" s="5"/>
      <c r="S1139" s="5"/>
      <c r="T1139" s="5"/>
      <c r="U1139" s="5"/>
      <c r="V1139" s="5"/>
      <c r="W1139" s="5"/>
      <c r="X1139" s="5"/>
      <c r="Y1139" s="5"/>
      <c r="Z1139" s="5"/>
      <c r="AA1139" s="5"/>
      <c r="AB1139" s="5"/>
      <c r="AC1139" s="5"/>
      <c r="AD1139" s="5"/>
      <c r="AE1139" s="5"/>
      <c r="AF1139" s="5"/>
      <c r="AG1139" s="5"/>
      <c r="AH1139" s="5"/>
      <c r="AI1139" s="5"/>
      <c r="AJ1139" s="19"/>
      <c r="AK1139" s="19"/>
      <c r="AL1139" s="19"/>
      <c r="AM1139" s="19"/>
      <c r="AN1139" s="19"/>
    </row>
    <row r="1140" spans="18:40" x14ac:dyDescent="0.2">
      <c r="R1140" s="5"/>
      <c r="S1140" s="5"/>
      <c r="T1140" s="5"/>
      <c r="U1140" s="5"/>
      <c r="V1140" s="5"/>
      <c r="W1140" s="5"/>
      <c r="X1140" s="5"/>
      <c r="Y1140" s="5"/>
      <c r="Z1140" s="5"/>
      <c r="AA1140" s="5"/>
      <c r="AB1140" s="5"/>
      <c r="AC1140" s="5"/>
      <c r="AD1140" s="5"/>
      <c r="AE1140" s="5"/>
      <c r="AF1140" s="5"/>
      <c r="AG1140" s="5"/>
      <c r="AH1140" s="5"/>
      <c r="AI1140" s="5"/>
      <c r="AJ1140" s="19"/>
      <c r="AK1140" s="19"/>
      <c r="AL1140" s="19"/>
      <c r="AM1140" s="19"/>
      <c r="AN1140" s="19"/>
    </row>
  </sheetData>
  <sheetProtection password="CABA" sheet="1" objects="1" scenarios="1"/>
  <mergeCells count="63">
    <mergeCell ref="AA30:AB30"/>
    <mergeCell ref="AE30:AF30"/>
    <mergeCell ref="AC30:AD30"/>
    <mergeCell ref="Y30:Z30"/>
    <mergeCell ref="F24:H24"/>
    <mergeCell ref="F22:H22"/>
    <mergeCell ref="F23:H23"/>
    <mergeCell ref="F48:H48"/>
    <mergeCell ref="F40:H40"/>
    <mergeCell ref="W30:X30"/>
    <mergeCell ref="U30:V30"/>
    <mergeCell ref="F20:H20"/>
    <mergeCell ref="F21:H21"/>
    <mergeCell ref="C18:D18"/>
    <mergeCell ref="G18:H18"/>
    <mergeCell ref="AG16:AH16"/>
    <mergeCell ref="Y16:Z16"/>
    <mergeCell ref="AA16:AB16"/>
    <mergeCell ref="U16:V16"/>
    <mergeCell ref="W16:X16"/>
    <mergeCell ref="AE16:AF16"/>
    <mergeCell ref="G19:H19"/>
    <mergeCell ref="B3:H3"/>
    <mergeCell ref="Q14:S14"/>
    <mergeCell ref="T3:U3"/>
    <mergeCell ref="G2:H2"/>
    <mergeCell ref="M3:N3"/>
    <mergeCell ref="T4:V4"/>
    <mergeCell ref="AI15:AJ15"/>
    <mergeCell ref="AE15:AF15"/>
    <mergeCell ref="AG15:AH15"/>
    <mergeCell ref="AC15:AD15"/>
    <mergeCell ref="U15:V15"/>
    <mergeCell ref="W15:X15"/>
    <mergeCell ref="AA15:AB15"/>
    <mergeCell ref="Y15:Z15"/>
    <mergeCell ref="AI16:AJ16"/>
    <mergeCell ref="AC16:AD16"/>
    <mergeCell ref="AW130:AX130"/>
    <mergeCell ref="AW56:AY56"/>
    <mergeCell ref="AR57:AR58"/>
    <mergeCell ref="AD57:AD58"/>
    <mergeCell ref="AQ57:AQ58"/>
    <mergeCell ref="AE57:AE58"/>
    <mergeCell ref="AJ57:AJ58"/>
    <mergeCell ref="AW129:AX129"/>
    <mergeCell ref="AP57:AP58"/>
    <mergeCell ref="AI30:AJ30"/>
    <mergeCell ref="AC57:AC58"/>
    <mergeCell ref="AG30:AH30"/>
    <mergeCell ref="AW127:AX127"/>
    <mergeCell ref="AV57:AV58"/>
    <mergeCell ref="F55:G55"/>
    <mergeCell ref="AN57:AN58"/>
    <mergeCell ref="AO57:AO58"/>
    <mergeCell ref="X57:X58"/>
    <mergeCell ref="Y57:Y58"/>
    <mergeCell ref="AL57:AL58"/>
    <mergeCell ref="AM57:AM58"/>
    <mergeCell ref="AA57:AA58"/>
    <mergeCell ref="AB57:AB58"/>
    <mergeCell ref="P56:Q56"/>
    <mergeCell ref="Z57:Z58"/>
  </mergeCells>
  <phoneticPr fontId="0" type="noConversion"/>
  <conditionalFormatting sqref="B22">
    <cfRule type="expression" dxfId="275" priority="284" stopIfTrue="1">
      <formula>$J$20=18</formula>
    </cfRule>
  </conditionalFormatting>
  <conditionalFormatting sqref="B27:B28">
    <cfRule type="expression" dxfId="274" priority="125" stopIfTrue="1">
      <formula>OR($BH$57=3,WPDatenbank,SpezWP)</formula>
    </cfRule>
  </conditionalFormatting>
  <conditionalFormatting sqref="B29:B30">
    <cfRule type="expression" dxfId="273" priority="128" stopIfTrue="1">
      <formula>OR($BH$57=2,WPDatenbank,SpezWP)</formula>
    </cfRule>
  </conditionalFormatting>
  <conditionalFormatting sqref="B32">
    <cfRule type="expression" dxfId="272" priority="75" stopIfTrue="1">
      <formula>OR(WPArt=2,WPArt=6,WPArt=4)</formula>
    </cfRule>
  </conditionalFormatting>
  <conditionalFormatting sqref="B33">
    <cfRule type="expression" dxfId="271" priority="74" stopIfTrue="1">
      <formula>OR(WPArt=2,WPArt=6)</formula>
    </cfRule>
  </conditionalFormatting>
  <conditionalFormatting sqref="B42 G42">
    <cfRule type="expression" dxfId="270" priority="188" stopIfTrue="1">
      <formula>OR($BG$83=2,$BG$83&gt;4)</formula>
    </cfRule>
  </conditionalFormatting>
  <conditionalFormatting sqref="B54:G54">
    <cfRule type="expression" dxfId="269" priority="14" stopIfTrue="1">
      <formula>$N$57&lt;3</formula>
    </cfRule>
  </conditionalFormatting>
  <conditionalFormatting sqref="B31:H31">
    <cfRule type="expression" dxfId="268" priority="271" stopIfTrue="1">
      <formula>OR(WPArt=2,WPArt=6,$J$31)</formula>
    </cfRule>
  </conditionalFormatting>
  <conditionalFormatting sqref="C18">
    <cfRule type="expression" dxfId="267" priority="133" stopIfTrue="1">
      <formula>OR($G$18&lt;&gt;"",SpezWP)</formula>
    </cfRule>
  </conditionalFormatting>
  <conditionalFormatting sqref="C27">
    <cfRule type="expression" dxfId="266" priority="453" stopIfTrue="1">
      <formula>OR($BH$57=3,WPDatenbank,SpezWP)</formula>
    </cfRule>
  </conditionalFormatting>
  <conditionalFormatting sqref="C28">
    <cfRule type="expression" dxfId="265" priority="117" stopIfTrue="1">
      <formula>OR($BH$57=3,WPDatenbank,SpezWP)</formula>
    </cfRule>
  </conditionalFormatting>
  <conditionalFormatting sqref="C29:C30">
    <cfRule type="expression" dxfId="264" priority="129" stopIfTrue="1">
      <formula>OR($BH$57=2,WPDatenbank,SpezWP)</formula>
    </cfRule>
  </conditionalFormatting>
  <conditionalFormatting sqref="C42:F42">
    <cfRule type="expression" dxfId="263" priority="21" stopIfTrue="1">
      <formula>$BG$83=2</formula>
    </cfRule>
  </conditionalFormatting>
  <conditionalFormatting sqref="D27:D28">
    <cfRule type="expression" dxfId="262" priority="118" stopIfTrue="1">
      <formula>OR(WPArt=3,WPArt=4,WPArt=5,WPArt=6,WPDatenbank,SpezWP)</formula>
    </cfRule>
    <cfRule type="expression" dxfId="261" priority="119" stopIfTrue="1">
      <formula>$BH$57=3</formula>
    </cfRule>
  </conditionalFormatting>
  <conditionalFormatting sqref="D29:D30">
    <cfRule type="expression" dxfId="260" priority="56" stopIfTrue="1">
      <formula>OR(WPArt=3,WPArt=4,WPArt=5,WPArt=6)</formula>
    </cfRule>
    <cfRule type="expression" dxfId="259" priority="57" stopIfTrue="1">
      <formula>$BH$57=2</formula>
    </cfRule>
  </conditionalFormatting>
  <conditionalFormatting sqref="D32">
    <cfRule type="expression" dxfId="258" priority="78" stopIfTrue="1">
      <formula>OR(WPArt=2,WPArt=6,WPArt=4)</formula>
    </cfRule>
  </conditionalFormatting>
  <conditionalFormatting sqref="D52">
    <cfRule type="expression" dxfId="257" priority="277" stopIfTrue="1">
      <formula>OR($N$57&lt;2,$O$65)</formula>
    </cfRule>
    <cfRule type="expression" dxfId="256" priority="278" stopIfTrue="1">
      <formula>AND($N$57&gt;1,$N$57&lt;4)</formula>
    </cfRule>
  </conditionalFormatting>
  <conditionalFormatting sqref="D25:G25">
    <cfRule type="expression" dxfId="255" priority="279" stopIfTrue="1">
      <formula>WPArt&lt;&gt;2</formula>
    </cfRule>
  </conditionalFormatting>
  <conditionalFormatting sqref="E27 E28:F28">
    <cfRule type="expression" dxfId="254" priority="121" stopIfTrue="1">
      <formula>$BH$57=3</formula>
    </cfRule>
  </conditionalFormatting>
  <conditionalFormatting sqref="E29:E30 G29:G30">
    <cfRule type="expression" dxfId="253" priority="130" stopIfTrue="1">
      <formula>OR(WPArt=3,WPArt=4,WPArt=5,WPArt=6,WPDatenbank,SpezWP)</formula>
    </cfRule>
    <cfRule type="expression" dxfId="252" priority="131" stopIfTrue="1">
      <formula>$BH$57=2</formula>
    </cfRule>
  </conditionalFormatting>
  <conditionalFormatting sqref="E32">
    <cfRule type="expression" dxfId="251" priority="77" stopIfTrue="1">
      <formula>OR(WPArt=2,WPArt=6,WPArt=4)</formula>
    </cfRule>
  </conditionalFormatting>
  <conditionalFormatting sqref="E43">
    <cfRule type="expression" dxfId="250" priority="200" stopIfTrue="1">
      <formula>WW=FALSE</formula>
    </cfRule>
  </conditionalFormatting>
  <conditionalFormatting sqref="E27:F28">
    <cfRule type="expression" dxfId="249" priority="120" stopIfTrue="1">
      <formula>OR(WPArt=3,WPArt=4,WPArt=5,WPArt=6,WPDatenbank,SpezWP)</formula>
    </cfRule>
  </conditionalFormatting>
  <conditionalFormatting sqref="F18:F19">
    <cfRule type="expression" dxfId="248" priority="365" stopIfTrue="1">
      <formula>$J$18=TRUE</formula>
    </cfRule>
  </conditionalFormatting>
  <conditionalFormatting sqref="F27">
    <cfRule type="expression" dxfId="247" priority="127" stopIfTrue="1">
      <formula>$BH$57=3</formula>
    </cfRule>
  </conditionalFormatting>
  <conditionalFormatting sqref="F29:F30">
    <cfRule type="expression" dxfId="246" priority="58" stopIfTrue="1">
      <formula>OR(WPArt=3,WPArt=4,WPArt=5,WPArt=6)</formula>
    </cfRule>
    <cfRule type="expression" dxfId="245" priority="59" stopIfTrue="1">
      <formula>$BH$57=2</formula>
    </cfRule>
  </conditionalFormatting>
  <conditionalFormatting sqref="F40">
    <cfRule type="expression" dxfId="244" priority="209" stopIfTrue="1">
      <formula>BH57&lt;3</formula>
    </cfRule>
  </conditionalFormatting>
  <conditionalFormatting sqref="F49 D49:D51 B49:C53 E49:E53 G49:G53 D53 F53 K64 K66">
    <cfRule type="expression" dxfId="243" priority="15" stopIfTrue="1">
      <formula>$N$57&lt;2</formula>
    </cfRule>
  </conditionalFormatting>
  <conditionalFormatting sqref="F50">
    <cfRule type="expression" dxfId="242" priority="197" stopIfTrue="1">
      <formula>$N$57=1</formula>
    </cfRule>
    <cfRule type="expression" dxfId="241" priority="196" stopIfTrue="1">
      <formula>$N$57&gt;1</formula>
    </cfRule>
  </conditionalFormatting>
  <conditionalFormatting sqref="F51">
    <cfRule type="expression" dxfId="240" priority="272" stopIfTrue="1">
      <formula>N57=1</formula>
    </cfRule>
  </conditionalFormatting>
  <conditionalFormatting sqref="F52">
    <cfRule type="expression" dxfId="239" priority="276" stopIfTrue="1">
      <formula>AND($N$57&gt;1,$N$57&lt;4)</formula>
    </cfRule>
    <cfRule type="expression" dxfId="238" priority="275" stopIfTrue="1">
      <formula>OR($O$65,$N$57&lt;2)</formula>
    </cfRule>
  </conditionalFormatting>
  <conditionalFormatting sqref="F18:G19">
    <cfRule type="expression" dxfId="237" priority="198" stopIfTrue="1">
      <formula>SpezWP</formula>
    </cfRule>
  </conditionalFormatting>
  <conditionalFormatting sqref="F43:G43">
    <cfRule type="expression" dxfId="236" priority="206" stopIfTrue="1">
      <formula>OR(WW=FALSE,$J$43&lt;4)</formula>
    </cfRule>
  </conditionalFormatting>
  <conditionalFormatting sqref="F20:H20">
    <cfRule type="expression" dxfId="235" priority="294" stopIfTrue="1">
      <formula>AND($H$8&gt;0,OR($F$20="",$F$20=" "))</formula>
    </cfRule>
  </conditionalFormatting>
  <conditionalFormatting sqref="F21:H21">
    <cfRule type="expression" dxfId="234" priority="287" stopIfTrue="1">
      <formula>AND($F$20&lt;&gt;"",$F$21="")</formula>
    </cfRule>
  </conditionalFormatting>
  <conditionalFormatting sqref="F22:H22">
    <cfRule type="expression" dxfId="233" priority="286" stopIfTrue="1">
      <formula>$F$22=""</formula>
    </cfRule>
    <cfRule type="expression" dxfId="232" priority="285" stopIfTrue="1">
      <formula>OR($J$21=3,$J$21=1,$J$20=18)</formula>
    </cfRule>
  </conditionalFormatting>
  <conditionalFormatting sqref="F23:H23">
    <cfRule type="expression" dxfId="231" priority="293" stopIfTrue="1">
      <formula>AND($F$21&lt;&gt;"",OR($F$23="",$F$23=" "))</formula>
    </cfRule>
  </conditionalFormatting>
  <conditionalFormatting sqref="F24:H24">
    <cfRule type="expression" dxfId="230" priority="289" stopIfTrue="1">
      <formula>AND($B$24&lt;&gt;"",$F$24="")</formula>
    </cfRule>
    <cfRule type="expression" dxfId="229" priority="288" stopIfTrue="1">
      <formula>$B$24=""</formula>
    </cfRule>
  </conditionalFormatting>
  <conditionalFormatting sqref="F32:H32">
    <cfRule type="expression" dxfId="228" priority="76" stopIfTrue="1">
      <formula>OR(WPArt=2,WPArt=6,WPArt=4)</formula>
    </cfRule>
  </conditionalFormatting>
  <conditionalFormatting sqref="G18:G19">
    <cfRule type="expression" dxfId="227" priority="199" stopIfTrue="1">
      <formula>$J$18=TRUE</formula>
    </cfRule>
  </conditionalFormatting>
  <conditionalFormatting sqref="G27:G28">
    <cfRule type="expression" dxfId="226" priority="123" stopIfTrue="1">
      <formula>$BH$57=3</formula>
    </cfRule>
    <cfRule type="expression" dxfId="225" priority="122" stopIfTrue="1">
      <formula>OR(WPArt=3,WPArt=4,WPArt=5,WPArt=6,WPDatenbank,SpezWP)</formula>
    </cfRule>
  </conditionalFormatting>
  <conditionalFormatting sqref="G33:H33 W49">
    <cfRule type="expression" dxfId="224" priority="73" stopIfTrue="1">
      <formula>OR(WPArt=2,WPArt=6)</formula>
    </cfRule>
  </conditionalFormatting>
  <conditionalFormatting sqref="H25">
    <cfRule type="expression" dxfId="223" priority="280" stopIfTrue="1">
      <formula>$H$6=""</formula>
    </cfRule>
  </conditionalFormatting>
  <conditionalFormatting sqref="H26">
    <cfRule type="expression" dxfId="222" priority="281" stopIfTrue="1">
      <formula>$H$6=""</formula>
    </cfRule>
  </conditionalFormatting>
  <conditionalFormatting sqref="H27:H28">
    <cfRule type="expression" dxfId="221" priority="124" stopIfTrue="1">
      <formula>OR($BH$57=3,WPDatenbank,SpezWP)</formula>
    </cfRule>
  </conditionalFormatting>
  <conditionalFormatting sqref="H29:H30">
    <cfRule type="expression" dxfId="220" priority="132" stopIfTrue="1">
      <formula>OR($BH$57=2,WPDatenbank,SpezWP)</formula>
    </cfRule>
  </conditionalFormatting>
  <conditionalFormatting sqref="H33">
    <cfRule type="expression" dxfId="219" priority="452" stopIfTrue="1">
      <formula>OR(WPArt=3,WPArt=4)</formula>
    </cfRule>
  </conditionalFormatting>
  <conditionalFormatting sqref="H34">
    <cfRule type="expression" dxfId="218" priority="3" stopIfTrue="1">
      <formula>Eingabe1&gt;7</formula>
    </cfRule>
  </conditionalFormatting>
  <conditionalFormatting sqref="H38">
    <cfRule type="expression" dxfId="217" priority="26" stopIfTrue="1">
      <formula>AND(Heizspeicher,Heizung)</formula>
    </cfRule>
  </conditionalFormatting>
  <conditionalFormatting sqref="H39">
    <cfRule type="expression" dxfId="216" priority="366" stopIfTrue="1">
      <formula>J23=4</formula>
    </cfRule>
  </conditionalFormatting>
  <conditionalFormatting sqref="H41">
    <cfRule type="expression" dxfId="215" priority="201" stopIfTrue="1">
      <formula>WW</formula>
    </cfRule>
    <cfRule type="expression" dxfId="214" priority="202" stopIfTrue="1">
      <formula>WW=FALSE</formula>
    </cfRule>
  </conditionalFormatting>
  <conditionalFormatting sqref="H42">
    <cfRule type="expression" dxfId="213" priority="448" stopIfTrue="1">
      <formula>OR($BG$83=2,$BG$83&gt;4,WW=FALSE)</formula>
    </cfRule>
    <cfRule type="expression" dxfId="212" priority="449" stopIfTrue="1">
      <formula>AND(WW,OR($H$41&lt;=$H$42,$H$42=""))</formula>
    </cfRule>
    <cfRule type="expression" dxfId="211" priority="450" stopIfTrue="1">
      <formula>$H$41&gt;$H$42</formula>
    </cfRule>
  </conditionalFormatting>
  <conditionalFormatting sqref="H43">
    <cfRule type="expression" dxfId="210" priority="207" stopIfTrue="1">
      <formula>AND(WW,$J$43&gt;3)</formula>
    </cfRule>
    <cfRule type="expression" dxfId="209" priority="208" stopIfTrue="1">
      <formula>OR(WW=FALSE,$J$43&lt;4)</formula>
    </cfRule>
  </conditionalFormatting>
  <conditionalFormatting sqref="H44">
    <cfRule type="expression" dxfId="208" priority="4" stopIfTrue="1">
      <formula>AD139=4</formula>
    </cfRule>
  </conditionalFormatting>
  <conditionalFormatting sqref="H45">
    <cfRule type="expression" dxfId="207" priority="5" stopIfTrue="1">
      <formula>AD139=4</formula>
    </cfRule>
  </conditionalFormatting>
  <conditionalFormatting sqref="H46">
    <cfRule type="expression" dxfId="206" priority="6" stopIfTrue="1">
      <formula>AD139=4</formula>
    </cfRule>
  </conditionalFormatting>
  <conditionalFormatting sqref="H47 N57">
    <cfRule type="expression" dxfId="205" priority="7" stopIfTrue="1">
      <formula>AD139=4</formula>
    </cfRule>
  </conditionalFormatting>
  <conditionalFormatting sqref="H49">
    <cfRule type="expression" dxfId="204" priority="189" stopIfTrue="1">
      <formula>$N$57&gt;1</formula>
    </cfRule>
    <cfRule type="expression" dxfId="203" priority="190" stopIfTrue="1">
      <formula>$N$57=1</formula>
    </cfRule>
  </conditionalFormatting>
  <conditionalFormatting sqref="H50:H51">
    <cfRule type="expression" dxfId="202" priority="191" stopIfTrue="1">
      <formula>$N$57&gt;1</formula>
    </cfRule>
    <cfRule type="expression" dxfId="201" priority="192" stopIfTrue="1">
      <formula>$N$57=1</formula>
    </cfRule>
  </conditionalFormatting>
  <conditionalFormatting sqref="H52 J52">
    <cfRule type="expression" dxfId="200" priority="283" stopIfTrue="1">
      <formula>$N$57=1</formula>
    </cfRule>
    <cfRule type="expression" dxfId="199" priority="282" stopIfTrue="1">
      <formula>$N$57&gt;1</formula>
    </cfRule>
  </conditionalFormatting>
  <conditionalFormatting sqref="H53">
    <cfRule type="expression" dxfId="198" priority="18" stopIfTrue="1">
      <formula>$N$57&lt;2</formula>
    </cfRule>
    <cfRule type="expression" dxfId="197" priority="17" stopIfTrue="1">
      <formula>$N$57=1</formula>
    </cfRule>
  </conditionalFormatting>
  <conditionalFormatting sqref="H54">
    <cfRule type="expression" dxfId="196" priority="19" stopIfTrue="1">
      <formula>$N$57&lt;3</formula>
    </cfRule>
  </conditionalFormatting>
  <conditionalFormatting sqref="M26 H35:H37">
    <cfRule type="expression" dxfId="195" priority="25" stopIfTrue="1">
      <formula>Heizung</formula>
    </cfRule>
  </conditionalFormatting>
  <dataValidations count="13">
    <dataValidation type="list" allowBlank="1" showInputMessage="1" showErrorMessage="1" sqref="G18" xr:uid="{00000000-0002-0000-0000-000000000000}">
      <formula1>L_Hersteller</formula1>
    </dataValidation>
    <dataValidation type="list" allowBlank="1" showInputMessage="1" showErrorMessage="1" sqref="G19" xr:uid="{00000000-0002-0000-0000-000001000000}">
      <formula1>L_Typ</formula1>
    </dataValidation>
    <dataValidation type="list" allowBlank="1" showInputMessage="1" showErrorMessage="1" sqref="H6" xr:uid="{00000000-0002-0000-0000-000002000000}">
      <formula1>$K$72:$K$104</formula1>
    </dataValidation>
    <dataValidation type="list" allowBlank="1" showInputMessage="1" showErrorMessage="1" sqref="H7" xr:uid="{00000000-0002-0000-0000-000003000000}">
      <formula1>$K$5:$K$17</formula1>
    </dataValidation>
    <dataValidation type="list" allowBlank="1" showInputMessage="1" showErrorMessage="1" sqref="F40" xr:uid="{00000000-0002-0000-0000-000004000000}">
      <formula1>$BG$77:$BG$82</formula1>
    </dataValidation>
    <dataValidation type="list" allowBlank="1" showInputMessage="1" showErrorMessage="1" sqref="E18" xr:uid="{00000000-0002-0000-0000-000005000000}">
      <formula1>$P$49:$P$52</formula1>
    </dataValidation>
    <dataValidation type="list" allowBlank="1" showInputMessage="1" showErrorMessage="1" sqref="E43" xr:uid="{00000000-0002-0000-0000-000006000000}">
      <formula1>$R$49:$R$52</formula1>
    </dataValidation>
    <dataValidation type="list" allowBlank="1" showInputMessage="1" showErrorMessage="1" sqref="F48:H48" xr:uid="{00000000-0002-0000-0000-000007000000}">
      <formula1>$M$58:$M$64</formula1>
    </dataValidation>
    <dataValidation type="list" allowBlank="1" showInputMessage="1" showErrorMessage="1" sqref="F20" xr:uid="{00000000-0002-0000-0000-000008000000}">
      <formula1>$T$133:$T$153</formula1>
    </dataValidation>
    <dataValidation type="list" allowBlank="1" showInputMessage="1" showErrorMessage="1" sqref="F21:H21" xr:uid="{00000000-0002-0000-0000-000009000000}">
      <formula1>$BG$59:$BG$63</formula1>
    </dataValidation>
    <dataValidation type="list" allowBlank="1" showInputMessage="1" showErrorMessage="1" sqref="F22:H22" xr:uid="{00000000-0002-0000-0000-00000A000000}">
      <formula1>$AH$133:$AH$139</formula1>
    </dataValidation>
    <dataValidation type="list" allowBlank="1" showInputMessage="1" showErrorMessage="1" sqref="F23:H23" xr:uid="{00000000-0002-0000-0000-00000B000000}">
      <formula1>$AD$133:$AD$136</formula1>
    </dataValidation>
    <dataValidation type="list" allowBlank="1" showInputMessage="1" showErrorMessage="1" sqref="F24:H24" xr:uid="{00000000-0002-0000-0000-00000C000000}">
      <formula1>$BG$68:$BG$72</formula1>
    </dataValidation>
  </dataValidations>
  <pageMargins left="0.75" right="0.56999999999999995" top="0.4" bottom="0.27" header="0.31496062992125984" footer="0.33"/>
  <pageSetup paperSize="9" scale="91" orientation="portrait" r:id="rId1"/>
  <headerFooter alignWithMargins="0"/>
  <rowBreaks count="3" manualBreakCount="3">
    <brk id="60" max="5" man="1"/>
    <brk id="65" max="5" man="1"/>
    <brk id="66" max="7"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B1:K58"/>
  <sheetViews>
    <sheetView workbookViewId="0">
      <selection activeCell="H19" sqref="H19"/>
    </sheetView>
  </sheetViews>
  <sheetFormatPr baseColWidth="10" defaultColWidth="11.5703125" defaultRowHeight="12.75" x14ac:dyDescent="0.2"/>
  <cols>
    <col min="1" max="1" width="1.7109375" style="251" customWidth="1"/>
    <col min="2" max="2" width="11.5703125" style="251"/>
    <col min="3" max="3" width="8" style="251" customWidth="1"/>
    <col min="4" max="4" width="11.5703125" style="251"/>
    <col min="5" max="6" width="2.5703125" style="251" customWidth="1"/>
    <col min="7" max="8" width="11.5703125" style="251"/>
    <col min="9" max="9" width="9.7109375" style="251" customWidth="1"/>
    <col min="10" max="16384" width="11.5703125" style="251"/>
  </cols>
  <sheetData>
    <row r="1" spans="2:11" ht="55.15" customHeight="1" x14ac:dyDescent="0.25">
      <c r="B1" s="1334" t="s">
        <v>2979</v>
      </c>
      <c r="C1" s="1334"/>
      <c r="D1" s="1334"/>
      <c r="E1" s="1334"/>
      <c r="F1" s="1334"/>
    </row>
    <row r="2" spans="2:11" ht="16.899999999999999" customHeight="1" x14ac:dyDescent="0.2"/>
    <row r="3" spans="2:11" ht="16.899999999999999" customHeight="1" x14ac:dyDescent="0.2"/>
    <row r="4" spans="2:11" ht="16.899999999999999" customHeight="1" x14ac:dyDescent="0.2">
      <c r="B4" s="455" t="s">
        <v>2980</v>
      </c>
      <c r="C4" s="924"/>
      <c r="D4" s="924"/>
      <c r="E4" s="924"/>
      <c r="F4" s="924"/>
      <c r="G4" s="924"/>
      <c r="H4" s="924"/>
      <c r="I4" s="924"/>
      <c r="J4" s="924"/>
      <c r="K4" s="925"/>
    </row>
    <row r="5" spans="2:11" ht="16.899999999999999" customHeight="1" x14ac:dyDescent="0.2">
      <c r="B5" s="926"/>
      <c r="C5" s="927"/>
      <c r="D5" s="927"/>
      <c r="E5" s="927"/>
      <c r="F5" s="927"/>
      <c r="G5" s="927"/>
      <c r="H5" s="927"/>
      <c r="I5" s="927"/>
      <c r="J5" s="927"/>
      <c r="K5" s="928"/>
    </row>
    <row r="6" spans="2:11" ht="16.899999999999999" customHeight="1" x14ac:dyDescent="0.2">
      <c r="B6" s="335" t="s">
        <v>2981</v>
      </c>
      <c r="C6" s="553">
        <v>0.1192</v>
      </c>
      <c r="D6" s="251" t="s">
        <v>2982</v>
      </c>
      <c r="G6" s="929" t="s">
        <v>2983</v>
      </c>
      <c r="H6" s="930">
        <v>0.91666666666666663</v>
      </c>
      <c r="I6" s="929" t="s">
        <v>2984</v>
      </c>
      <c r="J6" s="930">
        <v>0.25</v>
      </c>
      <c r="K6" s="931" t="s">
        <v>2985</v>
      </c>
    </row>
    <row r="7" spans="2:11" ht="16.899999999999999" customHeight="1" x14ac:dyDescent="0.2">
      <c r="B7" s="335" t="s">
        <v>2986</v>
      </c>
      <c r="C7" s="553">
        <v>0.1192</v>
      </c>
      <c r="D7" s="251" t="s">
        <v>2982</v>
      </c>
      <c r="G7" s="929" t="s">
        <v>2983</v>
      </c>
      <c r="H7" s="930">
        <v>0.25</v>
      </c>
      <c r="I7" s="929" t="s">
        <v>2984</v>
      </c>
      <c r="J7" s="930">
        <v>0.91666666666666663</v>
      </c>
      <c r="K7" s="931" t="s">
        <v>2985</v>
      </c>
    </row>
    <row r="8" spans="2:11" ht="16.899999999999999" customHeight="1" x14ac:dyDescent="0.2">
      <c r="B8" s="335"/>
      <c r="I8" s="929"/>
      <c r="K8" s="664"/>
    </row>
    <row r="9" spans="2:11" ht="16.899999999999999" customHeight="1" x14ac:dyDescent="0.2">
      <c r="B9" s="335" t="s">
        <v>2987</v>
      </c>
      <c r="C9" s="1018">
        <v>0.1192</v>
      </c>
      <c r="D9" s="251" t="s">
        <v>2982</v>
      </c>
      <c r="K9" s="664"/>
    </row>
    <row r="10" spans="2:11" ht="16.899999999999999" customHeight="1" x14ac:dyDescent="0.2">
      <c r="B10" s="315"/>
      <c r="C10" s="282"/>
      <c r="D10" s="282"/>
      <c r="E10" s="282"/>
      <c r="F10" s="282"/>
      <c r="G10" s="282"/>
      <c r="H10" s="282"/>
      <c r="I10" s="282"/>
      <c r="J10" s="282"/>
      <c r="K10" s="283"/>
    </row>
    <row r="11" spans="2:11" ht="16.899999999999999" customHeight="1" x14ac:dyDescent="0.2"/>
    <row r="12" spans="2:11" ht="16.899999999999999" customHeight="1" x14ac:dyDescent="0.2">
      <c r="B12" s="932" t="s">
        <v>2988</v>
      </c>
      <c r="C12" s="933"/>
      <c r="D12" s="933"/>
      <c r="E12" s="933"/>
      <c r="F12" s="933"/>
      <c r="G12" s="933"/>
      <c r="H12" s="933"/>
      <c r="I12" s="933"/>
      <c r="J12" s="933"/>
      <c r="K12" s="934"/>
    </row>
    <row r="13" spans="2:11" ht="16.899999999999999" customHeight="1" x14ac:dyDescent="0.2">
      <c r="B13" s="926"/>
      <c r="C13" s="927"/>
      <c r="D13" s="927"/>
      <c r="E13" s="927"/>
      <c r="F13" s="927"/>
      <c r="G13" s="927"/>
      <c r="H13" s="927"/>
      <c r="I13" s="927"/>
      <c r="J13" s="927"/>
      <c r="K13" s="928"/>
    </row>
    <row r="14" spans="2:11" ht="16.899999999999999" customHeight="1" x14ac:dyDescent="0.2">
      <c r="B14" s="335" t="s">
        <v>2989</v>
      </c>
      <c r="C14" s="935">
        <v>7.0000000000000007E-2</v>
      </c>
      <c r="D14" s="251" t="s">
        <v>2982</v>
      </c>
      <c r="G14" s="936"/>
      <c r="H14" s="1335" t="s">
        <v>2990</v>
      </c>
      <c r="I14" s="1335"/>
      <c r="J14" s="1335"/>
      <c r="K14" s="664"/>
    </row>
    <row r="15" spans="2:11" ht="16.899999999999999" customHeight="1" x14ac:dyDescent="0.2">
      <c r="B15" s="315"/>
      <c r="C15" s="937"/>
      <c r="D15" s="282"/>
      <c r="E15" s="282"/>
      <c r="F15" s="282"/>
      <c r="G15" s="282"/>
      <c r="H15" s="282"/>
      <c r="I15" s="282"/>
      <c r="J15" s="282"/>
      <c r="K15" s="283"/>
    </row>
    <row r="16" spans="2:11" ht="16.899999999999999" customHeight="1" x14ac:dyDescent="0.2"/>
    <row r="17" ht="16.899999999999999" customHeight="1" x14ac:dyDescent="0.2"/>
    <row r="18" ht="16.899999999999999" customHeight="1" x14ac:dyDescent="0.2"/>
    <row r="19" ht="16.899999999999999" customHeight="1" x14ac:dyDescent="0.2"/>
    <row r="20" ht="16.899999999999999" customHeight="1" x14ac:dyDescent="0.2"/>
    <row r="21" ht="16.899999999999999" customHeight="1" x14ac:dyDescent="0.2"/>
    <row r="22" ht="16.899999999999999" customHeight="1" x14ac:dyDescent="0.2"/>
    <row r="23" ht="16.899999999999999" customHeight="1" x14ac:dyDescent="0.2"/>
    <row r="24" ht="16.899999999999999" customHeight="1" x14ac:dyDescent="0.2"/>
    <row r="25" ht="16.899999999999999" customHeight="1" x14ac:dyDescent="0.2"/>
    <row r="26" ht="16.899999999999999" customHeight="1" x14ac:dyDescent="0.2"/>
    <row r="27" ht="16.899999999999999" customHeight="1" x14ac:dyDescent="0.2"/>
    <row r="28" ht="16.899999999999999" customHeight="1" x14ac:dyDescent="0.2"/>
    <row r="29" ht="16.899999999999999" customHeight="1" x14ac:dyDescent="0.2"/>
    <row r="30" ht="16.899999999999999" customHeight="1" x14ac:dyDescent="0.2"/>
    <row r="31" ht="16.899999999999999" customHeight="1" x14ac:dyDescent="0.2"/>
    <row r="32" ht="16.899999999999999" customHeight="1" x14ac:dyDescent="0.2"/>
    <row r="33" ht="16.899999999999999" customHeight="1" x14ac:dyDescent="0.2"/>
    <row r="34" ht="16.899999999999999" customHeight="1" x14ac:dyDescent="0.2"/>
    <row r="35" ht="16.899999999999999" customHeight="1" x14ac:dyDescent="0.2"/>
    <row r="36" ht="16.899999999999999" customHeight="1" x14ac:dyDescent="0.2"/>
    <row r="37" ht="16.899999999999999" customHeight="1" x14ac:dyDescent="0.2"/>
    <row r="38" ht="16.899999999999999" customHeight="1" x14ac:dyDescent="0.2"/>
    <row r="39" ht="16.899999999999999" customHeight="1" x14ac:dyDescent="0.2"/>
    <row r="40" ht="16.899999999999999" customHeight="1" x14ac:dyDescent="0.2"/>
    <row r="41" ht="16.899999999999999" customHeight="1" x14ac:dyDescent="0.2"/>
    <row r="42" ht="16.899999999999999" customHeight="1" x14ac:dyDescent="0.2"/>
    <row r="43" ht="16.899999999999999" customHeight="1" x14ac:dyDescent="0.2"/>
    <row r="44" ht="16.899999999999999" customHeight="1" x14ac:dyDescent="0.2"/>
    <row r="45" ht="16.899999999999999" customHeight="1" x14ac:dyDescent="0.2"/>
    <row r="46" ht="16.899999999999999" customHeight="1" x14ac:dyDescent="0.2"/>
    <row r="47" ht="16.899999999999999" customHeight="1" x14ac:dyDescent="0.2"/>
    <row r="48" ht="16.899999999999999" customHeight="1" x14ac:dyDescent="0.2"/>
    <row r="49" ht="16.899999999999999" customHeight="1" x14ac:dyDescent="0.2"/>
    <row r="50" ht="16.899999999999999" customHeight="1" x14ac:dyDescent="0.2"/>
    <row r="51" ht="16.899999999999999" customHeight="1" x14ac:dyDescent="0.2"/>
    <row r="52" ht="16.899999999999999" customHeight="1" x14ac:dyDescent="0.2"/>
    <row r="53" ht="16.899999999999999" customHeight="1" x14ac:dyDescent="0.2"/>
    <row r="54" ht="16.899999999999999" customHeight="1" x14ac:dyDescent="0.2"/>
    <row r="55" ht="16.899999999999999" customHeight="1" x14ac:dyDescent="0.2"/>
    <row r="56" ht="16.899999999999999" customHeight="1" x14ac:dyDescent="0.2"/>
    <row r="57" ht="16.899999999999999" customHeight="1" x14ac:dyDescent="0.2"/>
    <row r="58" ht="16.899999999999999" customHeight="1" x14ac:dyDescent="0.2"/>
  </sheetData>
  <sheetProtection password="CABA" sheet="1" objects="1" scenarios="1"/>
  <mergeCells count="2">
    <mergeCell ref="B1:F1"/>
    <mergeCell ref="H14:J14"/>
  </mergeCells>
  <phoneticPr fontId="0" type="noConversion"/>
  <pageMargins left="0.78740157499999996" right="0.78740157499999996" top="0.984251969" bottom="0.984251969" header="0.4921259845" footer="0.4921259845"/>
  <headerFooter alignWithMargins="0"/>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pageSetUpPr fitToPage="1"/>
  </sheetPr>
  <dimension ref="A1:I36"/>
  <sheetViews>
    <sheetView workbookViewId="0"/>
  </sheetViews>
  <sheetFormatPr baseColWidth="10" defaultRowHeight="12.75" x14ac:dyDescent="0.2"/>
  <cols>
    <col min="1" max="1" width="36.7109375" customWidth="1"/>
  </cols>
  <sheetData>
    <row r="1" spans="1:9" ht="22.5" x14ac:dyDescent="0.2">
      <c r="A1" s="938" t="s">
        <v>2991</v>
      </c>
      <c r="B1" s="939"/>
      <c r="C1" s="939"/>
      <c r="D1" s="939"/>
      <c r="E1" s="939"/>
      <c r="F1" s="939"/>
      <c r="G1" s="939"/>
      <c r="H1" s="939"/>
      <c r="I1" s="940"/>
    </row>
    <row r="2" spans="1:9" ht="15" x14ac:dyDescent="0.2">
      <c r="A2" s="941"/>
      <c r="B2" s="942"/>
      <c r="C2" s="942"/>
      <c r="D2" s="942"/>
      <c r="E2" s="942"/>
      <c r="F2" s="942"/>
      <c r="G2" s="942"/>
      <c r="H2" s="942"/>
      <c r="I2" s="943"/>
    </row>
    <row r="3" spans="1:9" ht="28.5" customHeight="1" x14ac:dyDescent="0.2">
      <c r="A3" s="1336" t="s">
        <v>1659</v>
      </c>
      <c r="B3" s="1337"/>
      <c r="C3" s="1337"/>
      <c r="D3" s="1337"/>
      <c r="E3" s="1337"/>
      <c r="F3" s="1337"/>
      <c r="G3" s="1337"/>
      <c r="H3" s="1337"/>
      <c r="I3" s="1338"/>
    </row>
    <row r="4" spans="1:9" ht="15" x14ac:dyDescent="0.2">
      <c r="A4" s="947"/>
      <c r="B4" s="942"/>
      <c r="C4" s="942"/>
      <c r="D4" s="942"/>
      <c r="E4" s="942"/>
      <c r="F4" s="942"/>
      <c r="G4" s="942"/>
      <c r="H4" s="942"/>
      <c r="I4" s="943"/>
    </row>
    <row r="5" spans="1:9" ht="15" x14ac:dyDescent="0.2">
      <c r="A5" s="948" t="s">
        <v>1660</v>
      </c>
      <c r="B5" s="942"/>
      <c r="C5" s="942"/>
      <c r="D5" s="942"/>
      <c r="E5" s="942"/>
      <c r="F5" s="942"/>
      <c r="G5" s="942"/>
      <c r="H5" s="942"/>
      <c r="I5" s="943"/>
    </row>
    <row r="6" spans="1:9" ht="15" x14ac:dyDescent="0.2">
      <c r="A6" s="941"/>
      <c r="B6" s="942"/>
      <c r="C6" s="942"/>
      <c r="D6" s="942"/>
      <c r="E6" s="942"/>
      <c r="F6" s="942"/>
      <c r="G6" s="942"/>
      <c r="H6" s="942"/>
      <c r="I6" s="943"/>
    </row>
    <row r="7" spans="1:9" ht="15" x14ac:dyDescent="0.2">
      <c r="A7" s="949" t="s">
        <v>1661</v>
      </c>
      <c r="B7" s="942"/>
      <c r="C7" s="942"/>
      <c r="D7" s="942"/>
      <c r="E7" s="942"/>
      <c r="F7" s="942"/>
      <c r="G7" s="942"/>
      <c r="H7" s="942"/>
      <c r="I7" s="943"/>
    </row>
    <row r="8" spans="1:9" ht="51" customHeight="1" x14ac:dyDescent="0.2">
      <c r="A8" s="1336" t="s">
        <v>1662</v>
      </c>
      <c r="B8" s="1337"/>
      <c r="C8" s="1337"/>
      <c r="D8" s="1337"/>
      <c r="E8" s="1337"/>
      <c r="F8" s="1337"/>
      <c r="G8" s="1337"/>
      <c r="H8" s="1337"/>
      <c r="I8" s="1338"/>
    </row>
    <row r="9" spans="1:9" ht="15" x14ac:dyDescent="0.2">
      <c r="A9" s="941"/>
      <c r="B9" s="942"/>
      <c r="C9" s="942"/>
      <c r="D9" s="942"/>
      <c r="E9" s="942"/>
      <c r="F9" s="942"/>
      <c r="G9" s="942"/>
      <c r="H9" s="942"/>
      <c r="I9" s="943"/>
    </row>
    <row r="10" spans="1:9" ht="15" x14ac:dyDescent="0.2">
      <c r="A10" s="949" t="s">
        <v>1663</v>
      </c>
      <c r="B10" s="942"/>
      <c r="C10" s="942"/>
      <c r="D10" s="942"/>
      <c r="E10" s="942"/>
      <c r="F10" s="942"/>
      <c r="G10" s="942"/>
      <c r="H10" s="942"/>
      <c r="I10" s="943"/>
    </row>
    <row r="11" spans="1:9" ht="79.5" customHeight="1" x14ac:dyDescent="0.2">
      <c r="A11" s="1336" t="s">
        <v>405</v>
      </c>
      <c r="B11" s="1337"/>
      <c r="C11" s="1337"/>
      <c r="D11" s="1337"/>
      <c r="E11" s="1337"/>
      <c r="F11" s="1337"/>
      <c r="G11" s="1337"/>
      <c r="H11" s="1337"/>
      <c r="I11" s="1338"/>
    </row>
    <row r="12" spans="1:9" ht="15" x14ac:dyDescent="0.2">
      <c r="A12" s="941"/>
      <c r="B12" s="942"/>
      <c r="C12" s="942"/>
      <c r="D12" s="942"/>
      <c r="E12" s="942"/>
      <c r="F12" s="942"/>
      <c r="G12" s="942"/>
      <c r="H12" s="942"/>
      <c r="I12" s="943"/>
    </row>
    <row r="13" spans="1:9" ht="15" x14ac:dyDescent="0.2">
      <c r="A13" s="949" t="s">
        <v>406</v>
      </c>
      <c r="B13" s="942"/>
      <c r="C13" s="942"/>
      <c r="D13" s="942"/>
      <c r="E13" s="942"/>
      <c r="F13" s="942"/>
      <c r="G13" s="942"/>
      <c r="H13" s="942"/>
      <c r="I13" s="943"/>
    </row>
    <row r="14" spans="1:9" ht="26.25" customHeight="1" x14ac:dyDescent="0.2">
      <c r="A14" s="1339" t="s">
        <v>1176</v>
      </c>
      <c r="B14" s="1340"/>
      <c r="C14" s="1340"/>
      <c r="D14" s="1340"/>
      <c r="E14" s="1340"/>
      <c r="F14" s="1340"/>
      <c r="G14" s="1340"/>
      <c r="H14" s="1340"/>
      <c r="I14" s="1341"/>
    </row>
    <row r="15" spans="1:9" ht="13.5" thickBot="1" x14ac:dyDescent="0.25">
      <c r="A15" s="950"/>
      <c r="I15" s="951"/>
    </row>
    <row r="16" spans="1:9" ht="33.75" customHeight="1" thickBot="1" x14ac:dyDescent="0.25">
      <c r="A16" s="952" t="s">
        <v>1177</v>
      </c>
      <c r="B16" s="953" t="s">
        <v>1178</v>
      </c>
      <c r="C16" s="953" t="s">
        <v>1179</v>
      </c>
      <c r="D16" s="953" t="s">
        <v>1180</v>
      </c>
      <c r="E16" s="953" t="s">
        <v>1181</v>
      </c>
      <c r="I16" s="951"/>
    </row>
    <row r="17" spans="1:9" ht="33.75" customHeight="1" thickBot="1" x14ac:dyDescent="0.25">
      <c r="A17" s="954" t="s">
        <v>1182</v>
      </c>
      <c r="B17" s="955">
        <v>32</v>
      </c>
      <c r="C17" s="955">
        <v>35</v>
      </c>
      <c r="D17" s="955">
        <v>40</v>
      </c>
      <c r="E17" s="955">
        <v>50</v>
      </c>
      <c r="I17" s="951"/>
    </row>
    <row r="18" spans="1:9" ht="33.75" customHeight="1" thickBot="1" x14ac:dyDescent="0.25">
      <c r="A18" s="954" t="s">
        <v>1183</v>
      </c>
      <c r="B18" s="955">
        <v>27</v>
      </c>
      <c r="C18" s="955">
        <v>30</v>
      </c>
      <c r="D18" s="955">
        <v>35</v>
      </c>
      <c r="E18" s="955">
        <v>40</v>
      </c>
      <c r="I18" s="951"/>
    </row>
    <row r="19" spans="1:9" ht="10.5" customHeight="1" x14ac:dyDescent="0.2">
      <c r="A19" s="956"/>
      <c r="I19" s="951"/>
    </row>
    <row r="20" spans="1:9" ht="13.5" x14ac:dyDescent="0.2">
      <c r="A20" s="957" t="s">
        <v>1184</v>
      </c>
      <c r="B20" s="958"/>
      <c r="C20" s="958"/>
      <c r="D20" s="958"/>
      <c r="E20" s="958"/>
      <c r="F20" s="958"/>
      <c r="G20" s="958"/>
      <c r="H20" s="958"/>
      <c r="I20" s="959"/>
    </row>
    <row r="21" spans="1:9" ht="5.25" customHeight="1" x14ac:dyDescent="0.2">
      <c r="A21" s="941"/>
      <c r="B21" s="942"/>
      <c r="C21" s="942"/>
      <c r="D21" s="942"/>
      <c r="E21" s="942"/>
      <c r="F21" s="942"/>
      <c r="G21" s="942"/>
      <c r="H21" s="942"/>
      <c r="I21" s="943"/>
    </row>
    <row r="22" spans="1:9" ht="34.5" customHeight="1" x14ac:dyDescent="0.2">
      <c r="A22" s="1336" t="s">
        <v>1185</v>
      </c>
      <c r="B22" s="1337"/>
      <c r="C22" s="1337"/>
      <c r="D22" s="1337"/>
      <c r="E22" s="1337"/>
      <c r="F22" s="1337"/>
      <c r="G22" s="1337"/>
      <c r="H22" s="1337"/>
      <c r="I22" s="1338"/>
    </row>
    <row r="23" spans="1:9" ht="27.75" customHeight="1" x14ac:dyDescent="0.2">
      <c r="A23" s="1336" t="s">
        <v>1186</v>
      </c>
      <c r="B23" s="1337"/>
      <c r="C23" s="1337"/>
      <c r="D23" s="1337"/>
      <c r="E23" s="1337"/>
      <c r="F23" s="1337"/>
      <c r="G23" s="1337"/>
      <c r="H23" s="1337"/>
      <c r="I23" s="1338"/>
    </row>
    <row r="24" spans="1:9" ht="15" x14ac:dyDescent="0.2">
      <c r="A24" s="1336"/>
      <c r="B24" s="1337"/>
      <c r="C24" s="1337"/>
      <c r="D24" s="1337"/>
      <c r="E24" s="1337"/>
      <c r="F24" s="1337"/>
      <c r="G24" s="1337"/>
      <c r="H24" s="1337"/>
      <c r="I24" s="1338"/>
    </row>
    <row r="25" spans="1:9" ht="15" x14ac:dyDescent="0.2">
      <c r="A25" s="949" t="s">
        <v>1187</v>
      </c>
      <c r="B25" s="942"/>
      <c r="C25" s="942"/>
      <c r="D25" s="942"/>
      <c r="E25" s="942"/>
      <c r="F25" s="942"/>
      <c r="G25" s="942"/>
      <c r="H25" s="942"/>
      <c r="I25" s="943"/>
    </row>
    <row r="26" spans="1:9" ht="44.25" customHeight="1" x14ac:dyDescent="0.2">
      <c r="A26" s="1336" t="s">
        <v>409</v>
      </c>
      <c r="B26" s="1337"/>
      <c r="C26" s="1337"/>
      <c r="D26" s="1337"/>
      <c r="E26" s="1337"/>
      <c r="F26" s="1337"/>
      <c r="G26" s="1337"/>
      <c r="H26" s="1337"/>
      <c r="I26" s="1338"/>
    </row>
    <row r="27" spans="1:9" ht="15" x14ac:dyDescent="0.2">
      <c r="A27" s="941"/>
      <c r="B27" s="942"/>
      <c r="C27" s="942"/>
      <c r="D27" s="942"/>
      <c r="E27" s="942"/>
      <c r="F27" s="942"/>
      <c r="G27" s="942"/>
      <c r="H27" s="942"/>
      <c r="I27" s="943"/>
    </row>
    <row r="28" spans="1:9" ht="15" x14ac:dyDescent="0.2">
      <c r="A28" s="949" t="s">
        <v>2606</v>
      </c>
      <c r="B28" s="942"/>
      <c r="C28" s="942"/>
      <c r="D28" s="942"/>
      <c r="E28" s="942"/>
      <c r="F28" s="942"/>
      <c r="G28" s="942"/>
      <c r="H28" s="942"/>
      <c r="I28" s="943"/>
    </row>
    <row r="29" spans="1:9" x14ac:dyDescent="0.2">
      <c r="A29" s="1336" t="s">
        <v>2920</v>
      </c>
      <c r="B29" s="1337"/>
      <c r="C29" s="1337"/>
      <c r="D29" s="1337"/>
      <c r="E29" s="1337"/>
      <c r="F29" s="1337"/>
      <c r="G29" s="1337"/>
      <c r="H29" s="1337"/>
      <c r="I29" s="1338"/>
    </row>
    <row r="30" spans="1:9" x14ac:dyDescent="0.2">
      <c r="A30" s="1336" t="s">
        <v>2921</v>
      </c>
      <c r="B30" s="1337"/>
      <c r="C30" s="1337"/>
      <c r="D30" s="1337"/>
      <c r="E30" s="1337"/>
      <c r="F30" s="1337"/>
      <c r="G30" s="1337"/>
      <c r="H30" s="1337"/>
      <c r="I30" s="1338"/>
    </row>
    <row r="31" spans="1:9" ht="15" x14ac:dyDescent="0.2">
      <c r="A31" s="944"/>
      <c r="B31" s="945"/>
      <c r="C31" s="945"/>
      <c r="D31" s="945"/>
      <c r="E31" s="945"/>
      <c r="F31" s="945"/>
      <c r="G31" s="945"/>
      <c r="H31" s="945"/>
      <c r="I31" s="946"/>
    </row>
    <row r="32" spans="1:9" x14ac:dyDescent="0.2">
      <c r="A32" s="1342" t="s">
        <v>2922</v>
      </c>
      <c r="B32" s="1343"/>
      <c r="C32" s="1343"/>
      <c r="D32" s="1343"/>
      <c r="E32" s="1343"/>
      <c r="F32" s="1343"/>
      <c r="G32" s="1343"/>
      <c r="H32" s="1343"/>
      <c r="I32" s="1344"/>
    </row>
    <row r="33" spans="1:9" x14ac:dyDescent="0.2">
      <c r="A33" s="1336" t="s">
        <v>2923</v>
      </c>
      <c r="B33" s="1337"/>
      <c r="C33" s="1337"/>
      <c r="D33" s="1337"/>
      <c r="E33" s="1337"/>
      <c r="F33" s="1337"/>
      <c r="G33" s="1337"/>
      <c r="H33" s="1337"/>
      <c r="I33" s="1338"/>
    </row>
    <row r="34" spans="1:9" ht="24" customHeight="1" x14ac:dyDescent="0.2">
      <c r="A34" s="1336"/>
      <c r="B34" s="1337"/>
      <c r="C34" s="1337"/>
      <c r="D34" s="1337"/>
      <c r="E34" s="1337"/>
      <c r="F34" s="1337"/>
      <c r="G34" s="1337"/>
      <c r="H34" s="1337"/>
      <c r="I34" s="1338"/>
    </row>
    <row r="35" spans="1:9" ht="15" x14ac:dyDescent="0.2">
      <c r="A35" s="947" t="s">
        <v>2924</v>
      </c>
      <c r="B35" s="942"/>
      <c r="C35" s="942"/>
      <c r="D35" s="942"/>
      <c r="E35" s="942"/>
      <c r="F35" s="942"/>
      <c r="G35" s="942"/>
      <c r="H35" s="942"/>
      <c r="I35" s="943"/>
    </row>
    <row r="36" spans="1:9" ht="13.5" thickBot="1" x14ac:dyDescent="0.25">
      <c r="A36" s="960"/>
      <c r="B36" s="961"/>
      <c r="C36" s="961"/>
      <c r="D36" s="961"/>
      <c r="E36" s="961"/>
      <c r="F36" s="961"/>
      <c r="G36" s="961"/>
      <c r="H36" s="961"/>
      <c r="I36" s="962"/>
    </row>
  </sheetData>
  <sheetProtection password="CABA" sheet="1" objects="1" scenarios="1"/>
  <mergeCells count="13">
    <mergeCell ref="A24:I24"/>
    <mergeCell ref="A26:I26"/>
    <mergeCell ref="A34:I34"/>
    <mergeCell ref="A29:I29"/>
    <mergeCell ref="A30:I30"/>
    <mergeCell ref="A32:I32"/>
    <mergeCell ref="A33:I33"/>
    <mergeCell ref="A22:I22"/>
    <mergeCell ref="A23:I23"/>
    <mergeCell ref="A3:I3"/>
    <mergeCell ref="A8:I8"/>
    <mergeCell ref="A11:I11"/>
    <mergeCell ref="A14:I14"/>
  </mergeCells>
  <phoneticPr fontId="0" type="noConversion"/>
  <hyperlinks>
    <hyperlink ref="A29" r:id="rId1" display="mailto:Christian.Voegel@vorarlberg.at" xr:uid="{00000000-0004-0000-0900-000000000000}"/>
    <hyperlink ref="A30" r:id="rId2" display="mailto:wilhelm.schlader@energeinstitut.at" xr:uid="{00000000-0004-0000-0900-000001000000}"/>
  </hyperlinks>
  <pageMargins left="0.64" right="0.35" top="0.984251969" bottom="0.984251969" header="0.4921259845" footer="0.4921259845"/>
  <pageSetup paperSize="9" scale="72" orientation="portrait" horizontalDpi="0" verticalDpi="0"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
  <dimension ref="A1:DU416"/>
  <sheetViews>
    <sheetView workbookViewId="0"/>
  </sheetViews>
  <sheetFormatPr baseColWidth="10" defaultColWidth="11.5703125" defaultRowHeight="12.75" x14ac:dyDescent="0.2"/>
  <cols>
    <col min="1" max="1" width="22.7109375" bestFit="1" customWidth="1"/>
    <col min="2" max="125" width="4.42578125" customWidth="1"/>
  </cols>
  <sheetData>
    <row r="1" spans="1:67" x14ac:dyDescent="0.2">
      <c r="A1" t="s">
        <v>3172</v>
      </c>
      <c r="B1">
        <v>11</v>
      </c>
    </row>
    <row r="3" spans="1:67" x14ac:dyDescent="0.2">
      <c r="A3" s="380" t="s">
        <v>3173</v>
      </c>
      <c r="B3" s="381" t="s">
        <v>3174</v>
      </c>
    </row>
    <row r="4" spans="1:67" x14ac:dyDescent="0.2">
      <c r="A4" s="382" t="s">
        <v>2352</v>
      </c>
      <c r="B4" s="383"/>
    </row>
    <row r="5" spans="1:67" x14ac:dyDescent="0.2">
      <c r="A5" s="384" t="s">
        <v>3175</v>
      </c>
      <c r="B5" s="384">
        <v>-25</v>
      </c>
      <c r="C5" s="384">
        <v>-24</v>
      </c>
      <c r="D5" s="384">
        <v>-23</v>
      </c>
      <c r="E5" s="384">
        <v>-22</v>
      </c>
      <c r="F5" s="384">
        <v>-21</v>
      </c>
      <c r="G5" s="384">
        <v>-20</v>
      </c>
      <c r="H5" s="384">
        <v>-19</v>
      </c>
      <c r="I5" s="384">
        <v>-18</v>
      </c>
      <c r="J5" s="384">
        <v>-17</v>
      </c>
      <c r="K5" s="384">
        <v>-16</v>
      </c>
      <c r="L5" s="384">
        <v>-15</v>
      </c>
      <c r="M5" s="384">
        <v>-14</v>
      </c>
      <c r="N5" s="384">
        <v>-13</v>
      </c>
      <c r="O5" s="384">
        <v>-12</v>
      </c>
      <c r="P5" s="384">
        <v>-11</v>
      </c>
      <c r="Q5" s="384">
        <v>-10</v>
      </c>
      <c r="R5" s="384">
        <v>-9</v>
      </c>
      <c r="S5" s="384">
        <v>-8</v>
      </c>
      <c r="T5" s="384">
        <v>-7</v>
      </c>
      <c r="U5" s="384">
        <v>-6</v>
      </c>
      <c r="V5" s="384">
        <v>-5</v>
      </c>
      <c r="W5" s="384">
        <v>-4</v>
      </c>
      <c r="X5" s="384">
        <v>-3</v>
      </c>
      <c r="Y5" s="384">
        <v>-2</v>
      </c>
      <c r="Z5" s="384">
        <v>-1</v>
      </c>
      <c r="AA5" s="384">
        <v>0</v>
      </c>
      <c r="AB5" s="384">
        <v>1</v>
      </c>
      <c r="AC5" s="384">
        <v>2</v>
      </c>
      <c r="AD5" s="384">
        <v>3</v>
      </c>
      <c r="AE5" s="384">
        <v>4</v>
      </c>
      <c r="AF5" s="384">
        <v>5</v>
      </c>
      <c r="AG5" s="384">
        <v>6</v>
      </c>
      <c r="AH5" s="384">
        <v>7</v>
      </c>
      <c r="AI5" s="384">
        <v>8</v>
      </c>
      <c r="AJ5" s="384">
        <v>9</v>
      </c>
      <c r="AK5" s="384">
        <v>10</v>
      </c>
      <c r="AL5" s="384">
        <v>11</v>
      </c>
      <c r="AM5" s="384">
        <v>12</v>
      </c>
      <c r="AN5" s="384">
        <v>13</v>
      </c>
      <c r="AO5" s="384">
        <v>14</v>
      </c>
      <c r="AP5" s="384">
        <v>15</v>
      </c>
      <c r="AQ5" s="384">
        <v>16</v>
      </c>
      <c r="AR5" s="384">
        <v>17</v>
      </c>
      <c r="AS5" s="384">
        <v>18</v>
      </c>
      <c r="AT5" s="384">
        <v>19</v>
      </c>
      <c r="AU5" s="384">
        <v>20</v>
      </c>
      <c r="AV5" s="384">
        <v>21</v>
      </c>
      <c r="AW5" s="384">
        <v>22</v>
      </c>
      <c r="AX5" s="384">
        <v>23</v>
      </c>
      <c r="AY5" s="384">
        <v>24</v>
      </c>
      <c r="AZ5" s="384">
        <v>25</v>
      </c>
      <c r="BA5" s="384">
        <v>26</v>
      </c>
      <c r="BB5" s="384">
        <v>27</v>
      </c>
      <c r="BC5" s="384">
        <v>28</v>
      </c>
      <c r="BD5" s="384">
        <v>29</v>
      </c>
      <c r="BE5" s="384">
        <v>30</v>
      </c>
      <c r="BF5" s="384">
        <v>31</v>
      </c>
      <c r="BG5" s="384">
        <v>32</v>
      </c>
      <c r="BH5" s="384">
        <v>33</v>
      </c>
      <c r="BI5" s="384">
        <v>34</v>
      </c>
      <c r="BJ5" s="384">
        <v>35</v>
      </c>
      <c r="BK5" s="384">
        <v>36</v>
      </c>
      <c r="BL5" s="384">
        <v>37</v>
      </c>
      <c r="BM5" s="384">
        <v>38</v>
      </c>
      <c r="BN5" s="384">
        <v>39</v>
      </c>
      <c r="BO5" s="384">
        <v>40</v>
      </c>
    </row>
    <row r="6" spans="1:67" x14ac:dyDescent="0.2">
      <c r="A6" s="385" t="s">
        <v>3176</v>
      </c>
      <c r="B6" s="385">
        <v>0</v>
      </c>
      <c r="C6" s="385">
        <v>0</v>
      </c>
      <c r="D6" s="385">
        <v>0</v>
      </c>
      <c r="E6" s="385">
        <v>0</v>
      </c>
      <c r="F6" s="385">
        <v>0</v>
      </c>
      <c r="G6" s="385">
        <v>0</v>
      </c>
      <c r="H6" s="385">
        <v>0</v>
      </c>
      <c r="I6" s="385">
        <v>0</v>
      </c>
      <c r="J6" s="385">
        <v>0</v>
      </c>
      <c r="K6" s="385">
        <v>0</v>
      </c>
      <c r="L6" s="385">
        <v>0</v>
      </c>
      <c r="M6" s="385">
        <v>9</v>
      </c>
      <c r="N6" s="385">
        <v>9</v>
      </c>
      <c r="O6" s="385">
        <v>27</v>
      </c>
      <c r="P6" s="385">
        <v>58</v>
      </c>
      <c r="Q6" s="385">
        <v>48</v>
      </c>
      <c r="R6" s="385">
        <v>60</v>
      </c>
      <c r="S6" s="385">
        <v>124</v>
      </c>
      <c r="T6" s="385">
        <v>126</v>
      </c>
      <c r="U6" s="385">
        <v>137</v>
      </c>
      <c r="V6" s="385">
        <v>109</v>
      </c>
      <c r="W6" s="385">
        <v>152</v>
      </c>
      <c r="X6" s="385">
        <v>170</v>
      </c>
      <c r="Y6" s="385">
        <v>244</v>
      </c>
      <c r="Z6" s="385">
        <v>342</v>
      </c>
      <c r="AA6" s="385">
        <v>332</v>
      </c>
      <c r="AB6" s="385">
        <v>370</v>
      </c>
      <c r="AC6" s="385">
        <v>368</v>
      </c>
      <c r="AD6" s="385">
        <v>347</v>
      </c>
      <c r="AE6" s="385">
        <v>422</v>
      </c>
      <c r="AF6" s="385">
        <v>462</v>
      </c>
      <c r="AG6" s="385">
        <v>510</v>
      </c>
      <c r="AH6" s="385">
        <v>415</v>
      </c>
      <c r="AI6" s="385">
        <v>432</v>
      </c>
      <c r="AJ6" s="385">
        <v>435</v>
      </c>
      <c r="AK6" s="385">
        <v>356</v>
      </c>
      <c r="AL6" s="385">
        <v>418</v>
      </c>
      <c r="AM6" s="385">
        <v>395</v>
      </c>
      <c r="AN6" s="385">
        <v>409</v>
      </c>
      <c r="AO6" s="385">
        <v>346</v>
      </c>
      <c r="AP6" s="385">
        <v>258</v>
      </c>
      <c r="AQ6" s="385">
        <v>206</v>
      </c>
      <c r="AR6" s="385">
        <v>179</v>
      </c>
      <c r="AS6" s="385">
        <v>136</v>
      </c>
      <c r="AT6" s="385">
        <v>101</v>
      </c>
      <c r="AU6" s="385">
        <v>82</v>
      </c>
      <c r="AV6" s="385">
        <v>60</v>
      </c>
      <c r="AW6" s="385">
        <v>43</v>
      </c>
      <c r="AX6" s="385">
        <v>29</v>
      </c>
      <c r="AY6" s="385">
        <v>12</v>
      </c>
      <c r="AZ6" s="385">
        <v>9</v>
      </c>
      <c r="BA6" s="385">
        <v>9</v>
      </c>
      <c r="BB6" s="385">
        <v>4</v>
      </c>
      <c r="BC6" s="385">
        <v>0</v>
      </c>
      <c r="BD6" s="385">
        <v>0</v>
      </c>
      <c r="BE6" s="385">
        <v>0</v>
      </c>
      <c r="BF6" s="385">
        <v>0</v>
      </c>
      <c r="BG6" s="385">
        <v>0</v>
      </c>
      <c r="BH6" s="385">
        <v>0</v>
      </c>
      <c r="BI6" s="385">
        <v>0</v>
      </c>
      <c r="BJ6" s="385">
        <v>0</v>
      </c>
      <c r="BK6" s="385">
        <v>0</v>
      </c>
      <c r="BL6" s="385">
        <v>0</v>
      </c>
      <c r="BM6" s="385">
        <v>0</v>
      </c>
      <c r="BN6" s="385">
        <v>0</v>
      </c>
      <c r="BO6" s="385">
        <v>0</v>
      </c>
    </row>
    <row r="7" spans="1:67" x14ac:dyDescent="0.2">
      <c r="A7" s="386" t="s">
        <v>893</v>
      </c>
      <c r="B7" s="386">
        <v>0</v>
      </c>
      <c r="C7" s="386">
        <v>0</v>
      </c>
      <c r="D7" s="386">
        <v>0</v>
      </c>
      <c r="E7" s="386">
        <v>0</v>
      </c>
      <c r="F7" s="386">
        <v>0</v>
      </c>
      <c r="G7" s="386">
        <v>0</v>
      </c>
      <c r="H7" s="386">
        <v>0</v>
      </c>
      <c r="I7" s="386">
        <v>0</v>
      </c>
      <c r="J7" s="386">
        <v>0</v>
      </c>
      <c r="K7" s="386">
        <v>0</v>
      </c>
      <c r="L7" s="386">
        <v>0</v>
      </c>
      <c r="M7" s="386">
        <v>0</v>
      </c>
      <c r="N7" s="386">
        <v>0</v>
      </c>
      <c r="O7" s="386">
        <v>24</v>
      </c>
      <c r="P7" s="386">
        <v>24</v>
      </c>
      <c r="Q7" s="386">
        <v>24</v>
      </c>
      <c r="R7" s="386">
        <v>72</v>
      </c>
      <c r="S7" s="386">
        <v>240</v>
      </c>
      <c r="T7" s="386">
        <v>72</v>
      </c>
      <c r="U7" s="386">
        <v>48</v>
      </c>
      <c r="V7" s="386">
        <v>168</v>
      </c>
      <c r="W7" s="386">
        <v>120</v>
      </c>
      <c r="X7" s="386">
        <v>168</v>
      </c>
      <c r="Y7" s="386">
        <v>216</v>
      </c>
      <c r="Z7" s="386">
        <v>264</v>
      </c>
      <c r="AA7" s="386">
        <v>216</v>
      </c>
      <c r="AB7" s="386">
        <v>552</v>
      </c>
      <c r="AC7" s="386">
        <v>336</v>
      </c>
      <c r="AD7" s="386">
        <v>360</v>
      </c>
      <c r="AE7" s="386">
        <v>600</v>
      </c>
      <c r="AF7" s="386">
        <v>408</v>
      </c>
      <c r="AG7" s="386">
        <v>456</v>
      </c>
      <c r="AH7" s="386">
        <v>456</v>
      </c>
      <c r="AI7" s="386">
        <v>384</v>
      </c>
      <c r="AJ7" s="386">
        <v>408</v>
      </c>
      <c r="AK7" s="386">
        <v>408</v>
      </c>
      <c r="AL7" s="386">
        <v>408</v>
      </c>
      <c r="AM7" s="386">
        <v>600</v>
      </c>
      <c r="AN7" s="386">
        <v>384</v>
      </c>
      <c r="AO7" s="386">
        <v>384</v>
      </c>
      <c r="AP7" s="386">
        <v>216</v>
      </c>
      <c r="AQ7" s="386">
        <v>456</v>
      </c>
      <c r="AR7" s="386">
        <v>120</v>
      </c>
      <c r="AS7" s="386">
        <v>72</v>
      </c>
      <c r="AT7" s="386">
        <v>48</v>
      </c>
      <c r="AU7" s="386">
        <v>0</v>
      </c>
      <c r="AV7" s="386">
        <v>48</v>
      </c>
      <c r="AW7" s="386">
        <v>0</v>
      </c>
      <c r="AX7" s="386">
        <v>0</v>
      </c>
      <c r="AY7" s="386">
        <v>0</v>
      </c>
      <c r="AZ7" s="386">
        <v>0</v>
      </c>
      <c r="BA7" s="386">
        <v>0</v>
      </c>
      <c r="BB7" s="386">
        <v>0</v>
      </c>
      <c r="BC7" s="386">
        <v>0</v>
      </c>
      <c r="BD7" s="386">
        <v>0</v>
      </c>
      <c r="BE7" s="386">
        <v>0</v>
      </c>
      <c r="BF7" s="386">
        <v>0</v>
      </c>
      <c r="BG7" s="386">
        <v>0</v>
      </c>
      <c r="BH7" s="386">
        <v>0</v>
      </c>
      <c r="BI7" s="386">
        <v>0</v>
      </c>
      <c r="BJ7" s="386">
        <v>0</v>
      </c>
      <c r="BK7" s="386">
        <v>0</v>
      </c>
      <c r="BL7" s="386">
        <v>0</v>
      </c>
      <c r="BM7" s="386">
        <v>0</v>
      </c>
      <c r="BN7" s="386">
        <v>0</v>
      </c>
      <c r="BO7" s="386">
        <v>0</v>
      </c>
    </row>
    <row r="8" spans="1:67" x14ac:dyDescent="0.2">
      <c r="A8" s="386" t="s">
        <v>894</v>
      </c>
      <c r="B8" s="387">
        <v>0</v>
      </c>
      <c r="C8" s="387">
        <v>0</v>
      </c>
      <c r="D8" s="387">
        <v>0</v>
      </c>
      <c r="E8" s="387">
        <v>0</v>
      </c>
      <c r="F8" s="387">
        <v>0</v>
      </c>
      <c r="G8" s="387">
        <v>0</v>
      </c>
      <c r="H8" s="387">
        <v>0</v>
      </c>
      <c r="I8" s="387">
        <v>0</v>
      </c>
      <c r="J8" s="387">
        <v>0</v>
      </c>
      <c r="K8" s="387">
        <v>0</v>
      </c>
      <c r="L8" s="387">
        <v>0</v>
      </c>
      <c r="M8" s="387">
        <v>0</v>
      </c>
      <c r="N8" s="387">
        <v>0</v>
      </c>
      <c r="O8" s="387">
        <v>0</v>
      </c>
      <c r="P8" s="387">
        <v>0.86399999999999999</v>
      </c>
      <c r="Q8" s="387">
        <v>0.374</v>
      </c>
      <c r="R8" s="387">
        <v>1.046</v>
      </c>
      <c r="S8" s="387">
        <v>3.7389999999999999</v>
      </c>
      <c r="T8" s="387">
        <v>3.464</v>
      </c>
      <c r="U8" s="387">
        <v>7.7190000000000003</v>
      </c>
      <c r="V8" s="387">
        <v>4.1420000000000003</v>
      </c>
      <c r="W8" s="387">
        <v>8.9109999999999996</v>
      </c>
      <c r="X8" s="387">
        <v>8.8379999999999992</v>
      </c>
      <c r="Y8" s="387">
        <v>11.592000000000001</v>
      </c>
      <c r="Z8" s="387">
        <v>13.05</v>
      </c>
      <c r="AA8" s="387">
        <v>17.245000000000001</v>
      </c>
      <c r="AB8" s="387">
        <v>12.788</v>
      </c>
      <c r="AC8" s="387">
        <v>14.935</v>
      </c>
      <c r="AD8" s="387">
        <v>16.645</v>
      </c>
      <c r="AE8" s="387">
        <v>28.428999999999998</v>
      </c>
      <c r="AF8" s="387">
        <v>24.306999999999999</v>
      </c>
      <c r="AG8" s="387">
        <v>34.213999999999999</v>
      </c>
      <c r="AH8" s="387">
        <v>35.527999999999999</v>
      </c>
      <c r="AI8" s="387">
        <v>35.545000000000002</v>
      </c>
      <c r="AJ8" s="387">
        <v>38.53</v>
      </c>
      <c r="AK8" s="387">
        <v>38.582000000000001</v>
      </c>
      <c r="AL8" s="387">
        <v>48.957999999999998</v>
      </c>
      <c r="AM8" s="387">
        <v>56.366999999999997</v>
      </c>
      <c r="AN8" s="387">
        <v>61.753999999999998</v>
      </c>
      <c r="AO8" s="387">
        <v>68.209999999999994</v>
      </c>
      <c r="AP8" s="387">
        <v>70.274000000000001</v>
      </c>
      <c r="AQ8" s="387">
        <v>64.290999999999997</v>
      </c>
      <c r="AR8" s="387">
        <v>66.867999999999995</v>
      </c>
      <c r="AS8" s="387">
        <v>54.722000000000001</v>
      </c>
      <c r="AT8" s="387">
        <v>49.752000000000002</v>
      </c>
      <c r="AU8" s="387">
        <v>41.875</v>
      </c>
      <c r="AV8" s="387">
        <v>35.121000000000002</v>
      </c>
      <c r="AW8" s="387">
        <v>26.097999999999999</v>
      </c>
      <c r="AX8" s="387">
        <v>19.213000000000001</v>
      </c>
      <c r="AY8" s="387">
        <v>8.9090000000000007</v>
      </c>
      <c r="AZ8" s="387">
        <v>4.8620000000000001</v>
      </c>
      <c r="BA8" s="387">
        <v>6.6550000000000002</v>
      </c>
      <c r="BB8" s="387">
        <v>2.75</v>
      </c>
      <c r="BC8" s="387">
        <v>0</v>
      </c>
      <c r="BD8" s="387">
        <v>0</v>
      </c>
      <c r="BE8" s="387">
        <v>0</v>
      </c>
      <c r="BF8" s="387">
        <v>0</v>
      </c>
      <c r="BG8" s="387">
        <v>0</v>
      </c>
      <c r="BH8" s="387">
        <v>0</v>
      </c>
      <c r="BI8" s="387">
        <v>0</v>
      </c>
      <c r="BJ8" s="387">
        <v>0</v>
      </c>
      <c r="BK8" s="387">
        <v>0</v>
      </c>
      <c r="BL8" s="387">
        <v>0</v>
      </c>
      <c r="BM8" s="387">
        <v>0</v>
      </c>
      <c r="BN8" s="387">
        <v>0</v>
      </c>
      <c r="BO8" s="387">
        <v>0</v>
      </c>
    </row>
    <row r="9" spans="1:67" x14ac:dyDescent="0.2">
      <c r="A9" s="386" t="s">
        <v>895</v>
      </c>
      <c r="B9" s="387">
        <v>0</v>
      </c>
      <c r="C9" s="387">
        <v>0</v>
      </c>
      <c r="D9" s="387">
        <v>0</v>
      </c>
      <c r="E9" s="387">
        <v>0</v>
      </c>
      <c r="F9" s="387">
        <v>0</v>
      </c>
      <c r="G9" s="387">
        <v>0</v>
      </c>
      <c r="H9" s="387">
        <v>0</v>
      </c>
      <c r="I9" s="387">
        <v>0</v>
      </c>
      <c r="J9" s="387">
        <v>0</v>
      </c>
      <c r="K9" s="387">
        <v>0</v>
      </c>
      <c r="L9" s="387">
        <v>0</v>
      </c>
      <c r="M9" s="387">
        <v>0</v>
      </c>
      <c r="N9" s="387">
        <v>0</v>
      </c>
      <c r="O9" s="387">
        <v>0</v>
      </c>
      <c r="P9" s="387">
        <v>0.80300000000000005</v>
      </c>
      <c r="Q9" s="387">
        <v>0.622</v>
      </c>
      <c r="R9" s="387">
        <v>1.325</v>
      </c>
      <c r="S9" s="387">
        <v>2.323</v>
      </c>
      <c r="T9" s="387">
        <v>2.1520000000000001</v>
      </c>
      <c r="U9" s="387">
        <v>4.4329999999999998</v>
      </c>
      <c r="V9" s="387">
        <v>2.3969999999999998</v>
      </c>
      <c r="W9" s="387">
        <v>5.2160000000000002</v>
      </c>
      <c r="X9" s="387">
        <v>4.875</v>
      </c>
      <c r="Y9" s="387">
        <v>8.3759999999999994</v>
      </c>
      <c r="Z9" s="387">
        <v>6.2619999999999996</v>
      </c>
      <c r="AA9" s="387">
        <v>7.8949999999999996</v>
      </c>
      <c r="AB9" s="387">
        <v>5.4829999999999997</v>
      </c>
      <c r="AC9" s="387">
        <v>9.3740000000000006</v>
      </c>
      <c r="AD9" s="387">
        <v>7.6079999999999997</v>
      </c>
      <c r="AE9" s="387">
        <v>19.978999999999999</v>
      </c>
      <c r="AF9" s="387">
        <v>14.617000000000001</v>
      </c>
      <c r="AG9" s="387">
        <v>22.132999999999999</v>
      </c>
      <c r="AH9" s="387">
        <v>20.067</v>
      </c>
      <c r="AI9" s="387">
        <v>20.419</v>
      </c>
      <c r="AJ9" s="387">
        <v>24.321999999999999</v>
      </c>
      <c r="AK9" s="387">
        <v>24.018000000000001</v>
      </c>
      <c r="AL9" s="387">
        <v>28.945</v>
      </c>
      <c r="AM9" s="387">
        <v>35.731999999999999</v>
      </c>
      <c r="AN9" s="387">
        <v>34.337000000000003</v>
      </c>
      <c r="AO9" s="387">
        <v>33.741</v>
      </c>
      <c r="AP9" s="387">
        <v>29.207000000000001</v>
      </c>
      <c r="AQ9" s="387">
        <v>30.535</v>
      </c>
      <c r="AR9" s="387">
        <v>26.902999999999999</v>
      </c>
      <c r="AS9" s="387">
        <v>26.654</v>
      </c>
      <c r="AT9" s="387">
        <v>20.251000000000001</v>
      </c>
      <c r="AU9" s="387">
        <v>13.308999999999999</v>
      </c>
      <c r="AV9" s="387">
        <v>7.4870000000000001</v>
      </c>
      <c r="AW9" s="387">
        <v>8.2929999999999993</v>
      </c>
      <c r="AX9" s="387">
        <v>5.1029999999999998</v>
      </c>
      <c r="AY9" s="387">
        <v>1.355</v>
      </c>
      <c r="AZ9" s="387">
        <v>1.9219999999999999</v>
      </c>
      <c r="BA9" s="387">
        <v>1.2410000000000001</v>
      </c>
      <c r="BB9" s="387">
        <v>0.15</v>
      </c>
      <c r="BC9" s="387">
        <v>0</v>
      </c>
      <c r="BD9" s="387">
        <v>0</v>
      </c>
      <c r="BE9" s="387">
        <v>0</v>
      </c>
      <c r="BF9" s="387">
        <v>0</v>
      </c>
      <c r="BG9" s="387">
        <v>0</v>
      </c>
      <c r="BH9" s="387">
        <v>0</v>
      </c>
      <c r="BI9" s="387">
        <v>0</v>
      </c>
      <c r="BJ9" s="387">
        <v>0</v>
      </c>
      <c r="BK9" s="387">
        <v>0</v>
      </c>
      <c r="BL9" s="387">
        <v>0</v>
      </c>
      <c r="BM9" s="387">
        <v>0</v>
      </c>
      <c r="BN9" s="387">
        <v>0</v>
      </c>
      <c r="BO9" s="387">
        <v>0</v>
      </c>
    </row>
    <row r="10" spans="1:67" x14ac:dyDescent="0.2">
      <c r="A10" s="386" t="s">
        <v>896</v>
      </c>
      <c r="B10" s="387">
        <v>0</v>
      </c>
      <c r="C10" s="387">
        <v>0</v>
      </c>
      <c r="D10" s="387">
        <v>0</v>
      </c>
      <c r="E10" s="387">
        <v>0</v>
      </c>
      <c r="F10" s="387">
        <v>0</v>
      </c>
      <c r="G10" s="387">
        <v>0</v>
      </c>
      <c r="H10" s="387">
        <v>0</v>
      </c>
      <c r="I10" s="387">
        <v>0</v>
      </c>
      <c r="J10" s="387">
        <v>0</v>
      </c>
      <c r="K10" s="387">
        <v>0</v>
      </c>
      <c r="L10" s="387">
        <v>0</v>
      </c>
      <c r="M10" s="387">
        <v>0</v>
      </c>
      <c r="N10" s="387">
        <v>0</v>
      </c>
      <c r="O10" s="387">
        <v>0</v>
      </c>
      <c r="P10" s="387">
        <v>1.4710000000000001</v>
      </c>
      <c r="Q10" s="387">
        <v>0.68700000000000006</v>
      </c>
      <c r="R10" s="387">
        <v>1.6140000000000001</v>
      </c>
      <c r="S10" s="387">
        <v>7.2869999999999999</v>
      </c>
      <c r="T10" s="387">
        <v>6.2450000000000001</v>
      </c>
      <c r="U10" s="387">
        <v>15.132</v>
      </c>
      <c r="V10" s="387">
        <v>8.9030000000000005</v>
      </c>
      <c r="W10" s="387">
        <v>15.815</v>
      </c>
      <c r="X10" s="387">
        <v>14.208</v>
      </c>
      <c r="Y10" s="387">
        <v>17.991</v>
      </c>
      <c r="Z10" s="387">
        <v>20.103999999999999</v>
      </c>
      <c r="AA10" s="387">
        <v>29.437999999999999</v>
      </c>
      <c r="AB10" s="387">
        <v>16.105</v>
      </c>
      <c r="AC10" s="387">
        <v>18.459</v>
      </c>
      <c r="AD10" s="387">
        <v>21.486999999999998</v>
      </c>
      <c r="AE10" s="387">
        <v>39.104999999999997</v>
      </c>
      <c r="AF10" s="387">
        <v>35.417999999999999</v>
      </c>
      <c r="AG10" s="387">
        <v>42.905000000000001</v>
      </c>
      <c r="AH10" s="387">
        <v>39.375</v>
      </c>
      <c r="AI10" s="387">
        <v>34.902000000000001</v>
      </c>
      <c r="AJ10" s="387">
        <v>35.573</v>
      </c>
      <c r="AK10" s="387">
        <v>32.466000000000001</v>
      </c>
      <c r="AL10" s="387">
        <v>40.244</v>
      </c>
      <c r="AM10" s="387">
        <v>42.908999999999999</v>
      </c>
      <c r="AN10" s="387">
        <v>41.904000000000003</v>
      </c>
      <c r="AO10" s="387">
        <v>42.819000000000003</v>
      </c>
      <c r="AP10" s="387">
        <v>44.719000000000001</v>
      </c>
      <c r="AQ10" s="387">
        <v>40.045999999999999</v>
      </c>
      <c r="AR10" s="387">
        <v>42.32</v>
      </c>
      <c r="AS10" s="387">
        <v>32.152000000000001</v>
      </c>
      <c r="AT10" s="387">
        <v>32.174999999999997</v>
      </c>
      <c r="AU10" s="387">
        <v>23.885000000000002</v>
      </c>
      <c r="AV10" s="387">
        <v>20.13</v>
      </c>
      <c r="AW10" s="387">
        <v>13.622</v>
      </c>
      <c r="AX10" s="387">
        <v>11.23</v>
      </c>
      <c r="AY10" s="387">
        <v>5.1669999999999998</v>
      </c>
      <c r="AZ10" s="387">
        <v>2.258</v>
      </c>
      <c r="BA10" s="387">
        <v>3.8180000000000001</v>
      </c>
      <c r="BB10" s="387">
        <v>1.5449999999999999</v>
      </c>
      <c r="BC10" s="387">
        <v>0</v>
      </c>
      <c r="BD10" s="387">
        <v>0</v>
      </c>
      <c r="BE10" s="387">
        <v>0</v>
      </c>
      <c r="BF10" s="387">
        <v>0</v>
      </c>
      <c r="BG10" s="387">
        <v>0</v>
      </c>
      <c r="BH10" s="387">
        <v>0</v>
      </c>
      <c r="BI10" s="387">
        <v>0</v>
      </c>
      <c r="BJ10" s="387">
        <v>0</v>
      </c>
      <c r="BK10" s="387">
        <v>0</v>
      </c>
      <c r="BL10" s="387">
        <v>0</v>
      </c>
      <c r="BM10" s="387">
        <v>0</v>
      </c>
      <c r="BN10" s="387">
        <v>0</v>
      </c>
      <c r="BO10" s="387">
        <v>0</v>
      </c>
    </row>
    <row r="11" spans="1:67" x14ac:dyDescent="0.2">
      <c r="A11" s="386" t="s">
        <v>897</v>
      </c>
      <c r="B11" s="387">
        <v>0</v>
      </c>
      <c r="C11" s="387">
        <v>0</v>
      </c>
      <c r="D11" s="387">
        <v>0</v>
      </c>
      <c r="E11" s="387">
        <v>0</v>
      </c>
      <c r="F11" s="387">
        <v>0</v>
      </c>
      <c r="G11" s="387">
        <v>0</v>
      </c>
      <c r="H11" s="387">
        <v>0</v>
      </c>
      <c r="I11" s="387">
        <v>0</v>
      </c>
      <c r="J11" s="387">
        <v>0</v>
      </c>
      <c r="K11" s="387">
        <v>0</v>
      </c>
      <c r="L11" s="387">
        <v>0</v>
      </c>
      <c r="M11" s="387">
        <v>0</v>
      </c>
      <c r="N11" s="387">
        <v>0</v>
      </c>
      <c r="O11" s="387">
        <v>0</v>
      </c>
      <c r="P11" s="387">
        <v>0.33900000000000002</v>
      </c>
      <c r="Q11" s="387">
        <v>0.17299999999999999</v>
      </c>
      <c r="R11" s="387">
        <v>0.38400000000000001</v>
      </c>
      <c r="S11" s="387">
        <v>2.8879999999999999</v>
      </c>
      <c r="T11" s="387">
        <v>2.867</v>
      </c>
      <c r="U11" s="387">
        <v>6.81</v>
      </c>
      <c r="V11" s="387">
        <v>3.0089999999999999</v>
      </c>
      <c r="W11" s="387">
        <v>7.5419999999999998</v>
      </c>
      <c r="X11" s="387">
        <v>6.5410000000000004</v>
      </c>
      <c r="Y11" s="387">
        <v>6.1920000000000002</v>
      </c>
      <c r="Z11" s="387">
        <v>8.6050000000000004</v>
      </c>
      <c r="AA11" s="387">
        <v>11.417</v>
      </c>
      <c r="AB11" s="387">
        <v>6.9180000000000001</v>
      </c>
      <c r="AC11" s="387">
        <v>5.9039999999999999</v>
      </c>
      <c r="AD11" s="387">
        <v>11.186</v>
      </c>
      <c r="AE11" s="387">
        <v>15.73</v>
      </c>
      <c r="AF11" s="387">
        <v>13.477</v>
      </c>
      <c r="AG11" s="387">
        <v>18.202999999999999</v>
      </c>
      <c r="AH11" s="387">
        <v>16.582999999999998</v>
      </c>
      <c r="AI11" s="387">
        <v>17.893999999999998</v>
      </c>
      <c r="AJ11" s="387">
        <v>14.554</v>
      </c>
      <c r="AK11" s="387">
        <v>16.382000000000001</v>
      </c>
      <c r="AL11" s="387">
        <v>18.963999999999999</v>
      </c>
      <c r="AM11" s="387">
        <v>18.975999999999999</v>
      </c>
      <c r="AN11" s="387">
        <v>17.751999999999999</v>
      </c>
      <c r="AO11" s="387">
        <v>20.521000000000001</v>
      </c>
      <c r="AP11" s="387">
        <v>24.501999999999999</v>
      </c>
      <c r="AQ11" s="387">
        <v>22.038</v>
      </c>
      <c r="AR11" s="387">
        <v>20.992000000000001</v>
      </c>
      <c r="AS11" s="387">
        <v>14.868</v>
      </c>
      <c r="AT11" s="387">
        <v>12.707000000000001</v>
      </c>
      <c r="AU11" s="387">
        <v>13.871</v>
      </c>
      <c r="AV11" s="387">
        <v>12.858000000000001</v>
      </c>
      <c r="AW11" s="387">
        <v>9.8650000000000002</v>
      </c>
      <c r="AX11" s="387">
        <v>6.7530000000000001</v>
      </c>
      <c r="AY11" s="387">
        <v>3.7029999999999998</v>
      </c>
      <c r="AZ11" s="387">
        <v>1.2649999999999999</v>
      </c>
      <c r="BA11" s="387">
        <v>2.524</v>
      </c>
      <c r="BB11" s="387">
        <v>2.0859999999999999</v>
      </c>
      <c r="BC11" s="387">
        <v>0</v>
      </c>
      <c r="BD11" s="387">
        <v>0</v>
      </c>
      <c r="BE11" s="387">
        <v>0</v>
      </c>
      <c r="BF11" s="387">
        <v>0</v>
      </c>
      <c r="BG11" s="387">
        <v>0</v>
      </c>
      <c r="BH11" s="387">
        <v>0</v>
      </c>
      <c r="BI11" s="387">
        <v>0</v>
      </c>
      <c r="BJ11" s="387">
        <v>0</v>
      </c>
      <c r="BK11" s="387">
        <v>0</v>
      </c>
      <c r="BL11" s="387">
        <v>0</v>
      </c>
      <c r="BM11" s="387">
        <v>0</v>
      </c>
      <c r="BN11" s="387">
        <v>0</v>
      </c>
      <c r="BO11" s="387">
        <v>0</v>
      </c>
    </row>
    <row r="12" spans="1:67" x14ac:dyDescent="0.2">
      <c r="A12" s="388" t="s">
        <v>898</v>
      </c>
      <c r="B12" s="389">
        <v>0</v>
      </c>
      <c r="C12" s="389">
        <v>0</v>
      </c>
      <c r="D12" s="389">
        <v>0</v>
      </c>
      <c r="E12" s="389">
        <v>0</v>
      </c>
      <c r="F12" s="389">
        <v>0</v>
      </c>
      <c r="G12" s="389">
        <v>0</v>
      </c>
      <c r="H12" s="389">
        <v>0</v>
      </c>
      <c r="I12" s="389">
        <v>0</v>
      </c>
      <c r="J12" s="389">
        <v>0</v>
      </c>
      <c r="K12" s="389">
        <v>0</v>
      </c>
      <c r="L12" s="389">
        <v>0</v>
      </c>
      <c r="M12" s="389">
        <v>0</v>
      </c>
      <c r="N12" s="389">
        <v>0</v>
      </c>
      <c r="O12" s="389">
        <v>0</v>
      </c>
      <c r="P12" s="389">
        <v>0.17299999999999999</v>
      </c>
      <c r="Q12" s="389">
        <v>0.17</v>
      </c>
      <c r="R12" s="389">
        <v>0.375</v>
      </c>
      <c r="S12" s="389">
        <v>0.90800000000000003</v>
      </c>
      <c r="T12" s="389">
        <v>1.0660000000000001</v>
      </c>
      <c r="U12" s="389">
        <v>2.2069999999999999</v>
      </c>
      <c r="V12" s="389">
        <v>1.3879999999999999</v>
      </c>
      <c r="W12" s="389">
        <v>2.585</v>
      </c>
      <c r="X12" s="389">
        <v>2.4689999999999999</v>
      </c>
      <c r="Y12" s="389">
        <v>2.8639999999999999</v>
      </c>
      <c r="Z12" s="389">
        <v>2.706</v>
      </c>
      <c r="AA12" s="389">
        <v>4.6870000000000003</v>
      </c>
      <c r="AB12" s="389">
        <v>2.2200000000000002</v>
      </c>
      <c r="AC12" s="389">
        <v>2.2909999999999999</v>
      </c>
      <c r="AD12" s="389">
        <v>1.9039999999999999</v>
      </c>
      <c r="AE12" s="389">
        <v>5.3959999999999999</v>
      </c>
      <c r="AF12" s="389">
        <v>5.0369999999999999</v>
      </c>
      <c r="AG12" s="389">
        <v>8.4090000000000007</v>
      </c>
      <c r="AH12" s="389">
        <v>6.1520000000000001</v>
      </c>
      <c r="AI12" s="389">
        <v>6.0389999999999997</v>
      </c>
      <c r="AJ12" s="389">
        <v>5.8</v>
      </c>
      <c r="AK12" s="389">
        <v>6.3550000000000004</v>
      </c>
      <c r="AL12" s="389">
        <v>6.2770000000000001</v>
      </c>
      <c r="AM12" s="389">
        <v>6.5</v>
      </c>
      <c r="AN12" s="389">
        <v>5.242</v>
      </c>
      <c r="AO12" s="389">
        <v>5.0529999999999999</v>
      </c>
      <c r="AP12" s="389">
        <v>5.3840000000000003</v>
      </c>
      <c r="AQ12" s="389">
        <v>3.669</v>
      </c>
      <c r="AR12" s="389">
        <v>2.6720000000000002</v>
      </c>
      <c r="AS12" s="389">
        <v>2.2909999999999999</v>
      </c>
      <c r="AT12" s="389">
        <v>1.3169999999999999</v>
      </c>
      <c r="AU12" s="389">
        <v>0.64200000000000002</v>
      </c>
      <c r="AV12" s="389">
        <v>0.156</v>
      </c>
      <c r="AW12" s="389">
        <v>0.48899999999999999</v>
      </c>
      <c r="AX12" s="389">
        <v>0</v>
      </c>
      <c r="AY12" s="389">
        <v>0.47899999999999998</v>
      </c>
      <c r="AZ12" s="389">
        <v>0.47099999999999997</v>
      </c>
      <c r="BA12" s="389">
        <v>0.46200000000000002</v>
      </c>
      <c r="BB12" s="389">
        <v>0</v>
      </c>
      <c r="BC12" s="389">
        <v>0</v>
      </c>
      <c r="BD12" s="389">
        <v>0</v>
      </c>
      <c r="BE12" s="389">
        <v>0</v>
      </c>
      <c r="BF12" s="389">
        <v>0</v>
      </c>
      <c r="BG12" s="389">
        <v>0</v>
      </c>
      <c r="BH12" s="389">
        <v>0</v>
      </c>
      <c r="BI12" s="389">
        <v>0</v>
      </c>
      <c r="BJ12" s="389">
        <v>0</v>
      </c>
      <c r="BK12" s="389">
        <v>0</v>
      </c>
      <c r="BL12" s="389">
        <v>0</v>
      </c>
      <c r="BM12" s="389">
        <v>0</v>
      </c>
      <c r="BN12" s="389">
        <v>0</v>
      </c>
      <c r="BO12" s="389">
        <v>0</v>
      </c>
    </row>
    <row r="14" spans="1:67" x14ac:dyDescent="0.2">
      <c r="A14" s="380" t="s">
        <v>3173</v>
      </c>
      <c r="B14" s="381" t="s">
        <v>899</v>
      </c>
    </row>
    <row r="15" spans="1:67" x14ac:dyDescent="0.2">
      <c r="A15" s="382" t="s">
        <v>3508</v>
      </c>
      <c r="B15" s="383"/>
    </row>
    <row r="16" spans="1:67" x14ac:dyDescent="0.2">
      <c r="A16" s="384" t="s">
        <v>3175</v>
      </c>
      <c r="B16" s="384">
        <v>-25</v>
      </c>
      <c r="C16" s="384">
        <v>-24</v>
      </c>
      <c r="D16" s="384">
        <v>-23</v>
      </c>
      <c r="E16" s="384">
        <v>-22</v>
      </c>
      <c r="F16" s="384">
        <v>-21</v>
      </c>
      <c r="G16" s="384">
        <v>-20</v>
      </c>
      <c r="H16" s="384">
        <v>-19</v>
      </c>
      <c r="I16" s="384">
        <v>-18</v>
      </c>
      <c r="J16" s="384">
        <v>-17</v>
      </c>
      <c r="K16" s="384">
        <v>-16</v>
      </c>
      <c r="L16" s="384">
        <v>-15</v>
      </c>
      <c r="M16" s="384">
        <v>-14</v>
      </c>
      <c r="N16" s="384">
        <v>-13</v>
      </c>
      <c r="O16" s="384">
        <v>-12</v>
      </c>
      <c r="P16" s="384">
        <v>-11</v>
      </c>
      <c r="Q16" s="384">
        <v>-10</v>
      </c>
      <c r="R16" s="384">
        <v>-9</v>
      </c>
      <c r="S16" s="384">
        <v>-8</v>
      </c>
      <c r="T16" s="384">
        <v>-7</v>
      </c>
      <c r="U16" s="384">
        <v>-6</v>
      </c>
      <c r="V16" s="384">
        <v>-5</v>
      </c>
      <c r="W16" s="384">
        <v>-4</v>
      </c>
      <c r="X16" s="384">
        <v>-3</v>
      </c>
      <c r="Y16" s="384">
        <v>-2</v>
      </c>
      <c r="Z16" s="384">
        <v>-1</v>
      </c>
      <c r="AA16" s="384">
        <v>0</v>
      </c>
      <c r="AB16" s="384">
        <v>1</v>
      </c>
      <c r="AC16" s="384">
        <v>2</v>
      </c>
      <c r="AD16" s="384">
        <v>3</v>
      </c>
      <c r="AE16" s="384">
        <v>4</v>
      </c>
      <c r="AF16" s="384">
        <v>5</v>
      </c>
      <c r="AG16" s="384">
        <v>6</v>
      </c>
      <c r="AH16" s="384">
        <v>7</v>
      </c>
      <c r="AI16" s="384">
        <v>8</v>
      </c>
      <c r="AJ16" s="384">
        <v>9</v>
      </c>
      <c r="AK16" s="384">
        <v>10</v>
      </c>
      <c r="AL16" s="384">
        <v>11</v>
      </c>
      <c r="AM16" s="384">
        <v>12</v>
      </c>
      <c r="AN16" s="384">
        <v>13</v>
      </c>
      <c r="AO16" s="384">
        <v>14</v>
      </c>
      <c r="AP16" s="384">
        <v>15</v>
      </c>
      <c r="AQ16" s="384">
        <v>16</v>
      </c>
      <c r="AR16" s="384">
        <v>17</v>
      </c>
      <c r="AS16" s="384">
        <v>18</v>
      </c>
      <c r="AT16" s="384">
        <v>19</v>
      </c>
      <c r="AU16" s="384">
        <v>20</v>
      </c>
      <c r="AV16" s="384">
        <v>21</v>
      </c>
      <c r="AW16" s="384">
        <v>22</v>
      </c>
      <c r="AX16" s="384">
        <v>23</v>
      </c>
      <c r="AY16" s="384">
        <v>24</v>
      </c>
      <c r="AZ16" s="384">
        <v>25</v>
      </c>
      <c r="BA16" s="384">
        <v>26</v>
      </c>
      <c r="BB16" s="384">
        <v>27</v>
      </c>
      <c r="BC16" s="384">
        <v>28</v>
      </c>
      <c r="BD16" s="384">
        <v>29</v>
      </c>
      <c r="BE16" s="384">
        <v>30</v>
      </c>
      <c r="BF16" s="384">
        <v>31</v>
      </c>
      <c r="BG16" s="384">
        <v>32</v>
      </c>
      <c r="BH16" s="384">
        <v>33</v>
      </c>
      <c r="BI16" s="384">
        <v>34</v>
      </c>
      <c r="BJ16" s="384">
        <v>35</v>
      </c>
      <c r="BK16" s="384">
        <v>36</v>
      </c>
      <c r="BL16" s="384">
        <v>37</v>
      </c>
      <c r="BM16" s="384">
        <v>38</v>
      </c>
      <c r="BN16" s="384">
        <v>39</v>
      </c>
      <c r="BO16" s="384">
        <v>40</v>
      </c>
    </row>
    <row r="17" spans="1:67" x14ac:dyDescent="0.2">
      <c r="A17" s="385" t="s">
        <v>3176</v>
      </c>
      <c r="B17" s="385">
        <v>0</v>
      </c>
      <c r="C17" s="385">
        <v>0</v>
      </c>
      <c r="D17" s="385">
        <v>0</v>
      </c>
      <c r="E17" s="385">
        <v>0</v>
      </c>
      <c r="F17" s="385">
        <v>0</v>
      </c>
      <c r="G17" s="385">
        <v>0</v>
      </c>
      <c r="H17" s="385">
        <v>0</v>
      </c>
      <c r="I17" s="385">
        <v>0</v>
      </c>
      <c r="J17" s="385">
        <v>0</v>
      </c>
      <c r="K17" s="385">
        <v>0</v>
      </c>
      <c r="L17" s="385">
        <v>0</v>
      </c>
      <c r="M17" s="385">
        <v>0</v>
      </c>
      <c r="N17" s="385">
        <v>0</v>
      </c>
      <c r="O17" s="385">
        <v>0</v>
      </c>
      <c r="P17" s="385">
        <v>0</v>
      </c>
      <c r="Q17" s="385">
        <v>1</v>
      </c>
      <c r="R17" s="385">
        <v>2</v>
      </c>
      <c r="S17" s="385">
        <v>7</v>
      </c>
      <c r="T17" s="385">
        <v>10</v>
      </c>
      <c r="U17" s="385">
        <v>13</v>
      </c>
      <c r="V17" s="385">
        <v>26</v>
      </c>
      <c r="W17" s="385">
        <v>47</v>
      </c>
      <c r="X17" s="385">
        <v>97</v>
      </c>
      <c r="Y17" s="385">
        <v>144</v>
      </c>
      <c r="Z17" s="385">
        <v>210</v>
      </c>
      <c r="AA17" s="385">
        <v>292</v>
      </c>
      <c r="AB17" s="385">
        <v>416</v>
      </c>
      <c r="AC17" s="385">
        <v>360</v>
      </c>
      <c r="AD17" s="385">
        <v>361</v>
      </c>
      <c r="AE17" s="385">
        <v>416</v>
      </c>
      <c r="AF17" s="385">
        <v>322</v>
      </c>
      <c r="AG17" s="385">
        <v>361</v>
      </c>
      <c r="AH17" s="385">
        <v>373</v>
      </c>
      <c r="AI17" s="385">
        <v>306</v>
      </c>
      <c r="AJ17" s="385">
        <v>295</v>
      </c>
      <c r="AK17" s="385">
        <v>328</v>
      </c>
      <c r="AL17" s="385">
        <v>364</v>
      </c>
      <c r="AM17" s="385">
        <v>446</v>
      </c>
      <c r="AN17" s="385">
        <v>441</v>
      </c>
      <c r="AO17" s="385">
        <v>420</v>
      </c>
      <c r="AP17" s="385">
        <v>419</v>
      </c>
      <c r="AQ17" s="385">
        <v>421</v>
      </c>
      <c r="AR17" s="385">
        <v>388</v>
      </c>
      <c r="AS17" s="385">
        <v>288</v>
      </c>
      <c r="AT17" s="385">
        <v>253</v>
      </c>
      <c r="AU17" s="385">
        <v>209</v>
      </c>
      <c r="AV17" s="385">
        <v>167</v>
      </c>
      <c r="AW17" s="385">
        <v>133</v>
      </c>
      <c r="AX17" s="385">
        <v>107</v>
      </c>
      <c r="AY17" s="385">
        <v>84</v>
      </c>
      <c r="AZ17" s="385">
        <v>64</v>
      </c>
      <c r="BA17" s="385">
        <v>51</v>
      </c>
      <c r="BB17" s="385">
        <v>48</v>
      </c>
      <c r="BC17" s="385">
        <v>27</v>
      </c>
      <c r="BD17" s="385">
        <v>15</v>
      </c>
      <c r="BE17" s="385">
        <v>12</v>
      </c>
      <c r="BF17" s="385">
        <v>14</v>
      </c>
      <c r="BG17" s="385">
        <v>2</v>
      </c>
      <c r="BH17" s="385">
        <v>0</v>
      </c>
      <c r="BI17" s="385">
        <v>0</v>
      </c>
      <c r="BJ17" s="385">
        <v>0</v>
      </c>
      <c r="BK17" s="385">
        <v>0</v>
      </c>
      <c r="BL17" s="385">
        <v>0</v>
      </c>
      <c r="BM17" s="385">
        <v>0</v>
      </c>
      <c r="BN17" s="385">
        <v>0</v>
      </c>
      <c r="BO17" s="385">
        <v>0</v>
      </c>
    </row>
    <row r="18" spans="1:67" x14ac:dyDescent="0.2">
      <c r="A18" s="386" t="s">
        <v>893</v>
      </c>
      <c r="B18" s="386">
        <v>0</v>
      </c>
      <c r="C18" s="386">
        <v>0</v>
      </c>
      <c r="D18" s="386">
        <v>0</v>
      </c>
      <c r="E18" s="386">
        <v>0</v>
      </c>
      <c r="F18" s="386">
        <v>0</v>
      </c>
      <c r="G18" s="386">
        <v>0</v>
      </c>
      <c r="H18" s="386">
        <v>0</v>
      </c>
      <c r="I18" s="386">
        <v>0</v>
      </c>
      <c r="J18" s="386">
        <v>0</v>
      </c>
      <c r="K18" s="386">
        <v>0</v>
      </c>
      <c r="L18" s="386">
        <v>0</v>
      </c>
      <c r="M18" s="386">
        <v>0</v>
      </c>
      <c r="N18" s="386">
        <v>0</v>
      </c>
      <c r="O18" s="386">
        <v>0</v>
      </c>
      <c r="P18" s="386">
        <v>0</v>
      </c>
      <c r="Q18" s="386">
        <v>0</v>
      </c>
      <c r="R18" s="386">
        <v>0</v>
      </c>
      <c r="S18" s="386">
        <v>0</v>
      </c>
      <c r="T18" s="386">
        <v>0</v>
      </c>
      <c r="U18" s="386">
        <v>24</v>
      </c>
      <c r="V18" s="386">
        <v>24</v>
      </c>
      <c r="W18" s="386">
        <v>0</v>
      </c>
      <c r="X18" s="386">
        <v>24</v>
      </c>
      <c r="Y18" s="386">
        <v>120</v>
      </c>
      <c r="Z18" s="386">
        <v>216</v>
      </c>
      <c r="AA18" s="386">
        <v>360</v>
      </c>
      <c r="AB18" s="386">
        <v>456</v>
      </c>
      <c r="AC18" s="386">
        <v>360</v>
      </c>
      <c r="AD18" s="386">
        <v>384</v>
      </c>
      <c r="AE18" s="386">
        <v>360</v>
      </c>
      <c r="AF18" s="386">
        <v>288</v>
      </c>
      <c r="AG18" s="386">
        <v>432</v>
      </c>
      <c r="AH18" s="386">
        <v>240</v>
      </c>
      <c r="AI18" s="386">
        <v>312</v>
      </c>
      <c r="AJ18" s="386">
        <v>288</v>
      </c>
      <c r="AK18" s="386">
        <v>384</v>
      </c>
      <c r="AL18" s="386">
        <v>408</v>
      </c>
      <c r="AM18" s="386">
        <v>408</v>
      </c>
      <c r="AN18" s="386">
        <v>408</v>
      </c>
      <c r="AO18" s="386">
        <v>648</v>
      </c>
      <c r="AP18" s="386">
        <v>528</v>
      </c>
      <c r="AQ18" s="386">
        <v>384</v>
      </c>
      <c r="AR18" s="386">
        <v>384</v>
      </c>
      <c r="AS18" s="386">
        <v>312</v>
      </c>
      <c r="AT18" s="386">
        <v>264</v>
      </c>
      <c r="AU18" s="386">
        <v>192</v>
      </c>
      <c r="AV18" s="386">
        <v>240</v>
      </c>
      <c r="AW18" s="386">
        <v>96</v>
      </c>
      <c r="AX18" s="386">
        <v>96</v>
      </c>
      <c r="AY18" s="386">
        <v>48</v>
      </c>
      <c r="AZ18" s="386">
        <v>24</v>
      </c>
      <c r="BA18" s="386">
        <v>24</v>
      </c>
      <c r="BB18" s="386">
        <v>0</v>
      </c>
      <c r="BC18" s="386">
        <v>24</v>
      </c>
      <c r="BD18" s="386">
        <v>0</v>
      </c>
      <c r="BE18" s="386">
        <v>0</v>
      </c>
      <c r="BF18" s="386">
        <v>0</v>
      </c>
      <c r="BG18" s="386">
        <v>0</v>
      </c>
      <c r="BH18" s="386">
        <v>0</v>
      </c>
      <c r="BI18" s="386">
        <v>0</v>
      </c>
      <c r="BJ18" s="386">
        <v>0</v>
      </c>
      <c r="BK18" s="386">
        <v>0</v>
      </c>
      <c r="BL18" s="386">
        <v>0</v>
      </c>
      <c r="BM18" s="386">
        <v>0</v>
      </c>
      <c r="BN18" s="386">
        <v>0</v>
      </c>
      <c r="BO18" s="386">
        <v>0</v>
      </c>
    </row>
    <row r="19" spans="1:67" x14ac:dyDescent="0.2">
      <c r="A19" s="386" t="s">
        <v>894</v>
      </c>
      <c r="B19" s="387">
        <v>0</v>
      </c>
      <c r="C19" s="387">
        <v>0</v>
      </c>
      <c r="D19" s="387">
        <v>0</v>
      </c>
      <c r="E19" s="387">
        <v>0</v>
      </c>
      <c r="F19" s="387">
        <v>0</v>
      </c>
      <c r="G19" s="387">
        <v>0</v>
      </c>
      <c r="H19" s="387">
        <v>0</v>
      </c>
      <c r="I19" s="387">
        <v>0</v>
      </c>
      <c r="J19" s="387">
        <v>0</v>
      </c>
      <c r="K19" s="387">
        <v>0</v>
      </c>
      <c r="L19" s="387">
        <v>0</v>
      </c>
      <c r="M19" s="387">
        <v>0</v>
      </c>
      <c r="N19" s="387">
        <v>0</v>
      </c>
      <c r="O19" s="387">
        <v>0</v>
      </c>
      <c r="P19" s="387">
        <v>0</v>
      </c>
      <c r="Q19" s="387">
        <v>0</v>
      </c>
      <c r="R19" s="387">
        <v>0</v>
      </c>
      <c r="S19" s="387">
        <v>0</v>
      </c>
      <c r="T19" s="387">
        <v>0</v>
      </c>
      <c r="U19" s="387">
        <v>0.36299999999999999</v>
      </c>
      <c r="V19" s="387">
        <v>0.30299999999999999</v>
      </c>
      <c r="W19" s="387">
        <v>0.40600000000000003</v>
      </c>
      <c r="X19" s="387">
        <v>1.2430000000000001</v>
      </c>
      <c r="Y19" s="387">
        <v>0.61699999999999999</v>
      </c>
      <c r="Z19" s="387">
        <v>4.6109999999999998</v>
      </c>
      <c r="AA19" s="387">
        <v>6.9770000000000003</v>
      </c>
      <c r="AB19" s="387">
        <v>8.0470000000000006</v>
      </c>
      <c r="AC19" s="387">
        <v>9.8650000000000002</v>
      </c>
      <c r="AD19" s="387">
        <v>10.909000000000001</v>
      </c>
      <c r="AE19" s="387">
        <v>12.837999999999999</v>
      </c>
      <c r="AF19" s="387">
        <v>13.452999999999999</v>
      </c>
      <c r="AG19" s="387">
        <v>14.832000000000001</v>
      </c>
      <c r="AH19" s="387">
        <v>15.71</v>
      </c>
      <c r="AI19" s="387">
        <v>21.039000000000001</v>
      </c>
      <c r="AJ19" s="387">
        <v>19.298999999999999</v>
      </c>
      <c r="AK19" s="387">
        <v>23.475999999999999</v>
      </c>
      <c r="AL19" s="387">
        <v>27.317</v>
      </c>
      <c r="AM19" s="387">
        <v>45.645000000000003</v>
      </c>
      <c r="AN19" s="387">
        <v>37.24</v>
      </c>
      <c r="AO19" s="387">
        <v>51.01</v>
      </c>
      <c r="AP19" s="387">
        <v>41.771000000000001</v>
      </c>
      <c r="AQ19" s="387">
        <v>64.834000000000003</v>
      </c>
      <c r="AR19" s="387">
        <v>66.289000000000001</v>
      </c>
      <c r="AS19" s="387">
        <v>52.402000000000001</v>
      </c>
      <c r="AT19" s="387">
        <v>64.709000000000003</v>
      </c>
      <c r="AU19" s="387">
        <v>64.45</v>
      </c>
      <c r="AV19" s="387">
        <v>50.588999999999999</v>
      </c>
      <c r="AW19" s="387">
        <v>48.445999999999998</v>
      </c>
      <c r="AX19" s="387">
        <v>46.517000000000003</v>
      </c>
      <c r="AY19" s="387">
        <v>33.287999999999997</v>
      </c>
      <c r="AZ19" s="387">
        <v>29.646000000000001</v>
      </c>
      <c r="BA19" s="387">
        <v>22.54</v>
      </c>
      <c r="BB19" s="387">
        <v>19.062999999999999</v>
      </c>
      <c r="BC19" s="387">
        <v>13.228999999999999</v>
      </c>
      <c r="BD19" s="387">
        <v>6.601</v>
      </c>
      <c r="BE19" s="387">
        <v>7.0570000000000004</v>
      </c>
      <c r="BF19" s="387">
        <v>8.8070000000000004</v>
      </c>
      <c r="BG19" s="387">
        <v>1.268</v>
      </c>
      <c r="BH19" s="387">
        <v>0</v>
      </c>
      <c r="BI19" s="387">
        <v>0</v>
      </c>
      <c r="BJ19" s="387">
        <v>0</v>
      </c>
      <c r="BK19" s="387">
        <v>0</v>
      </c>
      <c r="BL19" s="387">
        <v>0</v>
      </c>
      <c r="BM19" s="387">
        <v>0</v>
      </c>
      <c r="BN19" s="387">
        <v>0</v>
      </c>
      <c r="BO19" s="387">
        <v>0</v>
      </c>
    </row>
    <row r="20" spans="1:67" x14ac:dyDescent="0.2">
      <c r="A20" s="386" t="s">
        <v>895</v>
      </c>
      <c r="B20" s="387">
        <v>0</v>
      </c>
      <c r="C20" s="387">
        <v>0</v>
      </c>
      <c r="D20" s="387">
        <v>0</v>
      </c>
      <c r="E20" s="387">
        <v>0</v>
      </c>
      <c r="F20" s="387">
        <v>0</v>
      </c>
      <c r="G20" s="387">
        <v>0</v>
      </c>
      <c r="H20" s="387">
        <v>0</v>
      </c>
      <c r="I20" s="387">
        <v>0</v>
      </c>
      <c r="J20" s="387">
        <v>0</v>
      </c>
      <c r="K20" s="387">
        <v>0</v>
      </c>
      <c r="L20" s="387">
        <v>0</v>
      </c>
      <c r="M20" s="387">
        <v>0</v>
      </c>
      <c r="N20" s="387">
        <v>0</v>
      </c>
      <c r="O20" s="387">
        <v>0</v>
      </c>
      <c r="P20" s="387">
        <v>0</v>
      </c>
      <c r="Q20" s="387">
        <v>0</v>
      </c>
      <c r="R20" s="387">
        <v>0</v>
      </c>
      <c r="S20" s="387">
        <v>0</v>
      </c>
      <c r="T20" s="387">
        <v>0</v>
      </c>
      <c r="U20" s="387">
        <v>0.499</v>
      </c>
      <c r="V20" s="387">
        <v>0.151</v>
      </c>
      <c r="W20" s="387">
        <v>0.35299999999999998</v>
      </c>
      <c r="X20" s="387">
        <v>1.107</v>
      </c>
      <c r="Y20" s="387">
        <v>0.50700000000000001</v>
      </c>
      <c r="Z20" s="387">
        <v>4.923</v>
      </c>
      <c r="AA20" s="387">
        <v>3.6379999999999999</v>
      </c>
      <c r="AB20" s="387">
        <v>3.11</v>
      </c>
      <c r="AC20" s="387">
        <v>5.0910000000000002</v>
      </c>
      <c r="AD20" s="387">
        <v>3.4940000000000002</v>
      </c>
      <c r="AE20" s="387">
        <v>4.7830000000000004</v>
      </c>
      <c r="AF20" s="387">
        <v>5.72</v>
      </c>
      <c r="AG20" s="387">
        <v>6.4210000000000003</v>
      </c>
      <c r="AH20" s="387">
        <v>7.9340000000000002</v>
      </c>
      <c r="AI20" s="387">
        <v>10.208</v>
      </c>
      <c r="AJ20" s="387">
        <v>12.574999999999999</v>
      </c>
      <c r="AK20" s="387">
        <v>15.333</v>
      </c>
      <c r="AL20" s="387">
        <v>19.18</v>
      </c>
      <c r="AM20" s="387">
        <v>24.856999999999999</v>
      </c>
      <c r="AN20" s="387">
        <v>18.266999999999999</v>
      </c>
      <c r="AO20" s="387">
        <v>26.88</v>
      </c>
      <c r="AP20" s="387">
        <v>21.876999999999999</v>
      </c>
      <c r="AQ20" s="387">
        <v>27.969000000000001</v>
      </c>
      <c r="AR20" s="387">
        <v>28.902999999999999</v>
      </c>
      <c r="AS20" s="387">
        <v>26.555</v>
      </c>
      <c r="AT20" s="387">
        <v>27.713000000000001</v>
      </c>
      <c r="AU20" s="387">
        <v>23.548999999999999</v>
      </c>
      <c r="AV20" s="387">
        <v>19.195</v>
      </c>
      <c r="AW20" s="387">
        <v>17.885999999999999</v>
      </c>
      <c r="AX20" s="387">
        <v>12.077999999999999</v>
      </c>
      <c r="AY20" s="387">
        <v>9.1980000000000004</v>
      </c>
      <c r="AZ20" s="387">
        <v>4.8860000000000001</v>
      </c>
      <c r="BA20" s="387">
        <v>3.544</v>
      </c>
      <c r="BB20" s="387">
        <v>3.621</v>
      </c>
      <c r="BC20" s="387">
        <v>2.891</v>
      </c>
      <c r="BD20" s="387">
        <v>2.0659999999999998</v>
      </c>
      <c r="BE20" s="387">
        <v>1.23</v>
      </c>
      <c r="BF20" s="387">
        <v>0.64300000000000002</v>
      </c>
      <c r="BG20" s="387">
        <v>0</v>
      </c>
      <c r="BH20" s="387">
        <v>0</v>
      </c>
      <c r="BI20" s="387">
        <v>0</v>
      </c>
      <c r="BJ20" s="387">
        <v>0</v>
      </c>
      <c r="BK20" s="387">
        <v>0</v>
      </c>
      <c r="BL20" s="387">
        <v>0</v>
      </c>
      <c r="BM20" s="387">
        <v>0</v>
      </c>
      <c r="BN20" s="387">
        <v>0</v>
      </c>
      <c r="BO20" s="387">
        <v>0</v>
      </c>
    </row>
    <row r="21" spans="1:67" x14ac:dyDescent="0.2">
      <c r="A21" s="386" t="s">
        <v>896</v>
      </c>
      <c r="B21" s="387">
        <v>0</v>
      </c>
      <c r="C21" s="387">
        <v>0</v>
      </c>
      <c r="D21" s="387">
        <v>0</v>
      </c>
      <c r="E21" s="387">
        <v>0</v>
      </c>
      <c r="F21" s="387">
        <v>0</v>
      </c>
      <c r="G21" s="387">
        <v>0</v>
      </c>
      <c r="H21" s="387">
        <v>0</v>
      </c>
      <c r="I21" s="387">
        <v>0</v>
      </c>
      <c r="J21" s="387">
        <v>0</v>
      </c>
      <c r="K21" s="387">
        <v>0</v>
      </c>
      <c r="L21" s="387">
        <v>0</v>
      </c>
      <c r="M21" s="387">
        <v>0</v>
      </c>
      <c r="N21" s="387">
        <v>0</v>
      </c>
      <c r="O21" s="387">
        <v>0</v>
      </c>
      <c r="P21" s="387">
        <v>0</v>
      </c>
      <c r="Q21" s="387">
        <v>0</v>
      </c>
      <c r="R21" s="387">
        <v>0</v>
      </c>
      <c r="S21" s="387">
        <v>0</v>
      </c>
      <c r="T21" s="387">
        <v>0</v>
      </c>
      <c r="U21" s="387">
        <v>0.872</v>
      </c>
      <c r="V21" s="387">
        <v>0.40400000000000003</v>
      </c>
      <c r="W21" s="387">
        <v>1.0469999999999999</v>
      </c>
      <c r="X21" s="387">
        <v>2.56</v>
      </c>
      <c r="Y21" s="387">
        <v>0.72899999999999998</v>
      </c>
      <c r="Z21" s="387">
        <v>6.609</v>
      </c>
      <c r="AA21" s="387">
        <v>9.4190000000000005</v>
      </c>
      <c r="AB21" s="387">
        <v>12.327999999999999</v>
      </c>
      <c r="AC21" s="387">
        <v>10.036</v>
      </c>
      <c r="AD21" s="387">
        <v>10.032</v>
      </c>
      <c r="AE21" s="387">
        <v>13.641</v>
      </c>
      <c r="AF21" s="387">
        <v>14.041</v>
      </c>
      <c r="AG21" s="387">
        <v>12.208</v>
      </c>
      <c r="AH21" s="387">
        <v>13.176</v>
      </c>
      <c r="AI21" s="387">
        <v>15.669</v>
      </c>
      <c r="AJ21" s="387">
        <v>14.25</v>
      </c>
      <c r="AK21" s="387">
        <v>20.181999999999999</v>
      </c>
      <c r="AL21" s="387">
        <v>22.884</v>
      </c>
      <c r="AM21" s="387">
        <v>38.450000000000003</v>
      </c>
      <c r="AN21" s="387">
        <v>31.823</v>
      </c>
      <c r="AO21" s="387">
        <v>35.421999999999997</v>
      </c>
      <c r="AP21" s="387">
        <v>23.707000000000001</v>
      </c>
      <c r="AQ21" s="387">
        <v>37.29</v>
      </c>
      <c r="AR21" s="387">
        <v>34.773000000000003</v>
      </c>
      <c r="AS21" s="387">
        <v>27.73</v>
      </c>
      <c r="AT21" s="387">
        <v>32.86</v>
      </c>
      <c r="AU21" s="387">
        <v>35.755000000000003</v>
      </c>
      <c r="AV21" s="387">
        <v>26.393999999999998</v>
      </c>
      <c r="AW21" s="387">
        <v>27.268999999999998</v>
      </c>
      <c r="AX21" s="387">
        <v>26.321999999999999</v>
      </c>
      <c r="AY21" s="387">
        <v>19.914000000000001</v>
      </c>
      <c r="AZ21" s="387">
        <v>15.673</v>
      </c>
      <c r="BA21" s="387">
        <v>12.102</v>
      </c>
      <c r="BB21" s="387">
        <v>10.675000000000001</v>
      </c>
      <c r="BC21" s="387">
        <v>7.5119999999999996</v>
      </c>
      <c r="BD21" s="387">
        <v>3.5019999999999998</v>
      </c>
      <c r="BE21" s="387">
        <v>3.8239999999999998</v>
      </c>
      <c r="BF21" s="387">
        <v>4.9119999999999999</v>
      </c>
      <c r="BG21" s="387">
        <v>0.82699999999999996</v>
      </c>
      <c r="BH21" s="387">
        <v>0</v>
      </c>
      <c r="BI21" s="387">
        <v>0</v>
      </c>
      <c r="BJ21" s="387">
        <v>0</v>
      </c>
      <c r="BK21" s="387">
        <v>0</v>
      </c>
      <c r="BL21" s="387">
        <v>0</v>
      </c>
      <c r="BM21" s="387">
        <v>0</v>
      </c>
      <c r="BN21" s="387">
        <v>0</v>
      </c>
      <c r="BO21" s="387">
        <v>0</v>
      </c>
    </row>
    <row r="22" spans="1:67" x14ac:dyDescent="0.2">
      <c r="A22" s="386" t="s">
        <v>897</v>
      </c>
      <c r="B22" s="387">
        <v>0</v>
      </c>
      <c r="C22" s="387">
        <v>0</v>
      </c>
      <c r="D22" s="387">
        <v>0</v>
      </c>
      <c r="E22" s="387">
        <v>0</v>
      </c>
      <c r="F22" s="387">
        <v>0</v>
      </c>
      <c r="G22" s="387">
        <v>0</v>
      </c>
      <c r="H22" s="387">
        <v>0</v>
      </c>
      <c r="I22" s="387">
        <v>0</v>
      </c>
      <c r="J22" s="387">
        <v>0</v>
      </c>
      <c r="K22" s="387">
        <v>0</v>
      </c>
      <c r="L22" s="387">
        <v>0</v>
      </c>
      <c r="M22" s="387">
        <v>0</v>
      </c>
      <c r="N22" s="387">
        <v>0</v>
      </c>
      <c r="O22" s="387">
        <v>0</v>
      </c>
      <c r="P22" s="387">
        <v>0</v>
      </c>
      <c r="Q22" s="387">
        <v>0</v>
      </c>
      <c r="R22" s="387">
        <v>0</v>
      </c>
      <c r="S22" s="387">
        <v>0</v>
      </c>
      <c r="T22" s="387">
        <v>0</v>
      </c>
      <c r="U22" s="387">
        <v>0.24299999999999999</v>
      </c>
      <c r="V22" s="387">
        <v>0</v>
      </c>
      <c r="W22" s="387">
        <v>0.26200000000000001</v>
      </c>
      <c r="X22" s="387">
        <v>0.85</v>
      </c>
      <c r="Y22" s="387">
        <v>0</v>
      </c>
      <c r="Z22" s="387">
        <v>0.187</v>
      </c>
      <c r="AA22" s="387">
        <v>0.70399999999999996</v>
      </c>
      <c r="AB22" s="387">
        <v>2.4430000000000001</v>
      </c>
      <c r="AC22" s="387">
        <v>1.2709999999999999</v>
      </c>
      <c r="AD22" s="387">
        <v>1.0620000000000001</v>
      </c>
      <c r="AE22" s="387">
        <v>2.391</v>
      </c>
      <c r="AF22" s="387">
        <v>4.2450000000000001</v>
      </c>
      <c r="AG22" s="387">
        <v>1.9870000000000001</v>
      </c>
      <c r="AH22" s="387">
        <v>2.2130000000000001</v>
      </c>
      <c r="AI22" s="387">
        <v>5.1280000000000001</v>
      </c>
      <c r="AJ22" s="387">
        <v>3.7280000000000002</v>
      </c>
      <c r="AK22" s="387">
        <v>3.9279999999999999</v>
      </c>
      <c r="AL22" s="387">
        <v>3.6379999999999999</v>
      </c>
      <c r="AM22" s="387">
        <v>9.2669999999999995</v>
      </c>
      <c r="AN22" s="387">
        <v>8.5660000000000007</v>
      </c>
      <c r="AO22" s="387">
        <v>10.333</v>
      </c>
      <c r="AP22" s="387">
        <v>7.1529999999999996</v>
      </c>
      <c r="AQ22" s="387">
        <v>15.061</v>
      </c>
      <c r="AR22" s="387">
        <v>11.458</v>
      </c>
      <c r="AS22" s="387">
        <v>10.38</v>
      </c>
      <c r="AT22" s="387">
        <v>18.922999999999998</v>
      </c>
      <c r="AU22" s="387">
        <v>21.997</v>
      </c>
      <c r="AV22" s="387">
        <v>16.324000000000002</v>
      </c>
      <c r="AW22" s="387">
        <v>13.606999999999999</v>
      </c>
      <c r="AX22" s="387">
        <v>16.960999999999999</v>
      </c>
      <c r="AY22" s="387">
        <v>12.259</v>
      </c>
      <c r="AZ22" s="387">
        <v>14.218999999999999</v>
      </c>
      <c r="BA22" s="387">
        <v>10.755000000000001</v>
      </c>
      <c r="BB22" s="387">
        <v>10.157999999999999</v>
      </c>
      <c r="BC22" s="387">
        <v>6.2309999999999999</v>
      </c>
      <c r="BD22" s="387">
        <v>2.1960000000000002</v>
      </c>
      <c r="BE22" s="387">
        <v>3.3730000000000002</v>
      </c>
      <c r="BF22" s="387">
        <v>5.15</v>
      </c>
      <c r="BG22" s="387">
        <v>0.93600000000000005</v>
      </c>
      <c r="BH22" s="387">
        <v>0</v>
      </c>
      <c r="BI22" s="387">
        <v>0</v>
      </c>
      <c r="BJ22" s="387">
        <v>0</v>
      </c>
      <c r="BK22" s="387">
        <v>0</v>
      </c>
      <c r="BL22" s="387">
        <v>0</v>
      </c>
      <c r="BM22" s="387">
        <v>0</v>
      </c>
      <c r="BN22" s="387">
        <v>0</v>
      </c>
      <c r="BO22" s="387">
        <v>0</v>
      </c>
    </row>
    <row r="23" spans="1:67" x14ac:dyDescent="0.2">
      <c r="A23" s="388" t="s">
        <v>898</v>
      </c>
      <c r="B23" s="389">
        <v>0</v>
      </c>
      <c r="C23" s="389">
        <v>0</v>
      </c>
      <c r="D23" s="389">
        <v>0</v>
      </c>
      <c r="E23" s="389">
        <v>0</v>
      </c>
      <c r="F23" s="389">
        <v>0</v>
      </c>
      <c r="G23" s="389">
        <v>0</v>
      </c>
      <c r="H23" s="389">
        <v>0</v>
      </c>
      <c r="I23" s="389">
        <v>0</v>
      </c>
      <c r="J23" s="389">
        <v>0</v>
      </c>
      <c r="K23" s="389">
        <v>0</v>
      </c>
      <c r="L23" s="389">
        <v>0</v>
      </c>
      <c r="M23" s="389">
        <v>0</v>
      </c>
      <c r="N23" s="389">
        <v>0</v>
      </c>
      <c r="O23" s="389">
        <v>0</v>
      </c>
      <c r="P23" s="389">
        <v>0</v>
      </c>
      <c r="Q23" s="389">
        <v>0</v>
      </c>
      <c r="R23" s="389">
        <v>0</v>
      </c>
      <c r="S23" s="389">
        <v>0</v>
      </c>
      <c r="T23" s="389">
        <v>0</v>
      </c>
      <c r="U23" s="389">
        <v>0.22900000000000001</v>
      </c>
      <c r="V23" s="389">
        <v>0</v>
      </c>
      <c r="W23" s="389">
        <v>0.24099999999999999</v>
      </c>
      <c r="X23" s="389">
        <v>0.45500000000000002</v>
      </c>
      <c r="Y23" s="389">
        <v>0</v>
      </c>
      <c r="Z23" s="389">
        <v>0.18099999999999999</v>
      </c>
      <c r="AA23" s="389">
        <v>0.32</v>
      </c>
      <c r="AB23" s="389">
        <v>0.50900000000000001</v>
      </c>
      <c r="AC23" s="389">
        <v>0</v>
      </c>
      <c r="AD23" s="389">
        <v>0</v>
      </c>
      <c r="AE23" s="389">
        <v>0.19700000000000001</v>
      </c>
      <c r="AF23" s="389">
        <v>0.20300000000000001</v>
      </c>
      <c r="AG23" s="389">
        <v>0</v>
      </c>
      <c r="AH23" s="389">
        <v>0.52</v>
      </c>
      <c r="AI23" s="389">
        <v>0.185</v>
      </c>
      <c r="AJ23" s="389">
        <v>0.155</v>
      </c>
      <c r="AK23" s="389">
        <v>0.48099999999999998</v>
      </c>
      <c r="AL23" s="389">
        <v>0.80800000000000005</v>
      </c>
      <c r="AM23" s="389">
        <v>1.008</v>
      </c>
      <c r="AN23" s="389">
        <v>0.99399999999999999</v>
      </c>
      <c r="AO23" s="389">
        <v>1.2749999999999999</v>
      </c>
      <c r="AP23" s="389">
        <v>0.61699999999999999</v>
      </c>
      <c r="AQ23" s="389">
        <v>1.119</v>
      </c>
      <c r="AR23" s="389">
        <v>1.26</v>
      </c>
      <c r="AS23" s="389">
        <v>1.238</v>
      </c>
      <c r="AT23" s="389">
        <v>1.57</v>
      </c>
      <c r="AU23" s="389">
        <v>2.3620000000000001</v>
      </c>
      <c r="AV23" s="389">
        <v>2.0499999999999998</v>
      </c>
      <c r="AW23" s="389">
        <v>0.98699999999999999</v>
      </c>
      <c r="AX23" s="389">
        <v>1.712</v>
      </c>
      <c r="AY23" s="389">
        <v>0.76800000000000002</v>
      </c>
      <c r="AZ23" s="389">
        <v>0.48199999999999998</v>
      </c>
      <c r="BA23" s="389">
        <v>0.46100000000000002</v>
      </c>
      <c r="BB23" s="389">
        <v>0.155</v>
      </c>
      <c r="BC23" s="389">
        <v>0.156</v>
      </c>
      <c r="BD23" s="389">
        <v>0.46500000000000002</v>
      </c>
      <c r="BE23" s="389">
        <v>0.47299999999999998</v>
      </c>
      <c r="BF23" s="389">
        <v>0.32900000000000001</v>
      </c>
      <c r="BG23" s="389">
        <v>0</v>
      </c>
      <c r="BH23" s="389">
        <v>0</v>
      </c>
      <c r="BI23" s="389">
        <v>0</v>
      </c>
      <c r="BJ23" s="389">
        <v>0</v>
      </c>
      <c r="BK23" s="389">
        <v>0</v>
      </c>
      <c r="BL23" s="389">
        <v>0</v>
      </c>
      <c r="BM23" s="389">
        <v>0</v>
      </c>
      <c r="BN23" s="389">
        <v>0</v>
      </c>
      <c r="BO23" s="389">
        <v>0</v>
      </c>
    </row>
    <row r="25" spans="1:67" x14ac:dyDescent="0.2">
      <c r="A25" s="380" t="s">
        <v>3173</v>
      </c>
      <c r="B25" s="381" t="s">
        <v>900</v>
      </c>
    </row>
    <row r="26" spans="1:67" x14ac:dyDescent="0.2">
      <c r="A26" s="382" t="s">
        <v>3667</v>
      </c>
      <c r="B26" s="383"/>
    </row>
    <row r="27" spans="1:67" x14ac:dyDescent="0.2">
      <c r="A27" s="384" t="s">
        <v>3175</v>
      </c>
      <c r="B27" s="384">
        <v>-25</v>
      </c>
      <c r="C27" s="384">
        <v>-24</v>
      </c>
      <c r="D27" s="384">
        <v>-23</v>
      </c>
      <c r="E27" s="384">
        <v>-22</v>
      </c>
      <c r="F27" s="384">
        <v>-21</v>
      </c>
      <c r="G27" s="384">
        <v>-20</v>
      </c>
      <c r="H27" s="384">
        <v>-19</v>
      </c>
      <c r="I27" s="384">
        <v>-18</v>
      </c>
      <c r="J27" s="384">
        <v>-17</v>
      </c>
      <c r="K27" s="384">
        <v>-16</v>
      </c>
      <c r="L27" s="384">
        <v>-15</v>
      </c>
      <c r="M27" s="384">
        <v>-14</v>
      </c>
      <c r="N27" s="384">
        <v>-13</v>
      </c>
      <c r="O27" s="384">
        <v>-12</v>
      </c>
      <c r="P27" s="384">
        <v>-11</v>
      </c>
      <c r="Q27" s="384">
        <v>-10</v>
      </c>
      <c r="R27" s="384">
        <v>-9</v>
      </c>
      <c r="S27" s="384">
        <v>-8</v>
      </c>
      <c r="T27" s="384">
        <v>-7</v>
      </c>
      <c r="U27" s="384">
        <v>-6</v>
      </c>
      <c r="V27" s="384">
        <v>-5</v>
      </c>
      <c r="W27" s="384">
        <v>-4</v>
      </c>
      <c r="X27" s="384">
        <v>-3</v>
      </c>
      <c r="Y27" s="384">
        <v>-2</v>
      </c>
      <c r="Z27" s="384">
        <v>-1</v>
      </c>
      <c r="AA27" s="384">
        <v>0</v>
      </c>
      <c r="AB27" s="384">
        <v>1</v>
      </c>
      <c r="AC27" s="384">
        <v>2</v>
      </c>
      <c r="AD27" s="384">
        <v>3</v>
      </c>
      <c r="AE27" s="384">
        <v>4</v>
      </c>
      <c r="AF27" s="384">
        <v>5</v>
      </c>
      <c r="AG27" s="384">
        <v>6</v>
      </c>
      <c r="AH27" s="384">
        <v>7</v>
      </c>
      <c r="AI27" s="384">
        <v>8</v>
      </c>
      <c r="AJ27" s="384">
        <v>9</v>
      </c>
      <c r="AK27" s="384">
        <v>10</v>
      </c>
      <c r="AL27" s="384">
        <v>11</v>
      </c>
      <c r="AM27" s="384">
        <v>12</v>
      </c>
      <c r="AN27" s="384">
        <v>13</v>
      </c>
      <c r="AO27" s="384">
        <v>14</v>
      </c>
      <c r="AP27" s="384">
        <v>15</v>
      </c>
      <c r="AQ27" s="384">
        <v>16</v>
      </c>
      <c r="AR27" s="384">
        <v>17</v>
      </c>
      <c r="AS27" s="384">
        <v>18</v>
      </c>
      <c r="AT27" s="384">
        <v>19</v>
      </c>
      <c r="AU27" s="384">
        <v>20</v>
      </c>
      <c r="AV27" s="384">
        <v>21</v>
      </c>
      <c r="AW27" s="384">
        <v>22</v>
      </c>
      <c r="AX27" s="384">
        <v>23</v>
      </c>
      <c r="AY27" s="384">
        <v>24</v>
      </c>
      <c r="AZ27" s="384">
        <v>25</v>
      </c>
      <c r="BA27" s="384">
        <v>26</v>
      </c>
      <c r="BB27" s="384">
        <v>27</v>
      </c>
      <c r="BC27" s="384">
        <v>28</v>
      </c>
      <c r="BD27" s="384">
        <v>29</v>
      </c>
      <c r="BE27" s="384">
        <v>30</v>
      </c>
      <c r="BF27" s="384">
        <v>31</v>
      </c>
      <c r="BG27" s="384">
        <v>32</v>
      </c>
      <c r="BH27" s="384">
        <v>33</v>
      </c>
      <c r="BI27" s="384">
        <v>34</v>
      </c>
      <c r="BJ27" s="384">
        <v>35</v>
      </c>
      <c r="BK27" s="384">
        <v>36</v>
      </c>
      <c r="BL27" s="384">
        <v>37</v>
      </c>
      <c r="BM27" s="384">
        <v>38</v>
      </c>
      <c r="BN27" s="384">
        <v>39</v>
      </c>
      <c r="BO27" s="384">
        <v>40</v>
      </c>
    </row>
    <row r="28" spans="1:67" x14ac:dyDescent="0.2">
      <c r="A28" s="385" t="s">
        <v>3176</v>
      </c>
      <c r="B28" s="385">
        <v>0</v>
      </c>
      <c r="C28" s="385">
        <v>0</v>
      </c>
      <c r="D28" s="385">
        <v>0</v>
      </c>
      <c r="E28" s="385">
        <v>0</v>
      </c>
      <c r="F28" s="385">
        <v>0</v>
      </c>
      <c r="G28" s="385">
        <v>0</v>
      </c>
      <c r="H28" s="385">
        <v>0</v>
      </c>
      <c r="I28" s="385">
        <v>0</v>
      </c>
      <c r="J28" s="385">
        <v>0</v>
      </c>
      <c r="K28" s="385">
        <v>0</v>
      </c>
      <c r="L28" s="385">
        <v>0</v>
      </c>
      <c r="M28" s="385">
        <v>0</v>
      </c>
      <c r="N28" s="385">
        <v>0</v>
      </c>
      <c r="O28" s="385">
        <v>0</v>
      </c>
      <c r="P28" s="385">
        <v>0</v>
      </c>
      <c r="Q28" s="385">
        <v>2</v>
      </c>
      <c r="R28" s="385">
        <v>11</v>
      </c>
      <c r="S28" s="385">
        <v>26</v>
      </c>
      <c r="T28" s="385">
        <v>19</v>
      </c>
      <c r="U28" s="385">
        <v>34</v>
      </c>
      <c r="V28" s="385">
        <v>47</v>
      </c>
      <c r="W28" s="385">
        <v>58</v>
      </c>
      <c r="X28" s="385">
        <v>74</v>
      </c>
      <c r="Y28" s="385">
        <v>112</v>
      </c>
      <c r="Z28" s="385">
        <v>167</v>
      </c>
      <c r="AA28" s="385">
        <v>191</v>
      </c>
      <c r="AB28" s="385">
        <v>229</v>
      </c>
      <c r="AC28" s="385">
        <v>335</v>
      </c>
      <c r="AD28" s="385">
        <v>406</v>
      </c>
      <c r="AE28" s="385">
        <v>411</v>
      </c>
      <c r="AF28" s="385">
        <v>386</v>
      </c>
      <c r="AG28" s="385">
        <v>384</v>
      </c>
      <c r="AH28" s="385">
        <v>424</v>
      </c>
      <c r="AI28" s="385">
        <v>393</v>
      </c>
      <c r="AJ28" s="385">
        <v>433</v>
      </c>
      <c r="AK28" s="385">
        <v>384</v>
      </c>
      <c r="AL28" s="385">
        <v>394</v>
      </c>
      <c r="AM28" s="385">
        <v>384</v>
      </c>
      <c r="AN28" s="385">
        <v>328</v>
      </c>
      <c r="AO28" s="385">
        <v>333</v>
      </c>
      <c r="AP28" s="385">
        <v>331</v>
      </c>
      <c r="AQ28" s="385">
        <v>347</v>
      </c>
      <c r="AR28" s="385">
        <v>344</v>
      </c>
      <c r="AS28" s="385">
        <v>305</v>
      </c>
      <c r="AT28" s="385">
        <v>278</v>
      </c>
      <c r="AU28" s="385">
        <v>234</v>
      </c>
      <c r="AV28" s="385">
        <v>202</v>
      </c>
      <c r="AW28" s="385">
        <v>176</v>
      </c>
      <c r="AX28" s="385">
        <v>130</v>
      </c>
      <c r="AY28" s="385">
        <v>118</v>
      </c>
      <c r="AZ28" s="385">
        <v>99</v>
      </c>
      <c r="BA28" s="385">
        <v>66</v>
      </c>
      <c r="BB28" s="385">
        <v>42</v>
      </c>
      <c r="BC28" s="385">
        <v>38</v>
      </c>
      <c r="BD28" s="385">
        <v>32</v>
      </c>
      <c r="BE28" s="385">
        <v>23</v>
      </c>
      <c r="BF28" s="385">
        <v>12</v>
      </c>
      <c r="BG28" s="385">
        <v>7</v>
      </c>
      <c r="BH28" s="385">
        <v>4</v>
      </c>
      <c r="BI28" s="385">
        <v>5</v>
      </c>
      <c r="BJ28" s="385">
        <v>2</v>
      </c>
      <c r="BK28" s="385">
        <v>0</v>
      </c>
      <c r="BL28" s="385">
        <v>0</v>
      </c>
      <c r="BM28" s="385">
        <v>0</v>
      </c>
      <c r="BN28" s="385">
        <v>0</v>
      </c>
      <c r="BO28" s="385">
        <v>0</v>
      </c>
    </row>
    <row r="29" spans="1:67" x14ac:dyDescent="0.2">
      <c r="A29" s="386" t="s">
        <v>893</v>
      </c>
      <c r="B29" s="386">
        <v>0</v>
      </c>
      <c r="C29" s="386">
        <v>0</v>
      </c>
      <c r="D29" s="386">
        <v>0</v>
      </c>
      <c r="E29" s="386">
        <v>0</v>
      </c>
      <c r="F29" s="386">
        <v>0</v>
      </c>
      <c r="G29" s="386">
        <v>0</v>
      </c>
      <c r="H29" s="386">
        <v>0</v>
      </c>
      <c r="I29" s="386">
        <v>0</v>
      </c>
      <c r="J29" s="386">
        <v>0</v>
      </c>
      <c r="K29" s="386">
        <v>0</v>
      </c>
      <c r="L29" s="386">
        <v>0</v>
      </c>
      <c r="M29" s="386">
        <v>0</v>
      </c>
      <c r="N29" s="386">
        <v>0</v>
      </c>
      <c r="O29" s="386">
        <v>0</v>
      </c>
      <c r="P29" s="386">
        <v>0</v>
      </c>
      <c r="Q29" s="386">
        <v>0</v>
      </c>
      <c r="R29" s="386">
        <v>0</v>
      </c>
      <c r="S29" s="386">
        <v>0</v>
      </c>
      <c r="T29" s="386">
        <v>24</v>
      </c>
      <c r="U29" s="386">
        <v>24</v>
      </c>
      <c r="V29" s="386">
        <v>24</v>
      </c>
      <c r="W29" s="386">
        <v>144</v>
      </c>
      <c r="X29" s="386">
        <v>24</v>
      </c>
      <c r="Y29" s="386">
        <v>96</v>
      </c>
      <c r="Z29" s="386">
        <v>96</v>
      </c>
      <c r="AA29" s="386">
        <v>144</v>
      </c>
      <c r="AB29" s="386">
        <v>192</v>
      </c>
      <c r="AC29" s="386">
        <v>432</v>
      </c>
      <c r="AD29" s="386">
        <v>432</v>
      </c>
      <c r="AE29" s="386">
        <v>384</v>
      </c>
      <c r="AF29" s="386">
        <v>480</v>
      </c>
      <c r="AG29" s="386">
        <v>312</v>
      </c>
      <c r="AH29" s="386">
        <v>480</v>
      </c>
      <c r="AI29" s="386">
        <v>408</v>
      </c>
      <c r="AJ29" s="386">
        <v>384</v>
      </c>
      <c r="AK29" s="386">
        <v>288</v>
      </c>
      <c r="AL29" s="386">
        <v>384</v>
      </c>
      <c r="AM29" s="386">
        <v>336</v>
      </c>
      <c r="AN29" s="386">
        <v>432</v>
      </c>
      <c r="AO29" s="386">
        <v>360</v>
      </c>
      <c r="AP29" s="386">
        <v>408</v>
      </c>
      <c r="AQ29" s="386">
        <v>432</v>
      </c>
      <c r="AR29" s="386">
        <v>216</v>
      </c>
      <c r="AS29" s="386">
        <v>264</v>
      </c>
      <c r="AT29" s="386">
        <v>552</v>
      </c>
      <c r="AU29" s="386">
        <v>360</v>
      </c>
      <c r="AV29" s="386">
        <v>192</v>
      </c>
      <c r="AW29" s="386">
        <v>216</v>
      </c>
      <c r="AX29" s="386">
        <v>48</v>
      </c>
      <c r="AY29" s="386">
        <v>120</v>
      </c>
      <c r="AZ29" s="386">
        <v>48</v>
      </c>
      <c r="BA29" s="386">
        <v>0</v>
      </c>
      <c r="BB29" s="386">
        <v>0</v>
      </c>
      <c r="BC29" s="386">
        <v>24</v>
      </c>
      <c r="BD29" s="386">
        <v>0</v>
      </c>
      <c r="BE29" s="386">
        <v>0</v>
      </c>
      <c r="BF29" s="386">
        <v>0</v>
      </c>
      <c r="BG29" s="386">
        <v>0</v>
      </c>
      <c r="BH29" s="386">
        <v>0</v>
      </c>
      <c r="BI29" s="386">
        <v>0</v>
      </c>
      <c r="BJ29" s="386">
        <v>0</v>
      </c>
      <c r="BK29" s="386">
        <v>0</v>
      </c>
      <c r="BL29" s="386">
        <v>0</v>
      </c>
      <c r="BM29" s="386">
        <v>0</v>
      </c>
      <c r="BN29" s="386">
        <v>0</v>
      </c>
      <c r="BO29" s="386">
        <v>0</v>
      </c>
    </row>
    <row r="30" spans="1:67" x14ac:dyDescent="0.2">
      <c r="A30" s="386" t="s">
        <v>894</v>
      </c>
      <c r="B30" s="387">
        <v>0</v>
      </c>
      <c r="C30" s="387">
        <v>0</v>
      </c>
      <c r="D30" s="387">
        <v>0</v>
      </c>
      <c r="E30" s="387">
        <v>0</v>
      </c>
      <c r="F30" s="387">
        <v>0</v>
      </c>
      <c r="G30" s="387">
        <v>0</v>
      </c>
      <c r="H30" s="387">
        <v>0</v>
      </c>
      <c r="I30" s="387">
        <v>0</v>
      </c>
      <c r="J30" s="387">
        <v>0</v>
      </c>
      <c r="K30" s="387">
        <v>0</v>
      </c>
      <c r="L30" s="387">
        <v>0</v>
      </c>
      <c r="M30" s="387">
        <v>0</v>
      </c>
      <c r="N30" s="387">
        <v>0</v>
      </c>
      <c r="O30" s="387">
        <v>0</v>
      </c>
      <c r="P30" s="387">
        <v>0</v>
      </c>
      <c r="Q30" s="387">
        <v>0</v>
      </c>
      <c r="R30" s="387">
        <v>0</v>
      </c>
      <c r="S30" s="387">
        <v>0.20100000000000001</v>
      </c>
      <c r="T30" s="387">
        <v>0.59199999999999997</v>
      </c>
      <c r="U30" s="387">
        <v>0.82199999999999995</v>
      </c>
      <c r="V30" s="387">
        <v>1.155</v>
      </c>
      <c r="W30" s="387">
        <v>3.536</v>
      </c>
      <c r="X30" s="387">
        <v>2.7930000000000001</v>
      </c>
      <c r="Y30" s="387">
        <v>4.7850000000000001</v>
      </c>
      <c r="Z30" s="387">
        <v>4.173</v>
      </c>
      <c r="AA30" s="387">
        <v>5.2380000000000004</v>
      </c>
      <c r="AB30" s="387">
        <v>4.165</v>
      </c>
      <c r="AC30" s="387">
        <v>7.8920000000000003</v>
      </c>
      <c r="AD30" s="387">
        <v>9.9920000000000009</v>
      </c>
      <c r="AE30" s="387">
        <v>9.7669999999999995</v>
      </c>
      <c r="AF30" s="387">
        <v>14.818</v>
      </c>
      <c r="AG30" s="387">
        <v>18.71</v>
      </c>
      <c r="AH30" s="387">
        <v>23.19</v>
      </c>
      <c r="AI30" s="387">
        <v>20.116</v>
      </c>
      <c r="AJ30" s="387">
        <v>31.638999999999999</v>
      </c>
      <c r="AK30" s="387">
        <v>26.08</v>
      </c>
      <c r="AL30" s="387">
        <v>28.751999999999999</v>
      </c>
      <c r="AM30" s="387">
        <v>27.879000000000001</v>
      </c>
      <c r="AN30" s="387">
        <v>29.937000000000001</v>
      </c>
      <c r="AO30" s="387">
        <v>35.030999999999999</v>
      </c>
      <c r="AP30" s="387">
        <v>36.399000000000001</v>
      </c>
      <c r="AQ30" s="387">
        <v>47.997</v>
      </c>
      <c r="AR30" s="387">
        <v>44.643000000000001</v>
      </c>
      <c r="AS30" s="387">
        <v>46.01</v>
      </c>
      <c r="AT30" s="387">
        <v>50.137999999999998</v>
      </c>
      <c r="AU30" s="387">
        <v>61.859000000000002</v>
      </c>
      <c r="AV30" s="387">
        <v>63.134</v>
      </c>
      <c r="AW30" s="387">
        <v>61.963000000000001</v>
      </c>
      <c r="AX30" s="387">
        <v>49.896999999999998</v>
      </c>
      <c r="AY30" s="387">
        <v>48.948999999999998</v>
      </c>
      <c r="AZ30" s="387">
        <v>49.189</v>
      </c>
      <c r="BA30" s="387">
        <v>34.179000000000002</v>
      </c>
      <c r="BB30" s="387">
        <v>20.698</v>
      </c>
      <c r="BC30" s="387">
        <v>21.221</v>
      </c>
      <c r="BD30" s="387">
        <v>17.004999999999999</v>
      </c>
      <c r="BE30" s="387">
        <v>12.769</v>
      </c>
      <c r="BF30" s="387">
        <v>6.93</v>
      </c>
      <c r="BG30" s="387">
        <v>3.8410000000000002</v>
      </c>
      <c r="BH30" s="387">
        <v>1.9970000000000001</v>
      </c>
      <c r="BI30" s="387">
        <v>2.5790000000000002</v>
      </c>
      <c r="BJ30" s="387">
        <v>1.367</v>
      </c>
      <c r="BK30" s="387">
        <v>0</v>
      </c>
      <c r="BL30" s="387">
        <v>0</v>
      </c>
      <c r="BM30" s="387">
        <v>0</v>
      </c>
      <c r="BN30" s="387">
        <v>0</v>
      </c>
      <c r="BO30" s="387">
        <v>0</v>
      </c>
    </row>
    <row r="31" spans="1:67" x14ac:dyDescent="0.2">
      <c r="A31" s="386" t="s">
        <v>895</v>
      </c>
      <c r="B31" s="387">
        <v>0</v>
      </c>
      <c r="C31" s="387">
        <v>0</v>
      </c>
      <c r="D31" s="387">
        <v>0</v>
      </c>
      <c r="E31" s="387">
        <v>0</v>
      </c>
      <c r="F31" s="387">
        <v>0</v>
      </c>
      <c r="G31" s="387">
        <v>0</v>
      </c>
      <c r="H31" s="387">
        <v>0</v>
      </c>
      <c r="I31" s="387">
        <v>0</v>
      </c>
      <c r="J31" s="387">
        <v>0</v>
      </c>
      <c r="K31" s="387">
        <v>0</v>
      </c>
      <c r="L31" s="387">
        <v>0</v>
      </c>
      <c r="M31" s="387">
        <v>0</v>
      </c>
      <c r="N31" s="387">
        <v>0</v>
      </c>
      <c r="O31" s="387">
        <v>0</v>
      </c>
      <c r="P31" s="387">
        <v>0</v>
      </c>
      <c r="Q31" s="387">
        <v>0</v>
      </c>
      <c r="R31" s="387">
        <v>0.29299999999999998</v>
      </c>
      <c r="S31" s="387">
        <v>1.744</v>
      </c>
      <c r="T31" s="387">
        <v>1.29</v>
      </c>
      <c r="U31" s="387">
        <v>1.476</v>
      </c>
      <c r="V31" s="387">
        <v>1.8160000000000001</v>
      </c>
      <c r="W31" s="387">
        <v>3.0449999999999999</v>
      </c>
      <c r="X31" s="387">
        <v>3.0720000000000001</v>
      </c>
      <c r="Y31" s="387">
        <v>3.7480000000000002</v>
      </c>
      <c r="Z31" s="387">
        <v>5.1719999999999997</v>
      </c>
      <c r="AA31" s="387">
        <v>7.63</v>
      </c>
      <c r="AB31" s="387">
        <v>3.9590000000000001</v>
      </c>
      <c r="AC31" s="387">
        <v>6.73</v>
      </c>
      <c r="AD31" s="387">
        <v>7.9649999999999999</v>
      </c>
      <c r="AE31" s="387">
        <v>5.0279999999999996</v>
      </c>
      <c r="AF31" s="387">
        <v>8.9239999999999995</v>
      </c>
      <c r="AG31" s="387">
        <v>8.1460000000000008</v>
      </c>
      <c r="AH31" s="387">
        <v>11.37</v>
      </c>
      <c r="AI31" s="387">
        <v>11.257</v>
      </c>
      <c r="AJ31" s="387">
        <v>16.710999999999999</v>
      </c>
      <c r="AK31" s="387">
        <v>14.435</v>
      </c>
      <c r="AL31" s="387">
        <v>15.204000000000001</v>
      </c>
      <c r="AM31" s="387">
        <v>13.878</v>
      </c>
      <c r="AN31" s="387">
        <v>19.469000000000001</v>
      </c>
      <c r="AO31" s="387">
        <v>24.396000000000001</v>
      </c>
      <c r="AP31" s="387">
        <v>25.57</v>
      </c>
      <c r="AQ31" s="387">
        <v>23.466000000000001</v>
      </c>
      <c r="AR31" s="387">
        <v>26.719000000000001</v>
      </c>
      <c r="AS31" s="387">
        <v>22.699000000000002</v>
      </c>
      <c r="AT31" s="387">
        <v>24.741</v>
      </c>
      <c r="AU31" s="387">
        <v>24.292999999999999</v>
      </c>
      <c r="AV31" s="387">
        <v>22.66</v>
      </c>
      <c r="AW31" s="387">
        <v>19.559000000000001</v>
      </c>
      <c r="AX31" s="387">
        <v>17.809999999999999</v>
      </c>
      <c r="AY31" s="387">
        <v>14.292999999999999</v>
      </c>
      <c r="AZ31" s="387">
        <v>12.545</v>
      </c>
      <c r="BA31" s="387">
        <v>6.758</v>
      </c>
      <c r="BB31" s="387">
        <v>3.88</v>
      </c>
      <c r="BC31" s="387">
        <v>5.61</v>
      </c>
      <c r="BD31" s="387">
        <v>3.7610000000000001</v>
      </c>
      <c r="BE31" s="387">
        <v>2.048</v>
      </c>
      <c r="BF31" s="387">
        <v>0.38700000000000001</v>
      </c>
      <c r="BG31" s="387">
        <v>0.40699999999999997</v>
      </c>
      <c r="BH31" s="387">
        <v>0.252</v>
      </c>
      <c r="BI31" s="387">
        <v>0.17799999999999999</v>
      </c>
      <c r="BJ31" s="387">
        <v>0.152</v>
      </c>
      <c r="BK31" s="387">
        <v>0</v>
      </c>
      <c r="BL31" s="387">
        <v>0</v>
      </c>
      <c r="BM31" s="387">
        <v>0</v>
      </c>
      <c r="BN31" s="387">
        <v>0</v>
      </c>
      <c r="BO31" s="387">
        <v>0</v>
      </c>
    </row>
    <row r="32" spans="1:67" x14ac:dyDescent="0.2">
      <c r="A32" s="386" t="s">
        <v>896</v>
      </c>
      <c r="B32" s="387">
        <v>0</v>
      </c>
      <c r="C32" s="387">
        <v>0</v>
      </c>
      <c r="D32" s="387">
        <v>0</v>
      </c>
      <c r="E32" s="387">
        <v>0</v>
      </c>
      <c r="F32" s="387">
        <v>0</v>
      </c>
      <c r="G32" s="387">
        <v>0</v>
      </c>
      <c r="H32" s="387">
        <v>0</v>
      </c>
      <c r="I32" s="387">
        <v>0</v>
      </c>
      <c r="J32" s="387">
        <v>0</v>
      </c>
      <c r="K32" s="387">
        <v>0</v>
      </c>
      <c r="L32" s="387">
        <v>0</v>
      </c>
      <c r="M32" s="387">
        <v>0</v>
      </c>
      <c r="N32" s="387">
        <v>0</v>
      </c>
      <c r="O32" s="387">
        <v>0</v>
      </c>
      <c r="P32" s="387">
        <v>0</v>
      </c>
      <c r="Q32" s="387">
        <v>0</v>
      </c>
      <c r="R32" s="387">
        <v>0.25800000000000001</v>
      </c>
      <c r="S32" s="387">
        <v>1.3260000000000001</v>
      </c>
      <c r="T32" s="387">
        <v>1.3859999999999999</v>
      </c>
      <c r="U32" s="387">
        <v>2.0510000000000002</v>
      </c>
      <c r="V32" s="387">
        <v>2.7490000000000001</v>
      </c>
      <c r="W32" s="387">
        <v>9.2170000000000005</v>
      </c>
      <c r="X32" s="387">
        <v>5.94</v>
      </c>
      <c r="Y32" s="387">
        <v>10.074</v>
      </c>
      <c r="Z32" s="387">
        <v>9.6690000000000005</v>
      </c>
      <c r="AA32" s="387">
        <v>11.587</v>
      </c>
      <c r="AB32" s="387">
        <v>7.9619999999999997</v>
      </c>
      <c r="AC32" s="387">
        <v>11.821</v>
      </c>
      <c r="AD32" s="387">
        <v>15.763999999999999</v>
      </c>
      <c r="AE32" s="387">
        <v>16.175000000000001</v>
      </c>
      <c r="AF32" s="387">
        <v>20.238</v>
      </c>
      <c r="AG32" s="387">
        <v>25.875</v>
      </c>
      <c r="AH32" s="387">
        <v>27.457000000000001</v>
      </c>
      <c r="AI32" s="387">
        <v>23.350999999999999</v>
      </c>
      <c r="AJ32" s="387">
        <v>28.978999999999999</v>
      </c>
      <c r="AK32" s="387">
        <v>20.202000000000002</v>
      </c>
      <c r="AL32" s="387">
        <v>25.759</v>
      </c>
      <c r="AM32" s="387">
        <v>20.535</v>
      </c>
      <c r="AN32" s="387">
        <v>24.706</v>
      </c>
      <c r="AO32" s="387">
        <v>23.757999999999999</v>
      </c>
      <c r="AP32" s="387">
        <v>22.843</v>
      </c>
      <c r="AQ32" s="387">
        <v>30.460999999999999</v>
      </c>
      <c r="AR32" s="387">
        <v>24.806000000000001</v>
      </c>
      <c r="AS32" s="387">
        <v>28.143999999999998</v>
      </c>
      <c r="AT32" s="387">
        <v>27.074999999999999</v>
      </c>
      <c r="AU32" s="387">
        <v>36.515000000000001</v>
      </c>
      <c r="AV32" s="387">
        <v>35.423000000000002</v>
      </c>
      <c r="AW32" s="387">
        <v>34.947000000000003</v>
      </c>
      <c r="AX32" s="387">
        <v>28.654</v>
      </c>
      <c r="AY32" s="387">
        <v>28.384</v>
      </c>
      <c r="AZ32" s="387">
        <v>27.748999999999999</v>
      </c>
      <c r="BA32" s="387">
        <v>19.486999999999998</v>
      </c>
      <c r="BB32" s="387">
        <v>11.757</v>
      </c>
      <c r="BC32" s="387">
        <v>12.685</v>
      </c>
      <c r="BD32" s="387">
        <v>10.016</v>
      </c>
      <c r="BE32" s="387">
        <v>6.6669999999999998</v>
      </c>
      <c r="BF32" s="387">
        <v>3.544</v>
      </c>
      <c r="BG32" s="387">
        <v>1.877</v>
      </c>
      <c r="BH32" s="387">
        <v>0.97299999999999998</v>
      </c>
      <c r="BI32" s="387">
        <v>1.3560000000000001</v>
      </c>
      <c r="BJ32" s="387">
        <v>0.77400000000000002</v>
      </c>
      <c r="BK32" s="387">
        <v>0</v>
      </c>
      <c r="BL32" s="387">
        <v>0</v>
      </c>
      <c r="BM32" s="387">
        <v>0</v>
      </c>
      <c r="BN32" s="387">
        <v>0</v>
      </c>
      <c r="BO32" s="387">
        <v>0</v>
      </c>
    </row>
    <row r="33" spans="1:67" x14ac:dyDescent="0.2">
      <c r="A33" s="386" t="s">
        <v>897</v>
      </c>
      <c r="B33" s="387">
        <v>0</v>
      </c>
      <c r="C33" s="387">
        <v>0</v>
      </c>
      <c r="D33" s="387">
        <v>0</v>
      </c>
      <c r="E33" s="387">
        <v>0</v>
      </c>
      <c r="F33" s="387">
        <v>0</v>
      </c>
      <c r="G33" s="387">
        <v>0</v>
      </c>
      <c r="H33" s="387">
        <v>0</v>
      </c>
      <c r="I33" s="387">
        <v>0</v>
      </c>
      <c r="J33" s="387">
        <v>0</v>
      </c>
      <c r="K33" s="387">
        <v>0</v>
      </c>
      <c r="L33" s="387">
        <v>0</v>
      </c>
      <c r="M33" s="387">
        <v>0</v>
      </c>
      <c r="N33" s="387">
        <v>0</v>
      </c>
      <c r="O33" s="387">
        <v>0</v>
      </c>
      <c r="P33" s="387">
        <v>0</v>
      </c>
      <c r="Q33" s="387">
        <v>0</v>
      </c>
      <c r="R33" s="387">
        <v>0</v>
      </c>
      <c r="S33" s="387">
        <v>0</v>
      </c>
      <c r="T33" s="387">
        <v>0</v>
      </c>
      <c r="U33" s="387">
        <v>0.34200000000000003</v>
      </c>
      <c r="V33" s="387">
        <v>0.20100000000000001</v>
      </c>
      <c r="W33" s="387">
        <v>3.41</v>
      </c>
      <c r="X33" s="387">
        <v>1.1719999999999999</v>
      </c>
      <c r="Y33" s="387">
        <v>2.4430000000000001</v>
      </c>
      <c r="Z33" s="387">
        <v>3.7709999999999999</v>
      </c>
      <c r="AA33" s="387">
        <v>1.206</v>
      </c>
      <c r="AB33" s="387">
        <v>0.98699999999999999</v>
      </c>
      <c r="AC33" s="387">
        <v>1.448</v>
      </c>
      <c r="AD33" s="387">
        <v>4.0250000000000004</v>
      </c>
      <c r="AE33" s="387">
        <v>4.835</v>
      </c>
      <c r="AF33" s="387">
        <v>5.1189999999999998</v>
      </c>
      <c r="AG33" s="387">
        <v>10.401</v>
      </c>
      <c r="AH33" s="387">
        <v>12.058</v>
      </c>
      <c r="AI33" s="387">
        <v>10.712</v>
      </c>
      <c r="AJ33" s="387">
        <v>13.534000000000001</v>
      </c>
      <c r="AK33" s="387">
        <v>9.9459999999999997</v>
      </c>
      <c r="AL33" s="387">
        <v>15.111000000000001</v>
      </c>
      <c r="AM33" s="387">
        <v>13.853999999999999</v>
      </c>
      <c r="AN33" s="387">
        <v>14.943</v>
      </c>
      <c r="AO33" s="387">
        <v>10.944000000000001</v>
      </c>
      <c r="AP33" s="387">
        <v>11.884</v>
      </c>
      <c r="AQ33" s="387">
        <v>18.648</v>
      </c>
      <c r="AR33" s="387">
        <v>16.672999999999998</v>
      </c>
      <c r="AS33" s="387">
        <v>18.978999999999999</v>
      </c>
      <c r="AT33" s="387">
        <v>21.628</v>
      </c>
      <c r="AU33" s="387">
        <v>31.934999999999999</v>
      </c>
      <c r="AV33" s="387">
        <v>30.501999999999999</v>
      </c>
      <c r="AW33" s="387">
        <v>39.929000000000002</v>
      </c>
      <c r="AX33" s="387">
        <v>28.675000000000001</v>
      </c>
      <c r="AY33" s="387">
        <v>28.780999999999999</v>
      </c>
      <c r="AZ33" s="387">
        <v>30.831</v>
      </c>
      <c r="BA33" s="387">
        <v>23.802</v>
      </c>
      <c r="BB33" s="387">
        <v>13.609</v>
      </c>
      <c r="BC33" s="387">
        <v>10.661</v>
      </c>
      <c r="BD33" s="387">
        <v>9.1359999999999992</v>
      </c>
      <c r="BE33" s="387">
        <v>9.3680000000000003</v>
      </c>
      <c r="BF33" s="387">
        <v>5.7569999999999997</v>
      </c>
      <c r="BG33" s="387">
        <v>3.3090000000000002</v>
      </c>
      <c r="BH33" s="387">
        <v>1.696</v>
      </c>
      <c r="BI33" s="387">
        <v>2.4500000000000002</v>
      </c>
      <c r="BJ33" s="387">
        <v>0.93600000000000005</v>
      </c>
      <c r="BK33" s="387">
        <v>0</v>
      </c>
      <c r="BL33" s="387">
        <v>0</v>
      </c>
      <c r="BM33" s="387">
        <v>0</v>
      </c>
      <c r="BN33" s="387">
        <v>0</v>
      </c>
      <c r="BO33" s="387">
        <v>0</v>
      </c>
    </row>
    <row r="34" spans="1:67" x14ac:dyDescent="0.2">
      <c r="A34" s="388" t="s">
        <v>898</v>
      </c>
      <c r="B34" s="389">
        <v>0</v>
      </c>
      <c r="C34" s="389">
        <v>0</v>
      </c>
      <c r="D34" s="389">
        <v>0</v>
      </c>
      <c r="E34" s="389">
        <v>0</v>
      </c>
      <c r="F34" s="389">
        <v>0</v>
      </c>
      <c r="G34" s="389">
        <v>0</v>
      </c>
      <c r="H34" s="389">
        <v>0</v>
      </c>
      <c r="I34" s="389">
        <v>0</v>
      </c>
      <c r="J34" s="389">
        <v>0</v>
      </c>
      <c r="K34" s="389">
        <v>0</v>
      </c>
      <c r="L34" s="389">
        <v>0</v>
      </c>
      <c r="M34" s="389">
        <v>0</v>
      </c>
      <c r="N34" s="389">
        <v>0</v>
      </c>
      <c r="O34" s="389">
        <v>0</v>
      </c>
      <c r="P34" s="389">
        <v>0</v>
      </c>
      <c r="Q34" s="389">
        <v>0</v>
      </c>
      <c r="R34" s="389">
        <v>0</v>
      </c>
      <c r="S34" s="389">
        <v>0</v>
      </c>
      <c r="T34" s="389">
        <v>0</v>
      </c>
      <c r="U34" s="389">
        <v>0.34100000000000003</v>
      </c>
      <c r="V34" s="389">
        <v>0.19600000000000001</v>
      </c>
      <c r="W34" s="389">
        <v>1.1359999999999999</v>
      </c>
      <c r="X34" s="389">
        <v>0.318</v>
      </c>
      <c r="Y34" s="389">
        <v>0.33800000000000002</v>
      </c>
      <c r="Z34" s="389">
        <v>0.33800000000000002</v>
      </c>
      <c r="AA34" s="389">
        <v>0</v>
      </c>
      <c r="AB34" s="389">
        <v>0</v>
      </c>
      <c r="AC34" s="389">
        <v>0</v>
      </c>
      <c r="AD34" s="389">
        <v>0.17100000000000001</v>
      </c>
      <c r="AE34" s="389">
        <v>0.2</v>
      </c>
      <c r="AF34" s="389">
        <v>0.51200000000000001</v>
      </c>
      <c r="AG34" s="389">
        <v>0.57099999999999995</v>
      </c>
      <c r="AH34" s="389">
        <v>0.68200000000000005</v>
      </c>
      <c r="AI34" s="389">
        <v>0.68500000000000005</v>
      </c>
      <c r="AJ34" s="389">
        <v>1.3009999999999999</v>
      </c>
      <c r="AK34" s="389">
        <v>0.94299999999999995</v>
      </c>
      <c r="AL34" s="389">
        <v>1.331</v>
      </c>
      <c r="AM34" s="389">
        <v>1.5920000000000001</v>
      </c>
      <c r="AN34" s="389">
        <v>1.74</v>
      </c>
      <c r="AO34" s="389">
        <v>1.4890000000000001</v>
      </c>
      <c r="AP34" s="389">
        <v>3.464</v>
      </c>
      <c r="AQ34" s="389">
        <v>5.1980000000000004</v>
      </c>
      <c r="AR34" s="389">
        <v>4.9660000000000002</v>
      </c>
      <c r="AS34" s="389">
        <v>4.2389999999999999</v>
      </c>
      <c r="AT34" s="389">
        <v>4.1580000000000004</v>
      </c>
      <c r="AU34" s="389">
        <v>5.1440000000000001</v>
      </c>
      <c r="AV34" s="389">
        <v>4.7910000000000004</v>
      </c>
      <c r="AW34" s="389">
        <v>6.4889999999999999</v>
      </c>
      <c r="AX34" s="389">
        <v>4.9349999999999996</v>
      </c>
      <c r="AY34" s="389">
        <v>4.032</v>
      </c>
      <c r="AZ34" s="389">
        <v>4.2930000000000001</v>
      </c>
      <c r="BA34" s="389">
        <v>2.1429999999999998</v>
      </c>
      <c r="BB34" s="389">
        <v>0.92600000000000005</v>
      </c>
      <c r="BC34" s="389">
        <v>1.123</v>
      </c>
      <c r="BD34" s="389">
        <v>1.931</v>
      </c>
      <c r="BE34" s="389">
        <v>1.629</v>
      </c>
      <c r="BF34" s="389">
        <v>0.154</v>
      </c>
      <c r="BG34" s="389">
        <v>0.32300000000000001</v>
      </c>
      <c r="BH34" s="389">
        <v>0.161</v>
      </c>
      <c r="BI34" s="389">
        <v>0.16900000000000001</v>
      </c>
      <c r="BJ34" s="389">
        <v>0.152</v>
      </c>
      <c r="BK34" s="389">
        <v>0</v>
      </c>
      <c r="BL34" s="389">
        <v>0</v>
      </c>
      <c r="BM34" s="389">
        <v>0</v>
      </c>
      <c r="BN34" s="389">
        <v>0</v>
      </c>
      <c r="BO34" s="389">
        <v>0</v>
      </c>
    </row>
    <row r="36" spans="1:67" x14ac:dyDescent="0.2">
      <c r="A36" s="380" t="s">
        <v>3173</v>
      </c>
      <c r="B36" s="381" t="s">
        <v>901</v>
      </c>
    </row>
    <row r="37" spans="1:67" x14ac:dyDescent="0.2">
      <c r="A37" s="382" t="s">
        <v>902</v>
      </c>
      <c r="B37" s="383"/>
    </row>
    <row r="38" spans="1:67" x14ac:dyDescent="0.2">
      <c r="A38" s="384" t="s">
        <v>3175</v>
      </c>
      <c r="B38" s="384">
        <v>-25</v>
      </c>
      <c r="C38" s="384">
        <v>-24</v>
      </c>
      <c r="D38" s="384">
        <v>-23</v>
      </c>
      <c r="E38" s="384">
        <v>-22</v>
      </c>
      <c r="F38" s="384">
        <v>-21</v>
      </c>
      <c r="G38" s="384">
        <v>-20</v>
      </c>
      <c r="H38" s="384">
        <v>-19</v>
      </c>
      <c r="I38" s="384">
        <v>-18</v>
      </c>
      <c r="J38" s="384">
        <v>-17</v>
      </c>
      <c r="K38" s="384">
        <v>-16</v>
      </c>
      <c r="L38" s="384">
        <v>-15</v>
      </c>
      <c r="M38" s="384">
        <v>-14</v>
      </c>
      <c r="N38" s="384">
        <v>-13</v>
      </c>
      <c r="O38" s="384">
        <v>-12</v>
      </c>
      <c r="P38" s="384">
        <v>-11</v>
      </c>
      <c r="Q38" s="384">
        <v>-10</v>
      </c>
      <c r="R38" s="384">
        <v>-9</v>
      </c>
      <c r="S38" s="384">
        <v>-8</v>
      </c>
      <c r="T38" s="384">
        <v>-7</v>
      </c>
      <c r="U38" s="384">
        <v>-6</v>
      </c>
      <c r="V38" s="384">
        <v>-5</v>
      </c>
      <c r="W38" s="384">
        <v>-4</v>
      </c>
      <c r="X38" s="384">
        <v>-3</v>
      </c>
      <c r="Y38" s="384">
        <v>-2</v>
      </c>
      <c r="Z38" s="384">
        <v>-1</v>
      </c>
      <c r="AA38" s="384">
        <v>0</v>
      </c>
      <c r="AB38" s="384">
        <v>1</v>
      </c>
      <c r="AC38" s="384">
        <v>2</v>
      </c>
      <c r="AD38" s="384">
        <v>3</v>
      </c>
      <c r="AE38" s="384">
        <v>4</v>
      </c>
      <c r="AF38" s="384">
        <v>5</v>
      </c>
      <c r="AG38" s="384">
        <v>6</v>
      </c>
      <c r="AH38" s="384">
        <v>7</v>
      </c>
      <c r="AI38" s="384">
        <v>8</v>
      </c>
      <c r="AJ38" s="384">
        <v>9</v>
      </c>
      <c r="AK38" s="384">
        <v>10</v>
      </c>
      <c r="AL38" s="384">
        <v>11</v>
      </c>
      <c r="AM38" s="384">
        <v>12</v>
      </c>
      <c r="AN38" s="384">
        <v>13</v>
      </c>
      <c r="AO38" s="384">
        <v>14</v>
      </c>
      <c r="AP38" s="384">
        <v>15</v>
      </c>
      <c r="AQ38" s="384">
        <v>16</v>
      </c>
      <c r="AR38" s="384">
        <v>17</v>
      </c>
      <c r="AS38" s="384">
        <v>18</v>
      </c>
      <c r="AT38" s="384">
        <v>19</v>
      </c>
      <c r="AU38" s="384">
        <v>20</v>
      </c>
      <c r="AV38" s="384">
        <v>21</v>
      </c>
      <c r="AW38" s="384">
        <v>22</v>
      </c>
      <c r="AX38" s="384">
        <v>23</v>
      </c>
      <c r="AY38" s="384">
        <v>24</v>
      </c>
      <c r="AZ38" s="384">
        <v>25</v>
      </c>
      <c r="BA38" s="384">
        <v>26</v>
      </c>
      <c r="BB38" s="384">
        <v>27</v>
      </c>
      <c r="BC38" s="384">
        <v>28</v>
      </c>
      <c r="BD38" s="384">
        <v>29</v>
      </c>
      <c r="BE38" s="384">
        <v>30</v>
      </c>
      <c r="BF38" s="384">
        <v>31</v>
      </c>
      <c r="BG38" s="384">
        <v>32</v>
      </c>
      <c r="BH38" s="384">
        <v>33</v>
      </c>
      <c r="BI38" s="384">
        <v>34</v>
      </c>
      <c r="BJ38" s="384">
        <v>35</v>
      </c>
      <c r="BK38" s="384">
        <v>36</v>
      </c>
      <c r="BL38" s="384">
        <v>37</v>
      </c>
      <c r="BM38" s="384">
        <v>38</v>
      </c>
      <c r="BN38" s="384">
        <v>39</v>
      </c>
      <c r="BO38" s="384">
        <v>40</v>
      </c>
    </row>
    <row r="39" spans="1:67" x14ac:dyDescent="0.2">
      <c r="A39" s="385" t="s">
        <v>3176</v>
      </c>
      <c r="B39" s="385">
        <v>0</v>
      </c>
      <c r="C39" s="385">
        <v>0</v>
      </c>
      <c r="D39" s="385">
        <v>0</v>
      </c>
      <c r="E39" s="385">
        <v>0</v>
      </c>
      <c r="F39" s="385">
        <v>0</v>
      </c>
      <c r="G39" s="385">
        <v>0</v>
      </c>
      <c r="H39" s="385">
        <v>0</v>
      </c>
      <c r="I39" s="385">
        <v>0</v>
      </c>
      <c r="J39" s="385">
        <v>0</v>
      </c>
      <c r="K39" s="385">
        <v>0</v>
      </c>
      <c r="L39" s="385">
        <v>0</v>
      </c>
      <c r="M39" s="385">
        <v>0</v>
      </c>
      <c r="N39" s="385">
        <v>5</v>
      </c>
      <c r="O39" s="385">
        <v>4</v>
      </c>
      <c r="P39" s="385">
        <v>8</v>
      </c>
      <c r="Q39" s="385">
        <v>19</v>
      </c>
      <c r="R39" s="385">
        <v>33</v>
      </c>
      <c r="S39" s="385">
        <v>33</v>
      </c>
      <c r="T39" s="385">
        <v>33</v>
      </c>
      <c r="U39" s="385">
        <v>40</v>
      </c>
      <c r="V39" s="385">
        <v>52</v>
      </c>
      <c r="W39" s="385">
        <v>80</v>
      </c>
      <c r="X39" s="385">
        <v>124</v>
      </c>
      <c r="Y39" s="385">
        <v>185</v>
      </c>
      <c r="Z39" s="385">
        <v>251</v>
      </c>
      <c r="AA39" s="385">
        <v>249</v>
      </c>
      <c r="AB39" s="385">
        <v>360</v>
      </c>
      <c r="AC39" s="385">
        <v>425</v>
      </c>
      <c r="AD39" s="385">
        <v>445</v>
      </c>
      <c r="AE39" s="385">
        <v>401</v>
      </c>
      <c r="AF39" s="385">
        <v>298</v>
      </c>
      <c r="AG39" s="385">
        <v>344</v>
      </c>
      <c r="AH39" s="385">
        <v>343</v>
      </c>
      <c r="AI39" s="385">
        <v>383</v>
      </c>
      <c r="AJ39" s="385">
        <v>415</v>
      </c>
      <c r="AK39" s="385">
        <v>424</v>
      </c>
      <c r="AL39" s="385">
        <v>404</v>
      </c>
      <c r="AM39" s="385">
        <v>359</v>
      </c>
      <c r="AN39" s="385">
        <v>348</v>
      </c>
      <c r="AO39" s="385">
        <v>319</v>
      </c>
      <c r="AP39" s="385">
        <v>293</v>
      </c>
      <c r="AQ39" s="385">
        <v>343</v>
      </c>
      <c r="AR39" s="385">
        <v>308</v>
      </c>
      <c r="AS39" s="385">
        <v>253</v>
      </c>
      <c r="AT39" s="385">
        <v>225</v>
      </c>
      <c r="AU39" s="385">
        <v>181</v>
      </c>
      <c r="AV39" s="385">
        <v>151</v>
      </c>
      <c r="AW39" s="385">
        <v>126</v>
      </c>
      <c r="AX39" s="385">
        <v>111</v>
      </c>
      <c r="AY39" s="385">
        <v>97</v>
      </c>
      <c r="AZ39" s="385">
        <v>94</v>
      </c>
      <c r="BA39" s="385">
        <v>69</v>
      </c>
      <c r="BB39" s="385">
        <v>56</v>
      </c>
      <c r="BC39" s="385">
        <v>35</v>
      </c>
      <c r="BD39" s="385">
        <v>16</v>
      </c>
      <c r="BE39" s="385">
        <v>16</v>
      </c>
      <c r="BF39" s="385">
        <v>2</v>
      </c>
      <c r="BG39" s="385">
        <v>0</v>
      </c>
      <c r="BH39" s="385">
        <v>0</v>
      </c>
      <c r="BI39" s="385">
        <v>0</v>
      </c>
      <c r="BJ39" s="385">
        <v>0</v>
      </c>
      <c r="BK39" s="385">
        <v>0</v>
      </c>
      <c r="BL39" s="385">
        <v>0</v>
      </c>
      <c r="BM39" s="385">
        <v>0</v>
      </c>
      <c r="BN39" s="385">
        <v>0</v>
      </c>
      <c r="BO39" s="385">
        <v>0</v>
      </c>
    </row>
    <row r="40" spans="1:67" x14ac:dyDescent="0.2">
      <c r="A40" s="386" t="s">
        <v>893</v>
      </c>
      <c r="B40" s="386">
        <v>0</v>
      </c>
      <c r="C40" s="386">
        <v>0</v>
      </c>
      <c r="D40" s="386">
        <v>0</v>
      </c>
      <c r="E40" s="386">
        <v>0</v>
      </c>
      <c r="F40" s="386">
        <v>0</v>
      </c>
      <c r="G40" s="386">
        <v>0</v>
      </c>
      <c r="H40" s="386">
        <v>0</v>
      </c>
      <c r="I40" s="386">
        <v>0</v>
      </c>
      <c r="J40" s="386">
        <v>0</v>
      </c>
      <c r="K40" s="386">
        <v>0</v>
      </c>
      <c r="L40" s="386">
        <v>0</v>
      </c>
      <c r="M40" s="386">
        <v>0</v>
      </c>
      <c r="N40" s="386">
        <v>0</v>
      </c>
      <c r="O40" s="386">
        <v>0</v>
      </c>
      <c r="P40" s="386">
        <v>0</v>
      </c>
      <c r="Q40" s="386">
        <v>24</v>
      </c>
      <c r="R40" s="386">
        <v>0</v>
      </c>
      <c r="S40" s="386">
        <v>48</v>
      </c>
      <c r="T40" s="386">
        <v>0</v>
      </c>
      <c r="U40" s="386">
        <v>48</v>
      </c>
      <c r="V40" s="386">
        <v>48</v>
      </c>
      <c r="W40" s="386">
        <v>72</v>
      </c>
      <c r="X40" s="386">
        <v>96</v>
      </c>
      <c r="Y40" s="386">
        <v>288</v>
      </c>
      <c r="Z40" s="386">
        <v>144</v>
      </c>
      <c r="AA40" s="386">
        <v>264</v>
      </c>
      <c r="AB40" s="386">
        <v>360</v>
      </c>
      <c r="AC40" s="386">
        <v>336</v>
      </c>
      <c r="AD40" s="386">
        <v>480</v>
      </c>
      <c r="AE40" s="386">
        <v>408</v>
      </c>
      <c r="AF40" s="386">
        <v>264</v>
      </c>
      <c r="AG40" s="386">
        <v>264</v>
      </c>
      <c r="AH40" s="386">
        <v>336</v>
      </c>
      <c r="AI40" s="386">
        <v>528</v>
      </c>
      <c r="AJ40" s="386">
        <v>504</v>
      </c>
      <c r="AK40" s="386">
        <v>384</v>
      </c>
      <c r="AL40" s="386">
        <v>456</v>
      </c>
      <c r="AM40" s="386">
        <v>384</v>
      </c>
      <c r="AN40" s="386">
        <v>408</v>
      </c>
      <c r="AO40" s="386">
        <v>264</v>
      </c>
      <c r="AP40" s="386">
        <v>360</v>
      </c>
      <c r="AQ40" s="386">
        <v>216</v>
      </c>
      <c r="AR40" s="386">
        <v>312</v>
      </c>
      <c r="AS40" s="386">
        <v>216</v>
      </c>
      <c r="AT40" s="386">
        <v>264</v>
      </c>
      <c r="AU40" s="386">
        <v>480</v>
      </c>
      <c r="AV40" s="386">
        <v>336</v>
      </c>
      <c r="AW40" s="386">
        <v>96</v>
      </c>
      <c r="AX40" s="386">
        <v>72</v>
      </c>
      <c r="AY40" s="386">
        <v>0</v>
      </c>
      <c r="AZ40" s="386">
        <v>0</v>
      </c>
      <c r="BA40" s="386">
        <v>0</v>
      </c>
      <c r="BB40" s="386">
        <v>0</v>
      </c>
      <c r="BC40" s="386">
        <v>0</v>
      </c>
      <c r="BD40" s="386">
        <v>0</v>
      </c>
      <c r="BE40" s="386">
        <v>0</v>
      </c>
      <c r="BF40" s="386">
        <v>0</v>
      </c>
      <c r="BG40" s="386">
        <v>0</v>
      </c>
      <c r="BH40" s="386">
        <v>0</v>
      </c>
      <c r="BI40" s="386">
        <v>0</v>
      </c>
      <c r="BJ40" s="386">
        <v>0</v>
      </c>
      <c r="BK40" s="386">
        <v>0</v>
      </c>
      <c r="BL40" s="386">
        <v>0</v>
      </c>
      <c r="BM40" s="386">
        <v>0</v>
      </c>
      <c r="BN40" s="386">
        <v>0</v>
      </c>
      <c r="BO40" s="386">
        <v>0</v>
      </c>
    </row>
    <row r="41" spans="1:67" x14ac:dyDescent="0.2">
      <c r="A41" s="386" t="s">
        <v>894</v>
      </c>
      <c r="B41" s="387">
        <v>0</v>
      </c>
      <c r="C41" s="387">
        <v>0</v>
      </c>
      <c r="D41" s="387">
        <v>0</v>
      </c>
      <c r="E41" s="387">
        <v>0</v>
      </c>
      <c r="F41" s="387">
        <v>0</v>
      </c>
      <c r="G41" s="387">
        <v>0</v>
      </c>
      <c r="H41" s="387">
        <v>0</v>
      </c>
      <c r="I41" s="387">
        <v>0</v>
      </c>
      <c r="J41" s="387">
        <v>0</v>
      </c>
      <c r="K41" s="387">
        <v>0</v>
      </c>
      <c r="L41" s="387">
        <v>0</v>
      </c>
      <c r="M41" s="387">
        <v>0</v>
      </c>
      <c r="N41" s="387">
        <v>0</v>
      </c>
      <c r="O41" s="387">
        <v>0</v>
      </c>
      <c r="P41" s="387">
        <v>0</v>
      </c>
      <c r="Q41" s="387">
        <v>0.23300000000000001</v>
      </c>
      <c r="R41" s="387">
        <v>0</v>
      </c>
      <c r="S41" s="387">
        <v>1.754</v>
      </c>
      <c r="T41" s="387">
        <v>1.96</v>
      </c>
      <c r="U41" s="387">
        <v>1.7090000000000001</v>
      </c>
      <c r="V41" s="387">
        <v>4.2370000000000001</v>
      </c>
      <c r="W41" s="387">
        <v>2.4009999999999998</v>
      </c>
      <c r="X41" s="387">
        <v>5.5350000000000001</v>
      </c>
      <c r="Y41" s="387">
        <v>6.0919999999999996</v>
      </c>
      <c r="Z41" s="387">
        <v>8.0220000000000002</v>
      </c>
      <c r="AA41" s="387">
        <v>4.9720000000000004</v>
      </c>
      <c r="AB41" s="387">
        <v>11.409000000000001</v>
      </c>
      <c r="AC41" s="387">
        <v>12.443</v>
      </c>
      <c r="AD41" s="387">
        <v>11.302</v>
      </c>
      <c r="AE41" s="387">
        <v>17.407</v>
      </c>
      <c r="AF41" s="387">
        <v>12.26</v>
      </c>
      <c r="AG41" s="387">
        <v>17.832000000000001</v>
      </c>
      <c r="AH41" s="387">
        <v>17.332999999999998</v>
      </c>
      <c r="AI41" s="387">
        <v>21.315999999999999</v>
      </c>
      <c r="AJ41" s="387">
        <v>27.366</v>
      </c>
      <c r="AK41" s="387">
        <v>30.882000000000001</v>
      </c>
      <c r="AL41" s="387">
        <v>42.457000000000001</v>
      </c>
      <c r="AM41" s="387">
        <v>39.289000000000001</v>
      </c>
      <c r="AN41" s="387">
        <v>44.401000000000003</v>
      </c>
      <c r="AO41" s="387">
        <v>46.625999999999998</v>
      </c>
      <c r="AP41" s="387">
        <v>49.34</v>
      </c>
      <c r="AQ41" s="387">
        <v>53.210999999999999</v>
      </c>
      <c r="AR41" s="387">
        <v>55.997999999999998</v>
      </c>
      <c r="AS41" s="387">
        <v>47.11</v>
      </c>
      <c r="AT41" s="387">
        <v>55.774000000000001</v>
      </c>
      <c r="AU41" s="387">
        <v>53.351999999999997</v>
      </c>
      <c r="AV41" s="387">
        <v>56.238</v>
      </c>
      <c r="AW41" s="387">
        <v>50.35</v>
      </c>
      <c r="AX41" s="387">
        <v>50.127000000000002</v>
      </c>
      <c r="AY41" s="387">
        <v>46.469000000000001</v>
      </c>
      <c r="AZ41" s="387">
        <v>49.618000000000002</v>
      </c>
      <c r="BA41" s="387">
        <v>36.728000000000002</v>
      </c>
      <c r="BB41" s="387">
        <v>30.242999999999999</v>
      </c>
      <c r="BC41" s="387">
        <v>20.228000000000002</v>
      </c>
      <c r="BD41" s="387">
        <v>9.2739999999999991</v>
      </c>
      <c r="BE41" s="387">
        <v>9.2270000000000003</v>
      </c>
      <c r="BF41" s="387">
        <v>1.341</v>
      </c>
      <c r="BG41" s="387">
        <v>0</v>
      </c>
      <c r="BH41" s="387">
        <v>0</v>
      </c>
      <c r="BI41" s="387">
        <v>0</v>
      </c>
      <c r="BJ41" s="387">
        <v>0</v>
      </c>
      <c r="BK41" s="387">
        <v>0</v>
      </c>
      <c r="BL41" s="387">
        <v>0</v>
      </c>
      <c r="BM41" s="387">
        <v>0</v>
      </c>
      <c r="BN41" s="387">
        <v>0</v>
      </c>
      <c r="BO41" s="387">
        <v>0</v>
      </c>
    </row>
    <row r="42" spans="1:67" x14ac:dyDescent="0.2">
      <c r="A42" s="386" t="s">
        <v>895</v>
      </c>
      <c r="B42" s="387">
        <v>0</v>
      </c>
      <c r="C42" s="387">
        <v>0</v>
      </c>
      <c r="D42" s="387">
        <v>0</v>
      </c>
      <c r="E42" s="387">
        <v>0</v>
      </c>
      <c r="F42" s="387">
        <v>0</v>
      </c>
      <c r="G42" s="387">
        <v>0</v>
      </c>
      <c r="H42" s="387">
        <v>0</v>
      </c>
      <c r="I42" s="387">
        <v>0</v>
      </c>
      <c r="J42" s="387">
        <v>0</v>
      </c>
      <c r="K42" s="387">
        <v>0</v>
      </c>
      <c r="L42" s="387">
        <v>0</v>
      </c>
      <c r="M42" s="387">
        <v>0</v>
      </c>
      <c r="N42" s="387">
        <v>0</v>
      </c>
      <c r="O42" s="387">
        <v>0</v>
      </c>
      <c r="P42" s="387">
        <v>0</v>
      </c>
      <c r="Q42" s="387">
        <v>0.50700000000000001</v>
      </c>
      <c r="R42" s="387">
        <v>0</v>
      </c>
      <c r="S42" s="387">
        <v>3.0459999999999998</v>
      </c>
      <c r="T42" s="387">
        <v>2.617</v>
      </c>
      <c r="U42" s="387">
        <v>0.97899999999999998</v>
      </c>
      <c r="V42" s="387">
        <v>4.101</v>
      </c>
      <c r="W42" s="387">
        <v>1.516</v>
      </c>
      <c r="X42" s="387">
        <v>5.4870000000000001</v>
      </c>
      <c r="Y42" s="387">
        <v>4.9870000000000001</v>
      </c>
      <c r="Z42" s="387">
        <v>6.1440000000000001</v>
      </c>
      <c r="AA42" s="387">
        <v>3.383</v>
      </c>
      <c r="AB42" s="387">
        <v>7.23</v>
      </c>
      <c r="AC42" s="387">
        <v>8.407</v>
      </c>
      <c r="AD42" s="387">
        <v>5.0720000000000001</v>
      </c>
      <c r="AE42" s="387">
        <v>13.448</v>
      </c>
      <c r="AF42" s="387">
        <v>7.0149999999999997</v>
      </c>
      <c r="AG42" s="387">
        <v>12.279</v>
      </c>
      <c r="AH42" s="387">
        <v>13.548</v>
      </c>
      <c r="AI42" s="387">
        <v>16.303000000000001</v>
      </c>
      <c r="AJ42" s="387">
        <v>18.466999999999999</v>
      </c>
      <c r="AK42" s="387">
        <v>17.948</v>
      </c>
      <c r="AL42" s="387">
        <v>22.672000000000001</v>
      </c>
      <c r="AM42" s="387">
        <v>18.321000000000002</v>
      </c>
      <c r="AN42" s="387">
        <v>23.219000000000001</v>
      </c>
      <c r="AO42" s="387">
        <v>24.317</v>
      </c>
      <c r="AP42" s="387">
        <v>25.899000000000001</v>
      </c>
      <c r="AQ42" s="387">
        <v>27.451000000000001</v>
      </c>
      <c r="AR42" s="387">
        <v>26.914000000000001</v>
      </c>
      <c r="AS42" s="387">
        <v>26.448</v>
      </c>
      <c r="AT42" s="387">
        <v>24.831</v>
      </c>
      <c r="AU42" s="387">
        <v>22.777999999999999</v>
      </c>
      <c r="AV42" s="387">
        <v>23.872</v>
      </c>
      <c r="AW42" s="387">
        <v>18.917999999999999</v>
      </c>
      <c r="AX42" s="387">
        <v>16.539000000000001</v>
      </c>
      <c r="AY42" s="387">
        <v>12.391</v>
      </c>
      <c r="AZ42" s="387">
        <v>10.135</v>
      </c>
      <c r="BA42" s="387">
        <v>5.7270000000000003</v>
      </c>
      <c r="BB42" s="387">
        <v>5.0810000000000004</v>
      </c>
      <c r="BC42" s="387">
        <v>1.371</v>
      </c>
      <c r="BD42" s="387">
        <v>0.624</v>
      </c>
      <c r="BE42" s="387">
        <v>0.30299999999999999</v>
      </c>
      <c r="BF42" s="387">
        <v>0</v>
      </c>
      <c r="BG42" s="387">
        <v>0</v>
      </c>
      <c r="BH42" s="387">
        <v>0</v>
      </c>
      <c r="BI42" s="387">
        <v>0</v>
      </c>
      <c r="BJ42" s="387">
        <v>0</v>
      </c>
      <c r="BK42" s="387">
        <v>0</v>
      </c>
      <c r="BL42" s="387">
        <v>0</v>
      </c>
      <c r="BM42" s="387">
        <v>0</v>
      </c>
      <c r="BN42" s="387">
        <v>0</v>
      </c>
      <c r="BO42" s="387">
        <v>0</v>
      </c>
    </row>
    <row r="43" spans="1:67" x14ac:dyDescent="0.2">
      <c r="A43" s="386" t="s">
        <v>896</v>
      </c>
      <c r="B43" s="387">
        <v>0</v>
      </c>
      <c r="C43" s="387">
        <v>0</v>
      </c>
      <c r="D43" s="387">
        <v>0</v>
      </c>
      <c r="E43" s="387">
        <v>0</v>
      </c>
      <c r="F43" s="387">
        <v>0</v>
      </c>
      <c r="G43" s="387">
        <v>0</v>
      </c>
      <c r="H43" s="387">
        <v>0</v>
      </c>
      <c r="I43" s="387">
        <v>0</v>
      </c>
      <c r="J43" s="387">
        <v>0</v>
      </c>
      <c r="K43" s="387">
        <v>0</v>
      </c>
      <c r="L43" s="387">
        <v>0</v>
      </c>
      <c r="M43" s="387">
        <v>0</v>
      </c>
      <c r="N43" s="387">
        <v>0</v>
      </c>
      <c r="O43" s="387">
        <v>0</v>
      </c>
      <c r="P43" s="387">
        <v>0</v>
      </c>
      <c r="Q43" s="387">
        <v>0.63100000000000001</v>
      </c>
      <c r="R43" s="387">
        <v>0</v>
      </c>
      <c r="S43" s="387">
        <v>4.2709999999999999</v>
      </c>
      <c r="T43" s="387">
        <v>3.8279999999999998</v>
      </c>
      <c r="U43" s="387">
        <v>4.085</v>
      </c>
      <c r="V43" s="387">
        <v>10.172000000000001</v>
      </c>
      <c r="W43" s="387">
        <v>5.28</v>
      </c>
      <c r="X43" s="387">
        <v>12.398</v>
      </c>
      <c r="Y43" s="387">
        <v>13.115</v>
      </c>
      <c r="Z43" s="387">
        <v>17.033999999999999</v>
      </c>
      <c r="AA43" s="387">
        <v>10.186</v>
      </c>
      <c r="AB43" s="387">
        <v>22.856000000000002</v>
      </c>
      <c r="AC43" s="387">
        <v>22.82</v>
      </c>
      <c r="AD43" s="387">
        <v>17.542000000000002</v>
      </c>
      <c r="AE43" s="387">
        <v>21.402000000000001</v>
      </c>
      <c r="AF43" s="387">
        <v>14.901999999999999</v>
      </c>
      <c r="AG43" s="387">
        <v>19.687000000000001</v>
      </c>
      <c r="AH43" s="387">
        <v>17.013999999999999</v>
      </c>
      <c r="AI43" s="387">
        <v>16.023</v>
      </c>
      <c r="AJ43" s="387">
        <v>24.164000000000001</v>
      </c>
      <c r="AK43" s="387">
        <v>26.625</v>
      </c>
      <c r="AL43" s="387">
        <v>38.341000000000001</v>
      </c>
      <c r="AM43" s="387">
        <v>34.247</v>
      </c>
      <c r="AN43" s="387">
        <v>33.143999999999998</v>
      </c>
      <c r="AO43" s="387">
        <v>37.512999999999998</v>
      </c>
      <c r="AP43" s="387">
        <v>33.930999999999997</v>
      </c>
      <c r="AQ43" s="387">
        <v>36.030999999999999</v>
      </c>
      <c r="AR43" s="387">
        <v>37.192</v>
      </c>
      <c r="AS43" s="387">
        <v>26.140999999999998</v>
      </c>
      <c r="AT43" s="387">
        <v>28.491</v>
      </c>
      <c r="AU43" s="387">
        <v>29.268000000000001</v>
      </c>
      <c r="AV43" s="387">
        <v>31.777999999999999</v>
      </c>
      <c r="AW43" s="387">
        <v>29.103000000000002</v>
      </c>
      <c r="AX43" s="387">
        <v>27.905999999999999</v>
      </c>
      <c r="AY43" s="387">
        <v>25.065999999999999</v>
      </c>
      <c r="AZ43" s="387">
        <v>25.337</v>
      </c>
      <c r="BA43" s="387">
        <v>19.812000000000001</v>
      </c>
      <c r="BB43" s="387">
        <v>16.312999999999999</v>
      </c>
      <c r="BC43" s="387">
        <v>10.77</v>
      </c>
      <c r="BD43" s="387">
        <v>5.0209999999999999</v>
      </c>
      <c r="BE43" s="387">
        <v>4.077</v>
      </c>
      <c r="BF43" s="387">
        <v>1.0109999999999999</v>
      </c>
      <c r="BG43" s="387">
        <v>0</v>
      </c>
      <c r="BH43" s="387">
        <v>0</v>
      </c>
      <c r="BI43" s="387">
        <v>0</v>
      </c>
      <c r="BJ43" s="387">
        <v>0</v>
      </c>
      <c r="BK43" s="387">
        <v>0</v>
      </c>
      <c r="BL43" s="387">
        <v>0</v>
      </c>
      <c r="BM43" s="387">
        <v>0</v>
      </c>
      <c r="BN43" s="387">
        <v>0</v>
      </c>
      <c r="BO43" s="387">
        <v>0</v>
      </c>
    </row>
    <row r="44" spans="1:67" x14ac:dyDescent="0.2">
      <c r="A44" s="386" t="s">
        <v>897</v>
      </c>
      <c r="B44" s="387">
        <v>0</v>
      </c>
      <c r="C44" s="387">
        <v>0</v>
      </c>
      <c r="D44" s="387">
        <v>0</v>
      </c>
      <c r="E44" s="387">
        <v>0</v>
      </c>
      <c r="F44" s="387">
        <v>0</v>
      </c>
      <c r="G44" s="387">
        <v>0</v>
      </c>
      <c r="H44" s="387">
        <v>0</v>
      </c>
      <c r="I44" s="387">
        <v>0</v>
      </c>
      <c r="J44" s="387">
        <v>0</v>
      </c>
      <c r="K44" s="387">
        <v>0</v>
      </c>
      <c r="L44" s="387">
        <v>0</v>
      </c>
      <c r="M44" s="387">
        <v>0</v>
      </c>
      <c r="N44" s="387">
        <v>0</v>
      </c>
      <c r="O44" s="387">
        <v>0</v>
      </c>
      <c r="P44" s="387">
        <v>0</v>
      </c>
      <c r="Q44" s="387">
        <v>0</v>
      </c>
      <c r="R44" s="387">
        <v>0</v>
      </c>
      <c r="S44" s="387">
        <v>0.158</v>
      </c>
      <c r="T44" s="387">
        <v>0.16700000000000001</v>
      </c>
      <c r="U44" s="387">
        <v>1.637</v>
      </c>
      <c r="V44" s="387">
        <v>3.1869999999999998</v>
      </c>
      <c r="W44" s="387">
        <v>2.2029999999999998</v>
      </c>
      <c r="X44" s="387">
        <v>3.0350000000000001</v>
      </c>
      <c r="Y44" s="387">
        <v>3.2850000000000001</v>
      </c>
      <c r="Z44" s="387">
        <v>3.96</v>
      </c>
      <c r="AA44" s="387">
        <v>2.6080000000000001</v>
      </c>
      <c r="AB44" s="387">
        <v>7.585</v>
      </c>
      <c r="AC44" s="387">
        <v>5.8760000000000003</v>
      </c>
      <c r="AD44" s="387">
        <v>6.1440000000000001</v>
      </c>
      <c r="AE44" s="387">
        <v>6.3239999999999998</v>
      </c>
      <c r="AF44" s="387">
        <v>4.7670000000000003</v>
      </c>
      <c r="AG44" s="387">
        <v>8.1050000000000004</v>
      </c>
      <c r="AH44" s="387">
        <v>5.7839999999999998</v>
      </c>
      <c r="AI44" s="387">
        <v>4.0350000000000001</v>
      </c>
      <c r="AJ44" s="387">
        <v>5.91</v>
      </c>
      <c r="AK44" s="387">
        <v>8.1199999999999992</v>
      </c>
      <c r="AL44" s="387">
        <v>15.593</v>
      </c>
      <c r="AM44" s="387">
        <v>18.765999999999998</v>
      </c>
      <c r="AN44" s="387">
        <v>17.042999999999999</v>
      </c>
      <c r="AO44" s="387">
        <v>18.82</v>
      </c>
      <c r="AP44" s="387">
        <v>23.593</v>
      </c>
      <c r="AQ44" s="387">
        <v>29.54</v>
      </c>
      <c r="AR44" s="387">
        <v>25.574999999999999</v>
      </c>
      <c r="AS44" s="387">
        <v>14.239000000000001</v>
      </c>
      <c r="AT44" s="387">
        <v>22.905999999999999</v>
      </c>
      <c r="AU44" s="387">
        <v>22.917000000000002</v>
      </c>
      <c r="AV44" s="387">
        <v>24.053999999999998</v>
      </c>
      <c r="AW44" s="387">
        <v>21.158999999999999</v>
      </c>
      <c r="AX44" s="387">
        <v>25.515999999999998</v>
      </c>
      <c r="AY44" s="387">
        <v>25.11</v>
      </c>
      <c r="AZ44" s="387">
        <v>29.58</v>
      </c>
      <c r="BA44" s="387">
        <v>23.225000000000001</v>
      </c>
      <c r="BB44" s="387">
        <v>19.765000000000001</v>
      </c>
      <c r="BC44" s="387">
        <v>15.670999999999999</v>
      </c>
      <c r="BD44" s="387">
        <v>6.8620000000000001</v>
      </c>
      <c r="BE44" s="387">
        <v>8.2560000000000002</v>
      </c>
      <c r="BF44" s="387">
        <v>1.0569999999999999</v>
      </c>
      <c r="BG44" s="387">
        <v>0</v>
      </c>
      <c r="BH44" s="387">
        <v>0</v>
      </c>
      <c r="BI44" s="387">
        <v>0</v>
      </c>
      <c r="BJ44" s="387">
        <v>0</v>
      </c>
      <c r="BK44" s="387">
        <v>0</v>
      </c>
      <c r="BL44" s="387">
        <v>0</v>
      </c>
      <c r="BM44" s="387">
        <v>0</v>
      </c>
      <c r="BN44" s="387">
        <v>0</v>
      </c>
      <c r="BO44" s="387">
        <v>0</v>
      </c>
    </row>
    <row r="45" spans="1:67" x14ac:dyDescent="0.2">
      <c r="A45" s="388" t="s">
        <v>898</v>
      </c>
      <c r="B45" s="389">
        <v>0</v>
      </c>
      <c r="C45" s="389">
        <v>0</v>
      </c>
      <c r="D45" s="389">
        <v>0</v>
      </c>
      <c r="E45" s="389">
        <v>0</v>
      </c>
      <c r="F45" s="389">
        <v>0</v>
      </c>
      <c r="G45" s="389">
        <v>0</v>
      </c>
      <c r="H45" s="389">
        <v>0</v>
      </c>
      <c r="I45" s="389">
        <v>0</v>
      </c>
      <c r="J45" s="389">
        <v>0</v>
      </c>
      <c r="K45" s="389">
        <v>0</v>
      </c>
      <c r="L45" s="389">
        <v>0</v>
      </c>
      <c r="M45" s="389">
        <v>0</v>
      </c>
      <c r="N45" s="389">
        <v>0</v>
      </c>
      <c r="O45" s="389">
        <v>0</v>
      </c>
      <c r="P45" s="389">
        <v>0</v>
      </c>
      <c r="Q45" s="389">
        <v>0</v>
      </c>
      <c r="R45" s="389">
        <v>0</v>
      </c>
      <c r="S45" s="389">
        <v>0</v>
      </c>
      <c r="T45" s="389">
        <v>0.161</v>
      </c>
      <c r="U45" s="389">
        <v>0.33200000000000002</v>
      </c>
      <c r="V45" s="389">
        <v>0.67400000000000004</v>
      </c>
      <c r="W45" s="389">
        <v>0</v>
      </c>
      <c r="X45" s="389">
        <v>0.30399999999999999</v>
      </c>
      <c r="Y45" s="389">
        <v>0.746</v>
      </c>
      <c r="Z45" s="389">
        <v>0.505</v>
      </c>
      <c r="AA45" s="389">
        <v>0.51700000000000002</v>
      </c>
      <c r="AB45" s="389">
        <v>0.33700000000000002</v>
      </c>
      <c r="AC45" s="389">
        <v>0.313</v>
      </c>
      <c r="AD45" s="389">
        <v>0.35699999999999998</v>
      </c>
      <c r="AE45" s="389">
        <v>0.73299999999999998</v>
      </c>
      <c r="AF45" s="389">
        <v>0.47799999999999998</v>
      </c>
      <c r="AG45" s="389">
        <v>0.90500000000000003</v>
      </c>
      <c r="AH45" s="389">
        <v>1.0669999999999999</v>
      </c>
      <c r="AI45" s="389">
        <v>0.65700000000000003</v>
      </c>
      <c r="AJ45" s="389">
        <v>1.395</v>
      </c>
      <c r="AK45" s="389">
        <v>1.18</v>
      </c>
      <c r="AL45" s="389">
        <v>2.371</v>
      </c>
      <c r="AM45" s="389">
        <v>2.4319999999999999</v>
      </c>
      <c r="AN45" s="389">
        <v>2.6619999999999999</v>
      </c>
      <c r="AO45" s="389">
        <v>4.3940000000000001</v>
      </c>
      <c r="AP45" s="389">
        <v>4.57</v>
      </c>
      <c r="AQ45" s="389">
        <v>3.9319999999999999</v>
      </c>
      <c r="AR45" s="389">
        <v>4.9089999999999998</v>
      </c>
      <c r="AS45" s="389">
        <v>1.946</v>
      </c>
      <c r="AT45" s="389">
        <v>4.8070000000000004</v>
      </c>
      <c r="AU45" s="389">
        <v>3.8820000000000001</v>
      </c>
      <c r="AV45" s="389">
        <v>4.2389999999999999</v>
      </c>
      <c r="AW45" s="389">
        <v>4.0780000000000003</v>
      </c>
      <c r="AX45" s="389">
        <v>3.5710000000000002</v>
      </c>
      <c r="AY45" s="389">
        <v>3.181</v>
      </c>
      <c r="AZ45" s="389">
        <v>2.86</v>
      </c>
      <c r="BA45" s="389">
        <v>1.778</v>
      </c>
      <c r="BB45" s="389">
        <v>3.1629999999999998</v>
      </c>
      <c r="BC45" s="389">
        <v>1.494</v>
      </c>
      <c r="BD45" s="389">
        <v>0.496</v>
      </c>
      <c r="BE45" s="389">
        <v>0.32700000000000001</v>
      </c>
      <c r="BF45" s="389">
        <v>0</v>
      </c>
      <c r="BG45" s="389">
        <v>0</v>
      </c>
      <c r="BH45" s="389">
        <v>0</v>
      </c>
      <c r="BI45" s="389">
        <v>0</v>
      </c>
      <c r="BJ45" s="389">
        <v>0</v>
      </c>
      <c r="BK45" s="389">
        <v>0</v>
      </c>
      <c r="BL45" s="389">
        <v>0</v>
      </c>
      <c r="BM45" s="389">
        <v>0</v>
      </c>
      <c r="BN45" s="389">
        <v>0</v>
      </c>
      <c r="BO45" s="389">
        <v>0</v>
      </c>
    </row>
    <row r="47" spans="1:67" x14ac:dyDescent="0.2">
      <c r="A47" s="380" t="s">
        <v>3173</v>
      </c>
      <c r="B47" s="381" t="s">
        <v>903</v>
      </c>
    </row>
    <row r="48" spans="1:67" x14ac:dyDescent="0.2">
      <c r="A48" s="382" t="s">
        <v>904</v>
      </c>
      <c r="B48" s="383"/>
    </row>
    <row r="49" spans="1:67" x14ac:dyDescent="0.2">
      <c r="A49" s="384" t="s">
        <v>3175</v>
      </c>
      <c r="B49" s="384">
        <v>-25</v>
      </c>
      <c r="C49" s="384">
        <v>-24</v>
      </c>
      <c r="D49" s="384">
        <v>-23</v>
      </c>
      <c r="E49" s="384">
        <v>-22</v>
      </c>
      <c r="F49" s="384">
        <v>-21</v>
      </c>
      <c r="G49" s="384">
        <v>-20</v>
      </c>
      <c r="H49" s="384">
        <v>-19</v>
      </c>
      <c r="I49" s="384">
        <v>-18</v>
      </c>
      <c r="J49" s="384">
        <v>-17</v>
      </c>
      <c r="K49" s="384">
        <v>-16</v>
      </c>
      <c r="L49" s="384">
        <v>-15</v>
      </c>
      <c r="M49" s="384">
        <v>-14</v>
      </c>
      <c r="N49" s="384">
        <v>-13</v>
      </c>
      <c r="O49" s="384">
        <v>-12</v>
      </c>
      <c r="P49" s="384">
        <v>-11</v>
      </c>
      <c r="Q49" s="384">
        <v>-10</v>
      </c>
      <c r="R49" s="384">
        <v>-9</v>
      </c>
      <c r="S49" s="384">
        <v>-8</v>
      </c>
      <c r="T49" s="384">
        <v>-7</v>
      </c>
      <c r="U49" s="384">
        <v>-6</v>
      </c>
      <c r="V49" s="384">
        <v>-5</v>
      </c>
      <c r="W49" s="384">
        <v>-4</v>
      </c>
      <c r="X49" s="384">
        <v>-3</v>
      </c>
      <c r="Y49" s="384">
        <v>-2</v>
      </c>
      <c r="Z49" s="384">
        <v>-1</v>
      </c>
      <c r="AA49" s="384">
        <v>0</v>
      </c>
      <c r="AB49" s="384">
        <v>1</v>
      </c>
      <c r="AC49" s="384">
        <v>2</v>
      </c>
      <c r="AD49" s="384">
        <v>3</v>
      </c>
      <c r="AE49" s="384">
        <v>4</v>
      </c>
      <c r="AF49" s="384">
        <v>5</v>
      </c>
      <c r="AG49" s="384">
        <v>6</v>
      </c>
      <c r="AH49" s="384">
        <v>7</v>
      </c>
      <c r="AI49" s="384">
        <v>8</v>
      </c>
      <c r="AJ49" s="384">
        <v>9</v>
      </c>
      <c r="AK49" s="384">
        <v>10</v>
      </c>
      <c r="AL49" s="384">
        <v>11</v>
      </c>
      <c r="AM49" s="384">
        <v>12</v>
      </c>
      <c r="AN49" s="384">
        <v>13</v>
      </c>
      <c r="AO49" s="384">
        <v>14</v>
      </c>
      <c r="AP49" s="384">
        <v>15</v>
      </c>
      <c r="AQ49" s="384">
        <v>16</v>
      </c>
      <c r="AR49" s="384">
        <v>17</v>
      </c>
      <c r="AS49" s="384">
        <v>18</v>
      </c>
      <c r="AT49" s="384">
        <v>19</v>
      </c>
      <c r="AU49" s="384">
        <v>20</v>
      </c>
      <c r="AV49" s="384">
        <v>21</v>
      </c>
      <c r="AW49" s="384">
        <v>22</v>
      </c>
      <c r="AX49" s="384">
        <v>23</v>
      </c>
      <c r="AY49" s="384">
        <v>24</v>
      </c>
      <c r="AZ49" s="384">
        <v>25</v>
      </c>
      <c r="BA49" s="384">
        <v>26</v>
      </c>
      <c r="BB49" s="384">
        <v>27</v>
      </c>
      <c r="BC49" s="384">
        <v>28</v>
      </c>
      <c r="BD49" s="384">
        <v>29</v>
      </c>
      <c r="BE49" s="384">
        <v>30</v>
      </c>
      <c r="BF49" s="384">
        <v>31</v>
      </c>
      <c r="BG49" s="384">
        <v>32</v>
      </c>
      <c r="BH49" s="384">
        <v>33</v>
      </c>
      <c r="BI49" s="384">
        <v>34</v>
      </c>
      <c r="BJ49" s="384">
        <v>35</v>
      </c>
      <c r="BK49" s="384">
        <v>36</v>
      </c>
      <c r="BL49" s="384">
        <v>37</v>
      </c>
      <c r="BM49" s="384">
        <v>38</v>
      </c>
      <c r="BN49" s="384">
        <v>39</v>
      </c>
      <c r="BO49" s="384">
        <v>40</v>
      </c>
    </row>
    <row r="50" spans="1:67" x14ac:dyDescent="0.2">
      <c r="A50" s="385" t="s">
        <v>3176</v>
      </c>
      <c r="B50" s="385">
        <v>0</v>
      </c>
      <c r="C50" s="385">
        <v>0</v>
      </c>
      <c r="D50" s="385">
        <v>0</v>
      </c>
      <c r="E50" s="385">
        <v>0</v>
      </c>
      <c r="F50" s="385">
        <v>0</v>
      </c>
      <c r="G50" s="385">
        <v>0</v>
      </c>
      <c r="H50" s="385">
        <v>0</v>
      </c>
      <c r="I50" s="385">
        <v>0</v>
      </c>
      <c r="J50" s="385">
        <v>0</v>
      </c>
      <c r="K50" s="385">
        <v>0</v>
      </c>
      <c r="L50" s="385">
        <v>1</v>
      </c>
      <c r="M50" s="385">
        <v>2</v>
      </c>
      <c r="N50" s="385">
        <v>3</v>
      </c>
      <c r="O50" s="385">
        <v>16</v>
      </c>
      <c r="P50" s="385">
        <v>14</v>
      </c>
      <c r="Q50" s="385">
        <v>22</v>
      </c>
      <c r="R50" s="385">
        <v>15</v>
      </c>
      <c r="S50" s="385">
        <v>32</v>
      </c>
      <c r="T50" s="385">
        <v>17</v>
      </c>
      <c r="U50" s="385">
        <v>25</v>
      </c>
      <c r="V50" s="385">
        <v>53</v>
      </c>
      <c r="W50" s="385">
        <v>56</v>
      </c>
      <c r="X50" s="385">
        <v>84</v>
      </c>
      <c r="Y50" s="385">
        <v>165</v>
      </c>
      <c r="Z50" s="385">
        <v>214</v>
      </c>
      <c r="AA50" s="385">
        <v>174</v>
      </c>
      <c r="AB50" s="385">
        <v>297</v>
      </c>
      <c r="AC50" s="385">
        <v>396</v>
      </c>
      <c r="AD50" s="385">
        <v>445</v>
      </c>
      <c r="AE50" s="385">
        <v>489</v>
      </c>
      <c r="AF50" s="385">
        <v>442</v>
      </c>
      <c r="AG50" s="385">
        <v>425</v>
      </c>
      <c r="AH50" s="385">
        <v>409</v>
      </c>
      <c r="AI50" s="385">
        <v>354</v>
      </c>
      <c r="AJ50" s="385">
        <v>329</v>
      </c>
      <c r="AK50" s="385">
        <v>361</v>
      </c>
      <c r="AL50" s="385">
        <v>367</v>
      </c>
      <c r="AM50" s="385">
        <v>375</v>
      </c>
      <c r="AN50" s="385">
        <v>369</v>
      </c>
      <c r="AO50" s="385">
        <v>373</v>
      </c>
      <c r="AP50" s="385">
        <v>352</v>
      </c>
      <c r="AQ50" s="385">
        <v>328</v>
      </c>
      <c r="AR50" s="385">
        <v>323</v>
      </c>
      <c r="AS50" s="385">
        <v>260</v>
      </c>
      <c r="AT50" s="385">
        <v>217</v>
      </c>
      <c r="AU50" s="385">
        <v>169</v>
      </c>
      <c r="AV50" s="385">
        <v>135</v>
      </c>
      <c r="AW50" s="385">
        <v>122</v>
      </c>
      <c r="AX50" s="385">
        <v>129</v>
      </c>
      <c r="AY50" s="385">
        <v>92</v>
      </c>
      <c r="AZ50" s="385">
        <v>105</v>
      </c>
      <c r="BA50" s="385">
        <v>73</v>
      </c>
      <c r="BB50" s="385">
        <v>33</v>
      </c>
      <c r="BC50" s="385">
        <v>25</v>
      </c>
      <c r="BD50" s="385">
        <v>22</v>
      </c>
      <c r="BE50" s="385">
        <v>20</v>
      </c>
      <c r="BF50" s="385">
        <v>13</v>
      </c>
      <c r="BG50" s="385">
        <v>11</v>
      </c>
      <c r="BH50" s="385">
        <v>3</v>
      </c>
      <c r="BI50" s="385">
        <v>4</v>
      </c>
      <c r="BJ50" s="385">
        <v>0</v>
      </c>
      <c r="BK50" s="385">
        <v>0</v>
      </c>
      <c r="BL50" s="385">
        <v>0</v>
      </c>
      <c r="BM50" s="385">
        <v>0</v>
      </c>
      <c r="BN50" s="385">
        <v>0</v>
      </c>
      <c r="BO50" s="385">
        <v>0</v>
      </c>
    </row>
    <row r="51" spans="1:67" x14ac:dyDescent="0.2">
      <c r="A51" s="386" t="s">
        <v>893</v>
      </c>
      <c r="B51" s="386">
        <v>0</v>
      </c>
      <c r="C51" s="386">
        <v>0</v>
      </c>
      <c r="D51" s="386">
        <v>0</v>
      </c>
      <c r="E51" s="386">
        <v>0</v>
      </c>
      <c r="F51" s="386">
        <v>0</v>
      </c>
      <c r="G51" s="386">
        <v>0</v>
      </c>
      <c r="H51" s="386">
        <v>0</v>
      </c>
      <c r="I51" s="386">
        <v>0</v>
      </c>
      <c r="J51" s="386">
        <v>0</v>
      </c>
      <c r="K51" s="386">
        <v>0</v>
      </c>
      <c r="L51" s="386">
        <v>0</v>
      </c>
      <c r="M51" s="386">
        <v>0</v>
      </c>
      <c r="N51" s="386">
        <v>0</v>
      </c>
      <c r="O51" s="386">
        <v>0</v>
      </c>
      <c r="P51" s="386">
        <v>0</v>
      </c>
      <c r="Q51" s="386">
        <v>0</v>
      </c>
      <c r="R51" s="386">
        <v>48</v>
      </c>
      <c r="S51" s="386">
        <v>24</v>
      </c>
      <c r="T51" s="386">
        <v>48</v>
      </c>
      <c r="U51" s="386">
        <v>48</v>
      </c>
      <c r="V51" s="386">
        <v>24</v>
      </c>
      <c r="W51" s="386">
        <v>48</v>
      </c>
      <c r="X51" s="386">
        <v>48</v>
      </c>
      <c r="Y51" s="386">
        <v>168</v>
      </c>
      <c r="Z51" s="386">
        <v>168</v>
      </c>
      <c r="AA51" s="386">
        <v>144</v>
      </c>
      <c r="AB51" s="386">
        <v>360</v>
      </c>
      <c r="AC51" s="386">
        <v>264</v>
      </c>
      <c r="AD51" s="386">
        <v>360</v>
      </c>
      <c r="AE51" s="386">
        <v>576</v>
      </c>
      <c r="AF51" s="386">
        <v>576</v>
      </c>
      <c r="AG51" s="386">
        <v>408</v>
      </c>
      <c r="AH51" s="386">
        <v>408</v>
      </c>
      <c r="AI51" s="386">
        <v>336</v>
      </c>
      <c r="AJ51" s="386">
        <v>312</v>
      </c>
      <c r="AK51" s="386">
        <v>312</v>
      </c>
      <c r="AL51" s="386">
        <v>456</v>
      </c>
      <c r="AM51" s="386">
        <v>408</v>
      </c>
      <c r="AN51" s="386">
        <v>336</v>
      </c>
      <c r="AO51" s="386">
        <v>408</v>
      </c>
      <c r="AP51" s="386">
        <v>216</v>
      </c>
      <c r="AQ51" s="386">
        <v>384</v>
      </c>
      <c r="AR51" s="386">
        <v>336</v>
      </c>
      <c r="AS51" s="386">
        <v>360</v>
      </c>
      <c r="AT51" s="386">
        <v>432</v>
      </c>
      <c r="AU51" s="386">
        <v>288</v>
      </c>
      <c r="AV51" s="386">
        <v>168</v>
      </c>
      <c r="AW51" s="386">
        <v>144</v>
      </c>
      <c r="AX51" s="386">
        <v>96</v>
      </c>
      <c r="AY51" s="386">
        <v>24</v>
      </c>
      <c r="AZ51" s="386">
        <v>0</v>
      </c>
      <c r="BA51" s="386">
        <v>24</v>
      </c>
      <c r="BB51" s="386">
        <v>0</v>
      </c>
      <c r="BC51" s="386">
        <v>0</v>
      </c>
      <c r="BD51" s="386">
        <v>0</v>
      </c>
      <c r="BE51" s="386">
        <v>0</v>
      </c>
      <c r="BF51" s="386">
        <v>0</v>
      </c>
      <c r="BG51" s="386">
        <v>0</v>
      </c>
      <c r="BH51" s="386">
        <v>0</v>
      </c>
      <c r="BI51" s="386">
        <v>0</v>
      </c>
      <c r="BJ51" s="386">
        <v>0</v>
      </c>
      <c r="BK51" s="386">
        <v>0</v>
      </c>
      <c r="BL51" s="386">
        <v>0</v>
      </c>
      <c r="BM51" s="386">
        <v>0</v>
      </c>
      <c r="BN51" s="386">
        <v>0</v>
      </c>
      <c r="BO51" s="386">
        <v>0</v>
      </c>
    </row>
    <row r="52" spans="1:67" x14ac:dyDescent="0.2">
      <c r="A52" s="386" t="s">
        <v>894</v>
      </c>
      <c r="B52" s="387">
        <v>0</v>
      </c>
      <c r="C52" s="387">
        <v>0</v>
      </c>
      <c r="D52" s="387">
        <v>0</v>
      </c>
      <c r="E52" s="387">
        <v>0</v>
      </c>
      <c r="F52" s="387">
        <v>0</v>
      </c>
      <c r="G52" s="387">
        <v>0</v>
      </c>
      <c r="H52" s="387">
        <v>0</v>
      </c>
      <c r="I52" s="387">
        <v>0</v>
      </c>
      <c r="J52" s="387">
        <v>0</v>
      </c>
      <c r="K52" s="387">
        <v>0</v>
      </c>
      <c r="L52" s="387">
        <v>0</v>
      </c>
      <c r="M52" s="387">
        <v>0</v>
      </c>
      <c r="N52" s="387">
        <v>0</v>
      </c>
      <c r="O52" s="387">
        <v>0</v>
      </c>
      <c r="P52" s="387">
        <v>0.34200000000000003</v>
      </c>
      <c r="Q52" s="387">
        <v>0.25</v>
      </c>
      <c r="R52" s="387">
        <v>0.27400000000000002</v>
      </c>
      <c r="S52" s="387">
        <v>0.85399999999999998</v>
      </c>
      <c r="T52" s="387">
        <v>1.131</v>
      </c>
      <c r="U52" s="387">
        <v>1.423</v>
      </c>
      <c r="V52" s="387">
        <v>2.8530000000000002</v>
      </c>
      <c r="W52" s="387">
        <v>1.8520000000000001</v>
      </c>
      <c r="X52" s="387">
        <v>3.6970000000000001</v>
      </c>
      <c r="Y52" s="387">
        <v>2.794</v>
      </c>
      <c r="Z52" s="387">
        <v>4.383</v>
      </c>
      <c r="AA52" s="387">
        <v>3.718</v>
      </c>
      <c r="AB52" s="387">
        <v>3.214</v>
      </c>
      <c r="AC52" s="387">
        <v>4.8280000000000003</v>
      </c>
      <c r="AD52" s="387">
        <v>5.5350000000000001</v>
      </c>
      <c r="AE52" s="387">
        <v>8.5250000000000004</v>
      </c>
      <c r="AF52" s="387">
        <v>10.063000000000001</v>
      </c>
      <c r="AG52" s="387">
        <v>18.731999999999999</v>
      </c>
      <c r="AH52" s="387">
        <v>18.716000000000001</v>
      </c>
      <c r="AI52" s="387">
        <v>17.46</v>
      </c>
      <c r="AJ52" s="387">
        <v>18.507999999999999</v>
      </c>
      <c r="AK52" s="387">
        <v>24.542999999999999</v>
      </c>
      <c r="AL52" s="387">
        <v>25.562000000000001</v>
      </c>
      <c r="AM52" s="387">
        <v>33.040999999999997</v>
      </c>
      <c r="AN52" s="387">
        <v>34.604999999999997</v>
      </c>
      <c r="AO52" s="387">
        <v>36.343000000000004</v>
      </c>
      <c r="AP52" s="387">
        <v>45.171999999999997</v>
      </c>
      <c r="AQ52" s="387">
        <v>44.726999999999997</v>
      </c>
      <c r="AR52" s="387">
        <v>42.095999999999997</v>
      </c>
      <c r="AS52" s="387">
        <v>46.423000000000002</v>
      </c>
      <c r="AT52" s="387">
        <v>45.286000000000001</v>
      </c>
      <c r="AU52" s="387">
        <v>52.493000000000002</v>
      </c>
      <c r="AV52" s="387">
        <v>45.771999999999998</v>
      </c>
      <c r="AW52" s="387">
        <v>48.232999999999997</v>
      </c>
      <c r="AX52" s="387">
        <v>49.186999999999998</v>
      </c>
      <c r="AY52" s="387">
        <v>42.670999999999999</v>
      </c>
      <c r="AZ52" s="387">
        <v>50.634</v>
      </c>
      <c r="BA52" s="387">
        <v>35.029000000000003</v>
      </c>
      <c r="BB52" s="387">
        <v>19.053000000000001</v>
      </c>
      <c r="BC52" s="387">
        <v>12.295999999999999</v>
      </c>
      <c r="BD52" s="387">
        <v>10.827</v>
      </c>
      <c r="BE52" s="387">
        <v>11.965999999999999</v>
      </c>
      <c r="BF52" s="387">
        <v>7.7519999999999998</v>
      </c>
      <c r="BG52" s="387">
        <v>5.5339999999999998</v>
      </c>
      <c r="BH52" s="387">
        <v>1.657</v>
      </c>
      <c r="BI52" s="387">
        <v>2.1019999999999999</v>
      </c>
      <c r="BJ52" s="387">
        <v>0</v>
      </c>
      <c r="BK52" s="387">
        <v>0</v>
      </c>
      <c r="BL52" s="387">
        <v>0</v>
      </c>
      <c r="BM52" s="387">
        <v>0</v>
      </c>
      <c r="BN52" s="387">
        <v>0</v>
      </c>
      <c r="BO52" s="387">
        <v>0</v>
      </c>
    </row>
    <row r="53" spans="1:67" x14ac:dyDescent="0.2">
      <c r="A53" s="386" t="s">
        <v>895</v>
      </c>
      <c r="B53" s="387">
        <v>0</v>
      </c>
      <c r="C53" s="387">
        <v>0</v>
      </c>
      <c r="D53" s="387">
        <v>0</v>
      </c>
      <c r="E53" s="387">
        <v>0</v>
      </c>
      <c r="F53" s="387">
        <v>0</v>
      </c>
      <c r="G53" s="387">
        <v>0</v>
      </c>
      <c r="H53" s="387">
        <v>0</v>
      </c>
      <c r="I53" s="387">
        <v>0</v>
      </c>
      <c r="J53" s="387">
        <v>0</v>
      </c>
      <c r="K53" s="387">
        <v>0</v>
      </c>
      <c r="L53" s="387">
        <v>0</v>
      </c>
      <c r="M53" s="387">
        <v>0</v>
      </c>
      <c r="N53" s="387">
        <v>0</v>
      </c>
      <c r="O53" s="387">
        <v>0.34699999999999998</v>
      </c>
      <c r="P53" s="387">
        <v>0.74</v>
      </c>
      <c r="Q53" s="387">
        <v>0.32100000000000001</v>
      </c>
      <c r="R53" s="387">
        <v>0.88900000000000001</v>
      </c>
      <c r="S53" s="387">
        <v>0.68400000000000005</v>
      </c>
      <c r="T53" s="387">
        <v>1.79</v>
      </c>
      <c r="U53" s="387">
        <v>1.9139999999999999</v>
      </c>
      <c r="V53" s="387">
        <v>2.552</v>
      </c>
      <c r="W53" s="387">
        <v>2.2919999999999998</v>
      </c>
      <c r="X53" s="387">
        <v>2.6640000000000001</v>
      </c>
      <c r="Y53" s="387">
        <v>2.7749999999999999</v>
      </c>
      <c r="Z53" s="387">
        <v>2.4049999999999998</v>
      </c>
      <c r="AA53" s="387">
        <v>2.657</v>
      </c>
      <c r="AB53" s="387">
        <v>2.2120000000000002</v>
      </c>
      <c r="AC53" s="387">
        <v>3.452</v>
      </c>
      <c r="AD53" s="387">
        <v>5.4989999999999997</v>
      </c>
      <c r="AE53" s="387">
        <v>4.069</v>
      </c>
      <c r="AF53" s="387">
        <v>6.7089999999999996</v>
      </c>
      <c r="AG53" s="387">
        <v>10.62</v>
      </c>
      <c r="AH53" s="387">
        <v>9.2379999999999995</v>
      </c>
      <c r="AI53" s="387">
        <v>9.6259999999999994</v>
      </c>
      <c r="AJ53" s="387">
        <v>9.9339999999999993</v>
      </c>
      <c r="AK53" s="387">
        <v>12.233000000000001</v>
      </c>
      <c r="AL53" s="387">
        <v>15.257</v>
      </c>
      <c r="AM53" s="387">
        <v>16.201000000000001</v>
      </c>
      <c r="AN53" s="387">
        <v>17.622</v>
      </c>
      <c r="AO53" s="387">
        <v>22.09</v>
      </c>
      <c r="AP53" s="387">
        <v>19.18</v>
      </c>
      <c r="AQ53" s="387">
        <v>21.440999999999999</v>
      </c>
      <c r="AR53" s="387">
        <v>18.550999999999998</v>
      </c>
      <c r="AS53" s="387">
        <v>22.003</v>
      </c>
      <c r="AT53" s="387">
        <v>21.568000000000001</v>
      </c>
      <c r="AU53" s="387">
        <v>22.498999999999999</v>
      </c>
      <c r="AV53" s="387">
        <v>18.472000000000001</v>
      </c>
      <c r="AW53" s="387">
        <v>19.471</v>
      </c>
      <c r="AX53" s="387">
        <v>15.225</v>
      </c>
      <c r="AY53" s="387">
        <v>9.843</v>
      </c>
      <c r="AZ53" s="387">
        <v>10.773999999999999</v>
      </c>
      <c r="BA53" s="387">
        <v>5.0789999999999997</v>
      </c>
      <c r="BB53" s="387">
        <v>3.5230000000000001</v>
      </c>
      <c r="BC53" s="387">
        <v>2.008</v>
      </c>
      <c r="BD53" s="387">
        <v>1.2709999999999999</v>
      </c>
      <c r="BE53" s="387">
        <v>1.917</v>
      </c>
      <c r="BF53" s="387">
        <v>0.47299999999999998</v>
      </c>
      <c r="BG53" s="387">
        <v>0.255</v>
      </c>
      <c r="BH53" s="387">
        <v>0.186</v>
      </c>
      <c r="BI53" s="387">
        <v>0.159</v>
      </c>
      <c r="BJ53" s="387">
        <v>0</v>
      </c>
      <c r="BK53" s="387">
        <v>0</v>
      </c>
      <c r="BL53" s="387">
        <v>0</v>
      </c>
      <c r="BM53" s="387">
        <v>0</v>
      </c>
      <c r="BN53" s="387">
        <v>0</v>
      </c>
      <c r="BO53" s="387">
        <v>0</v>
      </c>
    </row>
    <row r="54" spans="1:67" x14ac:dyDescent="0.2">
      <c r="A54" s="386" t="s">
        <v>896</v>
      </c>
      <c r="B54" s="387">
        <v>0</v>
      </c>
      <c r="C54" s="387">
        <v>0</v>
      </c>
      <c r="D54" s="387">
        <v>0</v>
      </c>
      <c r="E54" s="387">
        <v>0</v>
      </c>
      <c r="F54" s="387">
        <v>0</v>
      </c>
      <c r="G54" s="387">
        <v>0</v>
      </c>
      <c r="H54" s="387">
        <v>0</v>
      </c>
      <c r="I54" s="387">
        <v>0</v>
      </c>
      <c r="J54" s="387">
        <v>0</v>
      </c>
      <c r="K54" s="387">
        <v>0</v>
      </c>
      <c r="L54" s="387">
        <v>0</v>
      </c>
      <c r="M54" s="387">
        <v>0</v>
      </c>
      <c r="N54" s="387">
        <v>0</v>
      </c>
      <c r="O54" s="387">
        <v>0.17399999999999999</v>
      </c>
      <c r="P54" s="387">
        <v>0.81299999999999994</v>
      </c>
      <c r="Q54" s="387">
        <v>0.73699999999999999</v>
      </c>
      <c r="R54" s="387">
        <v>1.0940000000000001</v>
      </c>
      <c r="S54" s="387">
        <v>1.9179999999999999</v>
      </c>
      <c r="T54" s="387">
        <v>2.4980000000000002</v>
      </c>
      <c r="U54" s="387">
        <v>3.5249999999999999</v>
      </c>
      <c r="V54" s="387">
        <v>7.23</v>
      </c>
      <c r="W54" s="387">
        <v>3.8159999999999998</v>
      </c>
      <c r="X54" s="387">
        <v>7.2720000000000002</v>
      </c>
      <c r="Y54" s="387">
        <v>5.9829999999999997</v>
      </c>
      <c r="Z54" s="387">
        <v>6.5750000000000002</v>
      </c>
      <c r="AA54" s="387">
        <v>5.7409999999999997</v>
      </c>
      <c r="AB54" s="387">
        <v>6.0910000000000002</v>
      </c>
      <c r="AC54" s="387">
        <v>7.8650000000000002</v>
      </c>
      <c r="AD54" s="387">
        <v>7.3630000000000004</v>
      </c>
      <c r="AE54" s="387">
        <v>10.961</v>
      </c>
      <c r="AF54" s="387">
        <v>12.122</v>
      </c>
      <c r="AG54" s="387">
        <v>17.925999999999998</v>
      </c>
      <c r="AH54" s="387">
        <v>20.609000000000002</v>
      </c>
      <c r="AI54" s="387">
        <v>16.748000000000001</v>
      </c>
      <c r="AJ54" s="387">
        <v>16.488</v>
      </c>
      <c r="AK54" s="387">
        <v>21.047000000000001</v>
      </c>
      <c r="AL54" s="387">
        <v>23.184999999999999</v>
      </c>
      <c r="AM54" s="387">
        <v>27.187999999999999</v>
      </c>
      <c r="AN54" s="387">
        <v>24.824000000000002</v>
      </c>
      <c r="AO54" s="387">
        <v>22.51</v>
      </c>
      <c r="AP54" s="387">
        <v>27.552</v>
      </c>
      <c r="AQ54" s="387">
        <v>27.29</v>
      </c>
      <c r="AR54" s="387">
        <v>26.004000000000001</v>
      </c>
      <c r="AS54" s="387">
        <v>26.434000000000001</v>
      </c>
      <c r="AT54" s="387">
        <v>22.42</v>
      </c>
      <c r="AU54" s="387">
        <v>27.114000000000001</v>
      </c>
      <c r="AV54" s="387">
        <v>23.960999999999999</v>
      </c>
      <c r="AW54" s="387">
        <v>28.155000000000001</v>
      </c>
      <c r="AX54" s="387">
        <v>28.23</v>
      </c>
      <c r="AY54" s="387">
        <v>24.797999999999998</v>
      </c>
      <c r="AZ54" s="387">
        <v>28.518999999999998</v>
      </c>
      <c r="BA54" s="387">
        <v>18.356999999999999</v>
      </c>
      <c r="BB54" s="387">
        <v>10.298</v>
      </c>
      <c r="BC54" s="387">
        <v>7.0439999999999996</v>
      </c>
      <c r="BD54" s="387">
        <v>5.6310000000000002</v>
      </c>
      <c r="BE54" s="387">
        <v>6.585</v>
      </c>
      <c r="BF54" s="387">
        <v>3.8330000000000002</v>
      </c>
      <c r="BG54" s="387">
        <v>2.4260000000000002</v>
      </c>
      <c r="BH54" s="387">
        <v>0.755</v>
      </c>
      <c r="BI54" s="387">
        <v>0.97499999999999998</v>
      </c>
      <c r="BJ54" s="387">
        <v>0</v>
      </c>
      <c r="BK54" s="387">
        <v>0</v>
      </c>
      <c r="BL54" s="387">
        <v>0</v>
      </c>
      <c r="BM54" s="387">
        <v>0</v>
      </c>
      <c r="BN54" s="387">
        <v>0</v>
      </c>
      <c r="BO54" s="387">
        <v>0</v>
      </c>
    </row>
    <row r="55" spans="1:67" x14ac:dyDescent="0.2">
      <c r="A55" s="386" t="s">
        <v>897</v>
      </c>
      <c r="B55" s="387">
        <v>0</v>
      </c>
      <c r="C55" s="387">
        <v>0</v>
      </c>
      <c r="D55" s="387">
        <v>0</v>
      </c>
      <c r="E55" s="387">
        <v>0</v>
      </c>
      <c r="F55" s="387">
        <v>0</v>
      </c>
      <c r="G55" s="387">
        <v>0</v>
      </c>
      <c r="H55" s="387">
        <v>0</v>
      </c>
      <c r="I55" s="387">
        <v>0</v>
      </c>
      <c r="J55" s="387">
        <v>0</v>
      </c>
      <c r="K55" s="387">
        <v>0</v>
      </c>
      <c r="L55" s="387">
        <v>0</v>
      </c>
      <c r="M55" s="387">
        <v>0</v>
      </c>
      <c r="N55" s="387">
        <v>0</v>
      </c>
      <c r="O55" s="387">
        <v>0</v>
      </c>
      <c r="P55" s="387">
        <v>0</v>
      </c>
      <c r="Q55" s="387">
        <v>0</v>
      </c>
      <c r="R55" s="387">
        <v>0</v>
      </c>
      <c r="S55" s="387">
        <v>0.37</v>
      </c>
      <c r="T55" s="387">
        <v>0.441</v>
      </c>
      <c r="U55" s="387">
        <v>1.369</v>
      </c>
      <c r="V55" s="387">
        <v>3.0430000000000001</v>
      </c>
      <c r="W55" s="387">
        <v>0.82299999999999995</v>
      </c>
      <c r="X55" s="387">
        <v>2.3069999999999999</v>
      </c>
      <c r="Y55" s="387">
        <v>3.2749999999999999</v>
      </c>
      <c r="Z55" s="387">
        <v>2.4710000000000001</v>
      </c>
      <c r="AA55" s="387">
        <v>1.823</v>
      </c>
      <c r="AB55" s="387">
        <v>1.71</v>
      </c>
      <c r="AC55" s="387">
        <v>1.631</v>
      </c>
      <c r="AD55" s="387">
        <v>2.202</v>
      </c>
      <c r="AE55" s="387">
        <v>2.601</v>
      </c>
      <c r="AF55" s="387">
        <v>3.851</v>
      </c>
      <c r="AG55" s="387">
        <v>6.306</v>
      </c>
      <c r="AH55" s="387">
        <v>6.0179999999999998</v>
      </c>
      <c r="AI55" s="387">
        <v>3.706</v>
      </c>
      <c r="AJ55" s="387">
        <v>4.7329999999999997</v>
      </c>
      <c r="AK55" s="387">
        <v>11.21</v>
      </c>
      <c r="AL55" s="387">
        <v>8.6630000000000003</v>
      </c>
      <c r="AM55" s="387">
        <v>11.752000000000001</v>
      </c>
      <c r="AN55" s="387">
        <v>13.388</v>
      </c>
      <c r="AO55" s="387">
        <v>11.161</v>
      </c>
      <c r="AP55" s="387">
        <v>18.748999999999999</v>
      </c>
      <c r="AQ55" s="387">
        <v>17.98</v>
      </c>
      <c r="AR55" s="387">
        <v>16.827000000000002</v>
      </c>
      <c r="AS55" s="387">
        <v>16.47</v>
      </c>
      <c r="AT55" s="387">
        <v>18.193000000000001</v>
      </c>
      <c r="AU55" s="387">
        <v>22.474</v>
      </c>
      <c r="AV55" s="387">
        <v>18.922000000000001</v>
      </c>
      <c r="AW55" s="387">
        <v>20.963999999999999</v>
      </c>
      <c r="AX55" s="387">
        <v>25.698</v>
      </c>
      <c r="AY55" s="387">
        <v>23.92</v>
      </c>
      <c r="AZ55" s="387">
        <v>30.593</v>
      </c>
      <c r="BA55" s="387">
        <v>24.77</v>
      </c>
      <c r="BB55" s="387">
        <v>11.968999999999999</v>
      </c>
      <c r="BC55" s="387">
        <v>6.4139999999999997</v>
      </c>
      <c r="BD55" s="387">
        <v>8.327</v>
      </c>
      <c r="BE55" s="387">
        <v>8.3810000000000002</v>
      </c>
      <c r="BF55" s="387">
        <v>6.21</v>
      </c>
      <c r="BG55" s="387">
        <v>5.3780000000000001</v>
      </c>
      <c r="BH55" s="387">
        <v>1.595</v>
      </c>
      <c r="BI55" s="387">
        <v>1.7190000000000001</v>
      </c>
      <c r="BJ55" s="387">
        <v>0</v>
      </c>
      <c r="BK55" s="387">
        <v>0</v>
      </c>
      <c r="BL55" s="387">
        <v>0</v>
      </c>
      <c r="BM55" s="387">
        <v>0</v>
      </c>
      <c r="BN55" s="387">
        <v>0</v>
      </c>
      <c r="BO55" s="387">
        <v>0</v>
      </c>
    </row>
    <row r="56" spans="1:67" x14ac:dyDescent="0.2">
      <c r="A56" s="388" t="s">
        <v>898</v>
      </c>
      <c r="B56" s="389">
        <v>0</v>
      </c>
      <c r="C56" s="389">
        <v>0</v>
      </c>
      <c r="D56" s="389">
        <v>0</v>
      </c>
      <c r="E56" s="389">
        <v>0</v>
      </c>
      <c r="F56" s="389">
        <v>0</v>
      </c>
      <c r="G56" s="389">
        <v>0</v>
      </c>
      <c r="H56" s="389">
        <v>0</v>
      </c>
      <c r="I56" s="389">
        <v>0</v>
      </c>
      <c r="J56" s="389">
        <v>0</v>
      </c>
      <c r="K56" s="389">
        <v>0</v>
      </c>
      <c r="L56" s="389">
        <v>0</v>
      </c>
      <c r="M56" s="389">
        <v>0</v>
      </c>
      <c r="N56" s="389">
        <v>0</v>
      </c>
      <c r="O56" s="389">
        <v>0</v>
      </c>
      <c r="P56" s="389">
        <v>0</v>
      </c>
      <c r="Q56" s="389">
        <v>0</v>
      </c>
      <c r="R56" s="389">
        <v>0</v>
      </c>
      <c r="S56" s="389">
        <v>0.16500000000000001</v>
      </c>
      <c r="T56" s="389">
        <v>0.372</v>
      </c>
      <c r="U56" s="389">
        <v>0.53800000000000003</v>
      </c>
      <c r="V56" s="389">
        <v>0.93300000000000005</v>
      </c>
      <c r="W56" s="389">
        <v>0.35499999999999998</v>
      </c>
      <c r="X56" s="389">
        <v>1.1779999999999999</v>
      </c>
      <c r="Y56" s="389">
        <v>0.68100000000000005</v>
      </c>
      <c r="Z56" s="389">
        <v>0.71499999999999997</v>
      </c>
      <c r="AA56" s="389">
        <v>0</v>
      </c>
      <c r="AB56" s="389">
        <v>0.376</v>
      </c>
      <c r="AC56" s="389">
        <v>0.189</v>
      </c>
      <c r="AD56" s="389">
        <v>0.378</v>
      </c>
      <c r="AE56" s="389">
        <v>0.17799999999999999</v>
      </c>
      <c r="AF56" s="389">
        <v>0.151</v>
      </c>
      <c r="AG56" s="389">
        <v>0.63700000000000001</v>
      </c>
      <c r="AH56" s="389">
        <v>0.51700000000000002</v>
      </c>
      <c r="AI56" s="389">
        <v>0.316</v>
      </c>
      <c r="AJ56" s="389">
        <v>0.15</v>
      </c>
      <c r="AK56" s="389">
        <v>0.308</v>
      </c>
      <c r="AL56" s="389">
        <v>1.0620000000000001</v>
      </c>
      <c r="AM56" s="389">
        <v>0.94199999999999995</v>
      </c>
      <c r="AN56" s="389">
        <v>0.90600000000000003</v>
      </c>
      <c r="AO56" s="389">
        <v>3.0049999999999999</v>
      </c>
      <c r="AP56" s="389">
        <v>3.1739999999999999</v>
      </c>
      <c r="AQ56" s="389">
        <v>3.0470000000000002</v>
      </c>
      <c r="AR56" s="389">
        <v>3.1259999999999999</v>
      </c>
      <c r="AS56" s="389">
        <v>3.6030000000000002</v>
      </c>
      <c r="AT56" s="389">
        <v>3.1120000000000001</v>
      </c>
      <c r="AU56" s="389">
        <v>5.2430000000000003</v>
      </c>
      <c r="AV56" s="389">
        <v>2.4039999999999999</v>
      </c>
      <c r="AW56" s="389">
        <v>3.8919999999999999</v>
      </c>
      <c r="AX56" s="389">
        <v>4.9729999999999999</v>
      </c>
      <c r="AY56" s="389">
        <v>3.7589999999999999</v>
      </c>
      <c r="AZ56" s="389">
        <v>4.2069999999999999</v>
      </c>
      <c r="BA56" s="389">
        <v>2.8439999999999999</v>
      </c>
      <c r="BB56" s="389">
        <v>1.264</v>
      </c>
      <c r="BC56" s="389">
        <v>0.63100000000000001</v>
      </c>
      <c r="BD56" s="389">
        <v>0.70599999999999996</v>
      </c>
      <c r="BE56" s="389">
        <v>1.4490000000000001</v>
      </c>
      <c r="BF56" s="389">
        <v>0.48499999999999999</v>
      </c>
      <c r="BG56" s="389">
        <v>0.17699999999999999</v>
      </c>
      <c r="BH56" s="389">
        <v>0.17699999999999999</v>
      </c>
      <c r="BI56" s="389">
        <v>0.16</v>
      </c>
      <c r="BJ56" s="389">
        <v>0</v>
      </c>
      <c r="BK56" s="389">
        <v>0</v>
      </c>
      <c r="BL56" s="389">
        <v>0</v>
      </c>
      <c r="BM56" s="389">
        <v>0</v>
      </c>
      <c r="BN56" s="389">
        <v>0</v>
      </c>
      <c r="BO56" s="389">
        <v>0</v>
      </c>
    </row>
    <row r="58" spans="1:67" x14ac:dyDescent="0.2">
      <c r="A58" s="380" t="s">
        <v>3173</v>
      </c>
      <c r="B58" s="381" t="s">
        <v>905</v>
      </c>
    </row>
    <row r="59" spans="1:67" x14ac:dyDescent="0.2">
      <c r="A59" s="382" t="s">
        <v>3932</v>
      </c>
      <c r="B59" s="383"/>
    </row>
    <row r="60" spans="1:67" x14ac:dyDescent="0.2">
      <c r="A60" s="384" t="s">
        <v>3175</v>
      </c>
      <c r="B60" s="384">
        <v>-25</v>
      </c>
      <c r="C60" s="384">
        <v>-24</v>
      </c>
      <c r="D60" s="384">
        <v>-23</v>
      </c>
      <c r="E60" s="384">
        <v>-22</v>
      </c>
      <c r="F60" s="384">
        <v>-21</v>
      </c>
      <c r="G60" s="384">
        <v>-20</v>
      </c>
      <c r="H60" s="384">
        <v>-19</v>
      </c>
      <c r="I60" s="384">
        <v>-18</v>
      </c>
      <c r="J60" s="384">
        <v>-17</v>
      </c>
      <c r="K60" s="384">
        <v>-16</v>
      </c>
      <c r="L60" s="384">
        <v>-15</v>
      </c>
      <c r="M60" s="384">
        <v>-14</v>
      </c>
      <c r="N60" s="384">
        <v>-13</v>
      </c>
      <c r="O60" s="384">
        <v>-12</v>
      </c>
      <c r="P60" s="384">
        <v>-11</v>
      </c>
      <c r="Q60" s="384">
        <v>-10</v>
      </c>
      <c r="R60" s="384">
        <v>-9</v>
      </c>
      <c r="S60" s="384">
        <v>-8</v>
      </c>
      <c r="T60" s="384">
        <v>-7</v>
      </c>
      <c r="U60" s="384">
        <v>-6</v>
      </c>
      <c r="V60" s="384">
        <v>-5</v>
      </c>
      <c r="W60" s="384">
        <v>-4</v>
      </c>
      <c r="X60" s="384">
        <v>-3</v>
      </c>
      <c r="Y60" s="384">
        <v>-2</v>
      </c>
      <c r="Z60" s="384">
        <v>-1</v>
      </c>
      <c r="AA60" s="384">
        <v>0</v>
      </c>
      <c r="AB60" s="384">
        <v>1</v>
      </c>
      <c r="AC60" s="384">
        <v>2</v>
      </c>
      <c r="AD60" s="384">
        <v>3</v>
      </c>
      <c r="AE60" s="384">
        <v>4</v>
      </c>
      <c r="AF60" s="384">
        <v>5</v>
      </c>
      <c r="AG60" s="384">
        <v>6</v>
      </c>
      <c r="AH60" s="384">
        <v>7</v>
      </c>
      <c r="AI60" s="384">
        <v>8</v>
      </c>
      <c r="AJ60" s="384">
        <v>9</v>
      </c>
      <c r="AK60" s="384">
        <v>10</v>
      </c>
      <c r="AL60" s="384">
        <v>11</v>
      </c>
      <c r="AM60" s="384">
        <v>12</v>
      </c>
      <c r="AN60" s="384">
        <v>13</v>
      </c>
      <c r="AO60" s="384">
        <v>14</v>
      </c>
      <c r="AP60" s="384">
        <v>15</v>
      </c>
      <c r="AQ60" s="384">
        <v>16</v>
      </c>
      <c r="AR60" s="384">
        <v>17</v>
      </c>
      <c r="AS60" s="384">
        <v>18</v>
      </c>
      <c r="AT60" s="384">
        <v>19</v>
      </c>
      <c r="AU60" s="384">
        <v>20</v>
      </c>
      <c r="AV60" s="384">
        <v>21</v>
      </c>
      <c r="AW60" s="384">
        <v>22</v>
      </c>
      <c r="AX60" s="384">
        <v>23</v>
      </c>
      <c r="AY60" s="384">
        <v>24</v>
      </c>
      <c r="AZ60" s="384">
        <v>25</v>
      </c>
      <c r="BA60" s="384">
        <v>26</v>
      </c>
      <c r="BB60" s="384">
        <v>27</v>
      </c>
      <c r="BC60" s="384">
        <v>28</v>
      </c>
      <c r="BD60" s="384">
        <v>29</v>
      </c>
      <c r="BE60" s="384">
        <v>30</v>
      </c>
      <c r="BF60" s="384">
        <v>31</v>
      </c>
      <c r="BG60" s="384">
        <v>32</v>
      </c>
      <c r="BH60" s="384">
        <v>33</v>
      </c>
      <c r="BI60" s="384">
        <v>34</v>
      </c>
      <c r="BJ60" s="384">
        <v>35</v>
      </c>
      <c r="BK60" s="384">
        <v>36</v>
      </c>
      <c r="BL60" s="384">
        <v>37</v>
      </c>
      <c r="BM60" s="384">
        <v>38</v>
      </c>
      <c r="BN60" s="384">
        <v>39</v>
      </c>
      <c r="BO60" s="384">
        <v>40</v>
      </c>
    </row>
    <row r="61" spans="1:67" x14ac:dyDescent="0.2">
      <c r="A61" s="385" t="s">
        <v>3176</v>
      </c>
      <c r="B61" s="385">
        <v>0</v>
      </c>
      <c r="C61" s="385">
        <v>0</v>
      </c>
      <c r="D61" s="385">
        <v>0</v>
      </c>
      <c r="E61" s="385">
        <v>0</v>
      </c>
      <c r="F61" s="385">
        <v>0</v>
      </c>
      <c r="G61" s="385">
        <v>0</v>
      </c>
      <c r="H61" s="385">
        <v>0</v>
      </c>
      <c r="I61" s="385">
        <v>0</v>
      </c>
      <c r="J61" s="385">
        <v>0</v>
      </c>
      <c r="K61" s="385">
        <v>0</v>
      </c>
      <c r="L61" s="385">
        <v>0</v>
      </c>
      <c r="M61" s="385">
        <v>3</v>
      </c>
      <c r="N61" s="385">
        <v>5</v>
      </c>
      <c r="O61" s="385">
        <v>6</v>
      </c>
      <c r="P61" s="385">
        <v>23</v>
      </c>
      <c r="Q61" s="385">
        <v>26</v>
      </c>
      <c r="R61" s="385">
        <v>27</v>
      </c>
      <c r="S61" s="385">
        <v>19</v>
      </c>
      <c r="T61" s="385">
        <v>32</v>
      </c>
      <c r="U61" s="385">
        <v>37</v>
      </c>
      <c r="V61" s="385">
        <v>50</v>
      </c>
      <c r="W61" s="385">
        <v>81</v>
      </c>
      <c r="X61" s="385">
        <v>122</v>
      </c>
      <c r="Y61" s="385">
        <v>161</v>
      </c>
      <c r="Z61" s="385">
        <v>232</v>
      </c>
      <c r="AA61" s="385">
        <v>262</v>
      </c>
      <c r="AB61" s="385">
        <v>432</v>
      </c>
      <c r="AC61" s="385">
        <v>401</v>
      </c>
      <c r="AD61" s="385">
        <v>387</v>
      </c>
      <c r="AE61" s="385">
        <v>322</v>
      </c>
      <c r="AF61" s="385">
        <v>321</v>
      </c>
      <c r="AG61" s="385">
        <v>344</v>
      </c>
      <c r="AH61" s="385">
        <v>365</v>
      </c>
      <c r="AI61" s="385">
        <v>335</v>
      </c>
      <c r="AJ61" s="385">
        <v>304</v>
      </c>
      <c r="AK61" s="385">
        <v>313</v>
      </c>
      <c r="AL61" s="385">
        <v>383</v>
      </c>
      <c r="AM61" s="385">
        <v>362</v>
      </c>
      <c r="AN61" s="385">
        <v>381</v>
      </c>
      <c r="AO61" s="385">
        <v>345</v>
      </c>
      <c r="AP61" s="385">
        <v>330</v>
      </c>
      <c r="AQ61" s="385">
        <v>382</v>
      </c>
      <c r="AR61" s="385">
        <v>375</v>
      </c>
      <c r="AS61" s="385">
        <v>298</v>
      </c>
      <c r="AT61" s="385">
        <v>257</v>
      </c>
      <c r="AU61" s="385">
        <v>205</v>
      </c>
      <c r="AV61" s="385">
        <v>191</v>
      </c>
      <c r="AW61" s="385">
        <v>150</v>
      </c>
      <c r="AX61" s="385">
        <v>99</v>
      </c>
      <c r="AY61" s="385">
        <v>87</v>
      </c>
      <c r="AZ61" s="385">
        <v>79</v>
      </c>
      <c r="BA61" s="385">
        <v>71</v>
      </c>
      <c r="BB61" s="385">
        <v>40</v>
      </c>
      <c r="BC61" s="385">
        <v>33</v>
      </c>
      <c r="BD61" s="385">
        <v>26</v>
      </c>
      <c r="BE61" s="385">
        <v>18</v>
      </c>
      <c r="BF61" s="385">
        <v>9</v>
      </c>
      <c r="BG61" s="385">
        <v>13</v>
      </c>
      <c r="BH61" s="385">
        <v>7</v>
      </c>
      <c r="BI61" s="385">
        <v>5</v>
      </c>
      <c r="BJ61" s="385">
        <v>4</v>
      </c>
      <c r="BK61" s="385">
        <v>0</v>
      </c>
      <c r="BL61" s="385">
        <v>0</v>
      </c>
      <c r="BM61" s="385">
        <v>0</v>
      </c>
      <c r="BN61" s="385">
        <v>0</v>
      </c>
      <c r="BO61" s="385">
        <v>0</v>
      </c>
    </row>
    <row r="62" spans="1:67" x14ac:dyDescent="0.2">
      <c r="A62" s="386" t="s">
        <v>893</v>
      </c>
      <c r="B62" s="386">
        <v>0</v>
      </c>
      <c r="C62" s="386">
        <v>0</v>
      </c>
      <c r="D62" s="386">
        <v>0</v>
      </c>
      <c r="E62" s="386">
        <v>0</v>
      </c>
      <c r="F62" s="386">
        <v>0</v>
      </c>
      <c r="G62" s="386">
        <v>0</v>
      </c>
      <c r="H62" s="386">
        <v>0</v>
      </c>
      <c r="I62" s="386">
        <v>0</v>
      </c>
      <c r="J62" s="386">
        <v>0</v>
      </c>
      <c r="K62" s="386">
        <v>0</v>
      </c>
      <c r="L62" s="386">
        <v>0</v>
      </c>
      <c r="M62" s="386">
        <v>0</v>
      </c>
      <c r="N62" s="386">
        <v>0</v>
      </c>
      <c r="O62" s="386">
        <v>0</v>
      </c>
      <c r="P62" s="386">
        <v>0</v>
      </c>
      <c r="Q62" s="386">
        <v>24</v>
      </c>
      <c r="R62" s="386">
        <v>0</v>
      </c>
      <c r="S62" s="386">
        <v>48</v>
      </c>
      <c r="T62" s="386">
        <v>48</v>
      </c>
      <c r="U62" s="386">
        <v>48</v>
      </c>
      <c r="V62" s="386">
        <v>24</v>
      </c>
      <c r="W62" s="386">
        <v>48</v>
      </c>
      <c r="X62" s="386">
        <v>144</v>
      </c>
      <c r="Y62" s="386">
        <v>96</v>
      </c>
      <c r="Z62" s="386">
        <v>168</v>
      </c>
      <c r="AA62" s="386">
        <v>336</v>
      </c>
      <c r="AB62" s="386">
        <v>408</v>
      </c>
      <c r="AC62" s="386">
        <v>480</v>
      </c>
      <c r="AD62" s="386">
        <v>360</v>
      </c>
      <c r="AE62" s="386">
        <v>240</v>
      </c>
      <c r="AF62" s="386">
        <v>408</v>
      </c>
      <c r="AG62" s="386">
        <v>384</v>
      </c>
      <c r="AH62" s="386">
        <v>264</v>
      </c>
      <c r="AI62" s="386">
        <v>336</v>
      </c>
      <c r="AJ62" s="386">
        <v>288</v>
      </c>
      <c r="AK62" s="386">
        <v>264</v>
      </c>
      <c r="AL62" s="386">
        <v>264</v>
      </c>
      <c r="AM62" s="386">
        <v>384</v>
      </c>
      <c r="AN62" s="386">
        <v>504</v>
      </c>
      <c r="AO62" s="386">
        <v>552</v>
      </c>
      <c r="AP62" s="386">
        <v>432</v>
      </c>
      <c r="AQ62" s="386">
        <v>432</v>
      </c>
      <c r="AR62" s="386">
        <v>408</v>
      </c>
      <c r="AS62" s="386">
        <v>264</v>
      </c>
      <c r="AT62" s="386">
        <v>216</v>
      </c>
      <c r="AU62" s="386">
        <v>264</v>
      </c>
      <c r="AV62" s="386">
        <v>312</v>
      </c>
      <c r="AW62" s="386">
        <v>120</v>
      </c>
      <c r="AX62" s="386">
        <v>48</v>
      </c>
      <c r="AY62" s="386">
        <v>48</v>
      </c>
      <c r="AZ62" s="386">
        <v>24</v>
      </c>
      <c r="BA62" s="386">
        <v>24</v>
      </c>
      <c r="BB62" s="386">
        <v>48</v>
      </c>
      <c r="BC62" s="386">
        <v>0</v>
      </c>
      <c r="BD62" s="386">
        <v>0</v>
      </c>
      <c r="BE62" s="386">
        <v>0</v>
      </c>
      <c r="BF62" s="386">
        <v>0</v>
      </c>
      <c r="BG62" s="386">
        <v>0</v>
      </c>
      <c r="BH62" s="386">
        <v>0</v>
      </c>
      <c r="BI62" s="386">
        <v>0</v>
      </c>
      <c r="BJ62" s="386">
        <v>0</v>
      </c>
      <c r="BK62" s="386">
        <v>0</v>
      </c>
      <c r="BL62" s="386">
        <v>0</v>
      </c>
      <c r="BM62" s="386">
        <v>0</v>
      </c>
      <c r="BN62" s="386">
        <v>0</v>
      </c>
      <c r="BO62" s="386">
        <v>0</v>
      </c>
    </row>
    <row r="63" spans="1:67" x14ac:dyDescent="0.2">
      <c r="A63" s="386" t="s">
        <v>894</v>
      </c>
      <c r="B63" s="387">
        <v>0</v>
      </c>
      <c r="C63" s="387">
        <v>0</v>
      </c>
      <c r="D63" s="387">
        <v>0</v>
      </c>
      <c r="E63" s="387">
        <v>0</v>
      </c>
      <c r="F63" s="387">
        <v>0</v>
      </c>
      <c r="G63" s="387">
        <v>0</v>
      </c>
      <c r="H63" s="387">
        <v>0</v>
      </c>
      <c r="I63" s="387">
        <v>0</v>
      </c>
      <c r="J63" s="387">
        <v>0</v>
      </c>
      <c r="K63" s="387">
        <v>0</v>
      </c>
      <c r="L63" s="387">
        <v>0</v>
      </c>
      <c r="M63" s="387">
        <v>0</v>
      </c>
      <c r="N63" s="387">
        <v>0</v>
      </c>
      <c r="O63" s="387">
        <v>0</v>
      </c>
      <c r="P63" s="387">
        <v>0.185</v>
      </c>
      <c r="Q63" s="387">
        <v>0</v>
      </c>
      <c r="R63" s="387">
        <v>0.73599999999999999</v>
      </c>
      <c r="S63" s="387">
        <v>0.98599999999999999</v>
      </c>
      <c r="T63" s="387">
        <v>0.97099999999999997</v>
      </c>
      <c r="U63" s="387">
        <v>1.6040000000000001</v>
      </c>
      <c r="V63" s="387">
        <v>3.3530000000000002</v>
      </c>
      <c r="W63" s="387">
        <v>2.2639999999999998</v>
      </c>
      <c r="X63" s="387">
        <v>2.4359999999999999</v>
      </c>
      <c r="Y63" s="387">
        <v>9.2490000000000006</v>
      </c>
      <c r="Z63" s="387">
        <v>2.698</v>
      </c>
      <c r="AA63" s="387">
        <v>5.7569999999999997</v>
      </c>
      <c r="AB63" s="387">
        <v>9.6850000000000005</v>
      </c>
      <c r="AC63" s="387">
        <v>12.034000000000001</v>
      </c>
      <c r="AD63" s="387">
        <v>11.726000000000001</v>
      </c>
      <c r="AE63" s="387">
        <v>19.401</v>
      </c>
      <c r="AF63" s="387">
        <v>21.548999999999999</v>
      </c>
      <c r="AG63" s="387">
        <v>26.568000000000001</v>
      </c>
      <c r="AH63" s="387">
        <v>22.12</v>
      </c>
      <c r="AI63" s="387">
        <v>20.835999999999999</v>
      </c>
      <c r="AJ63" s="387">
        <v>25.312000000000001</v>
      </c>
      <c r="AK63" s="387">
        <v>24.164999999999999</v>
      </c>
      <c r="AL63" s="387">
        <v>33.319000000000003</v>
      </c>
      <c r="AM63" s="387">
        <v>30.893999999999998</v>
      </c>
      <c r="AN63" s="387">
        <v>33.137</v>
      </c>
      <c r="AO63" s="387">
        <v>41.283000000000001</v>
      </c>
      <c r="AP63" s="387">
        <v>45.16</v>
      </c>
      <c r="AQ63" s="387">
        <v>54.594000000000001</v>
      </c>
      <c r="AR63" s="387">
        <v>66.959000000000003</v>
      </c>
      <c r="AS63" s="387">
        <v>63.49</v>
      </c>
      <c r="AT63" s="387">
        <v>63.808</v>
      </c>
      <c r="AU63" s="387">
        <v>58.234000000000002</v>
      </c>
      <c r="AV63" s="387">
        <v>66.021000000000001</v>
      </c>
      <c r="AW63" s="387">
        <v>63.526000000000003</v>
      </c>
      <c r="AX63" s="387">
        <v>42.244</v>
      </c>
      <c r="AY63" s="387">
        <v>36.581000000000003</v>
      </c>
      <c r="AZ63" s="387">
        <v>39.408000000000001</v>
      </c>
      <c r="BA63" s="387">
        <v>37.884999999999998</v>
      </c>
      <c r="BB63" s="387">
        <v>21.791</v>
      </c>
      <c r="BC63" s="387">
        <v>16.768000000000001</v>
      </c>
      <c r="BD63" s="387">
        <v>14.938000000000001</v>
      </c>
      <c r="BE63" s="387">
        <v>11.025</v>
      </c>
      <c r="BF63" s="387">
        <v>5.431</v>
      </c>
      <c r="BG63" s="387">
        <v>6.94</v>
      </c>
      <c r="BH63" s="387">
        <v>4.8529999999999998</v>
      </c>
      <c r="BI63" s="387">
        <v>2.9649999999999999</v>
      </c>
      <c r="BJ63" s="387">
        <v>2.855</v>
      </c>
      <c r="BK63" s="387">
        <v>0</v>
      </c>
      <c r="BL63" s="387">
        <v>0</v>
      </c>
      <c r="BM63" s="387">
        <v>0</v>
      </c>
      <c r="BN63" s="387">
        <v>0</v>
      </c>
      <c r="BO63" s="387">
        <v>0</v>
      </c>
    </row>
    <row r="64" spans="1:67" x14ac:dyDescent="0.2">
      <c r="A64" s="386" t="s">
        <v>895</v>
      </c>
      <c r="B64" s="387">
        <v>0</v>
      </c>
      <c r="C64" s="387">
        <v>0</v>
      </c>
      <c r="D64" s="387">
        <v>0</v>
      </c>
      <c r="E64" s="387">
        <v>0</v>
      </c>
      <c r="F64" s="387">
        <v>0</v>
      </c>
      <c r="G64" s="387">
        <v>0</v>
      </c>
      <c r="H64" s="387">
        <v>0</v>
      </c>
      <c r="I64" s="387">
        <v>0</v>
      </c>
      <c r="J64" s="387">
        <v>0</v>
      </c>
      <c r="K64" s="387">
        <v>0</v>
      </c>
      <c r="L64" s="387">
        <v>0</v>
      </c>
      <c r="M64" s="387">
        <v>0</v>
      </c>
      <c r="N64" s="387">
        <v>0</v>
      </c>
      <c r="O64" s="387">
        <v>0</v>
      </c>
      <c r="P64" s="387">
        <v>0.253</v>
      </c>
      <c r="Q64" s="387">
        <v>0</v>
      </c>
      <c r="R64" s="387">
        <v>0.69499999999999995</v>
      </c>
      <c r="S64" s="387">
        <v>1.095</v>
      </c>
      <c r="T64" s="387">
        <v>1.282</v>
      </c>
      <c r="U64" s="387">
        <v>1.306</v>
      </c>
      <c r="V64" s="387">
        <v>2.38</v>
      </c>
      <c r="W64" s="387">
        <v>1.0489999999999999</v>
      </c>
      <c r="X64" s="387">
        <v>1.9379999999999999</v>
      </c>
      <c r="Y64" s="387">
        <v>3.8889999999999998</v>
      </c>
      <c r="Z64" s="387">
        <v>2.7160000000000002</v>
      </c>
      <c r="AA64" s="387">
        <v>3.629</v>
      </c>
      <c r="AB64" s="387">
        <v>4.5129999999999999</v>
      </c>
      <c r="AC64" s="387">
        <v>5.4770000000000003</v>
      </c>
      <c r="AD64" s="387">
        <v>5.0510000000000002</v>
      </c>
      <c r="AE64" s="387">
        <v>5.0380000000000003</v>
      </c>
      <c r="AF64" s="387">
        <v>7.6529999999999996</v>
      </c>
      <c r="AG64" s="387">
        <v>8.9629999999999992</v>
      </c>
      <c r="AH64" s="387">
        <v>7.093</v>
      </c>
      <c r="AI64" s="387">
        <v>9.3740000000000006</v>
      </c>
      <c r="AJ64" s="387">
        <v>9.3290000000000006</v>
      </c>
      <c r="AK64" s="387">
        <v>11.939</v>
      </c>
      <c r="AL64" s="387">
        <v>17.670999999999999</v>
      </c>
      <c r="AM64" s="387">
        <v>13.275</v>
      </c>
      <c r="AN64" s="387">
        <v>18.207000000000001</v>
      </c>
      <c r="AO64" s="387">
        <v>22.547999999999998</v>
      </c>
      <c r="AP64" s="387">
        <v>21.766999999999999</v>
      </c>
      <c r="AQ64" s="387">
        <v>22.597000000000001</v>
      </c>
      <c r="AR64" s="387">
        <v>28.532</v>
      </c>
      <c r="AS64" s="387">
        <v>20.558</v>
      </c>
      <c r="AT64" s="387">
        <v>28.161000000000001</v>
      </c>
      <c r="AU64" s="387">
        <v>20.119</v>
      </c>
      <c r="AV64" s="387">
        <v>19.672999999999998</v>
      </c>
      <c r="AW64" s="387">
        <v>17.655999999999999</v>
      </c>
      <c r="AX64" s="387">
        <v>11.856999999999999</v>
      </c>
      <c r="AY64" s="387">
        <v>11.041</v>
      </c>
      <c r="AZ64" s="387">
        <v>8.9860000000000007</v>
      </c>
      <c r="BA64" s="387">
        <v>8.2110000000000003</v>
      </c>
      <c r="BB64" s="387">
        <v>4.4189999999999996</v>
      </c>
      <c r="BC64" s="387">
        <v>2.8380000000000001</v>
      </c>
      <c r="BD64" s="387">
        <v>2.3370000000000002</v>
      </c>
      <c r="BE64" s="387">
        <v>1.7290000000000001</v>
      </c>
      <c r="BF64" s="387">
        <v>1.0860000000000001</v>
      </c>
      <c r="BG64" s="387">
        <v>0.61899999999999999</v>
      </c>
      <c r="BH64" s="387">
        <v>0.76800000000000002</v>
      </c>
      <c r="BI64" s="387">
        <v>0.153</v>
      </c>
      <c r="BJ64" s="387">
        <v>0</v>
      </c>
      <c r="BK64" s="387">
        <v>0</v>
      </c>
      <c r="BL64" s="387">
        <v>0</v>
      </c>
      <c r="BM64" s="387">
        <v>0</v>
      </c>
      <c r="BN64" s="387">
        <v>0</v>
      </c>
      <c r="BO64" s="387">
        <v>0</v>
      </c>
    </row>
    <row r="65" spans="1:67" x14ac:dyDescent="0.2">
      <c r="A65" s="386" t="s">
        <v>896</v>
      </c>
      <c r="B65" s="387">
        <v>0</v>
      </c>
      <c r="C65" s="387">
        <v>0</v>
      </c>
      <c r="D65" s="387">
        <v>0</v>
      </c>
      <c r="E65" s="387">
        <v>0</v>
      </c>
      <c r="F65" s="387">
        <v>0</v>
      </c>
      <c r="G65" s="387">
        <v>0</v>
      </c>
      <c r="H65" s="387">
        <v>0</v>
      </c>
      <c r="I65" s="387">
        <v>0</v>
      </c>
      <c r="J65" s="387">
        <v>0</v>
      </c>
      <c r="K65" s="387">
        <v>0</v>
      </c>
      <c r="L65" s="387">
        <v>0</v>
      </c>
      <c r="M65" s="387">
        <v>0</v>
      </c>
      <c r="N65" s="387">
        <v>0</v>
      </c>
      <c r="O65" s="387">
        <v>0</v>
      </c>
      <c r="P65" s="387">
        <v>0.316</v>
      </c>
      <c r="Q65" s="387">
        <v>0</v>
      </c>
      <c r="R65" s="387">
        <v>1.1850000000000001</v>
      </c>
      <c r="S65" s="387">
        <v>1.9890000000000001</v>
      </c>
      <c r="T65" s="387">
        <v>2.3559999999999999</v>
      </c>
      <c r="U65" s="387">
        <v>3.51</v>
      </c>
      <c r="V65" s="387">
        <v>7.6970000000000001</v>
      </c>
      <c r="W65" s="387">
        <v>5.8029999999999999</v>
      </c>
      <c r="X65" s="387">
        <v>5.6379999999999999</v>
      </c>
      <c r="Y65" s="387">
        <v>18.463000000000001</v>
      </c>
      <c r="Z65" s="387">
        <v>3.8170000000000002</v>
      </c>
      <c r="AA65" s="387">
        <v>11.601000000000001</v>
      </c>
      <c r="AB65" s="387">
        <v>17.613</v>
      </c>
      <c r="AC65" s="387">
        <v>20.984999999999999</v>
      </c>
      <c r="AD65" s="387">
        <v>19.951000000000001</v>
      </c>
      <c r="AE65" s="387">
        <v>29.331</v>
      </c>
      <c r="AF65" s="387">
        <v>27.95</v>
      </c>
      <c r="AG65" s="387">
        <v>34.210999999999999</v>
      </c>
      <c r="AH65" s="387">
        <v>23.545000000000002</v>
      </c>
      <c r="AI65" s="387">
        <v>19.736000000000001</v>
      </c>
      <c r="AJ65" s="387">
        <v>23.876999999999999</v>
      </c>
      <c r="AK65" s="387">
        <v>21.239000000000001</v>
      </c>
      <c r="AL65" s="387">
        <v>29.062999999999999</v>
      </c>
      <c r="AM65" s="387">
        <v>21.178999999999998</v>
      </c>
      <c r="AN65" s="387">
        <v>24.917000000000002</v>
      </c>
      <c r="AO65" s="387">
        <v>29.291</v>
      </c>
      <c r="AP65" s="387">
        <v>33.165999999999997</v>
      </c>
      <c r="AQ65" s="387">
        <v>36.658999999999999</v>
      </c>
      <c r="AR65" s="387">
        <v>47.8</v>
      </c>
      <c r="AS65" s="387">
        <v>37.274000000000001</v>
      </c>
      <c r="AT65" s="387">
        <v>37.677</v>
      </c>
      <c r="AU65" s="387">
        <v>37.146000000000001</v>
      </c>
      <c r="AV65" s="387">
        <v>38.576000000000001</v>
      </c>
      <c r="AW65" s="387">
        <v>42.625</v>
      </c>
      <c r="AX65" s="387">
        <v>27.774000000000001</v>
      </c>
      <c r="AY65" s="387">
        <v>23.106999999999999</v>
      </c>
      <c r="AZ65" s="387">
        <v>20.721</v>
      </c>
      <c r="BA65" s="387">
        <v>20.803000000000001</v>
      </c>
      <c r="BB65" s="387">
        <v>12.417</v>
      </c>
      <c r="BC65" s="387">
        <v>9.1080000000000005</v>
      </c>
      <c r="BD65" s="387">
        <v>8.1609999999999996</v>
      </c>
      <c r="BE65" s="387">
        <v>6.8490000000000002</v>
      </c>
      <c r="BF65" s="387">
        <v>3.1949999999999998</v>
      </c>
      <c r="BG65" s="387">
        <v>3.7679999999999998</v>
      </c>
      <c r="BH65" s="387">
        <v>2.91</v>
      </c>
      <c r="BI65" s="387">
        <v>1.6479999999999999</v>
      </c>
      <c r="BJ65" s="387">
        <v>1.534</v>
      </c>
      <c r="BK65" s="387">
        <v>0</v>
      </c>
      <c r="BL65" s="387">
        <v>0</v>
      </c>
      <c r="BM65" s="387">
        <v>0</v>
      </c>
      <c r="BN65" s="387">
        <v>0</v>
      </c>
      <c r="BO65" s="387">
        <v>0</v>
      </c>
    </row>
    <row r="66" spans="1:67" x14ac:dyDescent="0.2">
      <c r="A66" s="386" t="s">
        <v>897</v>
      </c>
      <c r="B66" s="387">
        <v>0</v>
      </c>
      <c r="C66" s="387">
        <v>0</v>
      </c>
      <c r="D66" s="387">
        <v>0</v>
      </c>
      <c r="E66" s="387">
        <v>0</v>
      </c>
      <c r="F66" s="387">
        <v>0</v>
      </c>
      <c r="G66" s="387">
        <v>0</v>
      </c>
      <c r="H66" s="387">
        <v>0</v>
      </c>
      <c r="I66" s="387">
        <v>0</v>
      </c>
      <c r="J66" s="387">
        <v>0</v>
      </c>
      <c r="K66" s="387">
        <v>0</v>
      </c>
      <c r="L66" s="387">
        <v>0</v>
      </c>
      <c r="M66" s="387">
        <v>0</v>
      </c>
      <c r="N66" s="387">
        <v>0</v>
      </c>
      <c r="O66" s="387">
        <v>0</v>
      </c>
      <c r="P66" s="387">
        <v>0</v>
      </c>
      <c r="Q66" s="387">
        <v>0</v>
      </c>
      <c r="R66" s="387">
        <v>0.16</v>
      </c>
      <c r="S66" s="387">
        <v>0.17799999999999999</v>
      </c>
      <c r="T66" s="387">
        <v>0.64</v>
      </c>
      <c r="U66" s="387">
        <v>1.016</v>
      </c>
      <c r="V66" s="387">
        <v>2.4060000000000001</v>
      </c>
      <c r="W66" s="387">
        <v>1.869</v>
      </c>
      <c r="X66" s="387">
        <v>1.4550000000000001</v>
      </c>
      <c r="Y66" s="387">
        <v>7.6319999999999997</v>
      </c>
      <c r="Z66" s="387">
        <v>0.46500000000000002</v>
      </c>
      <c r="AA66" s="387">
        <v>2.9529999999999998</v>
      </c>
      <c r="AB66" s="387">
        <v>4.7830000000000004</v>
      </c>
      <c r="AC66" s="387">
        <v>5.5090000000000003</v>
      </c>
      <c r="AD66" s="387">
        <v>5.5460000000000003</v>
      </c>
      <c r="AE66" s="387">
        <v>11.052</v>
      </c>
      <c r="AF66" s="387">
        <v>9.5640000000000001</v>
      </c>
      <c r="AG66" s="387">
        <v>12.106</v>
      </c>
      <c r="AH66" s="387">
        <v>9.7149999999999999</v>
      </c>
      <c r="AI66" s="387">
        <v>6.3440000000000003</v>
      </c>
      <c r="AJ66" s="387">
        <v>8.73</v>
      </c>
      <c r="AK66" s="387">
        <v>10.098000000000001</v>
      </c>
      <c r="AL66" s="387">
        <v>9.6379999999999999</v>
      </c>
      <c r="AM66" s="387">
        <v>7.6660000000000004</v>
      </c>
      <c r="AN66" s="387">
        <v>9.1140000000000008</v>
      </c>
      <c r="AO66" s="387">
        <v>11.202999999999999</v>
      </c>
      <c r="AP66" s="387">
        <v>11.396000000000001</v>
      </c>
      <c r="AQ66" s="387">
        <v>19.129000000000001</v>
      </c>
      <c r="AR66" s="387">
        <v>20.2</v>
      </c>
      <c r="AS66" s="387">
        <v>22.942</v>
      </c>
      <c r="AT66" s="387">
        <v>16.366</v>
      </c>
      <c r="AU66" s="387">
        <v>25.507999999999999</v>
      </c>
      <c r="AV66" s="387">
        <v>26.745999999999999</v>
      </c>
      <c r="AW66" s="387">
        <v>29.849</v>
      </c>
      <c r="AX66" s="387">
        <v>17.187999999999999</v>
      </c>
      <c r="AY66" s="387">
        <v>14.811</v>
      </c>
      <c r="AZ66" s="387">
        <v>21.108000000000001</v>
      </c>
      <c r="BA66" s="387">
        <v>18.042000000000002</v>
      </c>
      <c r="BB66" s="387">
        <v>10.539</v>
      </c>
      <c r="BC66" s="387">
        <v>10.989000000000001</v>
      </c>
      <c r="BD66" s="387">
        <v>7.62</v>
      </c>
      <c r="BE66" s="387">
        <v>5.9109999999999996</v>
      </c>
      <c r="BF66" s="387">
        <v>2.512</v>
      </c>
      <c r="BG66" s="387">
        <v>5.0570000000000004</v>
      </c>
      <c r="BH66" s="387">
        <v>2.6339999999999999</v>
      </c>
      <c r="BI66" s="387">
        <v>2.1819999999999999</v>
      </c>
      <c r="BJ66" s="387">
        <v>2.052</v>
      </c>
      <c r="BK66" s="387">
        <v>0</v>
      </c>
      <c r="BL66" s="387">
        <v>0</v>
      </c>
      <c r="BM66" s="387">
        <v>0</v>
      </c>
      <c r="BN66" s="387">
        <v>0</v>
      </c>
      <c r="BO66" s="387">
        <v>0</v>
      </c>
    </row>
    <row r="67" spans="1:67" x14ac:dyDescent="0.2">
      <c r="A67" s="388" t="s">
        <v>898</v>
      </c>
      <c r="B67" s="389">
        <v>0</v>
      </c>
      <c r="C67" s="389">
        <v>0</v>
      </c>
      <c r="D67" s="389">
        <v>0</v>
      </c>
      <c r="E67" s="389">
        <v>0</v>
      </c>
      <c r="F67" s="389">
        <v>0</v>
      </c>
      <c r="G67" s="389">
        <v>0</v>
      </c>
      <c r="H67" s="389">
        <v>0</v>
      </c>
      <c r="I67" s="389">
        <v>0</v>
      </c>
      <c r="J67" s="389">
        <v>0</v>
      </c>
      <c r="K67" s="389">
        <v>0</v>
      </c>
      <c r="L67" s="389">
        <v>0</v>
      </c>
      <c r="M67" s="389">
        <v>0</v>
      </c>
      <c r="N67" s="389">
        <v>0</v>
      </c>
      <c r="O67" s="389">
        <v>0</v>
      </c>
      <c r="P67" s="389">
        <v>0</v>
      </c>
      <c r="Q67" s="389">
        <v>0</v>
      </c>
      <c r="R67" s="389">
        <v>0.156</v>
      </c>
      <c r="S67" s="389">
        <v>0.17</v>
      </c>
      <c r="T67" s="389">
        <v>0.32500000000000001</v>
      </c>
      <c r="U67" s="389">
        <v>0.16600000000000001</v>
      </c>
      <c r="V67" s="389">
        <v>0.67300000000000004</v>
      </c>
      <c r="W67" s="389">
        <v>0.379</v>
      </c>
      <c r="X67" s="389">
        <v>0.34399999999999997</v>
      </c>
      <c r="Y67" s="389">
        <v>1.643</v>
      </c>
      <c r="Z67" s="389">
        <v>0</v>
      </c>
      <c r="AA67" s="389">
        <v>0.16700000000000001</v>
      </c>
      <c r="AB67" s="389">
        <v>0.32300000000000001</v>
      </c>
      <c r="AC67" s="389">
        <v>0.64</v>
      </c>
      <c r="AD67" s="389">
        <v>0.16900000000000001</v>
      </c>
      <c r="AE67" s="389">
        <v>0.18</v>
      </c>
      <c r="AF67" s="389">
        <v>0</v>
      </c>
      <c r="AG67" s="389">
        <v>0.86599999999999999</v>
      </c>
      <c r="AH67" s="389">
        <v>0.157</v>
      </c>
      <c r="AI67" s="389">
        <v>0.78400000000000003</v>
      </c>
      <c r="AJ67" s="389">
        <v>0.32400000000000001</v>
      </c>
      <c r="AK67" s="389">
        <v>0.154</v>
      </c>
      <c r="AL67" s="389">
        <v>0.64300000000000002</v>
      </c>
      <c r="AM67" s="389">
        <v>0.154</v>
      </c>
      <c r="AN67" s="389">
        <v>0.30199999999999999</v>
      </c>
      <c r="AO67" s="389">
        <v>0.64700000000000002</v>
      </c>
      <c r="AP67" s="389">
        <v>0.90800000000000003</v>
      </c>
      <c r="AQ67" s="389">
        <v>1.2490000000000001</v>
      </c>
      <c r="AR67" s="389">
        <v>1.4450000000000001</v>
      </c>
      <c r="AS67" s="389">
        <v>0.95499999999999996</v>
      </c>
      <c r="AT67" s="389">
        <v>2.0470000000000002</v>
      </c>
      <c r="AU67" s="389">
        <v>1.7090000000000001</v>
      </c>
      <c r="AV67" s="389">
        <v>1.413</v>
      </c>
      <c r="AW67" s="389">
        <v>1.726</v>
      </c>
      <c r="AX67" s="389">
        <v>0.76800000000000002</v>
      </c>
      <c r="AY67" s="389">
        <v>0.316</v>
      </c>
      <c r="AZ67" s="389">
        <v>2.0390000000000001</v>
      </c>
      <c r="BA67" s="389">
        <v>1.871</v>
      </c>
      <c r="BB67" s="389">
        <v>0.77</v>
      </c>
      <c r="BC67" s="389">
        <v>0.16300000000000001</v>
      </c>
      <c r="BD67" s="389">
        <v>0.32</v>
      </c>
      <c r="BE67" s="389">
        <v>0.47299999999999998</v>
      </c>
      <c r="BF67" s="389">
        <v>0.312</v>
      </c>
      <c r="BG67" s="389">
        <v>0.156</v>
      </c>
      <c r="BH67" s="389">
        <v>0.47299999999999998</v>
      </c>
      <c r="BI67" s="389">
        <v>0</v>
      </c>
      <c r="BJ67" s="389">
        <v>0</v>
      </c>
      <c r="BK67" s="389">
        <v>0</v>
      </c>
      <c r="BL67" s="389">
        <v>0</v>
      </c>
      <c r="BM67" s="389">
        <v>0</v>
      </c>
      <c r="BN67" s="389">
        <v>0</v>
      </c>
      <c r="BO67" s="389">
        <v>0</v>
      </c>
    </row>
    <row r="69" spans="1:67" x14ac:dyDescent="0.2">
      <c r="A69" s="380" t="s">
        <v>3173</v>
      </c>
      <c r="B69" s="381" t="s">
        <v>906</v>
      </c>
    </row>
    <row r="70" spans="1:67" x14ac:dyDescent="0.2">
      <c r="A70" s="382" t="s">
        <v>3933</v>
      </c>
      <c r="B70" s="383"/>
    </row>
    <row r="71" spans="1:67" x14ac:dyDescent="0.2">
      <c r="A71" s="384" t="s">
        <v>3175</v>
      </c>
      <c r="B71" s="384">
        <v>-25</v>
      </c>
      <c r="C71" s="384">
        <v>-24</v>
      </c>
      <c r="D71" s="384">
        <v>-23</v>
      </c>
      <c r="E71" s="384">
        <v>-22</v>
      </c>
      <c r="F71" s="384">
        <v>-21</v>
      </c>
      <c r="G71" s="384">
        <v>-20</v>
      </c>
      <c r="H71" s="384">
        <v>-19</v>
      </c>
      <c r="I71" s="384">
        <v>-18</v>
      </c>
      <c r="J71" s="384">
        <v>-17</v>
      </c>
      <c r="K71" s="384">
        <v>-16</v>
      </c>
      <c r="L71" s="384">
        <v>-15</v>
      </c>
      <c r="M71" s="384">
        <v>-14</v>
      </c>
      <c r="N71" s="384">
        <v>-13</v>
      </c>
      <c r="O71" s="384">
        <v>-12</v>
      </c>
      <c r="P71" s="384">
        <v>-11</v>
      </c>
      <c r="Q71" s="384">
        <v>-10</v>
      </c>
      <c r="R71" s="384">
        <v>-9</v>
      </c>
      <c r="S71" s="384">
        <v>-8</v>
      </c>
      <c r="T71" s="384">
        <v>-7</v>
      </c>
      <c r="U71" s="384">
        <v>-6</v>
      </c>
      <c r="V71" s="384">
        <v>-5</v>
      </c>
      <c r="W71" s="384">
        <v>-4</v>
      </c>
      <c r="X71" s="384">
        <v>-3</v>
      </c>
      <c r="Y71" s="384">
        <v>-2</v>
      </c>
      <c r="Z71" s="384">
        <v>-1</v>
      </c>
      <c r="AA71" s="384">
        <v>0</v>
      </c>
      <c r="AB71" s="384">
        <v>1</v>
      </c>
      <c r="AC71" s="384">
        <v>2</v>
      </c>
      <c r="AD71" s="384">
        <v>3</v>
      </c>
      <c r="AE71" s="384">
        <v>4</v>
      </c>
      <c r="AF71" s="384">
        <v>5</v>
      </c>
      <c r="AG71" s="384">
        <v>6</v>
      </c>
      <c r="AH71" s="384">
        <v>7</v>
      </c>
      <c r="AI71" s="384">
        <v>8</v>
      </c>
      <c r="AJ71" s="384">
        <v>9</v>
      </c>
      <c r="AK71" s="384">
        <v>10</v>
      </c>
      <c r="AL71" s="384">
        <v>11</v>
      </c>
      <c r="AM71" s="384">
        <v>12</v>
      </c>
      <c r="AN71" s="384">
        <v>13</v>
      </c>
      <c r="AO71" s="384">
        <v>14</v>
      </c>
      <c r="AP71" s="384">
        <v>15</v>
      </c>
      <c r="AQ71" s="384">
        <v>16</v>
      </c>
      <c r="AR71" s="384">
        <v>17</v>
      </c>
      <c r="AS71" s="384">
        <v>18</v>
      </c>
      <c r="AT71" s="384">
        <v>19</v>
      </c>
      <c r="AU71" s="384">
        <v>20</v>
      </c>
      <c r="AV71" s="384">
        <v>21</v>
      </c>
      <c r="AW71" s="384">
        <v>22</v>
      </c>
      <c r="AX71" s="384">
        <v>23</v>
      </c>
      <c r="AY71" s="384">
        <v>24</v>
      </c>
      <c r="AZ71" s="384">
        <v>25</v>
      </c>
      <c r="BA71" s="384">
        <v>26</v>
      </c>
      <c r="BB71" s="384">
        <v>27</v>
      </c>
      <c r="BC71" s="384">
        <v>28</v>
      </c>
      <c r="BD71" s="384">
        <v>29</v>
      </c>
      <c r="BE71" s="384">
        <v>30</v>
      </c>
      <c r="BF71" s="384">
        <v>31</v>
      </c>
      <c r="BG71" s="384">
        <v>32</v>
      </c>
      <c r="BH71" s="384">
        <v>33</v>
      </c>
      <c r="BI71" s="384">
        <v>34</v>
      </c>
      <c r="BJ71" s="384">
        <v>35</v>
      </c>
      <c r="BK71" s="384">
        <v>36</v>
      </c>
      <c r="BL71" s="384">
        <v>37</v>
      </c>
      <c r="BM71" s="384">
        <v>38</v>
      </c>
      <c r="BN71" s="384">
        <v>39</v>
      </c>
      <c r="BO71" s="384">
        <v>40</v>
      </c>
    </row>
    <row r="72" spans="1:67" x14ac:dyDescent="0.2">
      <c r="A72" s="385" t="s">
        <v>3176</v>
      </c>
      <c r="B72" s="385">
        <v>0</v>
      </c>
      <c r="C72" s="385">
        <v>0</v>
      </c>
      <c r="D72" s="385">
        <v>0</v>
      </c>
      <c r="E72" s="385">
        <v>0</v>
      </c>
      <c r="F72" s="385">
        <v>0</v>
      </c>
      <c r="G72" s="385">
        <v>6</v>
      </c>
      <c r="H72" s="385">
        <v>4</v>
      </c>
      <c r="I72" s="385">
        <v>18</v>
      </c>
      <c r="J72" s="385">
        <v>14</v>
      </c>
      <c r="K72" s="385">
        <v>16</v>
      </c>
      <c r="L72" s="385">
        <v>19</v>
      </c>
      <c r="M72" s="385">
        <v>43</v>
      </c>
      <c r="N72" s="385">
        <v>34</v>
      </c>
      <c r="O72" s="385">
        <v>54</v>
      </c>
      <c r="P72" s="385">
        <v>81</v>
      </c>
      <c r="Q72" s="385">
        <v>97</v>
      </c>
      <c r="R72" s="385">
        <v>148</v>
      </c>
      <c r="S72" s="385">
        <v>147</v>
      </c>
      <c r="T72" s="385">
        <v>184</v>
      </c>
      <c r="U72" s="385">
        <v>220</v>
      </c>
      <c r="V72" s="385">
        <v>276</v>
      </c>
      <c r="W72" s="385">
        <v>348</v>
      </c>
      <c r="X72" s="385">
        <v>347</v>
      </c>
      <c r="Y72" s="385">
        <v>415</v>
      </c>
      <c r="Z72" s="385">
        <v>447</v>
      </c>
      <c r="AA72" s="385">
        <v>432</v>
      </c>
      <c r="AB72" s="385">
        <v>376</v>
      </c>
      <c r="AC72" s="385">
        <v>362</v>
      </c>
      <c r="AD72" s="385">
        <v>333</v>
      </c>
      <c r="AE72" s="385">
        <v>312</v>
      </c>
      <c r="AF72" s="385">
        <v>392</v>
      </c>
      <c r="AG72" s="385">
        <v>371</v>
      </c>
      <c r="AH72" s="385">
        <v>348</v>
      </c>
      <c r="AI72" s="385">
        <v>354</v>
      </c>
      <c r="AJ72" s="385">
        <v>400</v>
      </c>
      <c r="AK72" s="385">
        <v>377</v>
      </c>
      <c r="AL72" s="385">
        <v>282</v>
      </c>
      <c r="AM72" s="385">
        <v>252</v>
      </c>
      <c r="AN72" s="385">
        <v>226</v>
      </c>
      <c r="AO72" s="385">
        <v>185</v>
      </c>
      <c r="AP72" s="385">
        <v>166</v>
      </c>
      <c r="AQ72" s="385">
        <v>139</v>
      </c>
      <c r="AR72" s="385">
        <v>121</v>
      </c>
      <c r="AS72" s="385">
        <v>93</v>
      </c>
      <c r="AT72" s="385">
        <v>97</v>
      </c>
      <c r="AU72" s="385">
        <v>77</v>
      </c>
      <c r="AV72" s="385">
        <v>67</v>
      </c>
      <c r="AW72" s="385">
        <v>36</v>
      </c>
      <c r="AX72" s="385">
        <v>26</v>
      </c>
      <c r="AY72" s="385">
        <v>10</v>
      </c>
      <c r="AZ72" s="385">
        <v>7</v>
      </c>
      <c r="BA72" s="385">
        <v>1</v>
      </c>
      <c r="BB72" s="385">
        <v>0</v>
      </c>
      <c r="BC72" s="385">
        <v>0</v>
      </c>
      <c r="BD72" s="385">
        <v>0</v>
      </c>
      <c r="BE72" s="385">
        <v>0</v>
      </c>
      <c r="BF72" s="385">
        <v>0</v>
      </c>
      <c r="BG72" s="385">
        <v>0</v>
      </c>
      <c r="BH72" s="385">
        <v>0</v>
      </c>
      <c r="BI72" s="385">
        <v>0</v>
      </c>
      <c r="BJ72" s="385">
        <v>0</v>
      </c>
      <c r="BK72" s="385">
        <v>0</v>
      </c>
      <c r="BL72" s="385">
        <v>0</v>
      </c>
      <c r="BM72" s="385">
        <v>0</v>
      </c>
      <c r="BN72" s="385">
        <v>0</v>
      </c>
      <c r="BO72" s="385">
        <v>0</v>
      </c>
    </row>
    <row r="73" spans="1:67" x14ac:dyDescent="0.2">
      <c r="A73" s="386" t="s">
        <v>893</v>
      </c>
      <c r="B73" s="386">
        <v>0</v>
      </c>
      <c r="C73" s="386">
        <v>0</v>
      </c>
      <c r="D73" s="386">
        <v>0</v>
      </c>
      <c r="E73" s="386">
        <v>0</v>
      </c>
      <c r="F73" s="386">
        <v>0</v>
      </c>
      <c r="G73" s="386">
        <v>0</v>
      </c>
      <c r="H73" s="386">
        <v>0</v>
      </c>
      <c r="I73" s="386">
        <v>0</v>
      </c>
      <c r="J73" s="386">
        <v>0</v>
      </c>
      <c r="K73" s="386">
        <v>24</v>
      </c>
      <c r="L73" s="386">
        <v>0</v>
      </c>
      <c r="M73" s="386">
        <v>72</v>
      </c>
      <c r="N73" s="386">
        <v>0</v>
      </c>
      <c r="O73" s="386">
        <v>96</v>
      </c>
      <c r="P73" s="386">
        <v>0</v>
      </c>
      <c r="Q73" s="386">
        <v>96</v>
      </c>
      <c r="R73" s="386">
        <v>120</v>
      </c>
      <c r="S73" s="386">
        <v>192</v>
      </c>
      <c r="T73" s="386">
        <v>120</v>
      </c>
      <c r="U73" s="386">
        <v>192</v>
      </c>
      <c r="V73" s="386">
        <v>288</v>
      </c>
      <c r="W73" s="386">
        <v>360</v>
      </c>
      <c r="X73" s="386">
        <v>312</v>
      </c>
      <c r="Y73" s="386">
        <v>456</v>
      </c>
      <c r="Z73" s="386">
        <v>552</v>
      </c>
      <c r="AA73" s="386">
        <v>504</v>
      </c>
      <c r="AB73" s="386">
        <v>360</v>
      </c>
      <c r="AC73" s="386">
        <v>432</v>
      </c>
      <c r="AD73" s="386">
        <v>240</v>
      </c>
      <c r="AE73" s="386">
        <v>336</v>
      </c>
      <c r="AF73" s="386">
        <v>336</v>
      </c>
      <c r="AG73" s="386">
        <v>264</v>
      </c>
      <c r="AH73" s="386">
        <v>312</v>
      </c>
      <c r="AI73" s="386">
        <v>312</v>
      </c>
      <c r="AJ73" s="386">
        <v>408</v>
      </c>
      <c r="AK73" s="386">
        <v>528</v>
      </c>
      <c r="AL73" s="386">
        <v>456</v>
      </c>
      <c r="AM73" s="386">
        <v>312</v>
      </c>
      <c r="AN73" s="386">
        <v>216</v>
      </c>
      <c r="AO73" s="386">
        <v>288</v>
      </c>
      <c r="AP73" s="386">
        <v>240</v>
      </c>
      <c r="AQ73" s="386">
        <v>168</v>
      </c>
      <c r="AR73" s="386">
        <v>120</v>
      </c>
      <c r="AS73" s="386">
        <v>24</v>
      </c>
      <c r="AT73" s="386">
        <v>24</v>
      </c>
      <c r="AU73" s="386">
        <v>0</v>
      </c>
      <c r="AV73" s="386">
        <v>0</v>
      </c>
      <c r="AW73" s="386">
        <v>0</v>
      </c>
      <c r="AX73" s="386">
        <v>0</v>
      </c>
      <c r="AY73" s="386">
        <v>0</v>
      </c>
      <c r="AZ73" s="386">
        <v>0</v>
      </c>
      <c r="BA73" s="386">
        <v>0</v>
      </c>
      <c r="BB73" s="386">
        <v>0</v>
      </c>
      <c r="BC73" s="386">
        <v>0</v>
      </c>
      <c r="BD73" s="386">
        <v>0</v>
      </c>
      <c r="BE73" s="386">
        <v>0</v>
      </c>
      <c r="BF73" s="386">
        <v>0</v>
      </c>
      <c r="BG73" s="386">
        <v>0</v>
      </c>
      <c r="BH73" s="386">
        <v>0</v>
      </c>
      <c r="BI73" s="386">
        <v>0</v>
      </c>
      <c r="BJ73" s="386">
        <v>0</v>
      </c>
      <c r="BK73" s="386">
        <v>0</v>
      </c>
      <c r="BL73" s="386">
        <v>0</v>
      </c>
      <c r="BM73" s="386">
        <v>0</v>
      </c>
      <c r="BN73" s="386">
        <v>0</v>
      </c>
      <c r="BO73" s="386">
        <v>0</v>
      </c>
    </row>
    <row r="74" spans="1:67" x14ac:dyDescent="0.2">
      <c r="A74" s="386" t="s">
        <v>894</v>
      </c>
      <c r="B74" s="387">
        <v>0</v>
      </c>
      <c r="C74" s="387">
        <v>0</v>
      </c>
      <c r="D74" s="387">
        <v>0</v>
      </c>
      <c r="E74" s="387">
        <v>0</v>
      </c>
      <c r="F74" s="387">
        <v>0</v>
      </c>
      <c r="G74" s="387">
        <v>0</v>
      </c>
      <c r="H74" s="387">
        <v>0</v>
      </c>
      <c r="I74" s="387">
        <v>0</v>
      </c>
      <c r="J74" s="387">
        <v>0</v>
      </c>
      <c r="K74" s="387">
        <v>0.81399999999999995</v>
      </c>
      <c r="L74" s="387">
        <v>0.26200000000000001</v>
      </c>
      <c r="M74" s="387">
        <v>1.5349999999999999</v>
      </c>
      <c r="N74" s="387">
        <v>2.35</v>
      </c>
      <c r="O74" s="387">
        <v>3.1709999999999998</v>
      </c>
      <c r="P74" s="387">
        <v>2.0499999999999998</v>
      </c>
      <c r="Q74" s="387">
        <v>4.6790000000000003</v>
      </c>
      <c r="R74" s="387">
        <v>5.4649999999999999</v>
      </c>
      <c r="S74" s="387">
        <v>9.0530000000000008</v>
      </c>
      <c r="T74" s="387">
        <v>16.597999999999999</v>
      </c>
      <c r="U74" s="387">
        <v>10.585000000000001</v>
      </c>
      <c r="V74" s="387">
        <v>16.277999999999999</v>
      </c>
      <c r="W74" s="387">
        <v>13.577999999999999</v>
      </c>
      <c r="X74" s="387">
        <v>18.478999999999999</v>
      </c>
      <c r="Y74" s="387">
        <v>27.456</v>
      </c>
      <c r="Z74" s="387">
        <v>29.381</v>
      </c>
      <c r="AA74" s="387">
        <v>23.338000000000001</v>
      </c>
      <c r="AB74" s="387">
        <v>29.818000000000001</v>
      </c>
      <c r="AC74" s="387">
        <v>35.914999999999999</v>
      </c>
      <c r="AD74" s="387">
        <v>43.658999999999999</v>
      </c>
      <c r="AE74" s="387">
        <v>45.478999999999999</v>
      </c>
      <c r="AF74" s="387">
        <v>44.320999999999998</v>
      </c>
      <c r="AG74" s="387">
        <v>46.554000000000002</v>
      </c>
      <c r="AH74" s="387">
        <v>42.74</v>
      </c>
      <c r="AI74" s="387">
        <v>37.218000000000004</v>
      </c>
      <c r="AJ74" s="387">
        <v>55.313000000000002</v>
      </c>
      <c r="AK74" s="387">
        <v>46.664999999999999</v>
      </c>
      <c r="AL74" s="387">
        <v>62.637</v>
      </c>
      <c r="AM74" s="387">
        <v>65.498000000000005</v>
      </c>
      <c r="AN74" s="387">
        <v>58.325000000000003</v>
      </c>
      <c r="AO74" s="387">
        <v>59.86</v>
      </c>
      <c r="AP74" s="387">
        <v>60.607999999999997</v>
      </c>
      <c r="AQ74" s="387">
        <v>58.241</v>
      </c>
      <c r="AR74" s="387">
        <v>53.424999999999997</v>
      </c>
      <c r="AS74" s="387">
        <v>43.497999999999998</v>
      </c>
      <c r="AT74" s="387">
        <v>50.860999999999997</v>
      </c>
      <c r="AU74" s="387">
        <v>42.804000000000002</v>
      </c>
      <c r="AV74" s="387">
        <v>38.369</v>
      </c>
      <c r="AW74" s="387">
        <v>22.28</v>
      </c>
      <c r="AX74" s="387">
        <v>16.18</v>
      </c>
      <c r="AY74" s="387">
        <v>8.2509999999999994</v>
      </c>
      <c r="AZ74" s="387">
        <v>4.4770000000000003</v>
      </c>
      <c r="BA74" s="387">
        <v>0.75600000000000001</v>
      </c>
      <c r="BB74" s="387">
        <v>0</v>
      </c>
      <c r="BC74" s="387">
        <v>0</v>
      </c>
      <c r="BD74" s="387">
        <v>0</v>
      </c>
      <c r="BE74" s="387">
        <v>0</v>
      </c>
      <c r="BF74" s="387">
        <v>0</v>
      </c>
      <c r="BG74" s="387">
        <v>0</v>
      </c>
      <c r="BH74" s="387">
        <v>0</v>
      </c>
      <c r="BI74" s="387">
        <v>0</v>
      </c>
      <c r="BJ74" s="387">
        <v>0</v>
      </c>
      <c r="BK74" s="387">
        <v>0</v>
      </c>
      <c r="BL74" s="387">
        <v>0</v>
      </c>
      <c r="BM74" s="387">
        <v>0</v>
      </c>
      <c r="BN74" s="387">
        <v>0</v>
      </c>
      <c r="BO74" s="387">
        <v>0</v>
      </c>
    </row>
    <row r="75" spans="1:67" x14ac:dyDescent="0.2">
      <c r="A75" s="386" t="s">
        <v>895</v>
      </c>
      <c r="B75" s="387">
        <v>0</v>
      </c>
      <c r="C75" s="387">
        <v>0</v>
      </c>
      <c r="D75" s="387">
        <v>0</v>
      </c>
      <c r="E75" s="387">
        <v>0</v>
      </c>
      <c r="F75" s="387">
        <v>0</v>
      </c>
      <c r="G75" s="387">
        <v>0</v>
      </c>
      <c r="H75" s="387">
        <v>0</v>
      </c>
      <c r="I75" s="387">
        <v>0.19800000000000001</v>
      </c>
      <c r="J75" s="387">
        <v>0</v>
      </c>
      <c r="K75" s="387">
        <v>2.3780000000000001</v>
      </c>
      <c r="L75" s="387">
        <v>1.1200000000000001</v>
      </c>
      <c r="M75" s="387">
        <v>2.0409999999999999</v>
      </c>
      <c r="N75" s="387">
        <v>2.456</v>
      </c>
      <c r="O75" s="387">
        <v>5.3289999999999997</v>
      </c>
      <c r="P75" s="387">
        <v>3.9119999999999999</v>
      </c>
      <c r="Q75" s="387">
        <v>6.0819999999999999</v>
      </c>
      <c r="R75" s="387">
        <v>7.96</v>
      </c>
      <c r="S75" s="387">
        <v>9.2210000000000001</v>
      </c>
      <c r="T75" s="387">
        <v>15.417</v>
      </c>
      <c r="U75" s="387">
        <v>10.321999999999999</v>
      </c>
      <c r="V75" s="387">
        <v>15.83</v>
      </c>
      <c r="W75" s="387">
        <v>15.384</v>
      </c>
      <c r="X75" s="387">
        <v>18.568999999999999</v>
      </c>
      <c r="Y75" s="387">
        <v>25.719000000000001</v>
      </c>
      <c r="Z75" s="387">
        <v>20.117000000000001</v>
      </c>
      <c r="AA75" s="387">
        <v>16.29</v>
      </c>
      <c r="AB75" s="387">
        <v>21.773</v>
      </c>
      <c r="AC75" s="387">
        <v>24.218</v>
      </c>
      <c r="AD75" s="387">
        <v>23.960999999999999</v>
      </c>
      <c r="AE75" s="387">
        <v>27.167999999999999</v>
      </c>
      <c r="AF75" s="387">
        <v>26.283999999999999</v>
      </c>
      <c r="AG75" s="387">
        <v>31.491</v>
      </c>
      <c r="AH75" s="387">
        <v>25.925000000000001</v>
      </c>
      <c r="AI75" s="387">
        <v>22.001000000000001</v>
      </c>
      <c r="AJ75" s="387">
        <v>32.520000000000003</v>
      </c>
      <c r="AK75" s="387">
        <v>25.657</v>
      </c>
      <c r="AL75" s="387">
        <v>38.036000000000001</v>
      </c>
      <c r="AM75" s="387">
        <v>34.484999999999999</v>
      </c>
      <c r="AN75" s="387">
        <v>29.896999999999998</v>
      </c>
      <c r="AO75" s="387">
        <v>28.428000000000001</v>
      </c>
      <c r="AP75" s="387">
        <v>21.512</v>
      </c>
      <c r="AQ75" s="387">
        <v>21.789000000000001</v>
      </c>
      <c r="AR75" s="387">
        <v>19.329000000000001</v>
      </c>
      <c r="AS75" s="387">
        <v>13.628</v>
      </c>
      <c r="AT75" s="387">
        <v>16.184999999999999</v>
      </c>
      <c r="AU75" s="387">
        <v>11.847</v>
      </c>
      <c r="AV75" s="387">
        <v>7.1849999999999996</v>
      </c>
      <c r="AW75" s="387">
        <v>4.6180000000000003</v>
      </c>
      <c r="AX75" s="387">
        <v>3.621</v>
      </c>
      <c r="AY75" s="387">
        <v>1.4039999999999999</v>
      </c>
      <c r="AZ75" s="387">
        <v>0.192</v>
      </c>
      <c r="BA75" s="387">
        <v>0</v>
      </c>
      <c r="BB75" s="387">
        <v>0</v>
      </c>
      <c r="BC75" s="387">
        <v>0</v>
      </c>
      <c r="BD75" s="387">
        <v>0</v>
      </c>
      <c r="BE75" s="387">
        <v>0</v>
      </c>
      <c r="BF75" s="387">
        <v>0</v>
      </c>
      <c r="BG75" s="387">
        <v>0</v>
      </c>
      <c r="BH75" s="387">
        <v>0</v>
      </c>
      <c r="BI75" s="387">
        <v>0</v>
      </c>
      <c r="BJ75" s="387">
        <v>0</v>
      </c>
      <c r="BK75" s="387">
        <v>0</v>
      </c>
      <c r="BL75" s="387">
        <v>0</v>
      </c>
      <c r="BM75" s="387">
        <v>0</v>
      </c>
      <c r="BN75" s="387">
        <v>0</v>
      </c>
      <c r="BO75" s="387">
        <v>0</v>
      </c>
    </row>
    <row r="76" spans="1:67" x14ac:dyDescent="0.2">
      <c r="A76" s="386" t="s">
        <v>896</v>
      </c>
      <c r="B76" s="387">
        <v>0</v>
      </c>
      <c r="C76" s="387">
        <v>0</v>
      </c>
      <c r="D76" s="387">
        <v>0</v>
      </c>
      <c r="E76" s="387">
        <v>0</v>
      </c>
      <c r="F76" s="387">
        <v>0</v>
      </c>
      <c r="G76" s="387">
        <v>0</v>
      </c>
      <c r="H76" s="387">
        <v>0</v>
      </c>
      <c r="I76" s="387">
        <v>0.182</v>
      </c>
      <c r="J76" s="387">
        <v>0</v>
      </c>
      <c r="K76" s="387">
        <v>2.0680000000000001</v>
      </c>
      <c r="L76" s="387">
        <v>0.54200000000000004</v>
      </c>
      <c r="M76" s="387">
        <v>3.5859999999999999</v>
      </c>
      <c r="N76" s="387">
        <v>5.2069999999999999</v>
      </c>
      <c r="O76" s="387">
        <v>7.9139999999999997</v>
      </c>
      <c r="P76" s="387">
        <v>4.0670000000000002</v>
      </c>
      <c r="Q76" s="387">
        <v>7.8029999999999999</v>
      </c>
      <c r="R76" s="387">
        <v>9.4610000000000003</v>
      </c>
      <c r="S76" s="387">
        <v>16.312999999999999</v>
      </c>
      <c r="T76" s="387">
        <v>29.475999999999999</v>
      </c>
      <c r="U76" s="387">
        <v>20.704000000000001</v>
      </c>
      <c r="V76" s="387">
        <v>28.937999999999999</v>
      </c>
      <c r="W76" s="387">
        <v>20.169</v>
      </c>
      <c r="X76" s="387">
        <v>31.405000000000001</v>
      </c>
      <c r="Y76" s="387">
        <v>48.116</v>
      </c>
      <c r="Z76" s="387">
        <v>45.036999999999999</v>
      </c>
      <c r="AA76" s="387">
        <v>41.83</v>
      </c>
      <c r="AB76" s="387">
        <v>43.212000000000003</v>
      </c>
      <c r="AC76" s="387">
        <v>54.027000000000001</v>
      </c>
      <c r="AD76" s="387">
        <v>57.692999999999998</v>
      </c>
      <c r="AE76" s="387">
        <v>57.344000000000001</v>
      </c>
      <c r="AF76" s="387">
        <v>53.850999999999999</v>
      </c>
      <c r="AG76" s="387">
        <v>45.148000000000003</v>
      </c>
      <c r="AH76" s="387">
        <v>40.853000000000002</v>
      </c>
      <c r="AI76" s="387">
        <v>27.460999999999999</v>
      </c>
      <c r="AJ76" s="387">
        <v>38.231000000000002</v>
      </c>
      <c r="AK76" s="387">
        <v>29.026</v>
      </c>
      <c r="AL76" s="387">
        <v>41.701000000000001</v>
      </c>
      <c r="AM76" s="387">
        <v>44.643000000000001</v>
      </c>
      <c r="AN76" s="387">
        <v>31.911999999999999</v>
      </c>
      <c r="AO76" s="387">
        <v>37.018000000000001</v>
      </c>
      <c r="AP76" s="387">
        <v>37.052</v>
      </c>
      <c r="AQ76" s="387">
        <v>38.529000000000003</v>
      </c>
      <c r="AR76" s="387">
        <v>35.305999999999997</v>
      </c>
      <c r="AS76" s="387">
        <v>24.459</v>
      </c>
      <c r="AT76" s="387">
        <v>30.44</v>
      </c>
      <c r="AU76" s="387">
        <v>23.318000000000001</v>
      </c>
      <c r="AV76" s="387">
        <v>19.536000000000001</v>
      </c>
      <c r="AW76" s="387">
        <v>13.071999999999999</v>
      </c>
      <c r="AX76" s="387">
        <v>8.6920000000000002</v>
      </c>
      <c r="AY76" s="387">
        <v>4.8849999999999998</v>
      </c>
      <c r="AZ76" s="387">
        <v>2.5939999999999999</v>
      </c>
      <c r="BA76" s="387">
        <v>0.59899999999999998</v>
      </c>
      <c r="BB76" s="387">
        <v>0</v>
      </c>
      <c r="BC76" s="387">
        <v>0</v>
      </c>
      <c r="BD76" s="387">
        <v>0</v>
      </c>
      <c r="BE76" s="387">
        <v>0</v>
      </c>
      <c r="BF76" s="387">
        <v>0</v>
      </c>
      <c r="BG76" s="387">
        <v>0</v>
      </c>
      <c r="BH76" s="387">
        <v>0</v>
      </c>
      <c r="BI76" s="387">
        <v>0</v>
      </c>
      <c r="BJ76" s="387">
        <v>0</v>
      </c>
      <c r="BK76" s="387">
        <v>0</v>
      </c>
      <c r="BL76" s="387">
        <v>0</v>
      </c>
      <c r="BM76" s="387">
        <v>0</v>
      </c>
      <c r="BN76" s="387">
        <v>0</v>
      </c>
      <c r="BO76" s="387">
        <v>0</v>
      </c>
    </row>
    <row r="77" spans="1:67" x14ac:dyDescent="0.2">
      <c r="A77" s="386" t="s">
        <v>897</v>
      </c>
      <c r="B77" s="387">
        <v>0</v>
      </c>
      <c r="C77" s="387">
        <v>0</v>
      </c>
      <c r="D77" s="387">
        <v>0</v>
      </c>
      <c r="E77" s="387">
        <v>0</v>
      </c>
      <c r="F77" s="387">
        <v>0</v>
      </c>
      <c r="G77" s="387">
        <v>0</v>
      </c>
      <c r="H77" s="387">
        <v>0</v>
      </c>
      <c r="I77" s="387">
        <v>0</v>
      </c>
      <c r="J77" s="387">
        <v>0</v>
      </c>
      <c r="K77" s="387">
        <v>0.53700000000000003</v>
      </c>
      <c r="L77" s="387">
        <v>0.17499999999999999</v>
      </c>
      <c r="M77" s="387">
        <v>1.4359999999999999</v>
      </c>
      <c r="N77" s="387">
        <v>2.2090000000000001</v>
      </c>
      <c r="O77" s="387">
        <v>2.8380000000000001</v>
      </c>
      <c r="P77" s="387">
        <v>1.488</v>
      </c>
      <c r="Q77" s="387">
        <v>3.4039999999999999</v>
      </c>
      <c r="R77" s="387">
        <v>2.7629999999999999</v>
      </c>
      <c r="S77" s="387">
        <v>8.4410000000000007</v>
      </c>
      <c r="T77" s="387">
        <v>14.593999999999999</v>
      </c>
      <c r="U77" s="387">
        <v>8.9559999999999995</v>
      </c>
      <c r="V77" s="387">
        <v>13.054</v>
      </c>
      <c r="W77" s="387">
        <v>5.9779999999999998</v>
      </c>
      <c r="X77" s="387">
        <v>11.032999999999999</v>
      </c>
      <c r="Y77" s="387">
        <v>15.959</v>
      </c>
      <c r="Z77" s="387">
        <v>19.417000000000002</v>
      </c>
      <c r="AA77" s="387">
        <v>16.192</v>
      </c>
      <c r="AB77" s="387">
        <v>20.23</v>
      </c>
      <c r="AC77" s="387">
        <v>21.562999999999999</v>
      </c>
      <c r="AD77" s="387">
        <v>28.706</v>
      </c>
      <c r="AE77" s="387">
        <v>26.518999999999998</v>
      </c>
      <c r="AF77" s="387">
        <v>22.99</v>
      </c>
      <c r="AG77" s="387">
        <v>25.14</v>
      </c>
      <c r="AH77" s="387">
        <v>19.965</v>
      </c>
      <c r="AI77" s="387">
        <v>13.837</v>
      </c>
      <c r="AJ77" s="387">
        <v>21.439</v>
      </c>
      <c r="AK77" s="387">
        <v>21.248999999999999</v>
      </c>
      <c r="AL77" s="387">
        <v>19.193000000000001</v>
      </c>
      <c r="AM77" s="387">
        <v>19.765000000000001</v>
      </c>
      <c r="AN77" s="387">
        <v>17.527000000000001</v>
      </c>
      <c r="AO77" s="387">
        <v>20.515999999999998</v>
      </c>
      <c r="AP77" s="387">
        <v>24.242999999999999</v>
      </c>
      <c r="AQ77" s="387">
        <v>23.673999999999999</v>
      </c>
      <c r="AR77" s="387">
        <v>23.645</v>
      </c>
      <c r="AS77" s="387">
        <v>16.288</v>
      </c>
      <c r="AT77" s="387">
        <v>20.603999999999999</v>
      </c>
      <c r="AU77" s="387">
        <v>21.622</v>
      </c>
      <c r="AV77" s="387">
        <v>21.199000000000002</v>
      </c>
      <c r="AW77" s="387">
        <v>10.584</v>
      </c>
      <c r="AX77" s="387">
        <v>7.665</v>
      </c>
      <c r="AY77" s="387">
        <v>3.335</v>
      </c>
      <c r="AZ77" s="387">
        <v>3.4870000000000001</v>
      </c>
      <c r="BA77" s="387">
        <v>0.30199999999999999</v>
      </c>
      <c r="BB77" s="387">
        <v>0</v>
      </c>
      <c r="BC77" s="387">
        <v>0</v>
      </c>
      <c r="BD77" s="387">
        <v>0</v>
      </c>
      <c r="BE77" s="387">
        <v>0</v>
      </c>
      <c r="BF77" s="387">
        <v>0</v>
      </c>
      <c r="BG77" s="387">
        <v>0</v>
      </c>
      <c r="BH77" s="387">
        <v>0</v>
      </c>
      <c r="BI77" s="387">
        <v>0</v>
      </c>
      <c r="BJ77" s="387">
        <v>0</v>
      </c>
      <c r="BK77" s="387">
        <v>0</v>
      </c>
      <c r="BL77" s="387">
        <v>0</v>
      </c>
      <c r="BM77" s="387">
        <v>0</v>
      </c>
      <c r="BN77" s="387">
        <v>0</v>
      </c>
      <c r="BO77" s="387">
        <v>0</v>
      </c>
    </row>
    <row r="78" spans="1:67" x14ac:dyDescent="0.2">
      <c r="A78" s="388" t="s">
        <v>898</v>
      </c>
      <c r="B78" s="389">
        <v>0</v>
      </c>
      <c r="C78" s="389">
        <v>0</v>
      </c>
      <c r="D78" s="389">
        <v>0</v>
      </c>
      <c r="E78" s="389">
        <v>0</v>
      </c>
      <c r="F78" s="389">
        <v>0</v>
      </c>
      <c r="G78" s="389">
        <v>0</v>
      </c>
      <c r="H78" s="389">
        <v>0</v>
      </c>
      <c r="I78" s="389">
        <v>0</v>
      </c>
      <c r="J78" s="389">
        <v>0</v>
      </c>
      <c r="K78" s="389">
        <v>0.52800000000000002</v>
      </c>
      <c r="L78" s="389">
        <v>0.17199999999999999</v>
      </c>
      <c r="M78" s="389">
        <v>0.89400000000000002</v>
      </c>
      <c r="N78" s="389">
        <v>1.383</v>
      </c>
      <c r="O78" s="389">
        <v>1.835</v>
      </c>
      <c r="P78" s="389">
        <v>0.62</v>
      </c>
      <c r="Q78" s="389">
        <v>2.3769999999999998</v>
      </c>
      <c r="R78" s="389">
        <v>2.33</v>
      </c>
      <c r="S78" s="389">
        <v>4.6050000000000004</v>
      </c>
      <c r="T78" s="389">
        <v>7.266</v>
      </c>
      <c r="U78" s="389">
        <v>5.1109999999999998</v>
      </c>
      <c r="V78" s="389">
        <v>6.0510000000000002</v>
      </c>
      <c r="W78" s="389">
        <v>3.7930000000000001</v>
      </c>
      <c r="X78" s="389">
        <v>5.6760000000000002</v>
      </c>
      <c r="Y78" s="389">
        <v>9.1579999999999995</v>
      </c>
      <c r="Z78" s="389">
        <v>8.5640000000000001</v>
      </c>
      <c r="AA78" s="389">
        <v>5.5060000000000002</v>
      </c>
      <c r="AB78" s="389">
        <v>7.7990000000000004</v>
      </c>
      <c r="AC78" s="389">
        <v>7.4109999999999996</v>
      </c>
      <c r="AD78" s="389">
        <v>9.7840000000000007</v>
      </c>
      <c r="AE78" s="389">
        <v>9.5570000000000004</v>
      </c>
      <c r="AF78" s="389">
        <v>8.52</v>
      </c>
      <c r="AG78" s="389">
        <v>9.9260000000000002</v>
      </c>
      <c r="AH78" s="389">
        <v>5.9740000000000002</v>
      </c>
      <c r="AI78" s="389">
        <v>4.4539999999999997</v>
      </c>
      <c r="AJ78" s="389">
        <v>5.77</v>
      </c>
      <c r="AK78" s="389">
        <v>3.2290000000000001</v>
      </c>
      <c r="AL78" s="389">
        <v>6.1120000000000001</v>
      </c>
      <c r="AM78" s="389">
        <v>4.5129999999999999</v>
      </c>
      <c r="AN78" s="389">
        <v>3.29</v>
      </c>
      <c r="AO78" s="389">
        <v>3.4089999999999998</v>
      </c>
      <c r="AP78" s="389">
        <v>1.4039999999999999</v>
      </c>
      <c r="AQ78" s="389">
        <v>1.079</v>
      </c>
      <c r="AR78" s="389">
        <v>0.96599999999999997</v>
      </c>
      <c r="AS78" s="389">
        <v>0.46500000000000002</v>
      </c>
      <c r="AT78" s="389">
        <v>0.79900000000000004</v>
      </c>
      <c r="AU78" s="389">
        <v>0.93</v>
      </c>
      <c r="AV78" s="389">
        <v>0.94499999999999995</v>
      </c>
      <c r="AW78" s="389">
        <v>0.93300000000000005</v>
      </c>
      <c r="AX78" s="389">
        <v>0.94</v>
      </c>
      <c r="AY78" s="389">
        <v>0.33100000000000002</v>
      </c>
      <c r="AZ78" s="389">
        <v>0</v>
      </c>
      <c r="BA78" s="389">
        <v>0</v>
      </c>
      <c r="BB78" s="389">
        <v>0</v>
      </c>
      <c r="BC78" s="389">
        <v>0</v>
      </c>
      <c r="BD78" s="389">
        <v>0</v>
      </c>
      <c r="BE78" s="389">
        <v>0</v>
      </c>
      <c r="BF78" s="389">
        <v>0</v>
      </c>
      <c r="BG78" s="389">
        <v>0</v>
      </c>
      <c r="BH78" s="389">
        <v>0</v>
      </c>
      <c r="BI78" s="389">
        <v>0</v>
      </c>
      <c r="BJ78" s="389">
        <v>0</v>
      </c>
      <c r="BK78" s="389">
        <v>0</v>
      </c>
      <c r="BL78" s="389">
        <v>0</v>
      </c>
      <c r="BM78" s="389">
        <v>0</v>
      </c>
      <c r="BN78" s="389">
        <v>0</v>
      </c>
      <c r="BO78" s="389">
        <v>0</v>
      </c>
    </row>
    <row r="80" spans="1:67" x14ac:dyDescent="0.2">
      <c r="A80" s="380" t="s">
        <v>3173</v>
      </c>
      <c r="B80" s="381" t="s">
        <v>907</v>
      </c>
    </row>
    <row r="81" spans="1:67" x14ac:dyDescent="0.2">
      <c r="A81" s="382" t="s">
        <v>3938</v>
      </c>
      <c r="B81" s="383"/>
    </row>
    <row r="82" spans="1:67" x14ac:dyDescent="0.2">
      <c r="A82" s="384" t="s">
        <v>3175</v>
      </c>
      <c r="B82" s="384">
        <v>-25</v>
      </c>
      <c r="C82" s="384">
        <v>-24</v>
      </c>
      <c r="D82" s="384">
        <v>-23</v>
      </c>
      <c r="E82" s="384">
        <v>-22</v>
      </c>
      <c r="F82" s="384">
        <v>-21</v>
      </c>
      <c r="G82" s="384">
        <v>-20</v>
      </c>
      <c r="H82" s="384">
        <v>-19</v>
      </c>
      <c r="I82" s="384">
        <v>-18</v>
      </c>
      <c r="J82" s="384">
        <v>-17</v>
      </c>
      <c r="K82" s="384">
        <v>-16</v>
      </c>
      <c r="L82" s="384">
        <v>-15</v>
      </c>
      <c r="M82" s="384">
        <v>-14</v>
      </c>
      <c r="N82" s="384">
        <v>-13</v>
      </c>
      <c r="O82" s="384">
        <v>-12</v>
      </c>
      <c r="P82" s="384">
        <v>-11</v>
      </c>
      <c r="Q82" s="384">
        <v>-10</v>
      </c>
      <c r="R82" s="384">
        <v>-9</v>
      </c>
      <c r="S82" s="384">
        <v>-8</v>
      </c>
      <c r="T82" s="384">
        <v>-7</v>
      </c>
      <c r="U82" s="384">
        <v>-6</v>
      </c>
      <c r="V82" s="384">
        <v>-5</v>
      </c>
      <c r="W82" s="384">
        <v>-4</v>
      </c>
      <c r="X82" s="384">
        <v>-3</v>
      </c>
      <c r="Y82" s="384">
        <v>-2</v>
      </c>
      <c r="Z82" s="384">
        <v>-1</v>
      </c>
      <c r="AA82" s="384">
        <v>0</v>
      </c>
      <c r="AB82" s="384">
        <v>1</v>
      </c>
      <c r="AC82" s="384">
        <v>2</v>
      </c>
      <c r="AD82" s="384">
        <v>3</v>
      </c>
      <c r="AE82" s="384">
        <v>4</v>
      </c>
      <c r="AF82" s="384">
        <v>5</v>
      </c>
      <c r="AG82" s="384">
        <v>6</v>
      </c>
      <c r="AH82" s="384">
        <v>7</v>
      </c>
      <c r="AI82" s="384">
        <v>8</v>
      </c>
      <c r="AJ82" s="384">
        <v>9</v>
      </c>
      <c r="AK82" s="384">
        <v>10</v>
      </c>
      <c r="AL82" s="384">
        <v>11</v>
      </c>
      <c r="AM82" s="384">
        <v>12</v>
      </c>
      <c r="AN82" s="384">
        <v>13</v>
      </c>
      <c r="AO82" s="384">
        <v>14</v>
      </c>
      <c r="AP82" s="384">
        <v>15</v>
      </c>
      <c r="AQ82" s="384">
        <v>16</v>
      </c>
      <c r="AR82" s="384">
        <v>17</v>
      </c>
      <c r="AS82" s="384">
        <v>18</v>
      </c>
      <c r="AT82" s="384">
        <v>19</v>
      </c>
      <c r="AU82" s="384">
        <v>20</v>
      </c>
      <c r="AV82" s="384">
        <v>21</v>
      </c>
      <c r="AW82" s="384">
        <v>22</v>
      </c>
      <c r="AX82" s="384">
        <v>23</v>
      </c>
      <c r="AY82" s="384">
        <v>24</v>
      </c>
      <c r="AZ82" s="384">
        <v>25</v>
      </c>
      <c r="BA82" s="384">
        <v>26</v>
      </c>
      <c r="BB82" s="384">
        <v>27</v>
      </c>
      <c r="BC82" s="384">
        <v>28</v>
      </c>
      <c r="BD82" s="384">
        <v>29</v>
      </c>
      <c r="BE82" s="384">
        <v>30</v>
      </c>
      <c r="BF82" s="384">
        <v>31</v>
      </c>
      <c r="BG82" s="384">
        <v>32</v>
      </c>
      <c r="BH82" s="384">
        <v>33</v>
      </c>
      <c r="BI82" s="384">
        <v>34</v>
      </c>
      <c r="BJ82" s="384">
        <v>35</v>
      </c>
      <c r="BK82" s="384">
        <v>36</v>
      </c>
      <c r="BL82" s="384">
        <v>37</v>
      </c>
      <c r="BM82" s="384">
        <v>38</v>
      </c>
      <c r="BN82" s="384">
        <v>39</v>
      </c>
      <c r="BO82" s="384">
        <v>40</v>
      </c>
    </row>
    <row r="83" spans="1:67" x14ac:dyDescent="0.2">
      <c r="A83" s="385" t="s">
        <v>3176</v>
      </c>
      <c r="B83" s="385">
        <v>0</v>
      </c>
      <c r="C83" s="385">
        <v>0</v>
      </c>
      <c r="D83" s="385">
        <v>0</v>
      </c>
      <c r="E83" s="385">
        <v>0</v>
      </c>
      <c r="F83" s="385">
        <v>0</v>
      </c>
      <c r="G83" s="385">
        <v>0</v>
      </c>
      <c r="H83" s="385">
        <v>0</v>
      </c>
      <c r="I83" s="385">
        <v>0</v>
      </c>
      <c r="J83" s="385">
        <v>0</v>
      </c>
      <c r="K83" s="385">
        <v>0</v>
      </c>
      <c r="L83" s="385">
        <v>0</v>
      </c>
      <c r="M83" s="385">
        <v>8</v>
      </c>
      <c r="N83" s="385">
        <v>26</v>
      </c>
      <c r="O83" s="385">
        <v>29</v>
      </c>
      <c r="P83" s="385">
        <v>20</v>
      </c>
      <c r="Q83" s="385">
        <v>22</v>
      </c>
      <c r="R83" s="385">
        <v>42</v>
      </c>
      <c r="S83" s="385">
        <v>58</v>
      </c>
      <c r="T83" s="385">
        <v>62</v>
      </c>
      <c r="U83" s="385">
        <v>67</v>
      </c>
      <c r="V83" s="385">
        <v>128</v>
      </c>
      <c r="W83" s="385">
        <v>156</v>
      </c>
      <c r="X83" s="385">
        <v>217</v>
      </c>
      <c r="Y83" s="385">
        <v>234</v>
      </c>
      <c r="Z83" s="385">
        <v>319</v>
      </c>
      <c r="AA83" s="385">
        <v>447</v>
      </c>
      <c r="AB83" s="385">
        <v>456</v>
      </c>
      <c r="AC83" s="385">
        <v>368</v>
      </c>
      <c r="AD83" s="385">
        <v>297</v>
      </c>
      <c r="AE83" s="385">
        <v>368</v>
      </c>
      <c r="AF83" s="385">
        <v>400</v>
      </c>
      <c r="AG83" s="385">
        <v>441</v>
      </c>
      <c r="AH83" s="385">
        <v>428</v>
      </c>
      <c r="AI83" s="385">
        <v>425</v>
      </c>
      <c r="AJ83" s="385">
        <v>391</v>
      </c>
      <c r="AK83" s="385">
        <v>408</v>
      </c>
      <c r="AL83" s="385">
        <v>405</v>
      </c>
      <c r="AM83" s="385">
        <v>366</v>
      </c>
      <c r="AN83" s="385">
        <v>358</v>
      </c>
      <c r="AO83" s="385">
        <v>338</v>
      </c>
      <c r="AP83" s="385">
        <v>303</v>
      </c>
      <c r="AQ83" s="385">
        <v>217</v>
      </c>
      <c r="AR83" s="385">
        <v>198</v>
      </c>
      <c r="AS83" s="385">
        <v>160</v>
      </c>
      <c r="AT83" s="385">
        <v>132</v>
      </c>
      <c r="AU83" s="385">
        <v>111</v>
      </c>
      <c r="AV83" s="385">
        <v>82</v>
      </c>
      <c r="AW83" s="385">
        <v>101</v>
      </c>
      <c r="AX83" s="385">
        <v>58</v>
      </c>
      <c r="AY83" s="385">
        <v>51</v>
      </c>
      <c r="AZ83" s="385">
        <v>38</v>
      </c>
      <c r="BA83" s="385">
        <v>14</v>
      </c>
      <c r="BB83" s="385">
        <v>5</v>
      </c>
      <c r="BC83" s="385">
        <v>4</v>
      </c>
      <c r="BD83" s="385">
        <v>2</v>
      </c>
      <c r="BE83" s="385">
        <v>0</v>
      </c>
      <c r="BF83" s="385">
        <v>0</v>
      </c>
      <c r="BG83" s="385">
        <v>0</v>
      </c>
      <c r="BH83" s="385">
        <v>0</v>
      </c>
      <c r="BI83" s="385">
        <v>0</v>
      </c>
      <c r="BJ83" s="385">
        <v>0</v>
      </c>
      <c r="BK83" s="385">
        <v>0</v>
      </c>
      <c r="BL83" s="385">
        <v>0</v>
      </c>
      <c r="BM83" s="385">
        <v>0</v>
      </c>
      <c r="BN83" s="385">
        <v>0</v>
      </c>
      <c r="BO83" s="385">
        <v>0</v>
      </c>
    </row>
    <row r="84" spans="1:67" x14ac:dyDescent="0.2">
      <c r="A84" s="386" t="s">
        <v>893</v>
      </c>
      <c r="B84" s="386">
        <v>0</v>
      </c>
      <c r="C84" s="386">
        <v>0</v>
      </c>
      <c r="D84" s="386">
        <v>0</v>
      </c>
      <c r="E84" s="386">
        <v>0</v>
      </c>
      <c r="F84" s="386">
        <v>0</v>
      </c>
      <c r="G84" s="386">
        <v>0</v>
      </c>
      <c r="H84" s="386">
        <v>0</v>
      </c>
      <c r="I84" s="386">
        <v>0</v>
      </c>
      <c r="J84" s="386">
        <v>0</v>
      </c>
      <c r="K84" s="386">
        <v>0</v>
      </c>
      <c r="L84" s="386">
        <v>0</v>
      </c>
      <c r="M84" s="386">
        <v>0</v>
      </c>
      <c r="N84" s="386">
        <v>0</v>
      </c>
      <c r="O84" s="386">
        <v>0</v>
      </c>
      <c r="P84" s="386">
        <v>48</v>
      </c>
      <c r="Q84" s="386">
        <v>96</v>
      </c>
      <c r="R84" s="386">
        <v>0</v>
      </c>
      <c r="S84" s="386">
        <v>48</v>
      </c>
      <c r="T84" s="386">
        <v>0</v>
      </c>
      <c r="U84" s="386">
        <v>72</v>
      </c>
      <c r="V84" s="386">
        <v>120</v>
      </c>
      <c r="W84" s="386">
        <v>192</v>
      </c>
      <c r="X84" s="386">
        <v>168</v>
      </c>
      <c r="Y84" s="386">
        <v>168</v>
      </c>
      <c r="Z84" s="386">
        <v>264</v>
      </c>
      <c r="AA84" s="386">
        <v>456</v>
      </c>
      <c r="AB84" s="386">
        <v>432</v>
      </c>
      <c r="AC84" s="386">
        <v>504</v>
      </c>
      <c r="AD84" s="386">
        <v>480</v>
      </c>
      <c r="AE84" s="386">
        <v>480</v>
      </c>
      <c r="AF84" s="386">
        <v>288</v>
      </c>
      <c r="AG84" s="386">
        <v>168</v>
      </c>
      <c r="AH84" s="386">
        <v>432</v>
      </c>
      <c r="AI84" s="386">
        <v>552</v>
      </c>
      <c r="AJ84" s="386">
        <v>288</v>
      </c>
      <c r="AK84" s="386">
        <v>480</v>
      </c>
      <c r="AL84" s="386">
        <v>432</v>
      </c>
      <c r="AM84" s="386">
        <v>408</v>
      </c>
      <c r="AN84" s="386">
        <v>432</v>
      </c>
      <c r="AO84" s="386">
        <v>312</v>
      </c>
      <c r="AP84" s="386">
        <v>192</v>
      </c>
      <c r="AQ84" s="386">
        <v>288</v>
      </c>
      <c r="AR84" s="386">
        <v>432</v>
      </c>
      <c r="AS84" s="386">
        <v>312</v>
      </c>
      <c r="AT84" s="386">
        <v>96</v>
      </c>
      <c r="AU84" s="386">
        <v>72</v>
      </c>
      <c r="AV84" s="386">
        <v>24</v>
      </c>
      <c r="AW84" s="386">
        <v>0</v>
      </c>
      <c r="AX84" s="386">
        <v>24</v>
      </c>
      <c r="AY84" s="386">
        <v>0</v>
      </c>
      <c r="AZ84" s="386">
        <v>0</v>
      </c>
      <c r="BA84" s="386">
        <v>0</v>
      </c>
      <c r="BB84" s="386">
        <v>0</v>
      </c>
      <c r="BC84" s="386">
        <v>0</v>
      </c>
      <c r="BD84" s="386">
        <v>0</v>
      </c>
      <c r="BE84" s="386">
        <v>0</v>
      </c>
      <c r="BF84" s="386">
        <v>0</v>
      </c>
      <c r="BG84" s="386">
        <v>0</v>
      </c>
      <c r="BH84" s="386">
        <v>0</v>
      </c>
      <c r="BI84" s="386">
        <v>0</v>
      </c>
      <c r="BJ84" s="386">
        <v>0</v>
      </c>
      <c r="BK84" s="386">
        <v>0</v>
      </c>
      <c r="BL84" s="386">
        <v>0</v>
      </c>
      <c r="BM84" s="386">
        <v>0</v>
      </c>
      <c r="BN84" s="386">
        <v>0</v>
      </c>
      <c r="BO84" s="386">
        <v>0</v>
      </c>
    </row>
    <row r="85" spans="1:67" x14ac:dyDescent="0.2">
      <c r="A85" s="386" t="s">
        <v>894</v>
      </c>
      <c r="B85" s="387">
        <v>0</v>
      </c>
      <c r="C85" s="387">
        <v>0</v>
      </c>
      <c r="D85" s="387">
        <v>0</v>
      </c>
      <c r="E85" s="387">
        <v>0</v>
      </c>
      <c r="F85" s="387">
        <v>0</v>
      </c>
      <c r="G85" s="387">
        <v>0</v>
      </c>
      <c r="H85" s="387">
        <v>0</v>
      </c>
      <c r="I85" s="387">
        <v>0</v>
      </c>
      <c r="J85" s="387">
        <v>0</v>
      </c>
      <c r="K85" s="387">
        <v>0</v>
      </c>
      <c r="L85" s="387">
        <v>0</v>
      </c>
      <c r="M85" s="387">
        <v>0</v>
      </c>
      <c r="N85" s="387">
        <v>0</v>
      </c>
      <c r="O85" s="387">
        <v>0.48899999999999999</v>
      </c>
      <c r="P85" s="387">
        <v>0.81299999999999994</v>
      </c>
      <c r="Q85" s="387">
        <v>1.9179999999999999</v>
      </c>
      <c r="R85" s="387">
        <v>3.4790000000000001</v>
      </c>
      <c r="S85" s="387">
        <v>2.794</v>
      </c>
      <c r="T85" s="387">
        <v>2.9340000000000002</v>
      </c>
      <c r="U85" s="387">
        <v>3.234</v>
      </c>
      <c r="V85" s="387">
        <v>4.194</v>
      </c>
      <c r="W85" s="387">
        <v>6.2839999999999998</v>
      </c>
      <c r="X85" s="387">
        <v>7.8579999999999997</v>
      </c>
      <c r="Y85" s="387">
        <v>6.4779999999999998</v>
      </c>
      <c r="Z85" s="387">
        <v>10.587</v>
      </c>
      <c r="AA85" s="387">
        <v>14.754</v>
      </c>
      <c r="AB85" s="387">
        <v>21.094000000000001</v>
      </c>
      <c r="AC85" s="387">
        <v>17.477</v>
      </c>
      <c r="AD85" s="387">
        <v>30.093</v>
      </c>
      <c r="AE85" s="387">
        <v>34.387999999999998</v>
      </c>
      <c r="AF85" s="387">
        <v>31.638000000000002</v>
      </c>
      <c r="AG85" s="387">
        <v>35.110999999999997</v>
      </c>
      <c r="AH85" s="387">
        <v>37.292999999999999</v>
      </c>
      <c r="AI85" s="387">
        <v>36.548000000000002</v>
      </c>
      <c r="AJ85" s="387">
        <v>36.521999999999998</v>
      </c>
      <c r="AK85" s="387">
        <v>41.261000000000003</v>
      </c>
      <c r="AL85" s="387">
        <v>48.953000000000003</v>
      </c>
      <c r="AM85" s="387">
        <v>45.326999999999998</v>
      </c>
      <c r="AN85" s="387">
        <v>53.78</v>
      </c>
      <c r="AO85" s="387">
        <v>58.578000000000003</v>
      </c>
      <c r="AP85" s="387">
        <v>69.384</v>
      </c>
      <c r="AQ85" s="387">
        <v>47.59</v>
      </c>
      <c r="AR85" s="387">
        <v>60.325000000000003</v>
      </c>
      <c r="AS85" s="387">
        <v>60.524000000000001</v>
      </c>
      <c r="AT85" s="387">
        <v>51.905000000000001</v>
      </c>
      <c r="AU85" s="387">
        <v>43.883000000000003</v>
      </c>
      <c r="AV85" s="387">
        <v>41.308</v>
      </c>
      <c r="AW85" s="387">
        <v>51.06</v>
      </c>
      <c r="AX85" s="387">
        <v>29.994</v>
      </c>
      <c r="AY85" s="387">
        <v>29.687999999999999</v>
      </c>
      <c r="AZ85" s="387">
        <v>22.882000000000001</v>
      </c>
      <c r="BA85" s="387">
        <v>8.3800000000000008</v>
      </c>
      <c r="BB85" s="387">
        <v>2.9209999999999998</v>
      </c>
      <c r="BC85" s="387">
        <v>2.988</v>
      </c>
      <c r="BD85" s="387">
        <v>1.659</v>
      </c>
      <c r="BE85" s="387">
        <v>0</v>
      </c>
      <c r="BF85" s="387">
        <v>0</v>
      </c>
      <c r="BG85" s="387">
        <v>0</v>
      </c>
      <c r="BH85" s="387">
        <v>0</v>
      </c>
      <c r="BI85" s="387">
        <v>0</v>
      </c>
      <c r="BJ85" s="387">
        <v>0</v>
      </c>
      <c r="BK85" s="387">
        <v>0</v>
      </c>
      <c r="BL85" s="387">
        <v>0</v>
      </c>
      <c r="BM85" s="387">
        <v>0</v>
      </c>
      <c r="BN85" s="387">
        <v>0</v>
      </c>
      <c r="BO85" s="387">
        <v>0</v>
      </c>
    </row>
    <row r="86" spans="1:67" x14ac:dyDescent="0.2">
      <c r="A86" s="386" t="s">
        <v>895</v>
      </c>
      <c r="B86" s="387">
        <v>0</v>
      </c>
      <c r="C86" s="387">
        <v>0</v>
      </c>
      <c r="D86" s="387">
        <v>0</v>
      </c>
      <c r="E86" s="387">
        <v>0</v>
      </c>
      <c r="F86" s="387">
        <v>0</v>
      </c>
      <c r="G86" s="387">
        <v>0</v>
      </c>
      <c r="H86" s="387">
        <v>0</v>
      </c>
      <c r="I86" s="387">
        <v>0</v>
      </c>
      <c r="J86" s="387">
        <v>0</v>
      </c>
      <c r="K86" s="387">
        <v>0</v>
      </c>
      <c r="L86" s="387">
        <v>0</v>
      </c>
      <c r="M86" s="387">
        <v>0</v>
      </c>
      <c r="N86" s="387">
        <v>0</v>
      </c>
      <c r="O86" s="387">
        <v>0.80300000000000005</v>
      </c>
      <c r="P86" s="387">
        <v>1.278</v>
      </c>
      <c r="Q86" s="387">
        <v>2.504</v>
      </c>
      <c r="R86" s="387">
        <v>2.7629999999999999</v>
      </c>
      <c r="S86" s="387">
        <v>2.98</v>
      </c>
      <c r="T86" s="387">
        <v>2.4860000000000002</v>
      </c>
      <c r="U86" s="387">
        <v>2.8119999999999998</v>
      </c>
      <c r="V86" s="387">
        <v>3.2069999999999999</v>
      </c>
      <c r="W86" s="387">
        <v>5.2960000000000003</v>
      </c>
      <c r="X86" s="387">
        <v>5.9349999999999996</v>
      </c>
      <c r="Y86" s="387">
        <v>6.5990000000000002</v>
      </c>
      <c r="Z86" s="387">
        <v>9.0640000000000001</v>
      </c>
      <c r="AA86" s="387">
        <v>13.243</v>
      </c>
      <c r="AB86" s="387">
        <v>13.843</v>
      </c>
      <c r="AC86" s="387">
        <v>12.826000000000001</v>
      </c>
      <c r="AD86" s="387">
        <v>19.274999999999999</v>
      </c>
      <c r="AE86" s="387">
        <v>19.513000000000002</v>
      </c>
      <c r="AF86" s="387">
        <v>16.773</v>
      </c>
      <c r="AG86" s="387">
        <v>18.635999999999999</v>
      </c>
      <c r="AH86" s="387">
        <v>21.475000000000001</v>
      </c>
      <c r="AI86" s="387">
        <v>20.800999999999998</v>
      </c>
      <c r="AJ86" s="387">
        <v>21.45</v>
      </c>
      <c r="AK86" s="387">
        <v>26.768000000000001</v>
      </c>
      <c r="AL86" s="387">
        <v>30.085999999999999</v>
      </c>
      <c r="AM86" s="387">
        <v>22.533999999999999</v>
      </c>
      <c r="AN86" s="387">
        <v>32.905000000000001</v>
      </c>
      <c r="AO86" s="387">
        <v>30.721</v>
      </c>
      <c r="AP86" s="387">
        <v>35.087000000000003</v>
      </c>
      <c r="AQ86" s="387">
        <v>27.111000000000001</v>
      </c>
      <c r="AR86" s="387">
        <v>26.504000000000001</v>
      </c>
      <c r="AS86" s="387">
        <v>26.065000000000001</v>
      </c>
      <c r="AT86" s="387">
        <v>17.350000000000001</v>
      </c>
      <c r="AU86" s="387">
        <v>18.114999999999998</v>
      </c>
      <c r="AV86" s="387">
        <v>11.670999999999999</v>
      </c>
      <c r="AW86" s="387">
        <v>10.583</v>
      </c>
      <c r="AX86" s="387">
        <v>6.8860000000000001</v>
      </c>
      <c r="AY86" s="387">
        <v>5.6609999999999996</v>
      </c>
      <c r="AZ86" s="387">
        <v>4.0830000000000002</v>
      </c>
      <c r="BA86" s="387">
        <v>1.333</v>
      </c>
      <c r="BB86" s="387">
        <v>0.15</v>
      </c>
      <c r="BC86" s="387">
        <v>0.64500000000000002</v>
      </c>
      <c r="BD86" s="387">
        <v>0</v>
      </c>
      <c r="BE86" s="387">
        <v>0</v>
      </c>
      <c r="BF86" s="387">
        <v>0</v>
      </c>
      <c r="BG86" s="387">
        <v>0</v>
      </c>
      <c r="BH86" s="387">
        <v>0</v>
      </c>
      <c r="BI86" s="387">
        <v>0</v>
      </c>
      <c r="BJ86" s="387">
        <v>0</v>
      </c>
      <c r="BK86" s="387">
        <v>0</v>
      </c>
      <c r="BL86" s="387">
        <v>0</v>
      </c>
      <c r="BM86" s="387">
        <v>0</v>
      </c>
      <c r="BN86" s="387">
        <v>0</v>
      </c>
      <c r="BO86" s="387">
        <v>0</v>
      </c>
    </row>
    <row r="87" spans="1:67" x14ac:dyDescent="0.2">
      <c r="A87" s="386" t="s">
        <v>896</v>
      </c>
      <c r="B87" s="387">
        <v>0</v>
      </c>
      <c r="C87" s="387">
        <v>0</v>
      </c>
      <c r="D87" s="387">
        <v>0</v>
      </c>
      <c r="E87" s="387">
        <v>0</v>
      </c>
      <c r="F87" s="387">
        <v>0</v>
      </c>
      <c r="G87" s="387">
        <v>0</v>
      </c>
      <c r="H87" s="387">
        <v>0</v>
      </c>
      <c r="I87" s="387">
        <v>0</v>
      </c>
      <c r="J87" s="387">
        <v>0</v>
      </c>
      <c r="K87" s="387">
        <v>0</v>
      </c>
      <c r="L87" s="387">
        <v>0</v>
      </c>
      <c r="M87" s="387">
        <v>0</v>
      </c>
      <c r="N87" s="387">
        <v>0</v>
      </c>
      <c r="O87" s="387">
        <v>0.93100000000000005</v>
      </c>
      <c r="P87" s="387">
        <v>1.7969999999999999</v>
      </c>
      <c r="Q87" s="387">
        <v>4.3959999999999999</v>
      </c>
      <c r="R87" s="387">
        <v>8.1489999999999991</v>
      </c>
      <c r="S87" s="387">
        <v>6.1269999999999998</v>
      </c>
      <c r="T87" s="387">
        <v>6.8049999999999997</v>
      </c>
      <c r="U87" s="387">
        <v>6.27</v>
      </c>
      <c r="V87" s="387">
        <v>8.0449999999999999</v>
      </c>
      <c r="W87" s="387">
        <v>12.247999999999999</v>
      </c>
      <c r="X87" s="387">
        <v>14.82</v>
      </c>
      <c r="Y87" s="387">
        <v>11.058</v>
      </c>
      <c r="Z87" s="387">
        <v>15.568</v>
      </c>
      <c r="AA87" s="387">
        <v>20.036000000000001</v>
      </c>
      <c r="AB87" s="387">
        <v>31.337</v>
      </c>
      <c r="AC87" s="387">
        <v>25.56</v>
      </c>
      <c r="AD87" s="387">
        <v>37.207000000000001</v>
      </c>
      <c r="AE87" s="387">
        <v>49.228999999999999</v>
      </c>
      <c r="AF87" s="387">
        <v>47.154000000000003</v>
      </c>
      <c r="AG87" s="387">
        <v>49.594999999999999</v>
      </c>
      <c r="AH87" s="387">
        <v>50.676000000000002</v>
      </c>
      <c r="AI87" s="387">
        <v>40.648000000000003</v>
      </c>
      <c r="AJ87" s="387">
        <v>34.682000000000002</v>
      </c>
      <c r="AK87" s="387">
        <v>32.377000000000002</v>
      </c>
      <c r="AL87" s="387">
        <v>36.884999999999998</v>
      </c>
      <c r="AM87" s="387">
        <v>30.231999999999999</v>
      </c>
      <c r="AN87" s="387">
        <v>36.673999999999999</v>
      </c>
      <c r="AO87" s="387">
        <v>40.253999999999998</v>
      </c>
      <c r="AP87" s="387">
        <v>44.767000000000003</v>
      </c>
      <c r="AQ87" s="387">
        <v>27.553999999999998</v>
      </c>
      <c r="AR87" s="387">
        <v>33.886000000000003</v>
      </c>
      <c r="AS87" s="387">
        <v>35.4</v>
      </c>
      <c r="AT87" s="387">
        <v>30.484000000000002</v>
      </c>
      <c r="AU87" s="387">
        <v>26.646999999999998</v>
      </c>
      <c r="AV87" s="387">
        <v>22.943000000000001</v>
      </c>
      <c r="AW87" s="387">
        <v>31.393000000000001</v>
      </c>
      <c r="AX87" s="387">
        <v>17.466000000000001</v>
      </c>
      <c r="AY87" s="387">
        <v>17.934999999999999</v>
      </c>
      <c r="AZ87" s="387">
        <v>12.907999999999999</v>
      </c>
      <c r="BA87" s="387">
        <v>4.3899999999999997</v>
      </c>
      <c r="BB87" s="387">
        <v>1.7170000000000001</v>
      </c>
      <c r="BC87" s="387">
        <v>1.675</v>
      </c>
      <c r="BD87" s="387">
        <v>0.97399999999999998</v>
      </c>
      <c r="BE87" s="387">
        <v>0</v>
      </c>
      <c r="BF87" s="387">
        <v>0</v>
      </c>
      <c r="BG87" s="387">
        <v>0</v>
      </c>
      <c r="BH87" s="387">
        <v>0</v>
      </c>
      <c r="BI87" s="387">
        <v>0</v>
      </c>
      <c r="BJ87" s="387">
        <v>0</v>
      </c>
      <c r="BK87" s="387">
        <v>0</v>
      </c>
      <c r="BL87" s="387">
        <v>0</v>
      </c>
      <c r="BM87" s="387">
        <v>0</v>
      </c>
      <c r="BN87" s="387">
        <v>0</v>
      </c>
      <c r="BO87" s="387">
        <v>0</v>
      </c>
    </row>
    <row r="88" spans="1:67" x14ac:dyDescent="0.2">
      <c r="A88" s="386" t="s">
        <v>897</v>
      </c>
      <c r="B88" s="387">
        <v>0</v>
      </c>
      <c r="C88" s="387">
        <v>0</v>
      </c>
      <c r="D88" s="387">
        <v>0</v>
      </c>
      <c r="E88" s="387">
        <v>0</v>
      </c>
      <c r="F88" s="387">
        <v>0</v>
      </c>
      <c r="G88" s="387">
        <v>0</v>
      </c>
      <c r="H88" s="387">
        <v>0</v>
      </c>
      <c r="I88" s="387">
        <v>0</v>
      </c>
      <c r="J88" s="387">
        <v>0</v>
      </c>
      <c r="K88" s="387">
        <v>0</v>
      </c>
      <c r="L88" s="387">
        <v>0</v>
      </c>
      <c r="M88" s="387">
        <v>0</v>
      </c>
      <c r="N88" s="387">
        <v>0</v>
      </c>
      <c r="O88" s="387">
        <v>0.223</v>
      </c>
      <c r="P88" s="387">
        <v>0.53500000000000003</v>
      </c>
      <c r="Q88" s="387">
        <v>1.3069999999999999</v>
      </c>
      <c r="R88" s="387">
        <v>3.548</v>
      </c>
      <c r="S88" s="387">
        <v>2.056</v>
      </c>
      <c r="T88" s="387">
        <v>3.109</v>
      </c>
      <c r="U88" s="387">
        <v>2.7629999999999999</v>
      </c>
      <c r="V88" s="387">
        <v>4.8449999999999998</v>
      </c>
      <c r="W88" s="387">
        <v>4.1180000000000003</v>
      </c>
      <c r="X88" s="387">
        <v>6.98</v>
      </c>
      <c r="Y88" s="387">
        <v>5.5069999999999997</v>
      </c>
      <c r="Z88" s="387">
        <v>5.3259999999999996</v>
      </c>
      <c r="AA88" s="387">
        <v>6.9059999999999997</v>
      </c>
      <c r="AB88" s="387">
        <v>14.073</v>
      </c>
      <c r="AC88" s="387">
        <v>10.625999999999999</v>
      </c>
      <c r="AD88" s="387">
        <v>18.378</v>
      </c>
      <c r="AE88" s="387">
        <v>19.151</v>
      </c>
      <c r="AF88" s="387">
        <v>17.440999999999999</v>
      </c>
      <c r="AG88" s="387">
        <v>19.103000000000002</v>
      </c>
      <c r="AH88" s="387">
        <v>22.206</v>
      </c>
      <c r="AI88" s="387">
        <v>21.745999999999999</v>
      </c>
      <c r="AJ88" s="387">
        <v>15.513</v>
      </c>
      <c r="AK88" s="387">
        <v>9.2349999999999994</v>
      </c>
      <c r="AL88" s="387">
        <v>11.558</v>
      </c>
      <c r="AM88" s="387">
        <v>12.815</v>
      </c>
      <c r="AN88" s="387">
        <v>14.22</v>
      </c>
      <c r="AO88" s="387">
        <v>18.04</v>
      </c>
      <c r="AP88" s="387">
        <v>19.943000000000001</v>
      </c>
      <c r="AQ88" s="387">
        <v>12.930999999999999</v>
      </c>
      <c r="AR88" s="387">
        <v>18.137</v>
      </c>
      <c r="AS88" s="387">
        <v>21.675000000000001</v>
      </c>
      <c r="AT88" s="387">
        <v>24.061</v>
      </c>
      <c r="AU88" s="387">
        <v>13.353999999999999</v>
      </c>
      <c r="AV88" s="387">
        <v>16.335000000000001</v>
      </c>
      <c r="AW88" s="387">
        <v>24.417000000000002</v>
      </c>
      <c r="AX88" s="387">
        <v>12.747999999999999</v>
      </c>
      <c r="AY88" s="387">
        <v>12.944000000000001</v>
      </c>
      <c r="AZ88" s="387">
        <v>11.355</v>
      </c>
      <c r="BA88" s="387">
        <v>5.1859999999999999</v>
      </c>
      <c r="BB88" s="387">
        <v>2.46</v>
      </c>
      <c r="BC88" s="387">
        <v>1.0720000000000001</v>
      </c>
      <c r="BD88" s="387">
        <v>0.75600000000000001</v>
      </c>
      <c r="BE88" s="387">
        <v>0</v>
      </c>
      <c r="BF88" s="387">
        <v>0</v>
      </c>
      <c r="BG88" s="387">
        <v>0</v>
      </c>
      <c r="BH88" s="387">
        <v>0</v>
      </c>
      <c r="BI88" s="387">
        <v>0</v>
      </c>
      <c r="BJ88" s="387">
        <v>0</v>
      </c>
      <c r="BK88" s="387">
        <v>0</v>
      </c>
      <c r="BL88" s="387">
        <v>0</v>
      </c>
      <c r="BM88" s="387">
        <v>0</v>
      </c>
      <c r="BN88" s="387">
        <v>0</v>
      </c>
      <c r="BO88" s="387">
        <v>0</v>
      </c>
    </row>
    <row r="89" spans="1:67" x14ac:dyDescent="0.2">
      <c r="A89" s="388" t="s">
        <v>898</v>
      </c>
      <c r="B89" s="389">
        <v>0</v>
      </c>
      <c r="C89" s="389">
        <v>0</v>
      </c>
      <c r="D89" s="389">
        <v>0</v>
      </c>
      <c r="E89" s="389">
        <v>0</v>
      </c>
      <c r="F89" s="389">
        <v>0</v>
      </c>
      <c r="G89" s="389">
        <v>0</v>
      </c>
      <c r="H89" s="389">
        <v>0</v>
      </c>
      <c r="I89" s="389">
        <v>0</v>
      </c>
      <c r="J89" s="389">
        <v>0</v>
      </c>
      <c r="K89" s="389">
        <v>0</v>
      </c>
      <c r="L89" s="389">
        <v>0</v>
      </c>
      <c r="M89" s="389">
        <v>0</v>
      </c>
      <c r="N89" s="389">
        <v>0</v>
      </c>
      <c r="O89" s="389">
        <v>0.22900000000000001</v>
      </c>
      <c r="P89" s="389">
        <v>0.55300000000000005</v>
      </c>
      <c r="Q89" s="389">
        <v>1.1599999999999999</v>
      </c>
      <c r="R89" s="389">
        <v>2.048</v>
      </c>
      <c r="S89" s="389">
        <v>1.657</v>
      </c>
      <c r="T89" s="389">
        <v>1.641</v>
      </c>
      <c r="U89" s="389">
        <v>2.17</v>
      </c>
      <c r="V89" s="389">
        <v>2.3639999999999999</v>
      </c>
      <c r="W89" s="389">
        <v>2.6989999999999998</v>
      </c>
      <c r="X89" s="389">
        <v>4.0890000000000004</v>
      </c>
      <c r="Y89" s="389">
        <v>3.7639999999999998</v>
      </c>
      <c r="Z89" s="389">
        <v>3.6269999999999998</v>
      </c>
      <c r="AA89" s="389">
        <v>4.9589999999999996</v>
      </c>
      <c r="AB89" s="389">
        <v>7.8869999999999996</v>
      </c>
      <c r="AC89" s="389">
        <v>4.5789999999999997</v>
      </c>
      <c r="AD89" s="389">
        <v>10.462</v>
      </c>
      <c r="AE89" s="389">
        <v>8.9250000000000007</v>
      </c>
      <c r="AF89" s="389">
        <v>6.4290000000000003</v>
      </c>
      <c r="AG89" s="389">
        <v>5.1849999999999996</v>
      </c>
      <c r="AH89" s="389">
        <v>7.9779999999999998</v>
      </c>
      <c r="AI89" s="389">
        <v>5.0599999999999996</v>
      </c>
      <c r="AJ89" s="389">
        <v>4.7549999999999999</v>
      </c>
      <c r="AK89" s="389">
        <v>3.8530000000000002</v>
      </c>
      <c r="AL89" s="389">
        <v>4.2519999999999998</v>
      </c>
      <c r="AM89" s="389">
        <v>2.238</v>
      </c>
      <c r="AN89" s="389">
        <v>3.1240000000000001</v>
      </c>
      <c r="AO89" s="389">
        <v>3.0449999999999999</v>
      </c>
      <c r="AP89" s="389">
        <v>3.0129999999999999</v>
      </c>
      <c r="AQ89" s="389">
        <v>0.52300000000000002</v>
      </c>
      <c r="AR89" s="389">
        <v>0.97399999999999998</v>
      </c>
      <c r="AS89" s="389">
        <v>0.499</v>
      </c>
      <c r="AT89" s="389">
        <v>1.1479999999999999</v>
      </c>
      <c r="AU89" s="389">
        <v>0.76400000000000001</v>
      </c>
      <c r="AV89" s="389">
        <v>1.2250000000000001</v>
      </c>
      <c r="AW89" s="389">
        <v>0.77200000000000002</v>
      </c>
      <c r="AX89" s="389">
        <v>0.30399999999999999</v>
      </c>
      <c r="AY89" s="389">
        <v>0.61299999999999999</v>
      </c>
      <c r="AZ89" s="389">
        <v>0.45700000000000002</v>
      </c>
      <c r="BA89" s="389">
        <v>0.15</v>
      </c>
      <c r="BB89" s="389">
        <v>0</v>
      </c>
      <c r="BC89" s="389">
        <v>0</v>
      </c>
      <c r="BD89" s="389">
        <v>0</v>
      </c>
      <c r="BE89" s="389">
        <v>0</v>
      </c>
      <c r="BF89" s="389">
        <v>0</v>
      </c>
      <c r="BG89" s="389">
        <v>0</v>
      </c>
      <c r="BH89" s="389">
        <v>0</v>
      </c>
      <c r="BI89" s="389">
        <v>0</v>
      </c>
      <c r="BJ89" s="389">
        <v>0</v>
      </c>
      <c r="BK89" s="389">
        <v>0</v>
      </c>
      <c r="BL89" s="389">
        <v>0</v>
      </c>
      <c r="BM89" s="389">
        <v>0</v>
      </c>
      <c r="BN89" s="389">
        <v>0</v>
      </c>
      <c r="BO89" s="389">
        <v>0</v>
      </c>
    </row>
    <row r="91" spans="1:67" x14ac:dyDescent="0.2">
      <c r="A91" s="380" t="s">
        <v>3173</v>
      </c>
      <c r="B91" s="381" t="s">
        <v>908</v>
      </c>
    </row>
    <row r="92" spans="1:67" x14ac:dyDescent="0.2">
      <c r="A92" s="382" t="s">
        <v>3945</v>
      </c>
      <c r="B92" s="383"/>
    </row>
    <row r="93" spans="1:67" x14ac:dyDescent="0.2">
      <c r="A93" s="384" t="s">
        <v>3175</v>
      </c>
      <c r="B93" s="384">
        <v>-25</v>
      </c>
      <c r="C93" s="384">
        <v>-24</v>
      </c>
      <c r="D93" s="384">
        <v>-23</v>
      </c>
      <c r="E93" s="384">
        <v>-22</v>
      </c>
      <c r="F93" s="384">
        <v>-21</v>
      </c>
      <c r="G93" s="384">
        <v>-20</v>
      </c>
      <c r="H93" s="384">
        <v>-19</v>
      </c>
      <c r="I93" s="384">
        <v>-18</v>
      </c>
      <c r="J93" s="384">
        <v>-17</v>
      </c>
      <c r="K93" s="384">
        <v>-16</v>
      </c>
      <c r="L93" s="384">
        <v>-15</v>
      </c>
      <c r="M93" s="384">
        <v>-14</v>
      </c>
      <c r="N93" s="384">
        <v>-13</v>
      </c>
      <c r="O93" s="384">
        <v>-12</v>
      </c>
      <c r="P93" s="384">
        <v>-11</v>
      </c>
      <c r="Q93" s="384">
        <v>-10</v>
      </c>
      <c r="R93" s="384">
        <v>-9</v>
      </c>
      <c r="S93" s="384">
        <v>-8</v>
      </c>
      <c r="T93" s="384">
        <v>-7</v>
      </c>
      <c r="U93" s="384">
        <v>-6</v>
      </c>
      <c r="V93" s="384">
        <v>-5</v>
      </c>
      <c r="W93" s="384">
        <v>-4</v>
      </c>
      <c r="X93" s="384">
        <v>-3</v>
      </c>
      <c r="Y93" s="384">
        <v>-2</v>
      </c>
      <c r="Z93" s="384">
        <v>-1</v>
      </c>
      <c r="AA93" s="384">
        <v>0</v>
      </c>
      <c r="AB93" s="384">
        <v>1</v>
      </c>
      <c r="AC93" s="384">
        <v>2</v>
      </c>
      <c r="AD93" s="384">
        <v>3</v>
      </c>
      <c r="AE93" s="384">
        <v>4</v>
      </c>
      <c r="AF93" s="384">
        <v>5</v>
      </c>
      <c r="AG93" s="384">
        <v>6</v>
      </c>
      <c r="AH93" s="384">
        <v>7</v>
      </c>
      <c r="AI93" s="384">
        <v>8</v>
      </c>
      <c r="AJ93" s="384">
        <v>9</v>
      </c>
      <c r="AK93" s="384">
        <v>10</v>
      </c>
      <c r="AL93" s="384">
        <v>11</v>
      </c>
      <c r="AM93" s="384">
        <v>12</v>
      </c>
      <c r="AN93" s="384">
        <v>13</v>
      </c>
      <c r="AO93" s="384">
        <v>14</v>
      </c>
      <c r="AP93" s="384">
        <v>15</v>
      </c>
      <c r="AQ93" s="384">
        <v>16</v>
      </c>
      <c r="AR93" s="384">
        <v>17</v>
      </c>
      <c r="AS93" s="384">
        <v>18</v>
      </c>
      <c r="AT93" s="384">
        <v>19</v>
      </c>
      <c r="AU93" s="384">
        <v>20</v>
      </c>
      <c r="AV93" s="384">
        <v>21</v>
      </c>
      <c r="AW93" s="384">
        <v>22</v>
      </c>
      <c r="AX93" s="384">
        <v>23</v>
      </c>
      <c r="AY93" s="384">
        <v>24</v>
      </c>
      <c r="AZ93" s="384">
        <v>25</v>
      </c>
      <c r="BA93" s="384">
        <v>26</v>
      </c>
      <c r="BB93" s="384">
        <v>27</v>
      </c>
      <c r="BC93" s="384">
        <v>28</v>
      </c>
      <c r="BD93" s="384">
        <v>29</v>
      </c>
      <c r="BE93" s="384">
        <v>30</v>
      </c>
      <c r="BF93" s="384">
        <v>31</v>
      </c>
      <c r="BG93" s="384">
        <v>32</v>
      </c>
      <c r="BH93" s="384">
        <v>33</v>
      </c>
      <c r="BI93" s="384">
        <v>34</v>
      </c>
      <c r="BJ93" s="384">
        <v>35</v>
      </c>
      <c r="BK93" s="384">
        <v>36</v>
      </c>
      <c r="BL93" s="384">
        <v>37</v>
      </c>
      <c r="BM93" s="384">
        <v>38</v>
      </c>
      <c r="BN93" s="384">
        <v>39</v>
      </c>
      <c r="BO93" s="384">
        <v>40</v>
      </c>
    </row>
    <row r="94" spans="1:67" x14ac:dyDescent="0.2">
      <c r="A94" s="385" t="s">
        <v>3176</v>
      </c>
      <c r="B94" s="385">
        <v>0</v>
      </c>
      <c r="C94" s="385">
        <v>0</v>
      </c>
      <c r="D94" s="385">
        <v>0</v>
      </c>
      <c r="E94" s="385">
        <v>0</v>
      </c>
      <c r="F94" s="385">
        <v>0</v>
      </c>
      <c r="G94" s="385">
        <v>0</v>
      </c>
      <c r="H94" s="385">
        <v>0</v>
      </c>
      <c r="I94" s="385">
        <v>0</v>
      </c>
      <c r="J94" s="385">
        <v>0</v>
      </c>
      <c r="K94" s="385">
        <v>0</v>
      </c>
      <c r="L94" s="385">
        <v>11</v>
      </c>
      <c r="M94" s="385">
        <v>16</v>
      </c>
      <c r="N94" s="385">
        <v>31</v>
      </c>
      <c r="O94" s="385">
        <v>14</v>
      </c>
      <c r="P94" s="385">
        <v>31</v>
      </c>
      <c r="Q94" s="385">
        <v>41</v>
      </c>
      <c r="R94" s="385">
        <v>73</v>
      </c>
      <c r="S94" s="385">
        <v>91</v>
      </c>
      <c r="T94" s="385">
        <v>122</v>
      </c>
      <c r="U94" s="385">
        <v>119</v>
      </c>
      <c r="V94" s="385">
        <v>139</v>
      </c>
      <c r="W94" s="385">
        <v>177</v>
      </c>
      <c r="X94" s="385">
        <v>163</v>
      </c>
      <c r="Y94" s="385">
        <v>218</v>
      </c>
      <c r="Z94" s="385">
        <v>268</v>
      </c>
      <c r="AA94" s="385">
        <v>466</v>
      </c>
      <c r="AB94" s="385">
        <v>350</v>
      </c>
      <c r="AC94" s="385">
        <v>349</v>
      </c>
      <c r="AD94" s="385">
        <v>416</v>
      </c>
      <c r="AE94" s="385">
        <v>437</v>
      </c>
      <c r="AF94" s="385">
        <v>431</v>
      </c>
      <c r="AG94" s="385">
        <v>430</v>
      </c>
      <c r="AH94" s="385">
        <v>385</v>
      </c>
      <c r="AI94" s="385">
        <v>403</v>
      </c>
      <c r="AJ94" s="385">
        <v>399</v>
      </c>
      <c r="AK94" s="385">
        <v>392</v>
      </c>
      <c r="AL94" s="385">
        <v>409</v>
      </c>
      <c r="AM94" s="385">
        <v>397</v>
      </c>
      <c r="AN94" s="385">
        <v>386</v>
      </c>
      <c r="AO94" s="385">
        <v>350</v>
      </c>
      <c r="AP94" s="385">
        <v>305</v>
      </c>
      <c r="AQ94" s="385">
        <v>209</v>
      </c>
      <c r="AR94" s="385">
        <v>161</v>
      </c>
      <c r="AS94" s="385">
        <v>137</v>
      </c>
      <c r="AT94" s="385">
        <v>94</v>
      </c>
      <c r="AU94" s="385">
        <v>80</v>
      </c>
      <c r="AV94" s="385">
        <v>74</v>
      </c>
      <c r="AW94" s="385">
        <v>54</v>
      </c>
      <c r="AX94" s="385">
        <v>31</v>
      </c>
      <c r="AY94" s="385">
        <v>29</v>
      </c>
      <c r="AZ94" s="385">
        <v>25</v>
      </c>
      <c r="BA94" s="385">
        <v>17</v>
      </c>
      <c r="BB94" s="385">
        <v>11</v>
      </c>
      <c r="BC94" s="385">
        <v>14</v>
      </c>
      <c r="BD94" s="385">
        <v>4</v>
      </c>
      <c r="BE94" s="385">
        <v>1</v>
      </c>
      <c r="BF94" s="385">
        <v>0</v>
      </c>
      <c r="BG94" s="385">
        <v>0</v>
      </c>
      <c r="BH94" s="385">
        <v>0</v>
      </c>
      <c r="BI94" s="385">
        <v>0</v>
      </c>
      <c r="BJ94" s="385">
        <v>0</v>
      </c>
      <c r="BK94" s="385">
        <v>0</v>
      </c>
      <c r="BL94" s="385">
        <v>0</v>
      </c>
      <c r="BM94" s="385">
        <v>0</v>
      </c>
      <c r="BN94" s="385">
        <v>0</v>
      </c>
      <c r="BO94" s="385">
        <v>0</v>
      </c>
    </row>
    <row r="95" spans="1:67" x14ac:dyDescent="0.2">
      <c r="A95" s="386" t="s">
        <v>893</v>
      </c>
      <c r="B95" s="386">
        <v>0</v>
      </c>
      <c r="C95" s="386">
        <v>0</v>
      </c>
      <c r="D95" s="386">
        <v>0</v>
      </c>
      <c r="E95" s="386">
        <v>0</v>
      </c>
      <c r="F95" s="386">
        <v>0</v>
      </c>
      <c r="G95" s="386">
        <v>0</v>
      </c>
      <c r="H95" s="386">
        <v>0</v>
      </c>
      <c r="I95" s="386">
        <v>0</v>
      </c>
      <c r="J95" s="386">
        <v>0</v>
      </c>
      <c r="K95" s="386">
        <v>0</v>
      </c>
      <c r="L95" s="386">
        <v>0</v>
      </c>
      <c r="M95" s="386">
        <v>0</v>
      </c>
      <c r="N95" s="386">
        <v>0</v>
      </c>
      <c r="O95" s="386">
        <v>24</v>
      </c>
      <c r="P95" s="386">
        <v>48</v>
      </c>
      <c r="Q95" s="386">
        <v>48</v>
      </c>
      <c r="R95" s="386">
        <v>48</v>
      </c>
      <c r="S95" s="386">
        <v>168</v>
      </c>
      <c r="T95" s="386">
        <v>24</v>
      </c>
      <c r="U95" s="386">
        <v>168</v>
      </c>
      <c r="V95" s="386">
        <v>144</v>
      </c>
      <c r="W95" s="386">
        <v>96</v>
      </c>
      <c r="X95" s="386">
        <v>192</v>
      </c>
      <c r="Y95" s="386">
        <v>168</v>
      </c>
      <c r="Z95" s="386">
        <v>240</v>
      </c>
      <c r="AA95" s="386">
        <v>504</v>
      </c>
      <c r="AB95" s="386">
        <v>384</v>
      </c>
      <c r="AC95" s="386">
        <v>336</v>
      </c>
      <c r="AD95" s="386">
        <v>384</v>
      </c>
      <c r="AE95" s="386">
        <v>504</v>
      </c>
      <c r="AF95" s="386">
        <v>288</v>
      </c>
      <c r="AG95" s="386">
        <v>456</v>
      </c>
      <c r="AH95" s="386">
        <v>384</v>
      </c>
      <c r="AI95" s="386">
        <v>408</v>
      </c>
      <c r="AJ95" s="386">
        <v>576</v>
      </c>
      <c r="AK95" s="386">
        <v>408</v>
      </c>
      <c r="AL95" s="386">
        <v>504</v>
      </c>
      <c r="AM95" s="386">
        <v>384</v>
      </c>
      <c r="AN95" s="386">
        <v>432</v>
      </c>
      <c r="AO95" s="386">
        <v>336</v>
      </c>
      <c r="AP95" s="386">
        <v>264</v>
      </c>
      <c r="AQ95" s="386">
        <v>240</v>
      </c>
      <c r="AR95" s="386">
        <v>264</v>
      </c>
      <c r="AS95" s="386">
        <v>144</v>
      </c>
      <c r="AT95" s="386">
        <v>24</v>
      </c>
      <c r="AU95" s="386">
        <v>24</v>
      </c>
      <c r="AV95" s="386">
        <v>72</v>
      </c>
      <c r="AW95" s="386">
        <v>48</v>
      </c>
      <c r="AX95" s="386">
        <v>24</v>
      </c>
      <c r="AY95" s="386">
        <v>0</v>
      </c>
      <c r="AZ95" s="386">
        <v>0</v>
      </c>
      <c r="BA95" s="386">
        <v>0</v>
      </c>
      <c r="BB95" s="386">
        <v>0</v>
      </c>
      <c r="BC95" s="386">
        <v>0</v>
      </c>
      <c r="BD95" s="386">
        <v>0</v>
      </c>
      <c r="BE95" s="386">
        <v>0</v>
      </c>
      <c r="BF95" s="386">
        <v>0</v>
      </c>
      <c r="BG95" s="386">
        <v>0</v>
      </c>
      <c r="BH95" s="386">
        <v>0</v>
      </c>
      <c r="BI95" s="386">
        <v>0</v>
      </c>
      <c r="BJ95" s="386">
        <v>0</v>
      </c>
      <c r="BK95" s="386">
        <v>0</v>
      </c>
      <c r="BL95" s="386">
        <v>0</v>
      </c>
      <c r="BM95" s="386">
        <v>0</v>
      </c>
      <c r="BN95" s="386">
        <v>0</v>
      </c>
      <c r="BO95" s="386">
        <v>0</v>
      </c>
    </row>
    <row r="96" spans="1:67" x14ac:dyDescent="0.2">
      <c r="A96" s="386" t="s">
        <v>894</v>
      </c>
      <c r="B96" s="387">
        <v>0</v>
      </c>
      <c r="C96" s="387">
        <v>0</v>
      </c>
      <c r="D96" s="387">
        <v>0</v>
      </c>
      <c r="E96" s="387">
        <v>0</v>
      </c>
      <c r="F96" s="387">
        <v>0</v>
      </c>
      <c r="G96" s="387">
        <v>0</v>
      </c>
      <c r="H96" s="387">
        <v>0</v>
      </c>
      <c r="I96" s="387">
        <v>0</v>
      </c>
      <c r="J96" s="387">
        <v>0</v>
      </c>
      <c r="K96" s="387">
        <v>0</v>
      </c>
      <c r="L96" s="387">
        <v>0</v>
      </c>
      <c r="M96" s="387">
        <v>0.437</v>
      </c>
      <c r="N96" s="387">
        <v>0</v>
      </c>
      <c r="O96" s="387">
        <v>0.53800000000000003</v>
      </c>
      <c r="P96" s="387">
        <v>1.107</v>
      </c>
      <c r="Q96" s="387">
        <v>0.78900000000000003</v>
      </c>
      <c r="R96" s="387">
        <v>1.8320000000000001</v>
      </c>
      <c r="S96" s="387">
        <v>2.16</v>
      </c>
      <c r="T96" s="387">
        <v>7.3940000000000001</v>
      </c>
      <c r="U96" s="387">
        <v>5.5209999999999999</v>
      </c>
      <c r="V96" s="387">
        <v>5.383</v>
      </c>
      <c r="W96" s="387">
        <v>5.0030000000000001</v>
      </c>
      <c r="X96" s="387">
        <v>5.1180000000000003</v>
      </c>
      <c r="Y96" s="387">
        <v>3.851</v>
      </c>
      <c r="Z96" s="387">
        <v>5.7560000000000002</v>
      </c>
      <c r="AA96" s="387">
        <v>12.840999999999999</v>
      </c>
      <c r="AB96" s="387">
        <v>13.259</v>
      </c>
      <c r="AC96" s="387">
        <v>13.637</v>
      </c>
      <c r="AD96" s="387">
        <v>20.605</v>
      </c>
      <c r="AE96" s="387">
        <v>17.472999999999999</v>
      </c>
      <c r="AF96" s="387">
        <v>20.803999999999998</v>
      </c>
      <c r="AG96" s="387">
        <v>23.603000000000002</v>
      </c>
      <c r="AH96" s="387">
        <v>22.422000000000001</v>
      </c>
      <c r="AI96" s="387">
        <v>29.928000000000001</v>
      </c>
      <c r="AJ96" s="387">
        <v>34.542000000000002</v>
      </c>
      <c r="AK96" s="387">
        <v>43.692999999999998</v>
      </c>
      <c r="AL96" s="387">
        <v>54.054000000000002</v>
      </c>
      <c r="AM96" s="387">
        <v>65.034000000000006</v>
      </c>
      <c r="AN96" s="387">
        <v>63.082000000000001</v>
      </c>
      <c r="AO96" s="387">
        <v>59.725000000000001</v>
      </c>
      <c r="AP96" s="387">
        <v>71.679000000000002</v>
      </c>
      <c r="AQ96" s="387">
        <v>51.743000000000002</v>
      </c>
      <c r="AR96" s="387">
        <v>51.408000000000001</v>
      </c>
      <c r="AS96" s="387">
        <v>44.456000000000003</v>
      </c>
      <c r="AT96" s="387">
        <v>35.738</v>
      </c>
      <c r="AU96" s="387">
        <v>37.893999999999998</v>
      </c>
      <c r="AV96" s="387">
        <v>35.695</v>
      </c>
      <c r="AW96" s="387">
        <v>31.376999999999999</v>
      </c>
      <c r="AX96" s="387">
        <v>16.765999999999998</v>
      </c>
      <c r="AY96" s="387">
        <v>12.175000000000001</v>
      </c>
      <c r="AZ96" s="387">
        <v>15.395</v>
      </c>
      <c r="BA96" s="387">
        <v>11.43</v>
      </c>
      <c r="BB96" s="387">
        <v>6.367</v>
      </c>
      <c r="BC96" s="387">
        <v>8.9489999999999998</v>
      </c>
      <c r="BD96" s="387">
        <v>3.0449999999999999</v>
      </c>
      <c r="BE96" s="387">
        <v>0.72899999999999998</v>
      </c>
      <c r="BF96" s="387">
        <v>0</v>
      </c>
      <c r="BG96" s="387">
        <v>0</v>
      </c>
      <c r="BH96" s="387">
        <v>0</v>
      </c>
      <c r="BI96" s="387">
        <v>0</v>
      </c>
      <c r="BJ96" s="387">
        <v>0</v>
      </c>
      <c r="BK96" s="387">
        <v>0</v>
      </c>
      <c r="BL96" s="387">
        <v>0</v>
      </c>
      <c r="BM96" s="387">
        <v>0</v>
      </c>
      <c r="BN96" s="387">
        <v>0</v>
      </c>
      <c r="BO96" s="387">
        <v>0</v>
      </c>
    </row>
    <row r="97" spans="1:67" x14ac:dyDescent="0.2">
      <c r="A97" s="386" t="s">
        <v>895</v>
      </c>
      <c r="B97" s="387">
        <v>0</v>
      </c>
      <c r="C97" s="387">
        <v>0</v>
      </c>
      <c r="D97" s="387">
        <v>0</v>
      </c>
      <c r="E97" s="387">
        <v>0</v>
      </c>
      <c r="F97" s="387">
        <v>0</v>
      </c>
      <c r="G97" s="387">
        <v>0</v>
      </c>
      <c r="H97" s="387">
        <v>0</v>
      </c>
      <c r="I97" s="387">
        <v>0</v>
      </c>
      <c r="J97" s="387">
        <v>0</v>
      </c>
      <c r="K97" s="387">
        <v>0</v>
      </c>
      <c r="L97" s="387">
        <v>0</v>
      </c>
      <c r="M97" s="387">
        <v>1.1339999999999999</v>
      </c>
      <c r="N97" s="387">
        <v>0</v>
      </c>
      <c r="O97" s="387">
        <v>0.74199999999999999</v>
      </c>
      <c r="P97" s="387">
        <v>1.4279999999999999</v>
      </c>
      <c r="Q97" s="387">
        <v>0.93</v>
      </c>
      <c r="R97" s="387">
        <v>2.3839999999999999</v>
      </c>
      <c r="S97" s="387">
        <v>1.647</v>
      </c>
      <c r="T97" s="387">
        <v>3.9630000000000001</v>
      </c>
      <c r="U97" s="387">
        <v>2.8929999999999998</v>
      </c>
      <c r="V97" s="387">
        <v>2.7250000000000001</v>
      </c>
      <c r="W97" s="387">
        <v>1.7270000000000001</v>
      </c>
      <c r="X97" s="387">
        <v>2.2669999999999999</v>
      </c>
      <c r="Y97" s="387">
        <v>2.266</v>
      </c>
      <c r="Z97" s="387">
        <v>3.4910000000000001</v>
      </c>
      <c r="AA97" s="387">
        <v>8.4250000000000007</v>
      </c>
      <c r="AB97" s="387">
        <v>9.51</v>
      </c>
      <c r="AC97" s="387">
        <v>7.9290000000000003</v>
      </c>
      <c r="AD97" s="387">
        <v>11.553000000000001</v>
      </c>
      <c r="AE97" s="387">
        <v>11.256</v>
      </c>
      <c r="AF97" s="387">
        <v>11.254</v>
      </c>
      <c r="AG97" s="387">
        <v>11.965999999999999</v>
      </c>
      <c r="AH97" s="387">
        <v>11.401999999999999</v>
      </c>
      <c r="AI97" s="387">
        <v>17.582000000000001</v>
      </c>
      <c r="AJ97" s="387">
        <v>15.975</v>
      </c>
      <c r="AK97" s="387">
        <v>22.312999999999999</v>
      </c>
      <c r="AL97" s="387">
        <v>24.119</v>
      </c>
      <c r="AM97" s="387">
        <v>21.492999999999999</v>
      </c>
      <c r="AN97" s="387">
        <v>21.335000000000001</v>
      </c>
      <c r="AO97" s="387">
        <v>19.158000000000001</v>
      </c>
      <c r="AP97" s="387">
        <v>22.111000000000001</v>
      </c>
      <c r="AQ97" s="387">
        <v>20.811</v>
      </c>
      <c r="AR97" s="387">
        <v>16.704000000000001</v>
      </c>
      <c r="AS97" s="387">
        <v>15.17</v>
      </c>
      <c r="AT97" s="387">
        <v>11.943</v>
      </c>
      <c r="AU97" s="387">
        <v>10.733000000000001</v>
      </c>
      <c r="AV97" s="387">
        <v>9.6319999999999997</v>
      </c>
      <c r="AW97" s="387">
        <v>6.3490000000000002</v>
      </c>
      <c r="AX97" s="387">
        <v>5.0709999999999997</v>
      </c>
      <c r="AY97" s="387">
        <v>3.4649999999999999</v>
      </c>
      <c r="AZ97" s="387">
        <v>4.4400000000000004</v>
      </c>
      <c r="BA97" s="387">
        <v>1.825</v>
      </c>
      <c r="BB97" s="387">
        <v>1.734</v>
      </c>
      <c r="BC97" s="387">
        <v>1.198</v>
      </c>
      <c r="BD97" s="387">
        <v>0.78100000000000003</v>
      </c>
      <c r="BE97" s="387">
        <v>0</v>
      </c>
      <c r="BF97" s="387">
        <v>0</v>
      </c>
      <c r="BG97" s="387">
        <v>0</v>
      </c>
      <c r="BH97" s="387">
        <v>0</v>
      </c>
      <c r="BI97" s="387">
        <v>0</v>
      </c>
      <c r="BJ97" s="387">
        <v>0</v>
      </c>
      <c r="BK97" s="387">
        <v>0</v>
      </c>
      <c r="BL97" s="387">
        <v>0</v>
      </c>
      <c r="BM97" s="387">
        <v>0</v>
      </c>
      <c r="BN97" s="387">
        <v>0</v>
      </c>
      <c r="BO97" s="387">
        <v>0</v>
      </c>
    </row>
    <row r="98" spans="1:67" x14ac:dyDescent="0.2">
      <c r="A98" s="386" t="s">
        <v>896</v>
      </c>
      <c r="B98" s="387">
        <v>0</v>
      </c>
      <c r="C98" s="387">
        <v>0</v>
      </c>
      <c r="D98" s="387">
        <v>0</v>
      </c>
      <c r="E98" s="387">
        <v>0</v>
      </c>
      <c r="F98" s="387">
        <v>0</v>
      </c>
      <c r="G98" s="387">
        <v>0</v>
      </c>
      <c r="H98" s="387">
        <v>0</v>
      </c>
      <c r="I98" s="387">
        <v>0</v>
      </c>
      <c r="J98" s="387">
        <v>0</v>
      </c>
      <c r="K98" s="387">
        <v>0</v>
      </c>
      <c r="L98" s="387">
        <v>0</v>
      </c>
      <c r="M98" s="387">
        <v>0.91400000000000003</v>
      </c>
      <c r="N98" s="387">
        <v>0</v>
      </c>
      <c r="O98" s="387">
        <v>0.996</v>
      </c>
      <c r="P98" s="387">
        <v>2.024</v>
      </c>
      <c r="Q98" s="387">
        <v>1.617</v>
      </c>
      <c r="R98" s="387">
        <v>3.677</v>
      </c>
      <c r="S98" s="387">
        <v>3.6019999999999999</v>
      </c>
      <c r="T98" s="387">
        <v>13.903</v>
      </c>
      <c r="U98" s="387">
        <v>11.407999999999999</v>
      </c>
      <c r="V98" s="387">
        <v>9.0169999999999995</v>
      </c>
      <c r="W98" s="387">
        <v>8.0920000000000005</v>
      </c>
      <c r="X98" s="387">
        <v>8.5739999999999998</v>
      </c>
      <c r="Y98" s="387">
        <v>6.5119999999999996</v>
      </c>
      <c r="Z98" s="387">
        <v>6.3940000000000001</v>
      </c>
      <c r="AA98" s="387">
        <v>14.773</v>
      </c>
      <c r="AB98" s="387">
        <v>14.773</v>
      </c>
      <c r="AC98" s="387">
        <v>14.928000000000001</v>
      </c>
      <c r="AD98" s="387">
        <v>23.132000000000001</v>
      </c>
      <c r="AE98" s="387">
        <v>21.667999999999999</v>
      </c>
      <c r="AF98" s="387">
        <v>22.812999999999999</v>
      </c>
      <c r="AG98" s="387">
        <v>24.984000000000002</v>
      </c>
      <c r="AH98" s="387">
        <v>22.22</v>
      </c>
      <c r="AI98" s="387">
        <v>22.274999999999999</v>
      </c>
      <c r="AJ98" s="387">
        <v>29.405000000000001</v>
      </c>
      <c r="AK98" s="387">
        <v>31.446999999999999</v>
      </c>
      <c r="AL98" s="387">
        <v>39.363</v>
      </c>
      <c r="AM98" s="387">
        <v>48.856000000000002</v>
      </c>
      <c r="AN98" s="387">
        <v>40.956000000000003</v>
      </c>
      <c r="AO98" s="387">
        <v>35.616999999999997</v>
      </c>
      <c r="AP98" s="387">
        <v>43.055</v>
      </c>
      <c r="AQ98" s="387">
        <v>28.686</v>
      </c>
      <c r="AR98" s="387">
        <v>26.992000000000001</v>
      </c>
      <c r="AS98" s="387">
        <v>24.655999999999999</v>
      </c>
      <c r="AT98" s="387">
        <v>19.007000000000001</v>
      </c>
      <c r="AU98" s="387">
        <v>21.498000000000001</v>
      </c>
      <c r="AV98" s="387">
        <v>20.312000000000001</v>
      </c>
      <c r="AW98" s="387">
        <v>16.170000000000002</v>
      </c>
      <c r="AX98" s="387">
        <v>9.3580000000000005</v>
      </c>
      <c r="AY98" s="387">
        <v>5.6539999999999999</v>
      </c>
      <c r="AZ98" s="387">
        <v>8.6150000000000002</v>
      </c>
      <c r="BA98" s="387">
        <v>5.9530000000000003</v>
      </c>
      <c r="BB98" s="387">
        <v>3.4750000000000001</v>
      </c>
      <c r="BC98" s="387">
        <v>5.673</v>
      </c>
      <c r="BD98" s="387">
        <v>2.0990000000000002</v>
      </c>
      <c r="BE98" s="387">
        <v>0.48799999999999999</v>
      </c>
      <c r="BF98" s="387">
        <v>0</v>
      </c>
      <c r="BG98" s="387">
        <v>0</v>
      </c>
      <c r="BH98" s="387">
        <v>0</v>
      </c>
      <c r="BI98" s="387">
        <v>0</v>
      </c>
      <c r="BJ98" s="387">
        <v>0</v>
      </c>
      <c r="BK98" s="387">
        <v>0</v>
      </c>
      <c r="BL98" s="387">
        <v>0</v>
      </c>
      <c r="BM98" s="387">
        <v>0</v>
      </c>
      <c r="BN98" s="387">
        <v>0</v>
      </c>
      <c r="BO98" s="387">
        <v>0</v>
      </c>
    </row>
    <row r="99" spans="1:67" x14ac:dyDescent="0.2">
      <c r="A99" s="386" t="s">
        <v>897</v>
      </c>
      <c r="B99" s="387">
        <v>0</v>
      </c>
      <c r="C99" s="387">
        <v>0</v>
      </c>
      <c r="D99" s="387">
        <v>0</v>
      </c>
      <c r="E99" s="387">
        <v>0</v>
      </c>
      <c r="F99" s="387">
        <v>0</v>
      </c>
      <c r="G99" s="387">
        <v>0</v>
      </c>
      <c r="H99" s="387">
        <v>0</v>
      </c>
      <c r="I99" s="387">
        <v>0</v>
      </c>
      <c r="J99" s="387">
        <v>0</v>
      </c>
      <c r="K99" s="387">
        <v>0</v>
      </c>
      <c r="L99" s="387">
        <v>0</v>
      </c>
      <c r="M99" s="387">
        <v>0.30199999999999999</v>
      </c>
      <c r="N99" s="387">
        <v>0</v>
      </c>
      <c r="O99" s="387">
        <v>0.24199999999999999</v>
      </c>
      <c r="P99" s="387">
        <v>0.48</v>
      </c>
      <c r="Q99" s="387">
        <v>0.29599999999999999</v>
      </c>
      <c r="R99" s="387">
        <v>0.45800000000000002</v>
      </c>
      <c r="S99" s="387">
        <v>0.33100000000000002</v>
      </c>
      <c r="T99" s="387">
        <v>4.9720000000000004</v>
      </c>
      <c r="U99" s="387">
        <v>3.742</v>
      </c>
      <c r="V99" s="387">
        <v>2.0339999999999998</v>
      </c>
      <c r="W99" s="387">
        <v>2.1579999999999999</v>
      </c>
      <c r="X99" s="387">
        <v>2.0510000000000002</v>
      </c>
      <c r="Y99" s="387">
        <v>1.2709999999999999</v>
      </c>
      <c r="Z99" s="387">
        <v>1.88</v>
      </c>
      <c r="AA99" s="387">
        <v>6.9370000000000003</v>
      </c>
      <c r="AB99" s="387">
        <v>3.2010000000000001</v>
      </c>
      <c r="AC99" s="387">
        <v>4.4509999999999996</v>
      </c>
      <c r="AD99" s="387">
        <v>8.1820000000000004</v>
      </c>
      <c r="AE99" s="387">
        <v>4.5629999999999997</v>
      </c>
      <c r="AF99" s="387">
        <v>7.4770000000000003</v>
      </c>
      <c r="AG99" s="387">
        <v>6.5860000000000003</v>
      </c>
      <c r="AH99" s="387">
        <v>8.0109999999999992</v>
      </c>
      <c r="AI99" s="387">
        <v>5.9409999999999998</v>
      </c>
      <c r="AJ99" s="387">
        <v>9.8699999999999992</v>
      </c>
      <c r="AK99" s="387">
        <v>8.3940000000000001</v>
      </c>
      <c r="AL99" s="387">
        <v>13.641999999999999</v>
      </c>
      <c r="AM99" s="387">
        <v>22.09</v>
      </c>
      <c r="AN99" s="387">
        <v>19.989000000000001</v>
      </c>
      <c r="AO99" s="387">
        <v>18.725000000000001</v>
      </c>
      <c r="AP99" s="387">
        <v>23.367000000000001</v>
      </c>
      <c r="AQ99" s="387">
        <v>11.266999999999999</v>
      </c>
      <c r="AR99" s="387">
        <v>18.602</v>
      </c>
      <c r="AS99" s="387">
        <v>14.385</v>
      </c>
      <c r="AT99" s="387">
        <v>12.888</v>
      </c>
      <c r="AU99" s="387">
        <v>14.308999999999999</v>
      </c>
      <c r="AV99" s="387">
        <v>15.635999999999999</v>
      </c>
      <c r="AW99" s="387">
        <v>11.853999999999999</v>
      </c>
      <c r="AX99" s="387">
        <v>6.9240000000000004</v>
      </c>
      <c r="AY99" s="387">
        <v>5.5119999999999996</v>
      </c>
      <c r="AZ99" s="387">
        <v>5.891</v>
      </c>
      <c r="BA99" s="387">
        <v>6.48</v>
      </c>
      <c r="BB99" s="387">
        <v>2.5870000000000002</v>
      </c>
      <c r="BC99" s="387">
        <v>4.9829999999999997</v>
      </c>
      <c r="BD99" s="387">
        <v>0.88</v>
      </c>
      <c r="BE99" s="387">
        <v>0.44500000000000001</v>
      </c>
      <c r="BF99" s="387">
        <v>0</v>
      </c>
      <c r="BG99" s="387">
        <v>0</v>
      </c>
      <c r="BH99" s="387">
        <v>0</v>
      </c>
      <c r="BI99" s="387">
        <v>0</v>
      </c>
      <c r="BJ99" s="387">
        <v>0</v>
      </c>
      <c r="BK99" s="387">
        <v>0</v>
      </c>
      <c r="BL99" s="387">
        <v>0</v>
      </c>
      <c r="BM99" s="387">
        <v>0</v>
      </c>
      <c r="BN99" s="387">
        <v>0</v>
      </c>
      <c r="BO99" s="387">
        <v>0</v>
      </c>
    </row>
    <row r="100" spans="1:67" x14ac:dyDescent="0.2">
      <c r="A100" s="388" t="s">
        <v>898</v>
      </c>
      <c r="B100" s="389">
        <v>0</v>
      </c>
      <c r="C100" s="389">
        <v>0</v>
      </c>
      <c r="D100" s="389">
        <v>0</v>
      </c>
      <c r="E100" s="389">
        <v>0</v>
      </c>
      <c r="F100" s="389">
        <v>0</v>
      </c>
      <c r="G100" s="389">
        <v>0</v>
      </c>
      <c r="H100" s="389">
        <v>0</v>
      </c>
      <c r="I100" s="389">
        <v>0</v>
      </c>
      <c r="J100" s="389">
        <v>0</v>
      </c>
      <c r="K100" s="389">
        <v>0</v>
      </c>
      <c r="L100" s="389">
        <v>0</v>
      </c>
      <c r="M100" s="389">
        <v>0.313</v>
      </c>
      <c r="N100" s="389">
        <v>0</v>
      </c>
      <c r="O100" s="389">
        <v>0.254</v>
      </c>
      <c r="P100" s="389">
        <v>0.24399999999999999</v>
      </c>
      <c r="Q100" s="389">
        <v>0.314</v>
      </c>
      <c r="R100" s="389">
        <v>0.48199999999999998</v>
      </c>
      <c r="S100" s="389">
        <v>0.34799999999999998</v>
      </c>
      <c r="T100" s="389">
        <v>2.5190000000000001</v>
      </c>
      <c r="U100" s="389">
        <v>1.5940000000000001</v>
      </c>
      <c r="V100" s="389">
        <v>0.79300000000000004</v>
      </c>
      <c r="W100" s="389">
        <v>0.71599999999999997</v>
      </c>
      <c r="X100" s="389">
        <v>0.39900000000000002</v>
      </c>
      <c r="Y100" s="389">
        <v>0.64400000000000002</v>
      </c>
      <c r="Z100" s="389">
        <v>1.157</v>
      </c>
      <c r="AA100" s="389">
        <v>3.8580000000000001</v>
      </c>
      <c r="AB100" s="389">
        <v>2.0739999999999998</v>
      </c>
      <c r="AC100" s="389">
        <v>2.831</v>
      </c>
      <c r="AD100" s="389">
        <v>2.153</v>
      </c>
      <c r="AE100" s="389">
        <v>2.37</v>
      </c>
      <c r="AF100" s="389">
        <v>2.5680000000000001</v>
      </c>
      <c r="AG100" s="389">
        <v>2.3079999999999998</v>
      </c>
      <c r="AH100" s="389">
        <v>1.744</v>
      </c>
      <c r="AI100" s="389">
        <v>1.8029999999999999</v>
      </c>
      <c r="AJ100" s="389">
        <v>1.2929999999999999</v>
      </c>
      <c r="AK100" s="389">
        <v>0.317</v>
      </c>
      <c r="AL100" s="389">
        <v>0.76500000000000001</v>
      </c>
      <c r="AM100" s="389">
        <v>0.30499999999999999</v>
      </c>
      <c r="AN100" s="389">
        <v>0.55500000000000005</v>
      </c>
      <c r="AO100" s="389">
        <v>0.15</v>
      </c>
      <c r="AP100" s="389">
        <v>1.1180000000000001</v>
      </c>
      <c r="AQ100" s="389">
        <v>0.623</v>
      </c>
      <c r="AR100" s="389">
        <v>0.64900000000000002</v>
      </c>
      <c r="AS100" s="389">
        <v>1.0940000000000001</v>
      </c>
      <c r="AT100" s="389">
        <v>0.94799999999999995</v>
      </c>
      <c r="AU100" s="389">
        <v>0.94499999999999995</v>
      </c>
      <c r="AV100" s="389">
        <v>0.45600000000000002</v>
      </c>
      <c r="AW100" s="389">
        <v>0</v>
      </c>
      <c r="AX100" s="389">
        <v>0</v>
      </c>
      <c r="AY100" s="389">
        <v>0.495</v>
      </c>
      <c r="AZ100" s="389">
        <v>0.45400000000000001</v>
      </c>
      <c r="BA100" s="389">
        <v>0.157</v>
      </c>
      <c r="BB100" s="389">
        <v>0.30499999999999999</v>
      </c>
      <c r="BC100" s="389">
        <v>0</v>
      </c>
      <c r="BD100" s="389">
        <v>0.30199999999999999</v>
      </c>
      <c r="BE100" s="389">
        <v>0</v>
      </c>
      <c r="BF100" s="389">
        <v>0</v>
      </c>
      <c r="BG100" s="389">
        <v>0</v>
      </c>
      <c r="BH100" s="389">
        <v>0</v>
      </c>
      <c r="BI100" s="389">
        <v>0</v>
      </c>
      <c r="BJ100" s="389">
        <v>0</v>
      </c>
      <c r="BK100" s="389">
        <v>0</v>
      </c>
      <c r="BL100" s="389">
        <v>0</v>
      </c>
      <c r="BM100" s="389">
        <v>0</v>
      </c>
      <c r="BN100" s="389">
        <v>0</v>
      </c>
      <c r="BO100" s="389">
        <v>0</v>
      </c>
    </row>
    <row r="102" spans="1:67" x14ac:dyDescent="0.2">
      <c r="A102" s="380" t="s">
        <v>3173</v>
      </c>
      <c r="B102" s="381" t="s">
        <v>909</v>
      </c>
    </row>
    <row r="103" spans="1:67" x14ac:dyDescent="0.2">
      <c r="A103" s="382" t="s">
        <v>910</v>
      </c>
      <c r="B103" s="383"/>
    </row>
    <row r="104" spans="1:67" x14ac:dyDescent="0.2">
      <c r="A104" s="384" t="s">
        <v>3175</v>
      </c>
      <c r="B104" s="384">
        <v>-25</v>
      </c>
      <c r="C104" s="384">
        <v>-24</v>
      </c>
      <c r="D104" s="384">
        <v>-23</v>
      </c>
      <c r="E104" s="384">
        <v>-22</v>
      </c>
      <c r="F104" s="384">
        <v>-21</v>
      </c>
      <c r="G104" s="384">
        <v>-20</v>
      </c>
      <c r="H104" s="384">
        <v>-19</v>
      </c>
      <c r="I104" s="384">
        <v>-18</v>
      </c>
      <c r="J104" s="384">
        <v>-17</v>
      </c>
      <c r="K104" s="384">
        <v>-16</v>
      </c>
      <c r="L104" s="384">
        <v>-15</v>
      </c>
      <c r="M104" s="384">
        <v>-14</v>
      </c>
      <c r="N104" s="384">
        <v>-13</v>
      </c>
      <c r="O104" s="384">
        <v>-12</v>
      </c>
      <c r="P104" s="384">
        <v>-11</v>
      </c>
      <c r="Q104" s="384">
        <v>-10</v>
      </c>
      <c r="R104" s="384">
        <v>-9</v>
      </c>
      <c r="S104" s="384">
        <v>-8</v>
      </c>
      <c r="T104" s="384">
        <v>-7</v>
      </c>
      <c r="U104" s="384">
        <v>-6</v>
      </c>
      <c r="V104" s="384">
        <v>-5</v>
      </c>
      <c r="W104" s="384">
        <v>-4</v>
      </c>
      <c r="X104" s="384">
        <v>-3</v>
      </c>
      <c r="Y104" s="384">
        <v>-2</v>
      </c>
      <c r="Z104" s="384">
        <v>-1</v>
      </c>
      <c r="AA104" s="384">
        <v>0</v>
      </c>
      <c r="AB104" s="384">
        <v>1</v>
      </c>
      <c r="AC104" s="384">
        <v>2</v>
      </c>
      <c r="AD104" s="384">
        <v>3</v>
      </c>
      <c r="AE104" s="384">
        <v>4</v>
      </c>
      <c r="AF104" s="384">
        <v>5</v>
      </c>
      <c r="AG104" s="384">
        <v>6</v>
      </c>
      <c r="AH104" s="384">
        <v>7</v>
      </c>
      <c r="AI104" s="384">
        <v>8</v>
      </c>
      <c r="AJ104" s="384">
        <v>9</v>
      </c>
      <c r="AK104" s="384">
        <v>10</v>
      </c>
      <c r="AL104" s="384">
        <v>11</v>
      </c>
      <c r="AM104" s="384">
        <v>12</v>
      </c>
      <c r="AN104" s="384">
        <v>13</v>
      </c>
      <c r="AO104" s="384">
        <v>14</v>
      </c>
      <c r="AP104" s="384">
        <v>15</v>
      </c>
      <c r="AQ104" s="384">
        <v>16</v>
      </c>
      <c r="AR104" s="384">
        <v>17</v>
      </c>
      <c r="AS104" s="384">
        <v>18</v>
      </c>
      <c r="AT104" s="384">
        <v>19</v>
      </c>
      <c r="AU104" s="384">
        <v>20</v>
      </c>
      <c r="AV104" s="384">
        <v>21</v>
      </c>
      <c r="AW104" s="384">
        <v>22</v>
      </c>
      <c r="AX104" s="384">
        <v>23</v>
      </c>
      <c r="AY104" s="384">
        <v>24</v>
      </c>
      <c r="AZ104" s="384">
        <v>25</v>
      </c>
      <c r="BA104" s="384">
        <v>26</v>
      </c>
      <c r="BB104" s="384">
        <v>27</v>
      </c>
      <c r="BC104" s="384">
        <v>28</v>
      </c>
      <c r="BD104" s="384">
        <v>29</v>
      </c>
      <c r="BE104" s="384">
        <v>30</v>
      </c>
      <c r="BF104" s="384">
        <v>31</v>
      </c>
      <c r="BG104" s="384">
        <v>32</v>
      </c>
      <c r="BH104" s="384">
        <v>33</v>
      </c>
      <c r="BI104" s="384">
        <v>34</v>
      </c>
      <c r="BJ104" s="384">
        <v>35</v>
      </c>
      <c r="BK104" s="384">
        <v>36</v>
      </c>
      <c r="BL104" s="384">
        <v>37</v>
      </c>
      <c r="BM104" s="384">
        <v>38</v>
      </c>
      <c r="BN104" s="384">
        <v>39</v>
      </c>
      <c r="BO104" s="384">
        <v>40</v>
      </c>
    </row>
    <row r="105" spans="1:67" x14ac:dyDescent="0.2">
      <c r="A105" s="385" t="s">
        <v>3176</v>
      </c>
      <c r="B105" s="385">
        <v>0</v>
      </c>
      <c r="C105" s="385">
        <v>0</v>
      </c>
      <c r="D105" s="385">
        <v>0</v>
      </c>
      <c r="E105" s="385">
        <v>0</v>
      </c>
      <c r="F105" s="385">
        <v>0</v>
      </c>
      <c r="G105" s="385">
        <v>0</v>
      </c>
      <c r="H105" s="385">
        <v>0</v>
      </c>
      <c r="I105" s="385">
        <v>0</v>
      </c>
      <c r="J105" s="385">
        <v>0</v>
      </c>
      <c r="K105" s="385">
        <v>0</v>
      </c>
      <c r="L105" s="385">
        <v>0</v>
      </c>
      <c r="M105" s="385">
        <v>0</v>
      </c>
      <c r="N105" s="385">
        <v>0</v>
      </c>
      <c r="O105" s="385">
        <v>0</v>
      </c>
      <c r="P105" s="385">
        <v>0</v>
      </c>
      <c r="Q105" s="385">
        <v>2</v>
      </c>
      <c r="R105" s="385">
        <v>4</v>
      </c>
      <c r="S105" s="385">
        <v>3</v>
      </c>
      <c r="T105" s="385">
        <v>3</v>
      </c>
      <c r="U105" s="385">
        <v>13</v>
      </c>
      <c r="V105" s="385">
        <v>49</v>
      </c>
      <c r="W105" s="385">
        <v>105</v>
      </c>
      <c r="X105" s="385">
        <v>115</v>
      </c>
      <c r="Y105" s="385">
        <v>181</v>
      </c>
      <c r="Z105" s="385">
        <v>178</v>
      </c>
      <c r="AA105" s="385">
        <v>189</v>
      </c>
      <c r="AB105" s="385">
        <v>295</v>
      </c>
      <c r="AC105" s="385">
        <v>289</v>
      </c>
      <c r="AD105" s="385">
        <v>346</v>
      </c>
      <c r="AE105" s="385">
        <v>359</v>
      </c>
      <c r="AF105" s="385">
        <v>359</v>
      </c>
      <c r="AG105" s="385">
        <v>365</v>
      </c>
      <c r="AH105" s="385">
        <v>341</v>
      </c>
      <c r="AI105" s="385">
        <v>321</v>
      </c>
      <c r="AJ105" s="385">
        <v>359</v>
      </c>
      <c r="AK105" s="385">
        <v>346</v>
      </c>
      <c r="AL105" s="385">
        <v>376</v>
      </c>
      <c r="AM105" s="385">
        <v>427</v>
      </c>
      <c r="AN105" s="385">
        <v>426</v>
      </c>
      <c r="AO105" s="385">
        <v>344</v>
      </c>
      <c r="AP105" s="385">
        <v>375</v>
      </c>
      <c r="AQ105" s="385">
        <v>374</v>
      </c>
      <c r="AR105" s="385">
        <v>301</v>
      </c>
      <c r="AS105" s="385">
        <v>281</v>
      </c>
      <c r="AT105" s="385">
        <v>240</v>
      </c>
      <c r="AU105" s="385">
        <v>259</v>
      </c>
      <c r="AV105" s="385">
        <v>198</v>
      </c>
      <c r="AW105" s="385">
        <v>172</v>
      </c>
      <c r="AX105" s="385">
        <v>135</v>
      </c>
      <c r="AY105" s="385">
        <v>135</v>
      </c>
      <c r="AZ105" s="385">
        <v>128</v>
      </c>
      <c r="BA105" s="385">
        <v>99</v>
      </c>
      <c r="BB105" s="385">
        <v>87</v>
      </c>
      <c r="BC105" s="385">
        <v>59</v>
      </c>
      <c r="BD105" s="385">
        <v>50</v>
      </c>
      <c r="BE105" s="385">
        <v>23</v>
      </c>
      <c r="BF105" s="385">
        <v>19</v>
      </c>
      <c r="BG105" s="385">
        <v>10</v>
      </c>
      <c r="BH105" s="385">
        <v>13</v>
      </c>
      <c r="BI105" s="385">
        <v>5</v>
      </c>
      <c r="BJ105" s="385">
        <v>2</v>
      </c>
      <c r="BK105" s="385">
        <v>0</v>
      </c>
      <c r="BL105" s="385">
        <v>0</v>
      </c>
      <c r="BM105" s="385">
        <v>0</v>
      </c>
      <c r="BN105" s="385">
        <v>0</v>
      </c>
      <c r="BO105" s="385">
        <v>0</v>
      </c>
    </row>
    <row r="106" spans="1:67" x14ac:dyDescent="0.2">
      <c r="A106" s="386" t="s">
        <v>893</v>
      </c>
      <c r="B106" s="386">
        <v>0</v>
      </c>
      <c r="C106" s="386">
        <v>0</v>
      </c>
      <c r="D106" s="386">
        <v>0</v>
      </c>
      <c r="E106" s="386">
        <v>0</v>
      </c>
      <c r="F106" s="386">
        <v>0</v>
      </c>
      <c r="G106" s="386">
        <v>0</v>
      </c>
      <c r="H106" s="386">
        <v>0</v>
      </c>
      <c r="I106" s="386">
        <v>0</v>
      </c>
      <c r="J106" s="386">
        <v>0</v>
      </c>
      <c r="K106" s="386">
        <v>0</v>
      </c>
      <c r="L106" s="386">
        <v>0</v>
      </c>
      <c r="M106" s="386">
        <v>0</v>
      </c>
      <c r="N106" s="386">
        <v>0</v>
      </c>
      <c r="O106" s="386">
        <v>0</v>
      </c>
      <c r="P106" s="386">
        <v>0</v>
      </c>
      <c r="Q106" s="386">
        <v>0</v>
      </c>
      <c r="R106" s="386">
        <v>0</v>
      </c>
      <c r="S106" s="386">
        <v>0</v>
      </c>
      <c r="T106" s="386">
        <v>0</v>
      </c>
      <c r="U106" s="386">
        <v>0</v>
      </c>
      <c r="V106" s="386">
        <v>48</v>
      </c>
      <c r="W106" s="386">
        <v>48</v>
      </c>
      <c r="X106" s="386">
        <v>96</v>
      </c>
      <c r="Y106" s="386">
        <v>144</v>
      </c>
      <c r="Z106" s="386">
        <v>192</v>
      </c>
      <c r="AA106" s="386">
        <v>168</v>
      </c>
      <c r="AB106" s="386">
        <v>216</v>
      </c>
      <c r="AC106" s="386">
        <v>360</v>
      </c>
      <c r="AD106" s="386">
        <v>384</v>
      </c>
      <c r="AE106" s="386">
        <v>336</v>
      </c>
      <c r="AF106" s="386">
        <v>432</v>
      </c>
      <c r="AG106" s="386">
        <v>360</v>
      </c>
      <c r="AH106" s="386">
        <v>264</v>
      </c>
      <c r="AI106" s="386">
        <v>264</v>
      </c>
      <c r="AJ106" s="386">
        <v>384</v>
      </c>
      <c r="AK106" s="386">
        <v>384</v>
      </c>
      <c r="AL106" s="386">
        <v>456</v>
      </c>
      <c r="AM106" s="386">
        <v>480</v>
      </c>
      <c r="AN106" s="386">
        <v>408</v>
      </c>
      <c r="AO106" s="386">
        <v>504</v>
      </c>
      <c r="AP106" s="386">
        <v>336</v>
      </c>
      <c r="AQ106" s="386">
        <v>240</v>
      </c>
      <c r="AR106" s="386">
        <v>408</v>
      </c>
      <c r="AS106" s="386">
        <v>312</v>
      </c>
      <c r="AT106" s="386">
        <v>144</v>
      </c>
      <c r="AU106" s="386">
        <v>288</v>
      </c>
      <c r="AV106" s="386">
        <v>408</v>
      </c>
      <c r="AW106" s="386">
        <v>264</v>
      </c>
      <c r="AX106" s="386">
        <v>168</v>
      </c>
      <c r="AY106" s="386">
        <v>120</v>
      </c>
      <c r="AZ106" s="386">
        <v>72</v>
      </c>
      <c r="BA106" s="386">
        <v>48</v>
      </c>
      <c r="BB106" s="386">
        <v>0</v>
      </c>
      <c r="BC106" s="386">
        <v>24</v>
      </c>
      <c r="BD106" s="386">
        <v>0</v>
      </c>
      <c r="BE106" s="386">
        <v>0</v>
      </c>
      <c r="BF106" s="386">
        <v>0</v>
      </c>
      <c r="BG106" s="386">
        <v>0</v>
      </c>
      <c r="BH106" s="386">
        <v>0</v>
      </c>
      <c r="BI106" s="386">
        <v>0</v>
      </c>
      <c r="BJ106" s="386">
        <v>0</v>
      </c>
      <c r="BK106" s="386">
        <v>0</v>
      </c>
      <c r="BL106" s="386">
        <v>0</v>
      </c>
      <c r="BM106" s="386">
        <v>0</v>
      </c>
      <c r="BN106" s="386">
        <v>0</v>
      </c>
      <c r="BO106" s="386">
        <v>0</v>
      </c>
    </row>
    <row r="107" spans="1:67" x14ac:dyDescent="0.2">
      <c r="A107" s="386" t="s">
        <v>894</v>
      </c>
      <c r="B107" s="387">
        <v>0</v>
      </c>
      <c r="C107" s="387">
        <v>0</v>
      </c>
      <c r="D107" s="387">
        <v>0</v>
      </c>
      <c r="E107" s="387">
        <v>0</v>
      </c>
      <c r="F107" s="387">
        <v>0</v>
      </c>
      <c r="G107" s="387">
        <v>0</v>
      </c>
      <c r="H107" s="387">
        <v>0</v>
      </c>
      <c r="I107" s="387">
        <v>0</v>
      </c>
      <c r="J107" s="387">
        <v>0</v>
      </c>
      <c r="K107" s="387">
        <v>0</v>
      </c>
      <c r="L107" s="387">
        <v>0</v>
      </c>
      <c r="M107" s="387">
        <v>0</v>
      </c>
      <c r="N107" s="387">
        <v>0</v>
      </c>
      <c r="O107" s="387">
        <v>0</v>
      </c>
      <c r="P107" s="387">
        <v>0</v>
      </c>
      <c r="Q107" s="387">
        <v>0</v>
      </c>
      <c r="R107" s="387">
        <v>0</v>
      </c>
      <c r="S107" s="387">
        <v>0</v>
      </c>
      <c r="T107" s="387">
        <v>0</v>
      </c>
      <c r="U107" s="387">
        <v>0</v>
      </c>
      <c r="V107" s="387">
        <v>0</v>
      </c>
      <c r="W107" s="387">
        <v>0.42699999999999999</v>
      </c>
      <c r="X107" s="387">
        <v>1.5129999999999999</v>
      </c>
      <c r="Y107" s="387">
        <v>3.3119999999999998</v>
      </c>
      <c r="Z107" s="387">
        <v>4.4160000000000004</v>
      </c>
      <c r="AA107" s="387">
        <v>4.2430000000000003</v>
      </c>
      <c r="AB107" s="387">
        <v>7.54</v>
      </c>
      <c r="AC107" s="387">
        <v>6.9139999999999997</v>
      </c>
      <c r="AD107" s="387">
        <v>11.353999999999999</v>
      </c>
      <c r="AE107" s="387">
        <v>16.277000000000001</v>
      </c>
      <c r="AF107" s="387">
        <v>16.774999999999999</v>
      </c>
      <c r="AG107" s="387">
        <v>12.74</v>
      </c>
      <c r="AH107" s="387">
        <v>26.58</v>
      </c>
      <c r="AI107" s="387">
        <v>14.776999999999999</v>
      </c>
      <c r="AJ107" s="387">
        <v>18.323</v>
      </c>
      <c r="AK107" s="387">
        <v>20.125</v>
      </c>
      <c r="AL107" s="387">
        <v>25.08</v>
      </c>
      <c r="AM107" s="387">
        <v>39.082000000000001</v>
      </c>
      <c r="AN107" s="387">
        <v>52.823999999999998</v>
      </c>
      <c r="AO107" s="387">
        <v>54.710999999999999</v>
      </c>
      <c r="AP107" s="387">
        <v>65.703000000000003</v>
      </c>
      <c r="AQ107" s="387">
        <v>71.721999999999994</v>
      </c>
      <c r="AR107" s="387">
        <v>61.139000000000003</v>
      </c>
      <c r="AS107" s="387">
        <v>58.917999999999999</v>
      </c>
      <c r="AT107" s="387">
        <v>48.378</v>
      </c>
      <c r="AU107" s="387">
        <v>64.906000000000006</v>
      </c>
      <c r="AV107" s="387">
        <v>56.402999999999999</v>
      </c>
      <c r="AW107" s="387">
        <v>57.728000000000002</v>
      </c>
      <c r="AX107" s="387">
        <v>46.988999999999997</v>
      </c>
      <c r="AY107" s="387">
        <v>46.713000000000001</v>
      </c>
      <c r="AZ107" s="387">
        <v>52.273000000000003</v>
      </c>
      <c r="BA107" s="387">
        <v>50.7</v>
      </c>
      <c r="BB107" s="387">
        <v>42.186999999999998</v>
      </c>
      <c r="BC107" s="387">
        <v>30.315000000000001</v>
      </c>
      <c r="BD107" s="387">
        <v>28.661999999999999</v>
      </c>
      <c r="BE107" s="387">
        <v>12.117000000000001</v>
      </c>
      <c r="BF107" s="387">
        <v>10.33</v>
      </c>
      <c r="BG107" s="387">
        <v>6.5940000000000003</v>
      </c>
      <c r="BH107" s="387">
        <v>7.601</v>
      </c>
      <c r="BI107" s="387">
        <v>2.5590000000000002</v>
      </c>
      <c r="BJ107" s="387">
        <v>1.1499999999999999</v>
      </c>
      <c r="BK107" s="387">
        <v>0</v>
      </c>
      <c r="BL107" s="387">
        <v>0</v>
      </c>
      <c r="BM107" s="387">
        <v>0</v>
      </c>
      <c r="BN107" s="387">
        <v>0</v>
      </c>
      <c r="BO107" s="387">
        <v>0</v>
      </c>
    </row>
    <row r="108" spans="1:67" x14ac:dyDescent="0.2">
      <c r="A108" s="386" t="s">
        <v>895</v>
      </c>
      <c r="B108" s="387">
        <v>0</v>
      </c>
      <c r="C108" s="387">
        <v>0</v>
      </c>
      <c r="D108" s="387">
        <v>0</v>
      </c>
      <c r="E108" s="387">
        <v>0</v>
      </c>
      <c r="F108" s="387">
        <v>0</v>
      </c>
      <c r="G108" s="387">
        <v>0</v>
      </c>
      <c r="H108" s="387">
        <v>0</v>
      </c>
      <c r="I108" s="387">
        <v>0</v>
      </c>
      <c r="J108" s="387">
        <v>0</v>
      </c>
      <c r="K108" s="387">
        <v>0</v>
      </c>
      <c r="L108" s="387">
        <v>0</v>
      </c>
      <c r="M108" s="387">
        <v>0</v>
      </c>
      <c r="N108" s="387">
        <v>0</v>
      </c>
      <c r="O108" s="387">
        <v>0</v>
      </c>
      <c r="P108" s="387">
        <v>0</v>
      </c>
      <c r="Q108" s="387">
        <v>0</v>
      </c>
      <c r="R108" s="387">
        <v>0</v>
      </c>
      <c r="S108" s="387">
        <v>0</v>
      </c>
      <c r="T108" s="387">
        <v>0</v>
      </c>
      <c r="U108" s="387">
        <v>0.40300000000000002</v>
      </c>
      <c r="V108" s="387">
        <v>0</v>
      </c>
      <c r="W108" s="387">
        <v>1.395</v>
      </c>
      <c r="X108" s="387">
        <v>1.105</v>
      </c>
      <c r="Y108" s="387">
        <v>3.875</v>
      </c>
      <c r="Z108" s="387">
        <v>4.55</v>
      </c>
      <c r="AA108" s="387">
        <v>2.5230000000000001</v>
      </c>
      <c r="AB108" s="387">
        <v>6.101</v>
      </c>
      <c r="AC108" s="387">
        <v>5.702</v>
      </c>
      <c r="AD108" s="387">
        <v>8.1140000000000008</v>
      </c>
      <c r="AE108" s="387">
        <v>9.4860000000000007</v>
      </c>
      <c r="AF108" s="387">
        <v>7.843</v>
      </c>
      <c r="AG108" s="387">
        <v>8.5820000000000007</v>
      </c>
      <c r="AH108" s="387">
        <v>15.51</v>
      </c>
      <c r="AI108" s="387">
        <v>8.7110000000000003</v>
      </c>
      <c r="AJ108" s="387">
        <v>14.768000000000001</v>
      </c>
      <c r="AK108" s="387">
        <v>16.646999999999998</v>
      </c>
      <c r="AL108" s="387">
        <v>23.138000000000002</v>
      </c>
      <c r="AM108" s="387">
        <v>21.704999999999998</v>
      </c>
      <c r="AN108" s="387">
        <v>31.686</v>
      </c>
      <c r="AO108" s="387">
        <v>26.074000000000002</v>
      </c>
      <c r="AP108" s="387">
        <v>30.931999999999999</v>
      </c>
      <c r="AQ108" s="387">
        <v>29.437999999999999</v>
      </c>
      <c r="AR108" s="387">
        <v>25.404</v>
      </c>
      <c r="AS108" s="387">
        <v>28.015999999999998</v>
      </c>
      <c r="AT108" s="387">
        <v>24.163</v>
      </c>
      <c r="AU108" s="387">
        <v>30.431000000000001</v>
      </c>
      <c r="AV108" s="387">
        <v>23.849</v>
      </c>
      <c r="AW108" s="387">
        <v>25.152999999999999</v>
      </c>
      <c r="AX108" s="387">
        <v>20.571999999999999</v>
      </c>
      <c r="AY108" s="387">
        <v>17.312000000000001</v>
      </c>
      <c r="AZ108" s="387">
        <v>15.082000000000001</v>
      </c>
      <c r="BA108" s="387">
        <v>12.337</v>
      </c>
      <c r="BB108" s="387">
        <v>7.2050000000000001</v>
      </c>
      <c r="BC108" s="387">
        <v>4.875</v>
      </c>
      <c r="BD108" s="387">
        <v>4.0670000000000002</v>
      </c>
      <c r="BE108" s="387">
        <v>0.93300000000000005</v>
      </c>
      <c r="BF108" s="387">
        <v>1.0129999999999999</v>
      </c>
      <c r="BG108" s="387">
        <v>0.154</v>
      </c>
      <c r="BH108" s="387">
        <v>0.63</v>
      </c>
      <c r="BI108" s="387">
        <v>0</v>
      </c>
      <c r="BJ108" s="387">
        <v>0</v>
      </c>
      <c r="BK108" s="387">
        <v>0</v>
      </c>
      <c r="BL108" s="387">
        <v>0</v>
      </c>
      <c r="BM108" s="387">
        <v>0</v>
      </c>
      <c r="BN108" s="387">
        <v>0</v>
      </c>
      <c r="BO108" s="387">
        <v>0</v>
      </c>
    </row>
    <row r="109" spans="1:67" x14ac:dyDescent="0.2">
      <c r="A109" s="386" t="s">
        <v>896</v>
      </c>
      <c r="B109" s="387">
        <v>0</v>
      </c>
      <c r="C109" s="387">
        <v>0</v>
      </c>
      <c r="D109" s="387">
        <v>0</v>
      </c>
      <c r="E109" s="387">
        <v>0</v>
      </c>
      <c r="F109" s="387">
        <v>0</v>
      </c>
      <c r="G109" s="387">
        <v>0</v>
      </c>
      <c r="H109" s="387">
        <v>0</v>
      </c>
      <c r="I109" s="387">
        <v>0</v>
      </c>
      <c r="J109" s="387">
        <v>0</v>
      </c>
      <c r="K109" s="387">
        <v>0</v>
      </c>
      <c r="L109" s="387">
        <v>0</v>
      </c>
      <c r="M109" s="387">
        <v>0</v>
      </c>
      <c r="N109" s="387">
        <v>0</v>
      </c>
      <c r="O109" s="387">
        <v>0</v>
      </c>
      <c r="P109" s="387">
        <v>0</v>
      </c>
      <c r="Q109" s="387">
        <v>0</v>
      </c>
      <c r="R109" s="387">
        <v>0</v>
      </c>
      <c r="S109" s="387">
        <v>0</v>
      </c>
      <c r="T109" s="387">
        <v>0</v>
      </c>
      <c r="U109" s="387">
        <v>0.44600000000000001</v>
      </c>
      <c r="V109" s="387">
        <v>0</v>
      </c>
      <c r="W109" s="387">
        <v>1.2150000000000001</v>
      </c>
      <c r="X109" s="387">
        <v>3.1739999999999999</v>
      </c>
      <c r="Y109" s="387">
        <v>7.1239999999999997</v>
      </c>
      <c r="Z109" s="387">
        <v>9.5449999999999999</v>
      </c>
      <c r="AA109" s="387">
        <v>7.4729999999999999</v>
      </c>
      <c r="AB109" s="387">
        <v>14.116</v>
      </c>
      <c r="AC109" s="387">
        <v>12.375999999999999</v>
      </c>
      <c r="AD109" s="387">
        <v>17.812000000000001</v>
      </c>
      <c r="AE109" s="387">
        <v>27.681999999999999</v>
      </c>
      <c r="AF109" s="387">
        <v>22.56</v>
      </c>
      <c r="AG109" s="387">
        <v>19.611000000000001</v>
      </c>
      <c r="AH109" s="387">
        <v>33.058</v>
      </c>
      <c r="AI109" s="387">
        <v>19.173999999999999</v>
      </c>
      <c r="AJ109" s="387">
        <v>22.071000000000002</v>
      </c>
      <c r="AK109" s="387">
        <v>18.887</v>
      </c>
      <c r="AL109" s="387">
        <v>23.577000000000002</v>
      </c>
      <c r="AM109" s="387">
        <v>36.049999999999997</v>
      </c>
      <c r="AN109" s="387">
        <v>46.051000000000002</v>
      </c>
      <c r="AO109" s="387">
        <v>47.4</v>
      </c>
      <c r="AP109" s="387">
        <v>49.616</v>
      </c>
      <c r="AQ109" s="387">
        <v>53.694000000000003</v>
      </c>
      <c r="AR109" s="387">
        <v>40.988</v>
      </c>
      <c r="AS109" s="387">
        <v>38.917000000000002</v>
      </c>
      <c r="AT109" s="387">
        <v>27.486999999999998</v>
      </c>
      <c r="AU109" s="387">
        <v>36.906999999999996</v>
      </c>
      <c r="AV109" s="387">
        <v>28.815999999999999</v>
      </c>
      <c r="AW109" s="387">
        <v>33.549999999999997</v>
      </c>
      <c r="AX109" s="387">
        <v>27.318999999999999</v>
      </c>
      <c r="AY109" s="387">
        <v>23.95</v>
      </c>
      <c r="AZ109" s="387">
        <v>28.015999999999998</v>
      </c>
      <c r="BA109" s="387">
        <v>26.956</v>
      </c>
      <c r="BB109" s="387">
        <v>20.507000000000001</v>
      </c>
      <c r="BC109" s="387">
        <v>16.068999999999999</v>
      </c>
      <c r="BD109" s="387">
        <v>14.602</v>
      </c>
      <c r="BE109" s="387">
        <v>6.2389999999999999</v>
      </c>
      <c r="BF109" s="387">
        <v>5.3140000000000001</v>
      </c>
      <c r="BG109" s="387">
        <v>3.742</v>
      </c>
      <c r="BH109" s="387">
        <v>3.62</v>
      </c>
      <c r="BI109" s="387">
        <v>1.008</v>
      </c>
      <c r="BJ109" s="387">
        <v>0.73199999999999998</v>
      </c>
      <c r="BK109" s="387">
        <v>0</v>
      </c>
      <c r="BL109" s="387">
        <v>0</v>
      </c>
      <c r="BM109" s="387">
        <v>0</v>
      </c>
      <c r="BN109" s="387">
        <v>0</v>
      </c>
      <c r="BO109" s="387">
        <v>0</v>
      </c>
    </row>
    <row r="110" spans="1:67" x14ac:dyDescent="0.2">
      <c r="A110" s="386" t="s">
        <v>897</v>
      </c>
      <c r="B110" s="387">
        <v>0</v>
      </c>
      <c r="C110" s="387">
        <v>0</v>
      </c>
      <c r="D110" s="387">
        <v>0</v>
      </c>
      <c r="E110" s="387">
        <v>0</v>
      </c>
      <c r="F110" s="387">
        <v>0</v>
      </c>
      <c r="G110" s="387">
        <v>0</v>
      </c>
      <c r="H110" s="387">
        <v>0</v>
      </c>
      <c r="I110" s="387">
        <v>0</v>
      </c>
      <c r="J110" s="387">
        <v>0</v>
      </c>
      <c r="K110" s="387">
        <v>0</v>
      </c>
      <c r="L110" s="387">
        <v>0</v>
      </c>
      <c r="M110" s="387">
        <v>0</v>
      </c>
      <c r="N110" s="387">
        <v>0</v>
      </c>
      <c r="O110" s="387">
        <v>0</v>
      </c>
      <c r="P110" s="387">
        <v>0</v>
      </c>
      <c r="Q110" s="387">
        <v>0</v>
      </c>
      <c r="R110" s="387">
        <v>0</v>
      </c>
      <c r="S110" s="387">
        <v>0</v>
      </c>
      <c r="T110" s="387">
        <v>0</v>
      </c>
      <c r="U110" s="387">
        <v>0</v>
      </c>
      <c r="V110" s="387">
        <v>0</v>
      </c>
      <c r="W110" s="387">
        <v>0</v>
      </c>
      <c r="X110" s="387">
        <v>1.321</v>
      </c>
      <c r="Y110" s="387">
        <v>1.5940000000000001</v>
      </c>
      <c r="Z110" s="387">
        <v>3.069</v>
      </c>
      <c r="AA110" s="387">
        <v>2.3250000000000002</v>
      </c>
      <c r="AB110" s="387">
        <v>3.6859999999999999</v>
      </c>
      <c r="AC110" s="387">
        <v>2.524</v>
      </c>
      <c r="AD110" s="387">
        <v>2.3250000000000002</v>
      </c>
      <c r="AE110" s="387">
        <v>8.4740000000000002</v>
      </c>
      <c r="AF110" s="387">
        <v>7.8380000000000001</v>
      </c>
      <c r="AG110" s="387">
        <v>7.6559999999999997</v>
      </c>
      <c r="AH110" s="387">
        <v>12.505000000000001</v>
      </c>
      <c r="AI110" s="387">
        <v>6.085</v>
      </c>
      <c r="AJ110" s="387">
        <v>4.8419999999999996</v>
      </c>
      <c r="AK110" s="387">
        <v>6.2539999999999996</v>
      </c>
      <c r="AL110" s="387">
        <v>7.117</v>
      </c>
      <c r="AM110" s="387">
        <v>10.667999999999999</v>
      </c>
      <c r="AN110" s="387">
        <v>19.212</v>
      </c>
      <c r="AO110" s="387">
        <v>24.300999999999998</v>
      </c>
      <c r="AP110" s="387">
        <v>26.347000000000001</v>
      </c>
      <c r="AQ110" s="387">
        <v>42.570999999999998</v>
      </c>
      <c r="AR110" s="387">
        <v>31.190999999999999</v>
      </c>
      <c r="AS110" s="387">
        <v>23.751000000000001</v>
      </c>
      <c r="AT110" s="387">
        <v>16.102</v>
      </c>
      <c r="AU110" s="387">
        <v>26.760999999999999</v>
      </c>
      <c r="AV110" s="387">
        <v>29.827999999999999</v>
      </c>
      <c r="AW110" s="387">
        <v>26.736999999999998</v>
      </c>
      <c r="AX110" s="387">
        <v>19.242999999999999</v>
      </c>
      <c r="AY110" s="387">
        <v>19.497</v>
      </c>
      <c r="AZ110" s="387">
        <v>28.245999999999999</v>
      </c>
      <c r="BA110" s="387">
        <v>24.757999999999999</v>
      </c>
      <c r="BB110" s="387">
        <v>30.042999999999999</v>
      </c>
      <c r="BC110" s="387">
        <v>18.373000000000001</v>
      </c>
      <c r="BD110" s="387">
        <v>18.611000000000001</v>
      </c>
      <c r="BE110" s="387">
        <v>9.7460000000000004</v>
      </c>
      <c r="BF110" s="387">
        <v>7.89</v>
      </c>
      <c r="BG110" s="387">
        <v>4.4950000000000001</v>
      </c>
      <c r="BH110" s="387">
        <v>6.16</v>
      </c>
      <c r="BI110" s="387">
        <v>3.1230000000000002</v>
      </c>
      <c r="BJ110" s="387">
        <v>1.282</v>
      </c>
      <c r="BK110" s="387">
        <v>0</v>
      </c>
      <c r="BL110" s="387">
        <v>0</v>
      </c>
      <c r="BM110" s="387">
        <v>0</v>
      </c>
      <c r="BN110" s="387">
        <v>0</v>
      </c>
      <c r="BO110" s="387">
        <v>0</v>
      </c>
    </row>
    <row r="111" spans="1:67" x14ac:dyDescent="0.2">
      <c r="A111" s="388" t="s">
        <v>898</v>
      </c>
      <c r="B111" s="389">
        <v>0</v>
      </c>
      <c r="C111" s="389">
        <v>0</v>
      </c>
      <c r="D111" s="389">
        <v>0</v>
      </c>
      <c r="E111" s="389">
        <v>0</v>
      </c>
      <c r="F111" s="389">
        <v>0</v>
      </c>
      <c r="G111" s="389">
        <v>0</v>
      </c>
      <c r="H111" s="389">
        <v>0</v>
      </c>
      <c r="I111" s="389">
        <v>0</v>
      </c>
      <c r="J111" s="389">
        <v>0</v>
      </c>
      <c r="K111" s="389">
        <v>0</v>
      </c>
      <c r="L111" s="389">
        <v>0</v>
      </c>
      <c r="M111" s="389">
        <v>0</v>
      </c>
      <c r="N111" s="389">
        <v>0</v>
      </c>
      <c r="O111" s="389">
        <v>0</v>
      </c>
      <c r="P111" s="389">
        <v>0</v>
      </c>
      <c r="Q111" s="389">
        <v>0</v>
      </c>
      <c r="R111" s="389">
        <v>0</v>
      </c>
      <c r="S111" s="389">
        <v>0</v>
      </c>
      <c r="T111" s="389">
        <v>0</v>
      </c>
      <c r="U111" s="389">
        <v>0</v>
      </c>
      <c r="V111" s="389">
        <v>0</v>
      </c>
      <c r="W111" s="389">
        <v>0</v>
      </c>
      <c r="X111" s="389">
        <v>0</v>
      </c>
      <c r="Y111" s="389">
        <v>0</v>
      </c>
      <c r="Z111" s="389">
        <v>0</v>
      </c>
      <c r="AA111" s="389">
        <v>0</v>
      </c>
      <c r="AB111" s="389">
        <v>0</v>
      </c>
      <c r="AC111" s="389">
        <v>0</v>
      </c>
      <c r="AD111" s="389">
        <v>0</v>
      </c>
      <c r="AE111" s="389">
        <v>0.30499999999999999</v>
      </c>
      <c r="AF111" s="389">
        <v>0.17</v>
      </c>
      <c r="AG111" s="389">
        <v>0</v>
      </c>
      <c r="AH111" s="389">
        <v>0.35699999999999998</v>
      </c>
      <c r="AI111" s="389">
        <v>0.69899999999999995</v>
      </c>
      <c r="AJ111" s="389">
        <v>0.33700000000000002</v>
      </c>
      <c r="AK111" s="389">
        <v>0.69599999999999995</v>
      </c>
      <c r="AL111" s="389">
        <v>0.96499999999999997</v>
      </c>
      <c r="AM111" s="389">
        <v>0.69399999999999995</v>
      </c>
      <c r="AN111" s="389">
        <v>2.85</v>
      </c>
      <c r="AO111" s="389">
        <v>1.827</v>
      </c>
      <c r="AP111" s="389">
        <v>3.415</v>
      </c>
      <c r="AQ111" s="389">
        <v>3.8839999999999999</v>
      </c>
      <c r="AR111" s="389">
        <v>4.99</v>
      </c>
      <c r="AS111" s="389">
        <v>3.0310000000000001</v>
      </c>
      <c r="AT111" s="389">
        <v>2.64</v>
      </c>
      <c r="AU111" s="389">
        <v>5.367</v>
      </c>
      <c r="AV111" s="389">
        <v>4.2450000000000001</v>
      </c>
      <c r="AW111" s="389">
        <v>2.3210000000000002</v>
      </c>
      <c r="AX111" s="389">
        <v>3.431</v>
      </c>
      <c r="AY111" s="389">
        <v>2.1320000000000001</v>
      </c>
      <c r="AZ111" s="389">
        <v>2.7690000000000001</v>
      </c>
      <c r="BA111" s="389">
        <v>4.077</v>
      </c>
      <c r="BB111" s="389">
        <v>2.052</v>
      </c>
      <c r="BC111" s="389">
        <v>1.919</v>
      </c>
      <c r="BD111" s="389">
        <v>1.6759999999999999</v>
      </c>
      <c r="BE111" s="389">
        <v>0.83699999999999997</v>
      </c>
      <c r="BF111" s="389">
        <v>0.32500000000000001</v>
      </c>
      <c r="BG111" s="389">
        <v>0.153</v>
      </c>
      <c r="BH111" s="389">
        <v>0.50800000000000001</v>
      </c>
      <c r="BI111" s="389">
        <v>0</v>
      </c>
      <c r="BJ111" s="389">
        <v>0</v>
      </c>
      <c r="BK111" s="389">
        <v>0</v>
      </c>
      <c r="BL111" s="389">
        <v>0</v>
      </c>
      <c r="BM111" s="389">
        <v>0</v>
      </c>
      <c r="BN111" s="389">
        <v>0</v>
      </c>
      <c r="BO111" s="389">
        <v>0</v>
      </c>
    </row>
    <row r="113" spans="1:67" x14ac:dyDescent="0.2">
      <c r="A113" s="380" t="s">
        <v>3173</v>
      </c>
      <c r="B113" s="381" t="s">
        <v>911</v>
      </c>
    </row>
    <row r="114" spans="1:67" x14ac:dyDescent="0.2">
      <c r="A114" s="382" t="s">
        <v>3952</v>
      </c>
      <c r="B114" s="383"/>
    </row>
    <row r="115" spans="1:67" x14ac:dyDescent="0.2">
      <c r="A115" s="384" t="s">
        <v>3175</v>
      </c>
      <c r="B115" s="384">
        <v>-25</v>
      </c>
      <c r="C115" s="384">
        <v>-24</v>
      </c>
      <c r="D115" s="384">
        <v>-23</v>
      </c>
      <c r="E115" s="384">
        <v>-22</v>
      </c>
      <c r="F115" s="384">
        <v>-21</v>
      </c>
      <c r="G115" s="384">
        <v>-20</v>
      </c>
      <c r="H115" s="384">
        <v>-19</v>
      </c>
      <c r="I115" s="384">
        <v>-18</v>
      </c>
      <c r="J115" s="384">
        <v>-17</v>
      </c>
      <c r="K115" s="384">
        <v>-16</v>
      </c>
      <c r="L115" s="384">
        <v>-15</v>
      </c>
      <c r="M115" s="384">
        <v>-14</v>
      </c>
      <c r="N115" s="384">
        <v>-13</v>
      </c>
      <c r="O115" s="384">
        <v>-12</v>
      </c>
      <c r="P115" s="384">
        <v>-11</v>
      </c>
      <c r="Q115" s="384">
        <v>-10</v>
      </c>
      <c r="R115" s="384">
        <v>-9</v>
      </c>
      <c r="S115" s="384">
        <v>-8</v>
      </c>
      <c r="T115" s="384">
        <v>-7</v>
      </c>
      <c r="U115" s="384">
        <v>-6</v>
      </c>
      <c r="V115" s="384">
        <v>-5</v>
      </c>
      <c r="W115" s="384">
        <v>-4</v>
      </c>
      <c r="X115" s="384">
        <v>-3</v>
      </c>
      <c r="Y115" s="384">
        <v>-2</v>
      </c>
      <c r="Z115" s="384">
        <v>-1</v>
      </c>
      <c r="AA115" s="384">
        <v>0</v>
      </c>
      <c r="AB115" s="384">
        <v>1</v>
      </c>
      <c r="AC115" s="384">
        <v>2</v>
      </c>
      <c r="AD115" s="384">
        <v>3</v>
      </c>
      <c r="AE115" s="384">
        <v>4</v>
      </c>
      <c r="AF115" s="384">
        <v>5</v>
      </c>
      <c r="AG115" s="384">
        <v>6</v>
      </c>
      <c r="AH115" s="384">
        <v>7</v>
      </c>
      <c r="AI115" s="384">
        <v>8</v>
      </c>
      <c r="AJ115" s="384">
        <v>9</v>
      </c>
      <c r="AK115" s="384">
        <v>10</v>
      </c>
      <c r="AL115" s="384">
        <v>11</v>
      </c>
      <c r="AM115" s="384">
        <v>12</v>
      </c>
      <c r="AN115" s="384">
        <v>13</v>
      </c>
      <c r="AO115" s="384">
        <v>14</v>
      </c>
      <c r="AP115" s="384">
        <v>15</v>
      </c>
      <c r="AQ115" s="384">
        <v>16</v>
      </c>
      <c r="AR115" s="384">
        <v>17</v>
      </c>
      <c r="AS115" s="384">
        <v>18</v>
      </c>
      <c r="AT115" s="384">
        <v>19</v>
      </c>
      <c r="AU115" s="384">
        <v>20</v>
      </c>
      <c r="AV115" s="384">
        <v>21</v>
      </c>
      <c r="AW115" s="384">
        <v>22</v>
      </c>
      <c r="AX115" s="384">
        <v>23</v>
      </c>
      <c r="AY115" s="384">
        <v>24</v>
      </c>
      <c r="AZ115" s="384">
        <v>25</v>
      </c>
      <c r="BA115" s="384">
        <v>26</v>
      </c>
      <c r="BB115" s="384">
        <v>27</v>
      </c>
      <c r="BC115" s="384">
        <v>28</v>
      </c>
      <c r="BD115" s="384">
        <v>29</v>
      </c>
      <c r="BE115" s="384">
        <v>30</v>
      </c>
      <c r="BF115" s="384">
        <v>31</v>
      </c>
      <c r="BG115" s="384">
        <v>32</v>
      </c>
      <c r="BH115" s="384">
        <v>33</v>
      </c>
      <c r="BI115" s="384">
        <v>34</v>
      </c>
      <c r="BJ115" s="384">
        <v>35</v>
      </c>
      <c r="BK115" s="384">
        <v>36</v>
      </c>
      <c r="BL115" s="384">
        <v>37</v>
      </c>
      <c r="BM115" s="384">
        <v>38</v>
      </c>
      <c r="BN115" s="384">
        <v>39</v>
      </c>
      <c r="BO115" s="384">
        <v>40</v>
      </c>
    </row>
    <row r="116" spans="1:67" x14ac:dyDescent="0.2">
      <c r="A116" s="385" t="s">
        <v>3176</v>
      </c>
      <c r="B116" s="385">
        <v>0</v>
      </c>
      <c r="C116" s="385">
        <v>0</v>
      </c>
      <c r="D116" s="385">
        <v>0</v>
      </c>
      <c r="E116" s="385">
        <v>0</v>
      </c>
      <c r="F116" s="385">
        <v>0</v>
      </c>
      <c r="G116" s="385">
        <v>0</v>
      </c>
      <c r="H116" s="385">
        <v>0</v>
      </c>
      <c r="I116" s="385">
        <v>0</v>
      </c>
      <c r="J116" s="385">
        <v>0</v>
      </c>
      <c r="K116" s="385">
        <v>0</v>
      </c>
      <c r="L116" s="385">
        <v>0</v>
      </c>
      <c r="M116" s="385">
        <v>6</v>
      </c>
      <c r="N116" s="385">
        <v>6</v>
      </c>
      <c r="O116" s="385">
        <v>16</v>
      </c>
      <c r="P116" s="385">
        <v>19</v>
      </c>
      <c r="Q116" s="385">
        <v>11</v>
      </c>
      <c r="R116" s="385">
        <v>15</v>
      </c>
      <c r="S116" s="385">
        <v>28</v>
      </c>
      <c r="T116" s="385">
        <v>37</v>
      </c>
      <c r="U116" s="385">
        <v>54</v>
      </c>
      <c r="V116" s="385">
        <v>99</v>
      </c>
      <c r="W116" s="385">
        <v>135</v>
      </c>
      <c r="X116" s="385">
        <v>153</v>
      </c>
      <c r="Y116" s="385">
        <v>164</v>
      </c>
      <c r="Z116" s="385">
        <v>241</v>
      </c>
      <c r="AA116" s="385">
        <v>308</v>
      </c>
      <c r="AB116" s="385">
        <v>445</v>
      </c>
      <c r="AC116" s="385">
        <v>392</v>
      </c>
      <c r="AD116" s="385">
        <v>325</v>
      </c>
      <c r="AE116" s="385">
        <v>301</v>
      </c>
      <c r="AF116" s="385">
        <v>311</v>
      </c>
      <c r="AG116" s="385">
        <v>339</v>
      </c>
      <c r="AH116" s="385">
        <v>357</v>
      </c>
      <c r="AI116" s="385">
        <v>358</v>
      </c>
      <c r="AJ116" s="385">
        <v>339</v>
      </c>
      <c r="AK116" s="385">
        <v>405</v>
      </c>
      <c r="AL116" s="385">
        <v>406</v>
      </c>
      <c r="AM116" s="385">
        <v>425</v>
      </c>
      <c r="AN116" s="385">
        <v>423</v>
      </c>
      <c r="AO116" s="385">
        <v>412</v>
      </c>
      <c r="AP116" s="385">
        <v>380</v>
      </c>
      <c r="AQ116" s="385">
        <v>344</v>
      </c>
      <c r="AR116" s="385">
        <v>308</v>
      </c>
      <c r="AS116" s="385">
        <v>235</v>
      </c>
      <c r="AT116" s="385">
        <v>218</v>
      </c>
      <c r="AU116" s="385">
        <v>172</v>
      </c>
      <c r="AV116" s="385">
        <v>132</v>
      </c>
      <c r="AW116" s="385">
        <v>103</v>
      </c>
      <c r="AX116" s="385">
        <v>91</v>
      </c>
      <c r="AY116" s="385">
        <v>55</v>
      </c>
      <c r="AZ116" s="385">
        <v>60</v>
      </c>
      <c r="BA116" s="385">
        <v>35</v>
      </c>
      <c r="BB116" s="385">
        <v>41</v>
      </c>
      <c r="BC116" s="385">
        <v>18</v>
      </c>
      <c r="BD116" s="385">
        <v>10</v>
      </c>
      <c r="BE116" s="385">
        <v>17</v>
      </c>
      <c r="BF116" s="385">
        <v>8</v>
      </c>
      <c r="BG116" s="385">
        <v>2</v>
      </c>
      <c r="BH116" s="385">
        <v>1</v>
      </c>
      <c r="BI116" s="385">
        <v>0</v>
      </c>
      <c r="BJ116" s="385">
        <v>0</v>
      </c>
      <c r="BK116" s="385">
        <v>0</v>
      </c>
      <c r="BL116" s="385">
        <v>0</v>
      </c>
      <c r="BM116" s="385">
        <v>0</v>
      </c>
      <c r="BN116" s="385">
        <v>0</v>
      </c>
      <c r="BO116" s="385">
        <v>0</v>
      </c>
    </row>
    <row r="117" spans="1:67" x14ac:dyDescent="0.2">
      <c r="A117" s="386" t="s">
        <v>893</v>
      </c>
      <c r="B117" s="386">
        <v>0</v>
      </c>
      <c r="C117" s="386">
        <v>0</v>
      </c>
      <c r="D117" s="386">
        <v>0</v>
      </c>
      <c r="E117" s="386">
        <v>0</v>
      </c>
      <c r="F117" s="386">
        <v>0</v>
      </c>
      <c r="G117" s="386">
        <v>0</v>
      </c>
      <c r="H117" s="386">
        <v>0</v>
      </c>
      <c r="I117" s="386">
        <v>0</v>
      </c>
      <c r="J117" s="386">
        <v>0</v>
      </c>
      <c r="K117" s="386">
        <v>0</v>
      </c>
      <c r="L117" s="386">
        <v>0</v>
      </c>
      <c r="M117" s="386">
        <v>0</v>
      </c>
      <c r="N117" s="386">
        <v>0</v>
      </c>
      <c r="O117" s="386">
        <v>0</v>
      </c>
      <c r="P117" s="386">
        <v>24</v>
      </c>
      <c r="Q117" s="386">
        <v>24</v>
      </c>
      <c r="R117" s="386">
        <v>48</v>
      </c>
      <c r="S117" s="386">
        <v>0</v>
      </c>
      <c r="T117" s="386">
        <v>0</v>
      </c>
      <c r="U117" s="386">
        <v>24</v>
      </c>
      <c r="V117" s="386">
        <v>72</v>
      </c>
      <c r="W117" s="386">
        <v>144</v>
      </c>
      <c r="X117" s="386">
        <v>120</v>
      </c>
      <c r="Y117" s="386">
        <v>288</v>
      </c>
      <c r="Z117" s="386">
        <v>288</v>
      </c>
      <c r="AA117" s="386">
        <v>312</v>
      </c>
      <c r="AB117" s="386">
        <v>360</v>
      </c>
      <c r="AC117" s="386">
        <v>288</v>
      </c>
      <c r="AD117" s="386">
        <v>288</v>
      </c>
      <c r="AE117" s="386">
        <v>456</v>
      </c>
      <c r="AF117" s="386">
        <v>120</v>
      </c>
      <c r="AG117" s="386">
        <v>216</v>
      </c>
      <c r="AH117" s="386">
        <v>408</v>
      </c>
      <c r="AI117" s="386">
        <v>576</v>
      </c>
      <c r="AJ117" s="386">
        <v>408</v>
      </c>
      <c r="AK117" s="386">
        <v>432</v>
      </c>
      <c r="AL117" s="386">
        <v>288</v>
      </c>
      <c r="AM117" s="386">
        <v>384</v>
      </c>
      <c r="AN117" s="386">
        <v>528</v>
      </c>
      <c r="AO117" s="386">
        <v>504</v>
      </c>
      <c r="AP117" s="386">
        <v>336</v>
      </c>
      <c r="AQ117" s="386">
        <v>432</v>
      </c>
      <c r="AR117" s="386">
        <v>432</v>
      </c>
      <c r="AS117" s="386">
        <v>216</v>
      </c>
      <c r="AT117" s="386">
        <v>216</v>
      </c>
      <c r="AU117" s="386">
        <v>168</v>
      </c>
      <c r="AV117" s="386">
        <v>216</v>
      </c>
      <c r="AW117" s="386">
        <v>24</v>
      </c>
      <c r="AX117" s="386">
        <v>24</v>
      </c>
      <c r="AY117" s="386">
        <v>48</v>
      </c>
      <c r="AZ117" s="386">
        <v>48</v>
      </c>
      <c r="BA117" s="386">
        <v>0</v>
      </c>
      <c r="BB117" s="386">
        <v>0</v>
      </c>
      <c r="BC117" s="386">
        <v>0</v>
      </c>
      <c r="BD117" s="386">
        <v>0</v>
      </c>
      <c r="BE117" s="386">
        <v>0</v>
      </c>
      <c r="BF117" s="386">
        <v>0</v>
      </c>
      <c r="BG117" s="386">
        <v>0</v>
      </c>
      <c r="BH117" s="386">
        <v>0</v>
      </c>
      <c r="BI117" s="386">
        <v>0</v>
      </c>
      <c r="BJ117" s="386">
        <v>0</v>
      </c>
      <c r="BK117" s="386">
        <v>0</v>
      </c>
      <c r="BL117" s="386">
        <v>0</v>
      </c>
      <c r="BM117" s="386">
        <v>0</v>
      </c>
      <c r="BN117" s="386">
        <v>0</v>
      </c>
      <c r="BO117" s="386">
        <v>0</v>
      </c>
    </row>
    <row r="118" spans="1:67" x14ac:dyDescent="0.2">
      <c r="A118" s="386" t="s">
        <v>894</v>
      </c>
      <c r="B118" s="387">
        <v>0</v>
      </c>
      <c r="C118" s="387">
        <v>0</v>
      </c>
      <c r="D118" s="387">
        <v>0</v>
      </c>
      <c r="E118" s="387">
        <v>0</v>
      </c>
      <c r="F118" s="387">
        <v>0</v>
      </c>
      <c r="G118" s="387">
        <v>0</v>
      </c>
      <c r="H118" s="387">
        <v>0</v>
      </c>
      <c r="I118" s="387">
        <v>0</v>
      </c>
      <c r="J118" s="387">
        <v>0</v>
      </c>
      <c r="K118" s="387">
        <v>0</v>
      </c>
      <c r="L118" s="387">
        <v>0</v>
      </c>
      <c r="M118" s="387">
        <v>0</v>
      </c>
      <c r="N118" s="387">
        <v>0</v>
      </c>
      <c r="O118" s="387">
        <v>0.53600000000000003</v>
      </c>
      <c r="P118" s="387">
        <v>0.85</v>
      </c>
      <c r="Q118" s="387">
        <v>0.373</v>
      </c>
      <c r="R118" s="387">
        <v>0.71699999999999997</v>
      </c>
      <c r="S118" s="387">
        <v>2.0150000000000001</v>
      </c>
      <c r="T118" s="387">
        <v>1.5089999999999999</v>
      </c>
      <c r="U118" s="387">
        <v>0.752</v>
      </c>
      <c r="V118" s="387">
        <v>3.7429999999999999</v>
      </c>
      <c r="W118" s="387">
        <v>3.0680000000000001</v>
      </c>
      <c r="X118" s="387">
        <v>3.7330000000000001</v>
      </c>
      <c r="Y118" s="387">
        <v>8.1869999999999994</v>
      </c>
      <c r="Z118" s="387">
        <v>7.2720000000000002</v>
      </c>
      <c r="AA118" s="387">
        <v>8.4190000000000005</v>
      </c>
      <c r="AB118" s="387">
        <v>10.984</v>
      </c>
      <c r="AC118" s="387">
        <v>9.6720000000000006</v>
      </c>
      <c r="AD118" s="387">
        <v>12.231999999999999</v>
      </c>
      <c r="AE118" s="387">
        <v>8.25</v>
      </c>
      <c r="AF118" s="387">
        <v>12.69</v>
      </c>
      <c r="AG118" s="387">
        <v>16.079999999999998</v>
      </c>
      <c r="AH118" s="387">
        <v>18.346</v>
      </c>
      <c r="AI118" s="387">
        <v>16.942</v>
      </c>
      <c r="AJ118" s="387">
        <v>15.375</v>
      </c>
      <c r="AK118" s="387">
        <v>26.992999999999999</v>
      </c>
      <c r="AL118" s="387">
        <v>31.529</v>
      </c>
      <c r="AM118" s="387">
        <v>41.628999999999998</v>
      </c>
      <c r="AN118" s="387">
        <v>36.656999999999996</v>
      </c>
      <c r="AO118" s="387">
        <v>41.725000000000001</v>
      </c>
      <c r="AP118" s="387">
        <v>48.076999999999998</v>
      </c>
      <c r="AQ118" s="387">
        <v>50.427999999999997</v>
      </c>
      <c r="AR118" s="387">
        <v>54.887999999999998</v>
      </c>
      <c r="AS118" s="387">
        <v>53.482999999999997</v>
      </c>
      <c r="AT118" s="387">
        <v>61.963000000000001</v>
      </c>
      <c r="AU118" s="387">
        <v>55.829000000000001</v>
      </c>
      <c r="AV118" s="387">
        <v>48.011000000000003</v>
      </c>
      <c r="AW118" s="387">
        <v>42.585999999999999</v>
      </c>
      <c r="AX118" s="387">
        <v>35.024999999999999</v>
      </c>
      <c r="AY118" s="387">
        <v>25.75</v>
      </c>
      <c r="AZ118" s="387">
        <v>32.180999999999997</v>
      </c>
      <c r="BA118" s="387">
        <v>19.186</v>
      </c>
      <c r="BB118" s="387">
        <v>24.305</v>
      </c>
      <c r="BC118" s="387">
        <v>9.8640000000000008</v>
      </c>
      <c r="BD118" s="387">
        <v>4.2169999999999996</v>
      </c>
      <c r="BE118" s="387">
        <v>9.6780000000000008</v>
      </c>
      <c r="BF118" s="387">
        <v>5.1020000000000003</v>
      </c>
      <c r="BG118" s="387">
        <v>1.373</v>
      </c>
      <c r="BH118" s="387">
        <v>0.70199999999999996</v>
      </c>
      <c r="BI118" s="387">
        <v>0</v>
      </c>
      <c r="BJ118" s="387">
        <v>0</v>
      </c>
      <c r="BK118" s="387">
        <v>0</v>
      </c>
      <c r="BL118" s="387">
        <v>0</v>
      </c>
      <c r="BM118" s="387">
        <v>0</v>
      </c>
      <c r="BN118" s="387">
        <v>0</v>
      </c>
      <c r="BO118" s="387">
        <v>0</v>
      </c>
    </row>
    <row r="119" spans="1:67" x14ac:dyDescent="0.2">
      <c r="A119" s="386" t="s">
        <v>895</v>
      </c>
      <c r="B119" s="387">
        <v>0</v>
      </c>
      <c r="C119" s="387">
        <v>0</v>
      </c>
      <c r="D119" s="387">
        <v>0</v>
      </c>
      <c r="E119" s="387">
        <v>0</v>
      </c>
      <c r="F119" s="387">
        <v>0</v>
      </c>
      <c r="G119" s="387">
        <v>0</v>
      </c>
      <c r="H119" s="387">
        <v>0</v>
      </c>
      <c r="I119" s="387">
        <v>0</v>
      </c>
      <c r="J119" s="387">
        <v>0</v>
      </c>
      <c r="K119" s="387">
        <v>0</v>
      </c>
      <c r="L119" s="387">
        <v>0</v>
      </c>
      <c r="M119" s="387">
        <v>0</v>
      </c>
      <c r="N119" s="387">
        <v>0</v>
      </c>
      <c r="O119" s="387">
        <v>0.89</v>
      </c>
      <c r="P119" s="387">
        <v>1.1859999999999999</v>
      </c>
      <c r="Q119" s="387">
        <v>0.38200000000000001</v>
      </c>
      <c r="R119" s="387">
        <v>0.48099999999999998</v>
      </c>
      <c r="S119" s="387">
        <v>0.56200000000000006</v>
      </c>
      <c r="T119" s="387">
        <v>1.1839999999999999</v>
      </c>
      <c r="U119" s="387">
        <v>0.73599999999999999</v>
      </c>
      <c r="V119" s="387">
        <v>2.113</v>
      </c>
      <c r="W119" s="387">
        <v>3.3380000000000001</v>
      </c>
      <c r="X119" s="387">
        <v>3.6659999999999999</v>
      </c>
      <c r="Y119" s="387">
        <v>5.0389999999999997</v>
      </c>
      <c r="Z119" s="387">
        <v>3.419</v>
      </c>
      <c r="AA119" s="387">
        <v>4.16</v>
      </c>
      <c r="AB119" s="387">
        <v>3.048</v>
      </c>
      <c r="AC119" s="387">
        <v>3.7490000000000001</v>
      </c>
      <c r="AD119" s="387">
        <v>6.8810000000000002</v>
      </c>
      <c r="AE119" s="387">
        <v>4.2060000000000004</v>
      </c>
      <c r="AF119" s="387">
        <v>5.5250000000000004</v>
      </c>
      <c r="AG119" s="387">
        <v>8.59</v>
      </c>
      <c r="AH119" s="387">
        <v>9.2200000000000006</v>
      </c>
      <c r="AI119" s="387">
        <v>9.2759999999999998</v>
      </c>
      <c r="AJ119" s="387">
        <v>8.2799999999999994</v>
      </c>
      <c r="AK119" s="387">
        <v>15.016</v>
      </c>
      <c r="AL119" s="387">
        <v>14.116</v>
      </c>
      <c r="AM119" s="387">
        <v>18.556000000000001</v>
      </c>
      <c r="AN119" s="387">
        <v>15.054</v>
      </c>
      <c r="AO119" s="387">
        <v>17.785</v>
      </c>
      <c r="AP119" s="387">
        <v>20.661000000000001</v>
      </c>
      <c r="AQ119" s="387">
        <v>16.442</v>
      </c>
      <c r="AR119" s="387">
        <v>22.727</v>
      </c>
      <c r="AS119" s="387">
        <v>25.108000000000001</v>
      </c>
      <c r="AT119" s="387">
        <v>15.483000000000001</v>
      </c>
      <c r="AU119" s="387">
        <v>17.289000000000001</v>
      </c>
      <c r="AV119" s="387">
        <v>18.437999999999999</v>
      </c>
      <c r="AW119" s="387">
        <v>12.773999999999999</v>
      </c>
      <c r="AX119" s="387">
        <v>9.9809999999999999</v>
      </c>
      <c r="AY119" s="387">
        <v>7.6180000000000003</v>
      </c>
      <c r="AZ119" s="387">
        <v>6.016</v>
      </c>
      <c r="BA119" s="387">
        <v>3.5270000000000001</v>
      </c>
      <c r="BB119" s="387">
        <v>3.1240000000000001</v>
      </c>
      <c r="BC119" s="387">
        <v>1.319</v>
      </c>
      <c r="BD119" s="387">
        <v>0.82799999999999996</v>
      </c>
      <c r="BE119" s="387">
        <v>0.378</v>
      </c>
      <c r="BF119" s="387">
        <v>0.59099999999999997</v>
      </c>
      <c r="BG119" s="387">
        <v>0.161</v>
      </c>
      <c r="BH119" s="387">
        <v>0</v>
      </c>
      <c r="BI119" s="387">
        <v>0</v>
      </c>
      <c r="BJ119" s="387">
        <v>0</v>
      </c>
      <c r="BK119" s="387">
        <v>0</v>
      </c>
      <c r="BL119" s="387">
        <v>0</v>
      </c>
      <c r="BM119" s="387">
        <v>0</v>
      </c>
      <c r="BN119" s="387">
        <v>0</v>
      </c>
      <c r="BO119" s="387">
        <v>0</v>
      </c>
    </row>
    <row r="120" spans="1:67" x14ac:dyDescent="0.2">
      <c r="A120" s="386" t="s">
        <v>896</v>
      </c>
      <c r="B120" s="387">
        <v>0</v>
      </c>
      <c r="C120" s="387">
        <v>0</v>
      </c>
      <c r="D120" s="387">
        <v>0</v>
      </c>
      <c r="E120" s="387">
        <v>0</v>
      </c>
      <c r="F120" s="387">
        <v>0</v>
      </c>
      <c r="G120" s="387">
        <v>0</v>
      </c>
      <c r="H120" s="387">
        <v>0</v>
      </c>
      <c r="I120" s="387">
        <v>0</v>
      </c>
      <c r="J120" s="387">
        <v>0</v>
      </c>
      <c r="K120" s="387">
        <v>0</v>
      </c>
      <c r="L120" s="387">
        <v>0</v>
      </c>
      <c r="M120" s="387">
        <v>0</v>
      </c>
      <c r="N120" s="387">
        <v>0</v>
      </c>
      <c r="O120" s="387">
        <v>1.1779999999999999</v>
      </c>
      <c r="P120" s="387">
        <v>1.9830000000000001</v>
      </c>
      <c r="Q120" s="387">
        <v>0.84</v>
      </c>
      <c r="R120" s="387">
        <v>1.73</v>
      </c>
      <c r="S120" s="387">
        <v>4.2489999999999997</v>
      </c>
      <c r="T120" s="387">
        <v>3.1890000000000001</v>
      </c>
      <c r="U120" s="387">
        <v>1.554</v>
      </c>
      <c r="V120" s="387">
        <v>7.056</v>
      </c>
      <c r="W120" s="387">
        <v>6.2619999999999996</v>
      </c>
      <c r="X120" s="387">
        <v>7.5030000000000001</v>
      </c>
      <c r="Y120" s="387">
        <v>15.321</v>
      </c>
      <c r="Z120" s="387">
        <v>11.712</v>
      </c>
      <c r="AA120" s="387">
        <v>14.709</v>
      </c>
      <c r="AB120" s="387">
        <v>14.817</v>
      </c>
      <c r="AC120" s="387">
        <v>12.224</v>
      </c>
      <c r="AD120" s="387">
        <v>11.459</v>
      </c>
      <c r="AE120" s="387">
        <v>6.2939999999999996</v>
      </c>
      <c r="AF120" s="387">
        <v>13.032</v>
      </c>
      <c r="AG120" s="387">
        <v>14.2</v>
      </c>
      <c r="AH120" s="387">
        <v>18.552</v>
      </c>
      <c r="AI120" s="387">
        <v>14.321999999999999</v>
      </c>
      <c r="AJ120" s="387">
        <v>11.382</v>
      </c>
      <c r="AK120" s="387">
        <v>21.812000000000001</v>
      </c>
      <c r="AL120" s="387">
        <v>25.959</v>
      </c>
      <c r="AM120" s="387">
        <v>32.04</v>
      </c>
      <c r="AN120" s="387">
        <v>24.736000000000001</v>
      </c>
      <c r="AO120" s="387">
        <v>25.36</v>
      </c>
      <c r="AP120" s="387">
        <v>29.085999999999999</v>
      </c>
      <c r="AQ120" s="387">
        <v>27.01</v>
      </c>
      <c r="AR120" s="387">
        <v>29.757000000000001</v>
      </c>
      <c r="AS120" s="387">
        <v>27.376999999999999</v>
      </c>
      <c r="AT120" s="387">
        <v>29.251999999999999</v>
      </c>
      <c r="AU120" s="387">
        <v>30.523</v>
      </c>
      <c r="AV120" s="387">
        <v>25.120999999999999</v>
      </c>
      <c r="AW120" s="387">
        <v>22.6</v>
      </c>
      <c r="AX120" s="387">
        <v>18.638999999999999</v>
      </c>
      <c r="AY120" s="387">
        <v>13.824</v>
      </c>
      <c r="AZ120" s="387">
        <v>16.873999999999999</v>
      </c>
      <c r="BA120" s="387">
        <v>10.335000000000001</v>
      </c>
      <c r="BB120" s="387">
        <v>13.03</v>
      </c>
      <c r="BC120" s="387">
        <v>5.3390000000000004</v>
      </c>
      <c r="BD120" s="387">
        <v>2.5499999999999998</v>
      </c>
      <c r="BE120" s="387">
        <v>5.0730000000000004</v>
      </c>
      <c r="BF120" s="387">
        <v>3.19</v>
      </c>
      <c r="BG120" s="387">
        <v>0.90900000000000003</v>
      </c>
      <c r="BH120" s="387">
        <v>0.47099999999999997</v>
      </c>
      <c r="BI120" s="387">
        <v>0</v>
      </c>
      <c r="BJ120" s="387">
        <v>0</v>
      </c>
      <c r="BK120" s="387">
        <v>0</v>
      </c>
      <c r="BL120" s="387">
        <v>0</v>
      </c>
      <c r="BM120" s="387">
        <v>0</v>
      </c>
      <c r="BN120" s="387">
        <v>0</v>
      </c>
      <c r="BO120" s="387">
        <v>0</v>
      </c>
    </row>
    <row r="121" spans="1:67" x14ac:dyDescent="0.2">
      <c r="A121" s="386" t="s">
        <v>897</v>
      </c>
      <c r="B121" s="387">
        <v>0</v>
      </c>
      <c r="C121" s="387">
        <v>0</v>
      </c>
      <c r="D121" s="387">
        <v>0</v>
      </c>
      <c r="E121" s="387">
        <v>0</v>
      </c>
      <c r="F121" s="387">
        <v>0</v>
      </c>
      <c r="G121" s="387">
        <v>0</v>
      </c>
      <c r="H121" s="387">
        <v>0</v>
      </c>
      <c r="I121" s="387">
        <v>0</v>
      </c>
      <c r="J121" s="387">
        <v>0</v>
      </c>
      <c r="K121" s="387">
        <v>0</v>
      </c>
      <c r="L121" s="387">
        <v>0</v>
      </c>
      <c r="M121" s="387">
        <v>0</v>
      </c>
      <c r="N121" s="387">
        <v>0</v>
      </c>
      <c r="O121" s="387">
        <v>0</v>
      </c>
      <c r="P121" s="387">
        <v>0</v>
      </c>
      <c r="Q121" s="387">
        <v>0</v>
      </c>
      <c r="R121" s="387">
        <v>0</v>
      </c>
      <c r="S121" s="387">
        <v>0.61499999999999999</v>
      </c>
      <c r="T121" s="387">
        <v>0.41599999999999998</v>
      </c>
      <c r="U121" s="387">
        <v>0.158</v>
      </c>
      <c r="V121" s="387">
        <v>0.64300000000000002</v>
      </c>
      <c r="W121" s="387">
        <v>0.374</v>
      </c>
      <c r="X121" s="387">
        <v>0.214</v>
      </c>
      <c r="Y121" s="387">
        <v>1.794</v>
      </c>
      <c r="Z121" s="387">
        <v>1.0920000000000001</v>
      </c>
      <c r="AA121" s="387">
        <v>1.542</v>
      </c>
      <c r="AB121" s="387">
        <v>2.4580000000000002</v>
      </c>
      <c r="AC121" s="387">
        <v>2.1429999999999998</v>
      </c>
      <c r="AD121" s="387">
        <v>1.3160000000000001</v>
      </c>
      <c r="AE121" s="387">
        <v>0.45900000000000002</v>
      </c>
      <c r="AF121" s="387">
        <v>1.1990000000000001</v>
      </c>
      <c r="AG121" s="387">
        <v>1.593</v>
      </c>
      <c r="AH121" s="387">
        <v>3.69</v>
      </c>
      <c r="AI121" s="387">
        <v>2.7370000000000001</v>
      </c>
      <c r="AJ121" s="387">
        <v>0.93300000000000005</v>
      </c>
      <c r="AK121" s="387">
        <v>1.768</v>
      </c>
      <c r="AL121" s="387">
        <v>4.0209999999999999</v>
      </c>
      <c r="AM121" s="387">
        <v>6.4909999999999997</v>
      </c>
      <c r="AN121" s="387">
        <v>5.0910000000000002</v>
      </c>
      <c r="AO121" s="387">
        <v>6.0069999999999997</v>
      </c>
      <c r="AP121" s="387">
        <v>5.6020000000000003</v>
      </c>
      <c r="AQ121" s="387">
        <v>11.013</v>
      </c>
      <c r="AR121" s="387">
        <v>9.7889999999999997</v>
      </c>
      <c r="AS121" s="387">
        <v>9.1760000000000002</v>
      </c>
      <c r="AT121" s="387">
        <v>24.047000000000001</v>
      </c>
      <c r="AU121" s="387">
        <v>18.678000000000001</v>
      </c>
      <c r="AV121" s="387">
        <v>12.608000000000001</v>
      </c>
      <c r="AW121" s="387">
        <v>14.106999999999999</v>
      </c>
      <c r="AX121" s="387">
        <v>12.176</v>
      </c>
      <c r="AY121" s="387">
        <v>9.6319999999999997</v>
      </c>
      <c r="AZ121" s="387">
        <v>16.096</v>
      </c>
      <c r="BA121" s="387">
        <v>8.2270000000000003</v>
      </c>
      <c r="BB121" s="387">
        <v>13.313000000000001</v>
      </c>
      <c r="BC121" s="387">
        <v>6.5960000000000001</v>
      </c>
      <c r="BD121" s="387">
        <v>1.796</v>
      </c>
      <c r="BE121" s="387">
        <v>6.9189999999999996</v>
      </c>
      <c r="BF121" s="387">
        <v>2.3620000000000001</v>
      </c>
      <c r="BG121" s="387">
        <v>0.85599999999999998</v>
      </c>
      <c r="BH121" s="387">
        <v>0.435</v>
      </c>
      <c r="BI121" s="387">
        <v>0</v>
      </c>
      <c r="BJ121" s="387">
        <v>0</v>
      </c>
      <c r="BK121" s="387">
        <v>0</v>
      </c>
      <c r="BL121" s="387">
        <v>0</v>
      </c>
      <c r="BM121" s="387">
        <v>0</v>
      </c>
      <c r="BN121" s="387">
        <v>0</v>
      </c>
      <c r="BO121" s="387">
        <v>0</v>
      </c>
    </row>
    <row r="122" spans="1:67" x14ac:dyDescent="0.2">
      <c r="A122" s="388" t="s">
        <v>898</v>
      </c>
      <c r="B122" s="389">
        <v>0</v>
      </c>
      <c r="C122" s="389">
        <v>0</v>
      </c>
      <c r="D122" s="389">
        <v>0</v>
      </c>
      <c r="E122" s="389">
        <v>0</v>
      </c>
      <c r="F122" s="389">
        <v>0</v>
      </c>
      <c r="G122" s="389">
        <v>0</v>
      </c>
      <c r="H122" s="389">
        <v>0</v>
      </c>
      <c r="I122" s="389">
        <v>0</v>
      </c>
      <c r="J122" s="389">
        <v>0</v>
      </c>
      <c r="K122" s="389">
        <v>0</v>
      </c>
      <c r="L122" s="389">
        <v>0</v>
      </c>
      <c r="M122" s="389">
        <v>0</v>
      </c>
      <c r="N122" s="389">
        <v>0</v>
      </c>
      <c r="O122" s="389">
        <v>0</v>
      </c>
      <c r="P122" s="389">
        <v>0</v>
      </c>
      <c r="Q122" s="389">
        <v>0</v>
      </c>
      <c r="R122" s="389">
        <v>0</v>
      </c>
      <c r="S122" s="389">
        <v>0</v>
      </c>
      <c r="T122" s="389">
        <v>0</v>
      </c>
      <c r="U122" s="389">
        <v>0.152</v>
      </c>
      <c r="V122" s="389">
        <v>0</v>
      </c>
      <c r="W122" s="389">
        <v>0.35599999999999998</v>
      </c>
      <c r="X122" s="389">
        <v>0.19700000000000001</v>
      </c>
      <c r="Y122" s="389">
        <v>0.156</v>
      </c>
      <c r="Z122" s="389">
        <v>0.20799999999999999</v>
      </c>
      <c r="AA122" s="389">
        <v>0.16800000000000001</v>
      </c>
      <c r="AB122" s="389">
        <v>0.36</v>
      </c>
      <c r="AC122" s="389">
        <v>0.94499999999999995</v>
      </c>
      <c r="AD122" s="389">
        <v>0.95</v>
      </c>
      <c r="AE122" s="389">
        <v>0.32</v>
      </c>
      <c r="AF122" s="389">
        <v>0.315</v>
      </c>
      <c r="AG122" s="389">
        <v>0.78900000000000003</v>
      </c>
      <c r="AH122" s="389">
        <v>0.32600000000000001</v>
      </c>
      <c r="AI122" s="389">
        <v>0</v>
      </c>
      <c r="AJ122" s="389">
        <v>0</v>
      </c>
      <c r="AK122" s="389">
        <v>0.153</v>
      </c>
      <c r="AL122" s="389">
        <v>0.155</v>
      </c>
      <c r="AM122" s="389">
        <v>0.161</v>
      </c>
      <c r="AN122" s="389">
        <v>0</v>
      </c>
      <c r="AO122" s="389">
        <v>0.63800000000000001</v>
      </c>
      <c r="AP122" s="389">
        <v>0.309</v>
      </c>
      <c r="AQ122" s="389">
        <v>0.61799999999999999</v>
      </c>
      <c r="AR122" s="389">
        <v>0.317</v>
      </c>
      <c r="AS122" s="389">
        <v>1.0229999999999999</v>
      </c>
      <c r="AT122" s="389">
        <v>1.913</v>
      </c>
      <c r="AU122" s="389">
        <v>1.871</v>
      </c>
      <c r="AV122" s="389">
        <v>1.7450000000000001</v>
      </c>
      <c r="AW122" s="389">
        <v>0.64600000000000002</v>
      </c>
      <c r="AX122" s="389">
        <v>0.95399999999999996</v>
      </c>
      <c r="AY122" s="389">
        <v>0.65200000000000002</v>
      </c>
      <c r="AZ122" s="389">
        <v>0.61399999999999999</v>
      </c>
      <c r="BA122" s="389">
        <v>0.153</v>
      </c>
      <c r="BB122" s="389">
        <v>0.155</v>
      </c>
      <c r="BC122" s="389">
        <v>0.314</v>
      </c>
      <c r="BD122" s="389">
        <v>0</v>
      </c>
      <c r="BE122" s="389">
        <v>0.45700000000000002</v>
      </c>
      <c r="BF122" s="389">
        <v>0.311</v>
      </c>
      <c r="BG122" s="389">
        <v>0.154</v>
      </c>
      <c r="BH122" s="389">
        <v>0</v>
      </c>
      <c r="BI122" s="389">
        <v>0</v>
      </c>
      <c r="BJ122" s="389">
        <v>0</v>
      </c>
      <c r="BK122" s="389">
        <v>0</v>
      </c>
      <c r="BL122" s="389">
        <v>0</v>
      </c>
      <c r="BM122" s="389">
        <v>0</v>
      </c>
      <c r="BN122" s="389">
        <v>0</v>
      </c>
      <c r="BO122" s="389">
        <v>0</v>
      </c>
    </row>
    <row r="124" spans="1:67" x14ac:dyDescent="0.2">
      <c r="A124" s="380" t="s">
        <v>3173</v>
      </c>
      <c r="B124" s="381" t="s">
        <v>912</v>
      </c>
    </row>
    <row r="125" spans="1:67" x14ac:dyDescent="0.2">
      <c r="A125" s="382" t="s">
        <v>913</v>
      </c>
      <c r="B125" s="383"/>
    </row>
    <row r="126" spans="1:67" x14ac:dyDescent="0.2">
      <c r="A126" s="384" t="s">
        <v>3175</v>
      </c>
      <c r="B126" s="384">
        <v>-25</v>
      </c>
      <c r="C126" s="384">
        <v>-24</v>
      </c>
      <c r="D126" s="384">
        <v>-23</v>
      </c>
      <c r="E126" s="384">
        <v>-22</v>
      </c>
      <c r="F126" s="384">
        <v>-21</v>
      </c>
      <c r="G126" s="384">
        <v>-20</v>
      </c>
      <c r="H126" s="384">
        <v>-19</v>
      </c>
      <c r="I126" s="384">
        <v>-18</v>
      </c>
      <c r="J126" s="384">
        <v>-17</v>
      </c>
      <c r="K126" s="384">
        <v>-16</v>
      </c>
      <c r="L126" s="384">
        <v>-15</v>
      </c>
      <c r="M126" s="384">
        <v>-14</v>
      </c>
      <c r="N126" s="384">
        <v>-13</v>
      </c>
      <c r="O126" s="384">
        <v>-12</v>
      </c>
      <c r="P126" s="384">
        <v>-11</v>
      </c>
      <c r="Q126" s="384">
        <v>-10</v>
      </c>
      <c r="R126" s="384">
        <v>-9</v>
      </c>
      <c r="S126" s="384">
        <v>-8</v>
      </c>
      <c r="T126" s="384">
        <v>-7</v>
      </c>
      <c r="U126" s="384">
        <v>-6</v>
      </c>
      <c r="V126" s="384">
        <v>-5</v>
      </c>
      <c r="W126" s="384">
        <v>-4</v>
      </c>
      <c r="X126" s="384">
        <v>-3</v>
      </c>
      <c r="Y126" s="384">
        <v>-2</v>
      </c>
      <c r="Z126" s="384">
        <v>-1</v>
      </c>
      <c r="AA126" s="384">
        <v>0</v>
      </c>
      <c r="AB126" s="384">
        <v>1</v>
      </c>
      <c r="AC126" s="384">
        <v>2</v>
      </c>
      <c r="AD126" s="384">
        <v>3</v>
      </c>
      <c r="AE126" s="384">
        <v>4</v>
      </c>
      <c r="AF126" s="384">
        <v>5</v>
      </c>
      <c r="AG126" s="384">
        <v>6</v>
      </c>
      <c r="AH126" s="384">
        <v>7</v>
      </c>
      <c r="AI126" s="384">
        <v>8</v>
      </c>
      <c r="AJ126" s="384">
        <v>9</v>
      </c>
      <c r="AK126" s="384">
        <v>10</v>
      </c>
      <c r="AL126" s="384">
        <v>11</v>
      </c>
      <c r="AM126" s="384">
        <v>12</v>
      </c>
      <c r="AN126" s="384">
        <v>13</v>
      </c>
      <c r="AO126" s="384">
        <v>14</v>
      </c>
      <c r="AP126" s="384">
        <v>15</v>
      </c>
      <c r="AQ126" s="384">
        <v>16</v>
      </c>
      <c r="AR126" s="384">
        <v>17</v>
      </c>
      <c r="AS126" s="384">
        <v>18</v>
      </c>
      <c r="AT126" s="384">
        <v>19</v>
      </c>
      <c r="AU126" s="384">
        <v>20</v>
      </c>
      <c r="AV126" s="384">
        <v>21</v>
      </c>
      <c r="AW126" s="384">
        <v>22</v>
      </c>
      <c r="AX126" s="384">
        <v>23</v>
      </c>
      <c r="AY126" s="384">
        <v>24</v>
      </c>
      <c r="AZ126" s="384">
        <v>25</v>
      </c>
      <c r="BA126" s="384">
        <v>26</v>
      </c>
      <c r="BB126" s="384">
        <v>27</v>
      </c>
      <c r="BC126" s="384">
        <v>28</v>
      </c>
      <c r="BD126" s="384">
        <v>29</v>
      </c>
      <c r="BE126" s="384">
        <v>30</v>
      </c>
      <c r="BF126" s="384">
        <v>31</v>
      </c>
      <c r="BG126" s="384">
        <v>32</v>
      </c>
      <c r="BH126" s="384">
        <v>33</v>
      </c>
      <c r="BI126" s="384">
        <v>34</v>
      </c>
      <c r="BJ126" s="384">
        <v>35</v>
      </c>
      <c r="BK126" s="384">
        <v>36</v>
      </c>
      <c r="BL126" s="384">
        <v>37</v>
      </c>
      <c r="BM126" s="384">
        <v>38</v>
      </c>
      <c r="BN126" s="384">
        <v>39</v>
      </c>
      <c r="BO126" s="384">
        <v>40</v>
      </c>
    </row>
    <row r="127" spans="1:67" x14ac:dyDescent="0.2">
      <c r="A127" s="385" t="s">
        <v>3176</v>
      </c>
      <c r="B127" s="385">
        <v>0</v>
      </c>
      <c r="C127" s="385">
        <v>0</v>
      </c>
      <c r="D127" s="385">
        <v>0</v>
      </c>
      <c r="E127" s="385">
        <v>0</v>
      </c>
      <c r="F127" s="385">
        <v>13</v>
      </c>
      <c r="G127" s="385">
        <v>4</v>
      </c>
      <c r="H127" s="385">
        <v>19</v>
      </c>
      <c r="I127" s="385">
        <v>11</v>
      </c>
      <c r="J127" s="385">
        <v>15</v>
      </c>
      <c r="K127" s="385">
        <v>21</v>
      </c>
      <c r="L127" s="385">
        <v>33</v>
      </c>
      <c r="M127" s="385">
        <v>71</v>
      </c>
      <c r="N127" s="385">
        <v>91</v>
      </c>
      <c r="O127" s="385">
        <v>169</v>
      </c>
      <c r="P127" s="385">
        <v>200</v>
      </c>
      <c r="Q127" s="385">
        <v>145</v>
      </c>
      <c r="R127" s="385">
        <v>200</v>
      </c>
      <c r="S127" s="385">
        <v>217</v>
      </c>
      <c r="T127" s="385">
        <v>270</v>
      </c>
      <c r="U127" s="385">
        <v>392</v>
      </c>
      <c r="V127" s="385">
        <v>501</v>
      </c>
      <c r="W127" s="385">
        <v>433</v>
      </c>
      <c r="X127" s="385">
        <v>490</v>
      </c>
      <c r="Y127" s="385">
        <v>550</v>
      </c>
      <c r="Z127" s="385">
        <v>534</v>
      </c>
      <c r="AA127" s="385">
        <v>357</v>
      </c>
      <c r="AB127" s="385">
        <v>355</v>
      </c>
      <c r="AC127" s="385">
        <v>453</v>
      </c>
      <c r="AD127" s="385">
        <v>472</v>
      </c>
      <c r="AE127" s="385">
        <v>453</v>
      </c>
      <c r="AF127" s="385">
        <v>372</v>
      </c>
      <c r="AG127" s="385">
        <v>349</v>
      </c>
      <c r="AH127" s="385">
        <v>278</v>
      </c>
      <c r="AI127" s="385">
        <v>232</v>
      </c>
      <c r="AJ127" s="385">
        <v>245</v>
      </c>
      <c r="AK127" s="385">
        <v>218</v>
      </c>
      <c r="AL127" s="385">
        <v>192</v>
      </c>
      <c r="AM127" s="385">
        <v>131</v>
      </c>
      <c r="AN127" s="385">
        <v>117</v>
      </c>
      <c r="AO127" s="385">
        <v>81</v>
      </c>
      <c r="AP127" s="385">
        <v>47</v>
      </c>
      <c r="AQ127" s="385">
        <v>24</v>
      </c>
      <c r="AR127" s="385">
        <v>5</v>
      </c>
      <c r="AS127" s="385">
        <v>0</v>
      </c>
      <c r="AT127" s="385">
        <v>0</v>
      </c>
      <c r="AU127" s="385">
        <v>0</v>
      </c>
      <c r="AV127" s="385">
        <v>0</v>
      </c>
      <c r="AW127" s="385">
        <v>0</v>
      </c>
      <c r="AX127" s="385">
        <v>0</v>
      </c>
      <c r="AY127" s="385">
        <v>0</v>
      </c>
      <c r="AZ127" s="385">
        <v>0</v>
      </c>
      <c r="BA127" s="385">
        <v>0</v>
      </c>
      <c r="BB127" s="385">
        <v>0</v>
      </c>
      <c r="BC127" s="385">
        <v>0</v>
      </c>
      <c r="BD127" s="385">
        <v>0</v>
      </c>
      <c r="BE127" s="385">
        <v>0</v>
      </c>
      <c r="BF127" s="385">
        <v>0</v>
      </c>
      <c r="BG127" s="385">
        <v>0</v>
      </c>
      <c r="BH127" s="385">
        <v>0</v>
      </c>
      <c r="BI127" s="385">
        <v>0</v>
      </c>
      <c r="BJ127" s="385">
        <v>0</v>
      </c>
      <c r="BK127" s="385">
        <v>0</v>
      </c>
      <c r="BL127" s="385">
        <v>0</v>
      </c>
      <c r="BM127" s="385">
        <v>0</v>
      </c>
      <c r="BN127" s="385">
        <v>0</v>
      </c>
      <c r="BO127" s="385">
        <v>0</v>
      </c>
    </row>
    <row r="128" spans="1:67" x14ac:dyDescent="0.2">
      <c r="A128" s="386" t="s">
        <v>893</v>
      </c>
      <c r="B128" s="386">
        <v>0</v>
      </c>
      <c r="C128" s="386">
        <v>0</v>
      </c>
      <c r="D128" s="386">
        <v>0</v>
      </c>
      <c r="E128" s="386">
        <v>0</v>
      </c>
      <c r="F128" s="386">
        <v>0</v>
      </c>
      <c r="G128" s="386">
        <v>0</v>
      </c>
      <c r="H128" s="386">
        <v>24</v>
      </c>
      <c r="I128" s="386">
        <v>0</v>
      </c>
      <c r="J128" s="386">
        <v>48</v>
      </c>
      <c r="K128" s="386">
        <v>0</v>
      </c>
      <c r="L128" s="386">
        <v>24</v>
      </c>
      <c r="M128" s="386">
        <v>48</v>
      </c>
      <c r="N128" s="386">
        <v>24</v>
      </c>
      <c r="O128" s="386">
        <v>192</v>
      </c>
      <c r="P128" s="386">
        <v>216</v>
      </c>
      <c r="Q128" s="386">
        <v>192</v>
      </c>
      <c r="R128" s="386">
        <v>96</v>
      </c>
      <c r="S128" s="386">
        <v>336</v>
      </c>
      <c r="T128" s="386">
        <v>240</v>
      </c>
      <c r="U128" s="386">
        <v>408</v>
      </c>
      <c r="V128" s="386">
        <v>384</v>
      </c>
      <c r="W128" s="386">
        <v>648</v>
      </c>
      <c r="X128" s="386">
        <v>408</v>
      </c>
      <c r="Y128" s="386">
        <v>696</v>
      </c>
      <c r="Z128" s="386">
        <v>384</v>
      </c>
      <c r="AA128" s="386">
        <v>384</v>
      </c>
      <c r="AB128" s="386">
        <v>312</v>
      </c>
      <c r="AC128" s="386">
        <v>408</v>
      </c>
      <c r="AD128" s="386">
        <v>480</v>
      </c>
      <c r="AE128" s="386">
        <v>456</v>
      </c>
      <c r="AF128" s="386">
        <v>552</v>
      </c>
      <c r="AG128" s="386">
        <v>384</v>
      </c>
      <c r="AH128" s="386">
        <v>192</v>
      </c>
      <c r="AI128" s="386">
        <v>264</v>
      </c>
      <c r="AJ128" s="386">
        <v>72</v>
      </c>
      <c r="AK128" s="386">
        <v>264</v>
      </c>
      <c r="AL128" s="386">
        <v>264</v>
      </c>
      <c r="AM128" s="386">
        <v>264</v>
      </c>
      <c r="AN128" s="386">
        <v>72</v>
      </c>
      <c r="AO128" s="386">
        <v>24</v>
      </c>
      <c r="AP128" s="386">
        <v>0</v>
      </c>
      <c r="AQ128" s="386">
        <v>0</v>
      </c>
      <c r="AR128" s="386">
        <v>0</v>
      </c>
      <c r="AS128" s="386">
        <v>0</v>
      </c>
      <c r="AT128" s="386">
        <v>0</v>
      </c>
      <c r="AU128" s="386">
        <v>0</v>
      </c>
      <c r="AV128" s="386">
        <v>0</v>
      </c>
      <c r="AW128" s="386">
        <v>0</v>
      </c>
      <c r="AX128" s="386">
        <v>0</v>
      </c>
      <c r="AY128" s="386">
        <v>0</v>
      </c>
      <c r="AZ128" s="386">
        <v>0</v>
      </c>
      <c r="BA128" s="386">
        <v>0</v>
      </c>
      <c r="BB128" s="386">
        <v>0</v>
      </c>
      <c r="BC128" s="386">
        <v>0</v>
      </c>
      <c r="BD128" s="386">
        <v>0</v>
      </c>
      <c r="BE128" s="386">
        <v>0</v>
      </c>
      <c r="BF128" s="386">
        <v>0</v>
      </c>
      <c r="BG128" s="386">
        <v>0</v>
      </c>
      <c r="BH128" s="386">
        <v>0</v>
      </c>
      <c r="BI128" s="386">
        <v>0</v>
      </c>
      <c r="BJ128" s="386">
        <v>0</v>
      </c>
      <c r="BK128" s="386">
        <v>0</v>
      </c>
      <c r="BL128" s="386">
        <v>0</v>
      </c>
      <c r="BM128" s="386">
        <v>0</v>
      </c>
      <c r="BN128" s="386">
        <v>0</v>
      </c>
      <c r="BO128" s="386">
        <v>0</v>
      </c>
    </row>
    <row r="129" spans="1:67" x14ac:dyDescent="0.2">
      <c r="A129" s="386" t="s">
        <v>894</v>
      </c>
      <c r="B129" s="387">
        <v>0</v>
      </c>
      <c r="C129" s="387">
        <v>0</v>
      </c>
      <c r="D129" s="387">
        <v>0</v>
      </c>
      <c r="E129" s="387">
        <v>0</v>
      </c>
      <c r="F129" s="387">
        <v>0</v>
      </c>
      <c r="G129" s="387">
        <v>0</v>
      </c>
      <c r="H129" s="387">
        <v>1.4419999999999999</v>
      </c>
      <c r="I129" s="387">
        <v>1.1200000000000001</v>
      </c>
      <c r="J129" s="387">
        <v>1.7130000000000001</v>
      </c>
      <c r="K129" s="387">
        <v>1.1020000000000001</v>
      </c>
      <c r="L129" s="387">
        <v>1.6639999999999999</v>
      </c>
      <c r="M129" s="387">
        <v>3.0489999999999999</v>
      </c>
      <c r="N129" s="387">
        <v>4.2549999999999999</v>
      </c>
      <c r="O129" s="387">
        <v>13.916</v>
      </c>
      <c r="P129" s="387">
        <v>16.414000000000001</v>
      </c>
      <c r="Q129" s="387">
        <v>11.048999999999999</v>
      </c>
      <c r="R129" s="387">
        <v>17.079000000000001</v>
      </c>
      <c r="S129" s="387">
        <v>12.826000000000001</v>
      </c>
      <c r="T129" s="387">
        <v>17.794</v>
      </c>
      <c r="U129" s="387">
        <v>23.279</v>
      </c>
      <c r="V129" s="387">
        <v>22.881</v>
      </c>
      <c r="W129" s="387">
        <v>40.280999999999999</v>
      </c>
      <c r="X129" s="387">
        <v>51.771000000000001</v>
      </c>
      <c r="Y129" s="387">
        <v>64.144999999999996</v>
      </c>
      <c r="Z129" s="387">
        <v>66.004999999999995</v>
      </c>
      <c r="AA129" s="387">
        <v>47.293999999999997</v>
      </c>
      <c r="AB129" s="387">
        <v>53.697000000000003</v>
      </c>
      <c r="AC129" s="387">
        <v>52.695</v>
      </c>
      <c r="AD129" s="387">
        <v>47.552</v>
      </c>
      <c r="AE129" s="387">
        <v>58.744</v>
      </c>
      <c r="AF129" s="387">
        <v>68.418000000000006</v>
      </c>
      <c r="AG129" s="387">
        <v>92.051000000000002</v>
      </c>
      <c r="AH129" s="387">
        <v>72.775000000000006</v>
      </c>
      <c r="AI129" s="387">
        <v>59.591000000000001</v>
      </c>
      <c r="AJ129" s="387">
        <v>58.188000000000002</v>
      </c>
      <c r="AK129" s="387">
        <v>34.082000000000001</v>
      </c>
      <c r="AL129" s="387">
        <v>54.043999999999997</v>
      </c>
      <c r="AM129" s="387">
        <v>43.223999999999997</v>
      </c>
      <c r="AN129" s="387">
        <v>52.863</v>
      </c>
      <c r="AO129" s="387">
        <v>45.119</v>
      </c>
      <c r="AP129" s="387">
        <v>27.081</v>
      </c>
      <c r="AQ129" s="387">
        <v>14.843</v>
      </c>
      <c r="AR129" s="387">
        <v>3.0550000000000002</v>
      </c>
      <c r="AS129" s="387">
        <v>0</v>
      </c>
      <c r="AT129" s="387">
        <v>0</v>
      </c>
      <c r="AU129" s="387">
        <v>0</v>
      </c>
      <c r="AV129" s="387">
        <v>0</v>
      </c>
      <c r="AW129" s="387">
        <v>0</v>
      </c>
      <c r="AX129" s="387">
        <v>0</v>
      </c>
      <c r="AY129" s="387">
        <v>0</v>
      </c>
      <c r="AZ129" s="387">
        <v>0</v>
      </c>
      <c r="BA129" s="387">
        <v>0</v>
      </c>
      <c r="BB129" s="387">
        <v>0</v>
      </c>
      <c r="BC129" s="387">
        <v>0</v>
      </c>
      <c r="BD129" s="387">
        <v>0</v>
      </c>
      <c r="BE129" s="387">
        <v>0</v>
      </c>
      <c r="BF129" s="387">
        <v>0</v>
      </c>
      <c r="BG129" s="387">
        <v>0</v>
      </c>
      <c r="BH129" s="387">
        <v>0</v>
      </c>
      <c r="BI129" s="387">
        <v>0</v>
      </c>
      <c r="BJ129" s="387">
        <v>0</v>
      </c>
      <c r="BK129" s="387">
        <v>0</v>
      </c>
      <c r="BL129" s="387">
        <v>0</v>
      </c>
      <c r="BM129" s="387">
        <v>0</v>
      </c>
      <c r="BN129" s="387">
        <v>0</v>
      </c>
      <c r="BO129" s="387">
        <v>0</v>
      </c>
    </row>
    <row r="130" spans="1:67" x14ac:dyDescent="0.2">
      <c r="A130" s="386" t="s">
        <v>895</v>
      </c>
      <c r="B130" s="387">
        <v>0</v>
      </c>
      <c r="C130" s="387">
        <v>0</v>
      </c>
      <c r="D130" s="387">
        <v>0</v>
      </c>
      <c r="E130" s="387">
        <v>0</v>
      </c>
      <c r="F130" s="387">
        <v>0</v>
      </c>
      <c r="G130" s="387">
        <v>0</v>
      </c>
      <c r="H130" s="387">
        <v>0.97699999999999998</v>
      </c>
      <c r="I130" s="387">
        <v>0.95399999999999996</v>
      </c>
      <c r="J130" s="387">
        <v>1.173</v>
      </c>
      <c r="K130" s="387">
        <v>0.53800000000000003</v>
      </c>
      <c r="L130" s="387">
        <v>1.669</v>
      </c>
      <c r="M130" s="387">
        <v>3.0939999999999999</v>
      </c>
      <c r="N130" s="387">
        <v>4.0330000000000004</v>
      </c>
      <c r="O130" s="387">
        <v>10.675000000000001</v>
      </c>
      <c r="P130" s="387">
        <v>13.510999999999999</v>
      </c>
      <c r="Q130" s="387">
        <v>8.1999999999999993</v>
      </c>
      <c r="R130" s="387">
        <v>13.692</v>
      </c>
      <c r="S130" s="387">
        <v>10.946999999999999</v>
      </c>
      <c r="T130" s="387">
        <v>14.103999999999999</v>
      </c>
      <c r="U130" s="387">
        <v>21.113</v>
      </c>
      <c r="V130" s="387">
        <v>21.196000000000002</v>
      </c>
      <c r="W130" s="387">
        <v>35.091000000000001</v>
      </c>
      <c r="X130" s="387">
        <v>38.845999999999997</v>
      </c>
      <c r="Y130" s="387">
        <v>54.204000000000001</v>
      </c>
      <c r="Z130" s="387">
        <v>50.171999999999997</v>
      </c>
      <c r="AA130" s="387">
        <v>39.109000000000002</v>
      </c>
      <c r="AB130" s="387">
        <v>40.564</v>
      </c>
      <c r="AC130" s="387">
        <v>40.909999999999997</v>
      </c>
      <c r="AD130" s="387">
        <v>38.868000000000002</v>
      </c>
      <c r="AE130" s="387">
        <v>45.341000000000001</v>
      </c>
      <c r="AF130" s="387">
        <v>49.201999999999998</v>
      </c>
      <c r="AG130" s="387">
        <v>57.219000000000001</v>
      </c>
      <c r="AH130" s="387">
        <v>39.427999999999997</v>
      </c>
      <c r="AI130" s="387">
        <v>28.404</v>
      </c>
      <c r="AJ130" s="387">
        <v>30.376999999999999</v>
      </c>
      <c r="AK130" s="387">
        <v>19.465</v>
      </c>
      <c r="AL130" s="387">
        <v>28.315000000000001</v>
      </c>
      <c r="AM130" s="387">
        <v>22.763000000000002</v>
      </c>
      <c r="AN130" s="387">
        <v>19.658000000000001</v>
      </c>
      <c r="AO130" s="387">
        <v>14.804</v>
      </c>
      <c r="AP130" s="387">
        <v>4.6559999999999997</v>
      </c>
      <c r="AQ130" s="387">
        <v>1.02</v>
      </c>
      <c r="AR130" s="387">
        <v>0.151</v>
      </c>
      <c r="AS130" s="387">
        <v>0</v>
      </c>
      <c r="AT130" s="387">
        <v>0</v>
      </c>
      <c r="AU130" s="387">
        <v>0</v>
      </c>
      <c r="AV130" s="387">
        <v>0</v>
      </c>
      <c r="AW130" s="387">
        <v>0</v>
      </c>
      <c r="AX130" s="387">
        <v>0</v>
      </c>
      <c r="AY130" s="387">
        <v>0</v>
      </c>
      <c r="AZ130" s="387">
        <v>0</v>
      </c>
      <c r="BA130" s="387">
        <v>0</v>
      </c>
      <c r="BB130" s="387">
        <v>0</v>
      </c>
      <c r="BC130" s="387">
        <v>0</v>
      </c>
      <c r="BD130" s="387">
        <v>0</v>
      </c>
      <c r="BE130" s="387">
        <v>0</v>
      </c>
      <c r="BF130" s="387">
        <v>0</v>
      </c>
      <c r="BG130" s="387">
        <v>0</v>
      </c>
      <c r="BH130" s="387">
        <v>0</v>
      </c>
      <c r="BI130" s="387">
        <v>0</v>
      </c>
      <c r="BJ130" s="387">
        <v>0</v>
      </c>
      <c r="BK130" s="387">
        <v>0</v>
      </c>
      <c r="BL130" s="387">
        <v>0</v>
      </c>
      <c r="BM130" s="387">
        <v>0</v>
      </c>
      <c r="BN130" s="387">
        <v>0</v>
      </c>
      <c r="BO130" s="387">
        <v>0</v>
      </c>
    </row>
    <row r="131" spans="1:67" x14ac:dyDescent="0.2">
      <c r="A131" s="386" t="s">
        <v>896</v>
      </c>
      <c r="B131" s="387">
        <v>0</v>
      </c>
      <c r="C131" s="387">
        <v>0</v>
      </c>
      <c r="D131" s="387">
        <v>0</v>
      </c>
      <c r="E131" s="387">
        <v>0</v>
      </c>
      <c r="F131" s="387">
        <v>0</v>
      </c>
      <c r="G131" s="387">
        <v>0</v>
      </c>
      <c r="H131" s="387">
        <v>3.1960000000000002</v>
      </c>
      <c r="I131" s="387">
        <v>2.0659999999999998</v>
      </c>
      <c r="J131" s="387">
        <v>3.6909999999999998</v>
      </c>
      <c r="K131" s="387">
        <v>2.5030000000000001</v>
      </c>
      <c r="L131" s="387">
        <v>2.952</v>
      </c>
      <c r="M131" s="387">
        <v>5.0389999999999997</v>
      </c>
      <c r="N131" s="387">
        <v>7.0449999999999999</v>
      </c>
      <c r="O131" s="387">
        <v>22.460999999999999</v>
      </c>
      <c r="P131" s="387">
        <v>22.969000000000001</v>
      </c>
      <c r="Q131" s="387">
        <v>16.263000000000002</v>
      </c>
      <c r="R131" s="387">
        <v>26.26</v>
      </c>
      <c r="S131" s="387">
        <v>17.28</v>
      </c>
      <c r="T131" s="387">
        <v>24.896000000000001</v>
      </c>
      <c r="U131" s="387">
        <v>34.277000000000001</v>
      </c>
      <c r="V131" s="387">
        <v>35.499000000000002</v>
      </c>
      <c r="W131" s="387">
        <v>59.079000000000001</v>
      </c>
      <c r="X131" s="387">
        <v>78.742000000000004</v>
      </c>
      <c r="Y131" s="387">
        <v>88.789000000000001</v>
      </c>
      <c r="Z131" s="387">
        <v>86.905000000000001</v>
      </c>
      <c r="AA131" s="387">
        <v>61.183999999999997</v>
      </c>
      <c r="AB131" s="387">
        <v>59.488999999999997</v>
      </c>
      <c r="AC131" s="387">
        <v>56.963000000000001</v>
      </c>
      <c r="AD131" s="387">
        <v>38.018000000000001</v>
      </c>
      <c r="AE131" s="387">
        <v>46.116</v>
      </c>
      <c r="AF131" s="387">
        <v>50.031999999999996</v>
      </c>
      <c r="AG131" s="387">
        <v>66.203000000000003</v>
      </c>
      <c r="AH131" s="387">
        <v>47.024999999999999</v>
      </c>
      <c r="AI131" s="387">
        <v>38.890999999999998</v>
      </c>
      <c r="AJ131" s="387">
        <v>35.131</v>
      </c>
      <c r="AK131" s="387">
        <v>18.648</v>
      </c>
      <c r="AL131" s="387">
        <v>31.434000000000001</v>
      </c>
      <c r="AM131" s="387">
        <v>22.193999999999999</v>
      </c>
      <c r="AN131" s="387">
        <v>28.175999999999998</v>
      </c>
      <c r="AO131" s="387">
        <v>24.055</v>
      </c>
      <c r="AP131" s="387">
        <v>14.792</v>
      </c>
      <c r="AQ131" s="387">
        <v>8.6010000000000009</v>
      </c>
      <c r="AR131" s="387">
        <v>1.355</v>
      </c>
      <c r="AS131" s="387">
        <v>0</v>
      </c>
      <c r="AT131" s="387">
        <v>0</v>
      </c>
      <c r="AU131" s="387">
        <v>0</v>
      </c>
      <c r="AV131" s="387">
        <v>0</v>
      </c>
      <c r="AW131" s="387">
        <v>0</v>
      </c>
      <c r="AX131" s="387">
        <v>0</v>
      </c>
      <c r="AY131" s="387">
        <v>0</v>
      </c>
      <c r="AZ131" s="387">
        <v>0</v>
      </c>
      <c r="BA131" s="387">
        <v>0</v>
      </c>
      <c r="BB131" s="387">
        <v>0</v>
      </c>
      <c r="BC131" s="387">
        <v>0</v>
      </c>
      <c r="BD131" s="387">
        <v>0</v>
      </c>
      <c r="BE131" s="387">
        <v>0</v>
      </c>
      <c r="BF131" s="387">
        <v>0</v>
      </c>
      <c r="BG131" s="387">
        <v>0</v>
      </c>
      <c r="BH131" s="387">
        <v>0</v>
      </c>
      <c r="BI131" s="387">
        <v>0</v>
      </c>
      <c r="BJ131" s="387">
        <v>0</v>
      </c>
      <c r="BK131" s="387">
        <v>0</v>
      </c>
      <c r="BL131" s="387">
        <v>0</v>
      </c>
      <c r="BM131" s="387">
        <v>0</v>
      </c>
      <c r="BN131" s="387">
        <v>0</v>
      </c>
      <c r="BO131" s="387">
        <v>0</v>
      </c>
    </row>
    <row r="132" spans="1:67" x14ac:dyDescent="0.2">
      <c r="A132" s="386" t="s">
        <v>897</v>
      </c>
      <c r="B132" s="387">
        <v>0</v>
      </c>
      <c r="C132" s="387">
        <v>0</v>
      </c>
      <c r="D132" s="387">
        <v>0</v>
      </c>
      <c r="E132" s="387">
        <v>0</v>
      </c>
      <c r="F132" s="387">
        <v>0</v>
      </c>
      <c r="G132" s="387">
        <v>0</v>
      </c>
      <c r="H132" s="387">
        <v>2.0310000000000001</v>
      </c>
      <c r="I132" s="387">
        <v>0.84199999999999997</v>
      </c>
      <c r="J132" s="387">
        <v>2.6880000000000002</v>
      </c>
      <c r="K132" s="387">
        <v>1.9530000000000001</v>
      </c>
      <c r="L132" s="387">
        <v>1.9179999999999999</v>
      </c>
      <c r="M132" s="387">
        <v>2.9860000000000002</v>
      </c>
      <c r="N132" s="387">
        <v>4.4619999999999997</v>
      </c>
      <c r="O132" s="387">
        <v>14.429</v>
      </c>
      <c r="P132" s="387">
        <v>15.827999999999999</v>
      </c>
      <c r="Q132" s="387">
        <v>10.824999999999999</v>
      </c>
      <c r="R132" s="387">
        <v>17.306000000000001</v>
      </c>
      <c r="S132" s="387">
        <v>11.714</v>
      </c>
      <c r="T132" s="387">
        <v>17.015000000000001</v>
      </c>
      <c r="U132" s="387">
        <v>22.302</v>
      </c>
      <c r="V132" s="387">
        <v>21.483000000000001</v>
      </c>
      <c r="W132" s="387">
        <v>35.948</v>
      </c>
      <c r="X132" s="387">
        <v>55.402000000000001</v>
      </c>
      <c r="Y132" s="387">
        <v>60.47</v>
      </c>
      <c r="Z132" s="387">
        <v>66.533000000000001</v>
      </c>
      <c r="AA132" s="387">
        <v>40.713999999999999</v>
      </c>
      <c r="AB132" s="387">
        <v>49.323</v>
      </c>
      <c r="AC132" s="387">
        <v>43.104999999999997</v>
      </c>
      <c r="AD132" s="387">
        <v>31.186</v>
      </c>
      <c r="AE132" s="387">
        <v>32.445999999999998</v>
      </c>
      <c r="AF132" s="387">
        <v>34.984999999999999</v>
      </c>
      <c r="AG132" s="387">
        <v>50.781999999999996</v>
      </c>
      <c r="AH132" s="387">
        <v>39.984999999999999</v>
      </c>
      <c r="AI132" s="387">
        <v>27.791</v>
      </c>
      <c r="AJ132" s="387">
        <v>26.876999999999999</v>
      </c>
      <c r="AK132" s="387">
        <v>17.611999999999998</v>
      </c>
      <c r="AL132" s="387">
        <v>20.623000000000001</v>
      </c>
      <c r="AM132" s="387">
        <v>20.504000000000001</v>
      </c>
      <c r="AN132" s="387">
        <v>23.510999999999999</v>
      </c>
      <c r="AO132" s="387">
        <v>18.635000000000002</v>
      </c>
      <c r="AP132" s="387">
        <v>11.439</v>
      </c>
      <c r="AQ132" s="387">
        <v>7.4569999999999999</v>
      </c>
      <c r="AR132" s="387">
        <v>2.976</v>
      </c>
      <c r="AS132" s="387">
        <v>0</v>
      </c>
      <c r="AT132" s="387">
        <v>0</v>
      </c>
      <c r="AU132" s="387">
        <v>0</v>
      </c>
      <c r="AV132" s="387">
        <v>0</v>
      </c>
      <c r="AW132" s="387">
        <v>0</v>
      </c>
      <c r="AX132" s="387">
        <v>0</v>
      </c>
      <c r="AY132" s="387">
        <v>0</v>
      </c>
      <c r="AZ132" s="387">
        <v>0</v>
      </c>
      <c r="BA132" s="387">
        <v>0</v>
      </c>
      <c r="BB132" s="387">
        <v>0</v>
      </c>
      <c r="BC132" s="387">
        <v>0</v>
      </c>
      <c r="BD132" s="387">
        <v>0</v>
      </c>
      <c r="BE132" s="387">
        <v>0</v>
      </c>
      <c r="BF132" s="387">
        <v>0</v>
      </c>
      <c r="BG132" s="387">
        <v>0</v>
      </c>
      <c r="BH132" s="387">
        <v>0</v>
      </c>
      <c r="BI132" s="387">
        <v>0</v>
      </c>
      <c r="BJ132" s="387">
        <v>0</v>
      </c>
      <c r="BK132" s="387">
        <v>0</v>
      </c>
      <c r="BL132" s="387">
        <v>0</v>
      </c>
      <c r="BM132" s="387">
        <v>0</v>
      </c>
      <c r="BN132" s="387">
        <v>0</v>
      </c>
      <c r="BO132" s="387">
        <v>0</v>
      </c>
    </row>
    <row r="133" spans="1:67" x14ac:dyDescent="0.2">
      <c r="A133" s="388" t="s">
        <v>898</v>
      </c>
      <c r="B133" s="389">
        <v>0</v>
      </c>
      <c r="C133" s="389">
        <v>0</v>
      </c>
      <c r="D133" s="389">
        <v>0</v>
      </c>
      <c r="E133" s="389">
        <v>0</v>
      </c>
      <c r="F133" s="389">
        <v>0</v>
      </c>
      <c r="G133" s="389">
        <v>0</v>
      </c>
      <c r="H133" s="389">
        <v>0.82899999999999996</v>
      </c>
      <c r="I133" s="389">
        <v>0.72899999999999998</v>
      </c>
      <c r="J133" s="389">
        <v>1.056</v>
      </c>
      <c r="K133" s="389">
        <v>0.53400000000000003</v>
      </c>
      <c r="L133" s="389">
        <v>1.1719999999999999</v>
      </c>
      <c r="M133" s="389">
        <v>1.4750000000000001</v>
      </c>
      <c r="N133" s="389">
        <v>2.4159999999999999</v>
      </c>
      <c r="O133" s="389">
        <v>8.0399999999999991</v>
      </c>
      <c r="P133" s="389">
        <v>9.7520000000000007</v>
      </c>
      <c r="Q133" s="389">
        <v>6.5149999999999997</v>
      </c>
      <c r="R133" s="389">
        <v>10.349</v>
      </c>
      <c r="S133" s="389">
        <v>7.41</v>
      </c>
      <c r="T133" s="389">
        <v>10.154</v>
      </c>
      <c r="U133" s="389">
        <v>12.71</v>
      </c>
      <c r="V133" s="389">
        <v>11.69</v>
      </c>
      <c r="W133" s="389">
        <v>21.545000000000002</v>
      </c>
      <c r="X133" s="389">
        <v>27.509</v>
      </c>
      <c r="Y133" s="389">
        <v>35.404000000000003</v>
      </c>
      <c r="Z133" s="389">
        <v>36.045000000000002</v>
      </c>
      <c r="AA133" s="389">
        <v>21.923999999999999</v>
      </c>
      <c r="AB133" s="389">
        <v>23.986000000000001</v>
      </c>
      <c r="AC133" s="389">
        <v>22.95</v>
      </c>
      <c r="AD133" s="389">
        <v>17.259</v>
      </c>
      <c r="AE133" s="389">
        <v>15.769</v>
      </c>
      <c r="AF133" s="389">
        <v>17.228999999999999</v>
      </c>
      <c r="AG133" s="389">
        <v>25.611000000000001</v>
      </c>
      <c r="AH133" s="389">
        <v>16.588999999999999</v>
      </c>
      <c r="AI133" s="389">
        <v>10.836</v>
      </c>
      <c r="AJ133" s="389">
        <v>7.2320000000000002</v>
      </c>
      <c r="AK133" s="389">
        <v>3.222</v>
      </c>
      <c r="AL133" s="389">
        <v>3.319</v>
      </c>
      <c r="AM133" s="389">
        <v>1.5489999999999999</v>
      </c>
      <c r="AN133" s="389">
        <v>1.5169999999999999</v>
      </c>
      <c r="AO133" s="389">
        <v>2.1579999999999999</v>
      </c>
      <c r="AP133" s="389">
        <v>1.256</v>
      </c>
      <c r="AQ133" s="389">
        <v>0.63700000000000001</v>
      </c>
      <c r="AR133" s="389">
        <v>0.152</v>
      </c>
      <c r="AS133" s="389">
        <v>0</v>
      </c>
      <c r="AT133" s="389">
        <v>0</v>
      </c>
      <c r="AU133" s="389">
        <v>0</v>
      </c>
      <c r="AV133" s="389">
        <v>0</v>
      </c>
      <c r="AW133" s="389">
        <v>0</v>
      </c>
      <c r="AX133" s="389">
        <v>0</v>
      </c>
      <c r="AY133" s="389">
        <v>0</v>
      </c>
      <c r="AZ133" s="389">
        <v>0</v>
      </c>
      <c r="BA133" s="389">
        <v>0</v>
      </c>
      <c r="BB133" s="389">
        <v>0</v>
      </c>
      <c r="BC133" s="389">
        <v>0</v>
      </c>
      <c r="BD133" s="389">
        <v>0</v>
      </c>
      <c r="BE133" s="389">
        <v>0</v>
      </c>
      <c r="BF133" s="389">
        <v>0</v>
      </c>
      <c r="BG133" s="389">
        <v>0</v>
      </c>
      <c r="BH133" s="389">
        <v>0</v>
      </c>
      <c r="BI133" s="389">
        <v>0</v>
      </c>
      <c r="BJ133" s="389">
        <v>0</v>
      </c>
      <c r="BK133" s="389">
        <v>0</v>
      </c>
      <c r="BL133" s="389">
        <v>0</v>
      </c>
      <c r="BM133" s="389">
        <v>0</v>
      </c>
      <c r="BN133" s="389">
        <v>0</v>
      </c>
      <c r="BO133" s="389">
        <v>0</v>
      </c>
    </row>
    <row r="135" spans="1:67" x14ac:dyDescent="0.2">
      <c r="A135" s="380" t="s">
        <v>3173</v>
      </c>
      <c r="B135" s="381" t="s">
        <v>914</v>
      </c>
    </row>
    <row r="136" spans="1:67" x14ac:dyDescent="0.2">
      <c r="A136" s="382" t="s">
        <v>2353</v>
      </c>
      <c r="B136" s="383"/>
    </row>
    <row r="137" spans="1:67" x14ac:dyDescent="0.2">
      <c r="A137" s="384" t="s">
        <v>3175</v>
      </c>
      <c r="B137" s="384">
        <v>-25</v>
      </c>
      <c r="C137" s="384">
        <v>-24</v>
      </c>
      <c r="D137" s="384">
        <v>-23</v>
      </c>
      <c r="E137" s="384">
        <v>-22</v>
      </c>
      <c r="F137" s="384">
        <v>-21</v>
      </c>
      <c r="G137" s="384">
        <v>-20</v>
      </c>
      <c r="H137" s="384">
        <v>-19</v>
      </c>
      <c r="I137" s="384">
        <v>-18</v>
      </c>
      <c r="J137" s="384">
        <v>-17</v>
      </c>
      <c r="K137" s="384">
        <v>-16</v>
      </c>
      <c r="L137" s="384">
        <v>-15</v>
      </c>
      <c r="M137" s="384">
        <v>-14</v>
      </c>
      <c r="N137" s="384">
        <v>-13</v>
      </c>
      <c r="O137" s="384">
        <v>-12</v>
      </c>
      <c r="P137" s="384">
        <v>-11</v>
      </c>
      <c r="Q137" s="384">
        <v>-10</v>
      </c>
      <c r="R137" s="384">
        <v>-9</v>
      </c>
      <c r="S137" s="384">
        <v>-8</v>
      </c>
      <c r="T137" s="384">
        <v>-7</v>
      </c>
      <c r="U137" s="384">
        <v>-6</v>
      </c>
      <c r="V137" s="384">
        <v>-5</v>
      </c>
      <c r="W137" s="384">
        <v>-4</v>
      </c>
      <c r="X137" s="384">
        <v>-3</v>
      </c>
      <c r="Y137" s="384">
        <v>-2</v>
      </c>
      <c r="Z137" s="384">
        <v>-1</v>
      </c>
      <c r="AA137" s="384">
        <v>0</v>
      </c>
      <c r="AB137" s="384">
        <v>1</v>
      </c>
      <c r="AC137" s="384">
        <v>2</v>
      </c>
      <c r="AD137" s="384">
        <v>3</v>
      </c>
      <c r="AE137" s="384">
        <v>4</v>
      </c>
      <c r="AF137" s="384">
        <v>5</v>
      </c>
      <c r="AG137" s="384">
        <v>6</v>
      </c>
      <c r="AH137" s="384">
        <v>7</v>
      </c>
      <c r="AI137" s="384">
        <v>8</v>
      </c>
      <c r="AJ137" s="384">
        <v>9</v>
      </c>
      <c r="AK137" s="384">
        <v>10</v>
      </c>
      <c r="AL137" s="384">
        <v>11</v>
      </c>
      <c r="AM137" s="384">
        <v>12</v>
      </c>
      <c r="AN137" s="384">
        <v>13</v>
      </c>
      <c r="AO137" s="384">
        <v>14</v>
      </c>
      <c r="AP137" s="384">
        <v>15</v>
      </c>
      <c r="AQ137" s="384">
        <v>16</v>
      </c>
      <c r="AR137" s="384">
        <v>17</v>
      </c>
      <c r="AS137" s="384">
        <v>18</v>
      </c>
      <c r="AT137" s="384">
        <v>19</v>
      </c>
      <c r="AU137" s="384">
        <v>20</v>
      </c>
      <c r="AV137" s="384">
        <v>21</v>
      </c>
      <c r="AW137" s="384">
        <v>22</v>
      </c>
      <c r="AX137" s="384">
        <v>23</v>
      </c>
      <c r="AY137" s="384">
        <v>24</v>
      </c>
      <c r="AZ137" s="384">
        <v>25</v>
      </c>
      <c r="BA137" s="384">
        <v>26</v>
      </c>
      <c r="BB137" s="384">
        <v>27</v>
      </c>
      <c r="BC137" s="384">
        <v>28</v>
      </c>
      <c r="BD137" s="384">
        <v>29</v>
      </c>
      <c r="BE137" s="384">
        <v>30</v>
      </c>
      <c r="BF137" s="384">
        <v>31</v>
      </c>
      <c r="BG137" s="384">
        <v>32</v>
      </c>
      <c r="BH137" s="384">
        <v>33</v>
      </c>
      <c r="BI137" s="384">
        <v>34</v>
      </c>
      <c r="BJ137" s="384">
        <v>35</v>
      </c>
      <c r="BK137" s="384">
        <v>36</v>
      </c>
      <c r="BL137" s="384">
        <v>37</v>
      </c>
      <c r="BM137" s="384">
        <v>38</v>
      </c>
      <c r="BN137" s="384">
        <v>39</v>
      </c>
      <c r="BO137" s="384">
        <v>40</v>
      </c>
    </row>
    <row r="138" spans="1:67" x14ac:dyDescent="0.2">
      <c r="A138" s="385" t="s">
        <v>3176</v>
      </c>
      <c r="B138" s="385">
        <v>0</v>
      </c>
      <c r="C138" s="385">
        <v>0</v>
      </c>
      <c r="D138" s="385">
        <v>0</v>
      </c>
      <c r="E138" s="385">
        <v>0</v>
      </c>
      <c r="F138" s="385">
        <v>0</v>
      </c>
      <c r="G138" s="385">
        <v>0</v>
      </c>
      <c r="H138" s="385">
        <v>0</v>
      </c>
      <c r="I138" s="385">
        <v>0</v>
      </c>
      <c r="J138" s="385">
        <v>0</v>
      </c>
      <c r="K138" s="385">
        <v>0</v>
      </c>
      <c r="L138" s="385">
        <v>0</v>
      </c>
      <c r="M138" s="385">
        <v>0</v>
      </c>
      <c r="N138" s="385">
        <v>0</v>
      </c>
      <c r="O138" s="385">
        <v>0</v>
      </c>
      <c r="P138" s="385">
        <v>8</v>
      </c>
      <c r="Q138" s="385">
        <v>9</v>
      </c>
      <c r="R138" s="385">
        <v>46</v>
      </c>
      <c r="S138" s="385">
        <v>23</v>
      </c>
      <c r="T138" s="385">
        <v>30</v>
      </c>
      <c r="U138" s="385">
        <v>34</v>
      </c>
      <c r="V138" s="385">
        <v>38</v>
      </c>
      <c r="W138" s="385">
        <v>49</v>
      </c>
      <c r="X138" s="385">
        <v>106</v>
      </c>
      <c r="Y138" s="385">
        <v>173</v>
      </c>
      <c r="Z138" s="385">
        <v>185</v>
      </c>
      <c r="AA138" s="385">
        <v>201</v>
      </c>
      <c r="AB138" s="385">
        <v>388</v>
      </c>
      <c r="AC138" s="385">
        <v>424</v>
      </c>
      <c r="AD138" s="385">
        <v>434</v>
      </c>
      <c r="AE138" s="385">
        <v>477</v>
      </c>
      <c r="AF138" s="385">
        <v>413</v>
      </c>
      <c r="AG138" s="385">
        <v>441</v>
      </c>
      <c r="AH138" s="385">
        <v>362</v>
      </c>
      <c r="AI138" s="385">
        <v>300</v>
      </c>
      <c r="AJ138" s="385">
        <v>355</v>
      </c>
      <c r="AK138" s="385">
        <v>354</v>
      </c>
      <c r="AL138" s="385">
        <v>363</v>
      </c>
      <c r="AM138" s="385">
        <v>435</v>
      </c>
      <c r="AN138" s="385">
        <v>340</v>
      </c>
      <c r="AO138" s="385">
        <v>436</v>
      </c>
      <c r="AP138" s="385">
        <v>378</v>
      </c>
      <c r="AQ138" s="385">
        <v>313</v>
      </c>
      <c r="AR138" s="385">
        <v>304</v>
      </c>
      <c r="AS138" s="385">
        <v>258</v>
      </c>
      <c r="AT138" s="385">
        <v>205</v>
      </c>
      <c r="AU138" s="385">
        <v>173</v>
      </c>
      <c r="AV138" s="385">
        <v>157</v>
      </c>
      <c r="AW138" s="385">
        <v>149</v>
      </c>
      <c r="AX138" s="385">
        <v>121</v>
      </c>
      <c r="AY138" s="385">
        <v>84</v>
      </c>
      <c r="AZ138" s="385">
        <v>63</v>
      </c>
      <c r="BA138" s="385">
        <v>50</v>
      </c>
      <c r="BB138" s="385">
        <v>33</v>
      </c>
      <c r="BC138" s="385">
        <v>18</v>
      </c>
      <c r="BD138" s="385">
        <v>12</v>
      </c>
      <c r="BE138" s="385">
        <v>13</v>
      </c>
      <c r="BF138" s="385">
        <v>5</v>
      </c>
      <c r="BG138" s="385">
        <v>0</v>
      </c>
      <c r="BH138" s="385">
        <v>0</v>
      </c>
      <c r="BI138" s="385">
        <v>0</v>
      </c>
      <c r="BJ138" s="385">
        <v>0</v>
      </c>
      <c r="BK138" s="385">
        <v>0</v>
      </c>
      <c r="BL138" s="385">
        <v>0</v>
      </c>
      <c r="BM138" s="385">
        <v>0</v>
      </c>
      <c r="BN138" s="385">
        <v>0</v>
      </c>
      <c r="BO138" s="385">
        <v>0</v>
      </c>
    </row>
    <row r="139" spans="1:67" x14ac:dyDescent="0.2">
      <c r="A139" s="386" t="s">
        <v>893</v>
      </c>
      <c r="B139" s="386">
        <v>0</v>
      </c>
      <c r="C139" s="386">
        <v>0</v>
      </c>
      <c r="D139" s="386">
        <v>0</v>
      </c>
      <c r="E139" s="386">
        <v>0</v>
      </c>
      <c r="F139" s="386">
        <v>0</v>
      </c>
      <c r="G139" s="386">
        <v>0</v>
      </c>
      <c r="H139" s="386">
        <v>0</v>
      </c>
      <c r="I139" s="386">
        <v>0</v>
      </c>
      <c r="J139" s="386">
        <v>0</v>
      </c>
      <c r="K139" s="386">
        <v>0</v>
      </c>
      <c r="L139" s="386">
        <v>0</v>
      </c>
      <c r="M139" s="386">
        <v>0</v>
      </c>
      <c r="N139" s="386">
        <v>0</v>
      </c>
      <c r="O139" s="386">
        <v>0</v>
      </c>
      <c r="P139" s="386">
        <v>0</v>
      </c>
      <c r="Q139" s="386">
        <v>0</v>
      </c>
      <c r="R139" s="386">
        <v>72</v>
      </c>
      <c r="S139" s="386">
        <v>0</v>
      </c>
      <c r="T139" s="386">
        <v>24</v>
      </c>
      <c r="U139" s="386">
        <v>0</v>
      </c>
      <c r="V139" s="386">
        <v>48</v>
      </c>
      <c r="W139" s="386">
        <v>96</v>
      </c>
      <c r="X139" s="386">
        <v>96</v>
      </c>
      <c r="Y139" s="386">
        <v>120</v>
      </c>
      <c r="Z139" s="386">
        <v>144</v>
      </c>
      <c r="AA139" s="386">
        <v>216</v>
      </c>
      <c r="AB139" s="386">
        <v>288</v>
      </c>
      <c r="AC139" s="386">
        <v>432</v>
      </c>
      <c r="AD139" s="386">
        <v>336</v>
      </c>
      <c r="AE139" s="386">
        <v>696</v>
      </c>
      <c r="AF139" s="386">
        <v>504</v>
      </c>
      <c r="AG139" s="386">
        <v>456</v>
      </c>
      <c r="AH139" s="386">
        <v>336</v>
      </c>
      <c r="AI139" s="386">
        <v>360</v>
      </c>
      <c r="AJ139" s="386">
        <v>192</v>
      </c>
      <c r="AK139" s="386">
        <v>408</v>
      </c>
      <c r="AL139" s="386">
        <v>288</v>
      </c>
      <c r="AM139" s="386">
        <v>456</v>
      </c>
      <c r="AN139" s="386">
        <v>384</v>
      </c>
      <c r="AO139" s="386">
        <v>360</v>
      </c>
      <c r="AP139" s="386">
        <v>288</v>
      </c>
      <c r="AQ139" s="386">
        <v>360</v>
      </c>
      <c r="AR139" s="386">
        <v>432</v>
      </c>
      <c r="AS139" s="386">
        <v>528</v>
      </c>
      <c r="AT139" s="386">
        <v>264</v>
      </c>
      <c r="AU139" s="386">
        <v>216</v>
      </c>
      <c r="AV139" s="386">
        <v>192</v>
      </c>
      <c r="AW139" s="386">
        <v>48</v>
      </c>
      <c r="AX139" s="386">
        <v>72</v>
      </c>
      <c r="AY139" s="386">
        <v>24</v>
      </c>
      <c r="AZ139" s="386">
        <v>24</v>
      </c>
      <c r="BA139" s="386">
        <v>0</v>
      </c>
      <c r="BB139" s="386">
        <v>0</v>
      </c>
      <c r="BC139" s="386">
        <v>0</v>
      </c>
      <c r="BD139" s="386">
        <v>0</v>
      </c>
      <c r="BE139" s="386">
        <v>0</v>
      </c>
      <c r="BF139" s="386">
        <v>0</v>
      </c>
      <c r="BG139" s="386">
        <v>0</v>
      </c>
      <c r="BH139" s="386">
        <v>0</v>
      </c>
      <c r="BI139" s="386">
        <v>0</v>
      </c>
      <c r="BJ139" s="386">
        <v>0</v>
      </c>
      <c r="BK139" s="386">
        <v>0</v>
      </c>
      <c r="BL139" s="386">
        <v>0</v>
      </c>
      <c r="BM139" s="386">
        <v>0</v>
      </c>
      <c r="BN139" s="386">
        <v>0</v>
      </c>
      <c r="BO139" s="386">
        <v>0</v>
      </c>
    </row>
    <row r="140" spans="1:67" x14ac:dyDescent="0.2">
      <c r="A140" s="386" t="s">
        <v>894</v>
      </c>
      <c r="B140" s="387">
        <v>0</v>
      </c>
      <c r="C140" s="387">
        <v>0</v>
      </c>
      <c r="D140" s="387">
        <v>0</v>
      </c>
      <c r="E140" s="387">
        <v>0</v>
      </c>
      <c r="F140" s="387">
        <v>0</v>
      </c>
      <c r="G140" s="387">
        <v>0</v>
      </c>
      <c r="H140" s="387">
        <v>0</v>
      </c>
      <c r="I140" s="387">
        <v>0</v>
      </c>
      <c r="J140" s="387">
        <v>0</v>
      </c>
      <c r="K140" s="387">
        <v>0</v>
      </c>
      <c r="L140" s="387">
        <v>0</v>
      </c>
      <c r="M140" s="387">
        <v>0</v>
      </c>
      <c r="N140" s="387">
        <v>0</v>
      </c>
      <c r="O140" s="387">
        <v>0</v>
      </c>
      <c r="P140" s="387">
        <v>0</v>
      </c>
      <c r="Q140" s="387">
        <v>0</v>
      </c>
      <c r="R140" s="387">
        <v>0.41899999999999998</v>
      </c>
      <c r="S140" s="387">
        <v>1.367</v>
      </c>
      <c r="T140" s="387">
        <v>2.0110000000000001</v>
      </c>
      <c r="U140" s="387">
        <v>0.68100000000000005</v>
      </c>
      <c r="V140" s="387">
        <v>0.92400000000000004</v>
      </c>
      <c r="W140" s="387">
        <v>2.93</v>
      </c>
      <c r="X140" s="387">
        <v>5.2060000000000004</v>
      </c>
      <c r="Y140" s="387">
        <v>5.0389999999999997</v>
      </c>
      <c r="Z140" s="387">
        <v>3.5649999999999999</v>
      </c>
      <c r="AA140" s="387">
        <v>1.905</v>
      </c>
      <c r="AB140" s="387">
        <v>5.8659999999999997</v>
      </c>
      <c r="AC140" s="387">
        <v>7.0629999999999997</v>
      </c>
      <c r="AD140" s="387">
        <v>7.6459999999999999</v>
      </c>
      <c r="AE140" s="387">
        <v>15.026</v>
      </c>
      <c r="AF140" s="387">
        <v>19.291</v>
      </c>
      <c r="AG140" s="387">
        <v>19.613</v>
      </c>
      <c r="AH140" s="387">
        <v>19.164000000000001</v>
      </c>
      <c r="AI140" s="387">
        <v>22.965</v>
      </c>
      <c r="AJ140" s="387">
        <v>25.553999999999998</v>
      </c>
      <c r="AK140" s="387">
        <v>25.402999999999999</v>
      </c>
      <c r="AL140" s="387">
        <v>36.073</v>
      </c>
      <c r="AM140" s="387">
        <v>36.177999999999997</v>
      </c>
      <c r="AN140" s="387">
        <v>33.17</v>
      </c>
      <c r="AO140" s="387">
        <v>44.33</v>
      </c>
      <c r="AP140" s="387">
        <v>39.051000000000002</v>
      </c>
      <c r="AQ140" s="387">
        <v>46.896000000000001</v>
      </c>
      <c r="AR140" s="387">
        <v>56.405999999999999</v>
      </c>
      <c r="AS140" s="387">
        <v>60.389000000000003</v>
      </c>
      <c r="AT140" s="387">
        <v>59.313000000000002</v>
      </c>
      <c r="AU140" s="387">
        <v>59.05</v>
      </c>
      <c r="AV140" s="387">
        <v>60.606999999999999</v>
      </c>
      <c r="AW140" s="387">
        <v>67.259</v>
      </c>
      <c r="AX140" s="387">
        <v>54.591000000000001</v>
      </c>
      <c r="AY140" s="387">
        <v>38.22</v>
      </c>
      <c r="AZ140" s="387">
        <v>30.808</v>
      </c>
      <c r="BA140" s="387">
        <v>25.475999999999999</v>
      </c>
      <c r="BB140" s="387">
        <v>17.494</v>
      </c>
      <c r="BC140" s="387">
        <v>10.743</v>
      </c>
      <c r="BD140" s="387">
        <v>5.9210000000000003</v>
      </c>
      <c r="BE140" s="387">
        <v>7.3570000000000002</v>
      </c>
      <c r="BF140" s="387">
        <v>2.2570000000000001</v>
      </c>
      <c r="BG140" s="387">
        <v>0</v>
      </c>
      <c r="BH140" s="387">
        <v>0</v>
      </c>
      <c r="BI140" s="387">
        <v>0</v>
      </c>
      <c r="BJ140" s="387">
        <v>0</v>
      </c>
      <c r="BK140" s="387">
        <v>0</v>
      </c>
      <c r="BL140" s="387">
        <v>0</v>
      </c>
      <c r="BM140" s="387">
        <v>0</v>
      </c>
      <c r="BN140" s="387">
        <v>0</v>
      </c>
      <c r="BO140" s="387">
        <v>0</v>
      </c>
    </row>
    <row r="141" spans="1:67" x14ac:dyDescent="0.2">
      <c r="A141" s="386" t="s">
        <v>895</v>
      </c>
      <c r="B141" s="387">
        <v>0</v>
      </c>
      <c r="C141" s="387">
        <v>0</v>
      </c>
      <c r="D141" s="387">
        <v>0</v>
      </c>
      <c r="E141" s="387">
        <v>0</v>
      </c>
      <c r="F141" s="387">
        <v>0</v>
      </c>
      <c r="G141" s="387">
        <v>0</v>
      </c>
      <c r="H141" s="387">
        <v>0</v>
      </c>
      <c r="I141" s="387">
        <v>0</v>
      </c>
      <c r="J141" s="387">
        <v>0</v>
      </c>
      <c r="K141" s="387">
        <v>0</v>
      </c>
      <c r="L141" s="387">
        <v>0</v>
      </c>
      <c r="M141" s="387">
        <v>0</v>
      </c>
      <c r="N141" s="387">
        <v>0</v>
      </c>
      <c r="O141" s="387">
        <v>0</v>
      </c>
      <c r="P141" s="387">
        <v>0</v>
      </c>
      <c r="Q141" s="387">
        <v>0</v>
      </c>
      <c r="R141" s="387">
        <v>0.16</v>
      </c>
      <c r="S141" s="387">
        <v>0.251</v>
      </c>
      <c r="T141" s="387">
        <v>1.179</v>
      </c>
      <c r="U141" s="387">
        <v>1.2729999999999999</v>
      </c>
      <c r="V141" s="387">
        <v>1.4850000000000001</v>
      </c>
      <c r="W141" s="387">
        <v>3.3450000000000002</v>
      </c>
      <c r="X141" s="387">
        <v>2.7450000000000001</v>
      </c>
      <c r="Y141" s="387">
        <v>1.2030000000000001</v>
      </c>
      <c r="Z141" s="387">
        <v>2.859</v>
      </c>
      <c r="AA141" s="387">
        <v>1.962</v>
      </c>
      <c r="AB141" s="387">
        <v>5.8120000000000003</v>
      </c>
      <c r="AC141" s="387">
        <v>5.8220000000000001</v>
      </c>
      <c r="AD141" s="387">
        <v>8.3670000000000009</v>
      </c>
      <c r="AE141" s="387">
        <v>9.5459999999999994</v>
      </c>
      <c r="AF141" s="387">
        <v>11.692</v>
      </c>
      <c r="AG141" s="387">
        <v>10.353999999999999</v>
      </c>
      <c r="AH141" s="387">
        <v>12</v>
      </c>
      <c r="AI141" s="387">
        <v>13.53</v>
      </c>
      <c r="AJ141" s="387">
        <v>12.763</v>
      </c>
      <c r="AK141" s="387">
        <v>13.567</v>
      </c>
      <c r="AL141" s="387">
        <v>18.190999999999999</v>
      </c>
      <c r="AM141" s="387">
        <v>13.718</v>
      </c>
      <c r="AN141" s="387">
        <v>16.292000000000002</v>
      </c>
      <c r="AO141" s="387">
        <v>24.105</v>
      </c>
      <c r="AP141" s="387">
        <v>22.236000000000001</v>
      </c>
      <c r="AQ141" s="387">
        <v>30.024000000000001</v>
      </c>
      <c r="AR141" s="387">
        <v>31.280999999999999</v>
      </c>
      <c r="AS141" s="387">
        <v>32.429000000000002</v>
      </c>
      <c r="AT141" s="387">
        <v>32.895000000000003</v>
      </c>
      <c r="AU141" s="387">
        <v>30.71</v>
      </c>
      <c r="AV141" s="387">
        <v>20.186</v>
      </c>
      <c r="AW141" s="387">
        <v>18.477</v>
      </c>
      <c r="AX141" s="387">
        <v>11.237</v>
      </c>
      <c r="AY141" s="387">
        <v>6.7389999999999999</v>
      </c>
      <c r="AZ141" s="387">
        <v>4.524</v>
      </c>
      <c r="BA141" s="387">
        <v>2.4729999999999999</v>
      </c>
      <c r="BB141" s="387">
        <v>1.976</v>
      </c>
      <c r="BC141" s="387">
        <v>1.0820000000000001</v>
      </c>
      <c r="BD141" s="387">
        <v>0.37</v>
      </c>
      <c r="BE141" s="387">
        <v>0.622</v>
      </c>
      <c r="BF141" s="387">
        <v>0</v>
      </c>
      <c r="BG141" s="387">
        <v>0</v>
      </c>
      <c r="BH141" s="387">
        <v>0</v>
      </c>
      <c r="BI141" s="387">
        <v>0</v>
      </c>
      <c r="BJ141" s="387">
        <v>0</v>
      </c>
      <c r="BK141" s="387">
        <v>0</v>
      </c>
      <c r="BL141" s="387">
        <v>0</v>
      </c>
      <c r="BM141" s="387">
        <v>0</v>
      </c>
      <c r="BN141" s="387">
        <v>0</v>
      </c>
      <c r="BO141" s="387">
        <v>0</v>
      </c>
    </row>
    <row r="142" spans="1:67" x14ac:dyDescent="0.2">
      <c r="A142" s="386" t="s">
        <v>896</v>
      </c>
      <c r="B142" s="387">
        <v>0</v>
      </c>
      <c r="C142" s="387">
        <v>0</v>
      </c>
      <c r="D142" s="387">
        <v>0</v>
      </c>
      <c r="E142" s="387">
        <v>0</v>
      </c>
      <c r="F142" s="387">
        <v>0</v>
      </c>
      <c r="G142" s="387">
        <v>0</v>
      </c>
      <c r="H142" s="387">
        <v>0</v>
      </c>
      <c r="I142" s="387">
        <v>0</v>
      </c>
      <c r="J142" s="387">
        <v>0</v>
      </c>
      <c r="K142" s="387">
        <v>0</v>
      </c>
      <c r="L142" s="387">
        <v>0</v>
      </c>
      <c r="M142" s="387">
        <v>0</v>
      </c>
      <c r="N142" s="387">
        <v>0</v>
      </c>
      <c r="O142" s="387">
        <v>0</v>
      </c>
      <c r="P142" s="387">
        <v>0</v>
      </c>
      <c r="Q142" s="387">
        <v>0</v>
      </c>
      <c r="R142" s="387">
        <v>0.93500000000000005</v>
      </c>
      <c r="S142" s="387">
        <v>1.8440000000000001</v>
      </c>
      <c r="T142" s="387">
        <v>4.8239999999999998</v>
      </c>
      <c r="U142" s="387">
        <v>1.827</v>
      </c>
      <c r="V142" s="387">
        <v>1.7569999999999999</v>
      </c>
      <c r="W142" s="387">
        <v>6.0670000000000002</v>
      </c>
      <c r="X142" s="387">
        <v>10.433999999999999</v>
      </c>
      <c r="Y142" s="387">
        <v>9.16</v>
      </c>
      <c r="Z142" s="387">
        <v>8.6349999999999998</v>
      </c>
      <c r="AA142" s="387">
        <v>4.3650000000000002</v>
      </c>
      <c r="AB142" s="387">
        <v>11.374000000000001</v>
      </c>
      <c r="AC142" s="387">
        <v>12.04</v>
      </c>
      <c r="AD142" s="387">
        <v>9.3379999999999992</v>
      </c>
      <c r="AE142" s="387">
        <v>18.503</v>
      </c>
      <c r="AF142" s="387">
        <v>23.341999999999999</v>
      </c>
      <c r="AG142" s="387">
        <v>18.632000000000001</v>
      </c>
      <c r="AH142" s="387">
        <v>21.896999999999998</v>
      </c>
      <c r="AI142" s="387">
        <v>23.919</v>
      </c>
      <c r="AJ142" s="387">
        <v>23.439</v>
      </c>
      <c r="AK142" s="387">
        <v>21.631</v>
      </c>
      <c r="AL142" s="387">
        <v>29.686</v>
      </c>
      <c r="AM142" s="387">
        <v>25.899000000000001</v>
      </c>
      <c r="AN142" s="387">
        <v>23.956</v>
      </c>
      <c r="AO142" s="387">
        <v>28.626999999999999</v>
      </c>
      <c r="AP142" s="387">
        <v>24.061</v>
      </c>
      <c r="AQ142" s="387">
        <v>27.481999999999999</v>
      </c>
      <c r="AR142" s="387">
        <v>32.404000000000003</v>
      </c>
      <c r="AS142" s="387">
        <v>33.683999999999997</v>
      </c>
      <c r="AT142" s="387">
        <v>33.134</v>
      </c>
      <c r="AU142" s="387">
        <v>33.414999999999999</v>
      </c>
      <c r="AV142" s="387">
        <v>35.953000000000003</v>
      </c>
      <c r="AW142" s="387">
        <v>38.307000000000002</v>
      </c>
      <c r="AX142" s="387">
        <v>31.053000000000001</v>
      </c>
      <c r="AY142" s="387">
        <v>19.518999999999998</v>
      </c>
      <c r="AZ142" s="387">
        <v>16.957999999999998</v>
      </c>
      <c r="BA142" s="387">
        <v>14.21</v>
      </c>
      <c r="BB142" s="387">
        <v>9.2200000000000006</v>
      </c>
      <c r="BC142" s="387">
        <v>4.9939999999999998</v>
      </c>
      <c r="BD142" s="387">
        <v>2.625</v>
      </c>
      <c r="BE142" s="387">
        <v>3.5630000000000002</v>
      </c>
      <c r="BF142" s="387">
        <v>0.749</v>
      </c>
      <c r="BG142" s="387">
        <v>0</v>
      </c>
      <c r="BH142" s="387">
        <v>0</v>
      </c>
      <c r="BI142" s="387">
        <v>0</v>
      </c>
      <c r="BJ142" s="387">
        <v>0</v>
      </c>
      <c r="BK142" s="387">
        <v>0</v>
      </c>
      <c r="BL142" s="387">
        <v>0</v>
      </c>
      <c r="BM142" s="387">
        <v>0</v>
      </c>
      <c r="BN142" s="387">
        <v>0</v>
      </c>
      <c r="BO142" s="387">
        <v>0</v>
      </c>
    </row>
    <row r="143" spans="1:67" x14ac:dyDescent="0.2">
      <c r="A143" s="386" t="s">
        <v>897</v>
      </c>
      <c r="B143" s="387">
        <v>0</v>
      </c>
      <c r="C143" s="387">
        <v>0</v>
      </c>
      <c r="D143" s="387">
        <v>0</v>
      </c>
      <c r="E143" s="387">
        <v>0</v>
      </c>
      <c r="F143" s="387">
        <v>0</v>
      </c>
      <c r="G143" s="387">
        <v>0</v>
      </c>
      <c r="H143" s="387">
        <v>0</v>
      </c>
      <c r="I143" s="387">
        <v>0</v>
      </c>
      <c r="J143" s="387">
        <v>0</v>
      </c>
      <c r="K143" s="387">
        <v>0</v>
      </c>
      <c r="L143" s="387">
        <v>0</v>
      </c>
      <c r="M143" s="387">
        <v>0</v>
      </c>
      <c r="N143" s="387">
        <v>0</v>
      </c>
      <c r="O143" s="387">
        <v>0</v>
      </c>
      <c r="P143" s="387">
        <v>0</v>
      </c>
      <c r="Q143" s="387">
        <v>0</v>
      </c>
      <c r="R143" s="387">
        <v>0</v>
      </c>
      <c r="S143" s="387">
        <v>0</v>
      </c>
      <c r="T143" s="387">
        <v>1.917</v>
      </c>
      <c r="U143" s="387">
        <v>0.64</v>
      </c>
      <c r="V143" s="387">
        <v>0</v>
      </c>
      <c r="W143" s="387">
        <v>1.1120000000000001</v>
      </c>
      <c r="X143" s="387">
        <v>3.4009999999999998</v>
      </c>
      <c r="Y143" s="387">
        <v>3.9009999999999998</v>
      </c>
      <c r="Z143" s="387">
        <v>2.024</v>
      </c>
      <c r="AA143" s="387">
        <v>0.67700000000000005</v>
      </c>
      <c r="AB143" s="387">
        <v>2.5379999999999998</v>
      </c>
      <c r="AC143" s="387">
        <v>1.514</v>
      </c>
      <c r="AD143" s="387">
        <v>1.41</v>
      </c>
      <c r="AE143" s="387">
        <v>4.2910000000000004</v>
      </c>
      <c r="AF143" s="387">
        <v>6.54</v>
      </c>
      <c r="AG143" s="387">
        <v>5.4279999999999999</v>
      </c>
      <c r="AH143" s="387">
        <v>5.694</v>
      </c>
      <c r="AI143" s="387">
        <v>9.4390000000000001</v>
      </c>
      <c r="AJ143" s="387">
        <v>9.09</v>
      </c>
      <c r="AK143" s="387">
        <v>10.209</v>
      </c>
      <c r="AL143" s="387">
        <v>11.36</v>
      </c>
      <c r="AM143" s="387">
        <v>16.821999999999999</v>
      </c>
      <c r="AN143" s="387">
        <v>10.981999999999999</v>
      </c>
      <c r="AO143" s="387">
        <v>20.693999999999999</v>
      </c>
      <c r="AP143" s="387">
        <v>13.125</v>
      </c>
      <c r="AQ143" s="387">
        <v>16.041</v>
      </c>
      <c r="AR143" s="387">
        <v>24.117999999999999</v>
      </c>
      <c r="AS143" s="387">
        <v>26.571999999999999</v>
      </c>
      <c r="AT143" s="387">
        <v>21.539000000000001</v>
      </c>
      <c r="AU143" s="387">
        <v>19.184999999999999</v>
      </c>
      <c r="AV143" s="387">
        <v>29.795999999999999</v>
      </c>
      <c r="AW143" s="387">
        <v>36.274999999999999</v>
      </c>
      <c r="AX143" s="387">
        <v>34.662999999999997</v>
      </c>
      <c r="AY143" s="387">
        <v>29.946000000000002</v>
      </c>
      <c r="AZ143" s="387">
        <v>18.440999999999999</v>
      </c>
      <c r="BA143" s="387">
        <v>19.443000000000001</v>
      </c>
      <c r="BB143" s="387">
        <v>13.696</v>
      </c>
      <c r="BC143" s="387">
        <v>8.8889999999999993</v>
      </c>
      <c r="BD143" s="387">
        <v>5.0620000000000003</v>
      </c>
      <c r="BE143" s="387">
        <v>6.5</v>
      </c>
      <c r="BF143" s="387">
        <v>2.7810000000000001</v>
      </c>
      <c r="BG143" s="387">
        <v>0</v>
      </c>
      <c r="BH143" s="387">
        <v>0</v>
      </c>
      <c r="BI143" s="387">
        <v>0</v>
      </c>
      <c r="BJ143" s="387">
        <v>0</v>
      </c>
      <c r="BK143" s="387">
        <v>0</v>
      </c>
      <c r="BL143" s="387">
        <v>0</v>
      </c>
      <c r="BM143" s="387">
        <v>0</v>
      </c>
      <c r="BN143" s="387">
        <v>0</v>
      </c>
      <c r="BO143" s="387">
        <v>0</v>
      </c>
    </row>
    <row r="144" spans="1:67" x14ac:dyDescent="0.2">
      <c r="A144" s="388" t="s">
        <v>898</v>
      </c>
      <c r="B144" s="389">
        <v>0</v>
      </c>
      <c r="C144" s="389">
        <v>0</v>
      </c>
      <c r="D144" s="389">
        <v>0</v>
      </c>
      <c r="E144" s="389">
        <v>0</v>
      </c>
      <c r="F144" s="389">
        <v>0</v>
      </c>
      <c r="G144" s="389">
        <v>0</v>
      </c>
      <c r="H144" s="389">
        <v>0</v>
      </c>
      <c r="I144" s="389">
        <v>0</v>
      </c>
      <c r="J144" s="389">
        <v>0</v>
      </c>
      <c r="K144" s="389">
        <v>0</v>
      </c>
      <c r="L144" s="389">
        <v>0</v>
      </c>
      <c r="M144" s="389">
        <v>0</v>
      </c>
      <c r="N144" s="389">
        <v>0</v>
      </c>
      <c r="O144" s="389">
        <v>0</v>
      </c>
      <c r="P144" s="389">
        <v>0</v>
      </c>
      <c r="Q144" s="389">
        <v>0</v>
      </c>
      <c r="R144" s="389">
        <v>0</v>
      </c>
      <c r="S144" s="389">
        <v>0</v>
      </c>
      <c r="T144" s="389">
        <v>0</v>
      </c>
      <c r="U144" s="389">
        <v>0</v>
      </c>
      <c r="V144" s="389">
        <v>0</v>
      </c>
      <c r="W144" s="389">
        <v>0.58699999999999997</v>
      </c>
      <c r="X144" s="389">
        <v>1.0429999999999999</v>
      </c>
      <c r="Y144" s="389">
        <v>0.38800000000000001</v>
      </c>
      <c r="Z144" s="389">
        <v>0</v>
      </c>
      <c r="AA144" s="389">
        <v>0.151</v>
      </c>
      <c r="AB144" s="389">
        <v>0.39900000000000002</v>
      </c>
      <c r="AC144" s="389">
        <v>0.189</v>
      </c>
      <c r="AD144" s="389">
        <v>0</v>
      </c>
      <c r="AE144" s="389">
        <v>0</v>
      </c>
      <c r="AF144" s="389">
        <v>0.32300000000000001</v>
      </c>
      <c r="AG144" s="389">
        <v>0</v>
      </c>
      <c r="AH144" s="389">
        <v>0.47799999999999998</v>
      </c>
      <c r="AI144" s="389">
        <v>0.51800000000000002</v>
      </c>
      <c r="AJ144" s="389">
        <v>0.67700000000000005</v>
      </c>
      <c r="AK144" s="389">
        <v>0.70799999999999996</v>
      </c>
      <c r="AL144" s="389">
        <v>0.65900000000000003</v>
      </c>
      <c r="AM144" s="389">
        <v>1.6679999999999999</v>
      </c>
      <c r="AN144" s="389">
        <v>1.4039999999999999</v>
      </c>
      <c r="AO144" s="389">
        <v>3.613</v>
      </c>
      <c r="AP144" s="389">
        <v>3.16</v>
      </c>
      <c r="AQ144" s="389">
        <v>4.8170000000000002</v>
      </c>
      <c r="AR144" s="389">
        <v>6.7110000000000003</v>
      </c>
      <c r="AS144" s="389">
        <v>3.512</v>
      </c>
      <c r="AT144" s="389">
        <v>4.8639999999999999</v>
      </c>
      <c r="AU144" s="389">
        <v>4.9889999999999999</v>
      </c>
      <c r="AV144" s="389">
        <v>5.0759999999999996</v>
      </c>
      <c r="AW144" s="389">
        <v>5.4130000000000003</v>
      </c>
      <c r="AX144" s="389">
        <v>2.96</v>
      </c>
      <c r="AY144" s="389">
        <v>2.7879999999999998</v>
      </c>
      <c r="AZ144" s="389">
        <v>2.214</v>
      </c>
      <c r="BA144" s="389">
        <v>0.79300000000000004</v>
      </c>
      <c r="BB144" s="389">
        <v>1.1399999999999999</v>
      </c>
      <c r="BC144" s="389">
        <v>0.47899999999999998</v>
      </c>
      <c r="BD144" s="389">
        <v>0.64400000000000002</v>
      </c>
      <c r="BE144" s="389">
        <v>0.62</v>
      </c>
      <c r="BF144" s="389">
        <v>0</v>
      </c>
      <c r="BG144" s="389">
        <v>0</v>
      </c>
      <c r="BH144" s="389">
        <v>0</v>
      </c>
      <c r="BI144" s="389">
        <v>0</v>
      </c>
      <c r="BJ144" s="389">
        <v>0</v>
      </c>
      <c r="BK144" s="389">
        <v>0</v>
      </c>
      <c r="BL144" s="389">
        <v>0</v>
      </c>
      <c r="BM144" s="389">
        <v>0</v>
      </c>
      <c r="BN144" s="389">
        <v>0</v>
      </c>
      <c r="BO144" s="389">
        <v>0</v>
      </c>
    </row>
    <row r="146" spans="1:67" x14ac:dyDescent="0.2">
      <c r="A146" s="380" t="s">
        <v>3173</v>
      </c>
      <c r="B146" s="381" t="s">
        <v>915</v>
      </c>
    </row>
    <row r="147" spans="1:67" x14ac:dyDescent="0.2">
      <c r="A147" s="382" t="s">
        <v>2354</v>
      </c>
      <c r="B147" s="383"/>
    </row>
    <row r="148" spans="1:67" x14ac:dyDescent="0.2">
      <c r="A148" s="384" t="s">
        <v>3175</v>
      </c>
      <c r="B148" s="384">
        <v>-25</v>
      </c>
      <c r="C148" s="384">
        <v>-24</v>
      </c>
      <c r="D148" s="384">
        <v>-23</v>
      </c>
      <c r="E148" s="384">
        <v>-22</v>
      </c>
      <c r="F148" s="384">
        <v>-21</v>
      </c>
      <c r="G148" s="384">
        <v>-20</v>
      </c>
      <c r="H148" s="384">
        <v>-19</v>
      </c>
      <c r="I148" s="384">
        <v>-18</v>
      </c>
      <c r="J148" s="384">
        <v>-17</v>
      </c>
      <c r="K148" s="384">
        <v>-16</v>
      </c>
      <c r="L148" s="384">
        <v>-15</v>
      </c>
      <c r="M148" s="384">
        <v>-14</v>
      </c>
      <c r="N148" s="384">
        <v>-13</v>
      </c>
      <c r="O148" s="384">
        <v>-12</v>
      </c>
      <c r="P148" s="384">
        <v>-11</v>
      </c>
      <c r="Q148" s="384">
        <v>-10</v>
      </c>
      <c r="R148" s="384">
        <v>-9</v>
      </c>
      <c r="S148" s="384">
        <v>-8</v>
      </c>
      <c r="T148" s="384">
        <v>-7</v>
      </c>
      <c r="U148" s="384">
        <v>-6</v>
      </c>
      <c r="V148" s="384">
        <v>-5</v>
      </c>
      <c r="W148" s="384">
        <v>-4</v>
      </c>
      <c r="X148" s="384">
        <v>-3</v>
      </c>
      <c r="Y148" s="384">
        <v>-2</v>
      </c>
      <c r="Z148" s="384">
        <v>-1</v>
      </c>
      <c r="AA148" s="384">
        <v>0</v>
      </c>
      <c r="AB148" s="384">
        <v>1</v>
      </c>
      <c r="AC148" s="384">
        <v>2</v>
      </c>
      <c r="AD148" s="384">
        <v>3</v>
      </c>
      <c r="AE148" s="384">
        <v>4</v>
      </c>
      <c r="AF148" s="384">
        <v>5</v>
      </c>
      <c r="AG148" s="384">
        <v>6</v>
      </c>
      <c r="AH148" s="384">
        <v>7</v>
      </c>
      <c r="AI148" s="384">
        <v>8</v>
      </c>
      <c r="AJ148" s="384">
        <v>9</v>
      </c>
      <c r="AK148" s="384">
        <v>10</v>
      </c>
      <c r="AL148" s="384">
        <v>11</v>
      </c>
      <c r="AM148" s="384">
        <v>12</v>
      </c>
      <c r="AN148" s="384">
        <v>13</v>
      </c>
      <c r="AO148" s="384">
        <v>14</v>
      </c>
      <c r="AP148" s="384">
        <v>15</v>
      </c>
      <c r="AQ148" s="384">
        <v>16</v>
      </c>
      <c r="AR148" s="384">
        <v>17</v>
      </c>
      <c r="AS148" s="384">
        <v>18</v>
      </c>
      <c r="AT148" s="384">
        <v>19</v>
      </c>
      <c r="AU148" s="384">
        <v>20</v>
      </c>
      <c r="AV148" s="384">
        <v>21</v>
      </c>
      <c r="AW148" s="384">
        <v>22</v>
      </c>
      <c r="AX148" s="384">
        <v>23</v>
      </c>
      <c r="AY148" s="384">
        <v>24</v>
      </c>
      <c r="AZ148" s="384">
        <v>25</v>
      </c>
      <c r="BA148" s="384">
        <v>26</v>
      </c>
      <c r="BB148" s="384">
        <v>27</v>
      </c>
      <c r="BC148" s="384">
        <v>28</v>
      </c>
      <c r="BD148" s="384">
        <v>29</v>
      </c>
      <c r="BE148" s="384">
        <v>30</v>
      </c>
      <c r="BF148" s="384">
        <v>31</v>
      </c>
      <c r="BG148" s="384">
        <v>32</v>
      </c>
      <c r="BH148" s="384">
        <v>33</v>
      </c>
      <c r="BI148" s="384">
        <v>34</v>
      </c>
      <c r="BJ148" s="384">
        <v>35</v>
      </c>
      <c r="BK148" s="384">
        <v>36</v>
      </c>
      <c r="BL148" s="384">
        <v>37</v>
      </c>
      <c r="BM148" s="384">
        <v>38</v>
      </c>
      <c r="BN148" s="384">
        <v>39</v>
      </c>
      <c r="BO148" s="384">
        <v>40</v>
      </c>
    </row>
    <row r="149" spans="1:67" x14ac:dyDescent="0.2">
      <c r="A149" s="385" t="s">
        <v>3176</v>
      </c>
      <c r="B149" s="385">
        <v>0</v>
      </c>
      <c r="C149" s="385">
        <v>0</v>
      </c>
      <c r="D149" s="385">
        <v>0</v>
      </c>
      <c r="E149" s="385">
        <v>0</v>
      </c>
      <c r="F149" s="385">
        <v>0</v>
      </c>
      <c r="G149" s="385">
        <v>0</v>
      </c>
      <c r="H149" s="385">
        <v>0</v>
      </c>
      <c r="I149" s="385">
        <v>0</v>
      </c>
      <c r="J149" s="385">
        <v>0</v>
      </c>
      <c r="K149" s="385">
        <v>2</v>
      </c>
      <c r="L149" s="385">
        <v>14</v>
      </c>
      <c r="M149" s="385">
        <v>17</v>
      </c>
      <c r="N149" s="385">
        <v>25</v>
      </c>
      <c r="O149" s="385">
        <v>25</v>
      </c>
      <c r="P149" s="385">
        <v>38</v>
      </c>
      <c r="Q149" s="385">
        <v>47</v>
      </c>
      <c r="R149" s="385">
        <v>35</v>
      </c>
      <c r="S149" s="385">
        <v>45</v>
      </c>
      <c r="T149" s="385">
        <v>97</v>
      </c>
      <c r="U149" s="385">
        <v>117</v>
      </c>
      <c r="V149" s="385">
        <v>104</v>
      </c>
      <c r="W149" s="385">
        <v>159</v>
      </c>
      <c r="X149" s="385">
        <v>196</v>
      </c>
      <c r="Y149" s="385">
        <v>265</v>
      </c>
      <c r="Z149" s="385">
        <v>307</v>
      </c>
      <c r="AA149" s="385">
        <v>334</v>
      </c>
      <c r="AB149" s="385">
        <v>474</v>
      </c>
      <c r="AC149" s="385">
        <v>427</v>
      </c>
      <c r="AD149" s="385">
        <v>408</v>
      </c>
      <c r="AE149" s="385">
        <v>370</v>
      </c>
      <c r="AF149" s="385">
        <v>373</v>
      </c>
      <c r="AG149" s="385">
        <v>408</v>
      </c>
      <c r="AH149" s="385">
        <v>392</v>
      </c>
      <c r="AI149" s="385">
        <v>426</v>
      </c>
      <c r="AJ149" s="385">
        <v>422</v>
      </c>
      <c r="AK149" s="385">
        <v>418</v>
      </c>
      <c r="AL149" s="385">
        <v>398</v>
      </c>
      <c r="AM149" s="385">
        <v>351</v>
      </c>
      <c r="AN149" s="385">
        <v>316</v>
      </c>
      <c r="AO149" s="385">
        <v>294</v>
      </c>
      <c r="AP149" s="385">
        <v>259</v>
      </c>
      <c r="AQ149" s="385">
        <v>236</v>
      </c>
      <c r="AR149" s="385">
        <v>215</v>
      </c>
      <c r="AS149" s="385">
        <v>189</v>
      </c>
      <c r="AT149" s="385">
        <v>164</v>
      </c>
      <c r="AU149" s="385">
        <v>111</v>
      </c>
      <c r="AV149" s="385">
        <v>82</v>
      </c>
      <c r="AW149" s="385">
        <v>63</v>
      </c>
      <c r="AX149" s="385">
        <v>51</v>
      </c>
      <c r="AY149" s="385">
        <v>27</v>
      </c>
      <c r="AZ149" s="385">
        <v>17</v>
      </c>
      <c r="BA149" s="385">
        <v>23</v>
      </c>
      <c r="BB149" s="385">
        <v>11</v>
      </c>
      <c r="BC149" s="385">
        <v>8</v>
      </c>
      <c r="BD149" s="385">
        <v>0</v>
      </c>
      <c r="BE149" s="385">
        <v>0</v>
      </c>
      <c r="BF149" s="385">
        <v>0</v>
      </c>
      <c r="BG149" s="385">
        <v>0</v>
      </c>
      <c r="BH149" s="385">
        <v>0</v>
      </c>
      <c r="BI149" s="385">
        <v>0</v>
      </c>
      <c r="BJ149" s="385">
        <v>0</v>
      </c>
      <c r="BK149" s="385">
        <v>0</v>
      </c>
      <c r="BL149" s="385">
        <v>0</v>
      </c>
      <c r="BM149" s="385">
        <v>0</v>
      </c>
      <c r="BN149" s="385">
        <v>0</v>
      </c>
      <c r="BO149" s="385">
        <v>0</v>
      </c>
    </row>
    <row r="150" spans="1:67" x14ac:dyDescent="0.2">
      <c r="A150" s="386" t="s">
        <v>893</v>
      </c>
      <c r="B150" s="386">
        <v>0</v>
      </c>
      <c r="C150" s="386">
        <v>0</v>
      </c>
      <c r="D150" s="386">
        <v>0</v>
      </c>
      <c r="E150" s="386">
        <v>0</v>
      </c>
      <c r="F150" s="386">
        <v>0</v>
      </c>
      <c r="G150" s="386">
        <v>0</v>
      </c>
      <c r="H150" s="386">
        <v>0</v>
      </c>
      <c r="I150" s="386">
        <v>0</v>
      </c>
      <c r="J150" s="386">
        <v>0</v>
      </c>
      <c r="K150" s="386">
        <v>0</v>
      </c>
      <c r="L150" s="386">
        <v>0</v>
      </c>
      <c r="M150" s="386">
        <v>0</v>
      </c>
      <c r="N150" s="386">
        <v>24</v>
      </c>
      <c r="O150" s="386">
        <v>0</v>
      </c>
      <c r="P150" s="386">
        <v>0</v>
      </c>
      <c r="Q150" s="386">
        <v>72</v>
      </c>
      <c r="R150" s="386">
        <v>48</v>
      </c>
      <c r="S150" s="386">
        <v>72</v>
      </c>
      <c r="T150" s="386">
        <v>120</v>
      </c>
      <c r="U150" s="386">
        <v>144</v>
      </c>
      <c r="V150" s="386">
        <v>96</v>
      </c>
      <c r="W150" s="386">
        <v>96</v>
      </c>
      <c r="X150" s="386">
        <v>72</v>
      </c>
      <c r="Y150" s="386">
        <v>240</v>
      </c>
      <c r="Z150" s="386">
        <v>288</v>
      </c>
      <c r="AA150" s="386">
        <v>528</v>
      </c>
      <c r="AB150" s="386">
        <v>336</v>
      </c>
      <c r="AC150" s="386">
        <v>504</v>
      </c>
      <c r="AD150" s="386">
        <v>456</v>
      </c>
      <c r="AE150" s="386">
        <v>360</v>
      </c>
      <c r="AF150" s="386">
        <v>336</v>
      </c>
      <c r="AG150" s="386">
        <v>384</v>
      </c>
      <c r="AH150" s="386">
        <v>408</v>
      </c>
      <c r="AI150" s="386">
        <v>336</v>
      </c>
      <c r="AJ150" s="386">
        <v>504</v>
      </c>
      <c r="AK150" s="386">
        <v>408</v>
      </c>
      <c r="AL150" s="386">
        <v>336</v>
      </c>
      <c r="AM150" s="386">
        <v>408</v>
      </c>
      <c r="AN150" s="386">
        <v>384</v>
      </c>
      <c r="AO150" s="386">
        <v>576</v>
      </c>
      <c r="AP150" s="386">
        <v>360</v>
      </c>
      <c r="AQ150" s="386">
        <v>336</v>
      </c>
      <c r="AR150" s="386">
        <v>144</v>
      </c>
      <c r="AS150" s="386">
        <v>144</v>
      </c>
      <c r="AT150" s="386">
        <v>72</v>
      </c>
      <c r="AU150" s="386">
        <v>120</v>
      </c>
      <c r="AV150" s="386">
        <v>48</v>
      </c>
      <c r="AW150" s="386">
        <v>0</v>
      </c>
      <c r="AX150" s="386">
        <v>0</v>
      </c>
      <c r="AY150" s="386">
        <v>0</v>
      </c>
      <c r="AZ150" s="386">
        <v>0</v>
      </c>
      <c r="BA150" s="386">
        <v>0</v>
      </c>
      <c r="BB150" s="386">
        <v>0</v>
      </c>
      <c r="BC150" s="386">
        <v>0</v>
      </c>
      <c r="BD150" s="386">
        <v>0</v>
      </c>
      <c r="BE150" s="386">
        <v>0</v>
      </c>
      <c r="BF150" s="386">
        <v>0</v>
      </c>
      <c r="BG150" s="386">
        <v>0</v>
      </c>
      <c r="BH150" s="386">
        <v>0</v>
      </c>
      <c r="BI150" s="386">
        <v>0</v>
      </c>
      <c r="BJ150" s="386">
        <v>0</v>
      </c>
      <c r="BK150" s="386">
        <v>0</v>
      </c>
      <c r="BL150" s="386">
        <v>0</v>
      </c>
      <c r="BM150" s="386">
        <v>0</v>
      </c>
      <c r="BN150" s="386">
        <v>0</v>
      </c>
      <c r="BO150" s="386">
        <v>0</v>
      </c>
    </row>
    <row r="151" spans="1:67" x14ac:dyDescent="0.2">
      <c r="A151" s="386" t="s">
        <v>894</v>
      </c>
      <c r="B151" s="387">
        <v>0</v>
      </c>
      <c r="C151" s="387">
        <v>0</v>
      </c>
      <c r="D151" s="387">
        <v>0</v>
      </c>
      <c r="E151" s="387">
        <v>0</v>
      </c>
      <c r="F151" s="387">
        <v>0</v>
      </c>
      <c r="G151" s="387">
        <v>0</v>
      </c>
      <c r="H151" s="387">
        <v>0</v>
      </c>
      <c r="I151" s="387">
        <v>0</v>
      </c>
      <c r="J151" s="387">
        <v>0</v>
      </c>
      <c r="K151" s="387">
        <v>0</v>
      </c>
      <c r="L151" s="387">
        <v>0</v>
      </c>
      <c r="M151" s="387">
        <v>0</v>
      </c>
      <c r="N151" s="387">
        <v>0.19900000000000001</v>
      </c>
      <c r="O151" s="387">
        <v>0.28599999999999998</v>
      </c>
      <c r="P151" s="387">
        <v>0.79400000000000004</v>
      </c>
      <c r="Q151" s="387">
        <v>2.1269999999999998</v>
      </c>
      <c r="R151" s="387">
        <v>1.859</v>
      </c>
      <c r="S151" s="387">
        <v>1.802</v>
      </c>
      <c r="T151" s="387">
        <v>2.8319999999999999</v>
      </c>
      <c r="U151" s="387">
        <v>3.2269999999999999</v>
      </c>
      <c r="V151" s="387">
        <v>4.6139999999999999</v>
      </c>
      <c r="W151" s="387">
        <v>7.1609999999999996</v>
      </c>
      <c r="X151" s="387">
        <v>6.5410000000000004</v>
      </c>
      <c r="Y151" s="387">
        <v>7.83</v>
      </c>
      <c r="Z151" s="387">
        <v>7.3159999999999998</v>
      </c>
      <c r="AA151" s="387">
        <v>13.753</v>
      </c>
      <c r="AB151" s="387">
        <v>21.352</v>
      </c>
      <c r="AC151" s="387">
        <v>14.973000000000001</v>
      </c>
      <c r="AD151" s="387">
        <v>18.638000000000002</v>
      </c>
      <c r="AE151" s="387">
        <v>18.795000000000002</v>
      </c>
      <c r="AF151" s="387">
        <v>19.724</v>
      </c>
      <c r="AG151" s="387">
        <v>30.178999999999998</v>
      </c>
      <c r="AH151" s="387">
        <v>30.282</v>
      </c>
      <c r="AI151" s="387">
        <v>34.207000000000001</v>
      </c>
      <c r="AJ151" s="387">
        <v>34.774999999999999</v>
      </c>
      <c r="AK151" s="387">
        <v>42.393000000000001</v>
      </c>
      <c r="AL151" s="387">
        <v>48.832999999999998</v>
      </c>
      <c r="AM151" s="387">
        <v>49.923000000000002</v>
      </c>
      <c r="AN151" s="387">
        <v>42.36</v>
      </c>
      <c r="AO151" s="387">
        <v>45.691000000000003</v>
      </c>
      <c r="AP151" s="387">
        <v>50.082000000000001</v>
      </c>
      <c r="AQ151" s="387">
        <v>59.216999999999999</v>
      </c>
      <c r="AR151" s="387">
        <v>66.971999999999994</v>
      </c>
      <c r="AS151" s="387">
        <v>70.844999999999999</v>
      </c>
      <c r="AT151" s="387">
        <v>74.727999999999994</v>
      </c>
      <c r="AU151" s="387">
        <v>48.319000000000003</v>
      </c>
      <c r="AV151" s="387">
        <v>38.43</v>
      </c>
      <c r="AW151" s="387">
        <v>29.263000000000002</v>
      </c>
      <c r="AX151" s="387">
        <v>25.396000000000001</v>
      </c>
      <c r="AY151" s="387">
        <v>14.811</v>
      </c>
      <c r="AZ151" s="387">
        <v>11.058</v>
      </c>
      <c r="BA151" s="387">
        <v>12.679</v>
      </c>
      <c r="BB151" s="387">
        <v>6.9889999999999999</v>
      </c>
      <c r="BC151" s="387">
        <v>4.6669999999999998</v>
      </c>
      <c r="BD151" s="387">
        <v>0</v>
      </c>
      <c r="BE151" s="387">
        <v>0</v>
      </c>
      <c r="BF151" s="387">
        <v>0</v>
      </c>
      <c r="BG151" s="387">
        <v>0</v>
      </c>
      <c r="BH151" s="387">
        <v>0</v>
      </c>
      <c r="BI151" s="387">
        <v>0</v>
      </c>
      <c r="BJ151" s="387">
        <v>0</v>
      </c>
      <c r="BK151" s="387">
        <v>0</v>
      </c>
      <c r="BL151" s="387">
        <v>0</v>
      </c>
      <c r="BM151" s="387">
        <v>0</v>
      </c>
      <c r="BN151" s="387">
        <v>0</v>
      </c>
      <c r="BO151" s="387">
        <v>0</v>
      </c>
    </row>
    <row r="152" spans="1:67" x14ac:dyDescent="0.2">
      <c r="A152" s="386" t="s">
        <v>895</v>
      </c>
      <c r="B152" s="387">
        <v>0</v>
      </c>
      <c r="C152" s="387">
        <v>0</v>
      </c>
      <c r="D152" s="387">
        <v>0</v>
      </c>
      <c r="E152" s="387">
        <v>0</v>
      </c>
      <c r="F152" s="387">
        <v>0</v>
      </c>
      <c r="G152" s="387">
        <v>0</v>
      </c>
      <c r="H152" s="387">
        <v>0</v>
      </c>
      <c r="I152" s="387">
        <v>0</v>
      </c>
      <c r="J152" s="387">
        <v>0</v>
      </c>
      <c r="K152" s="387">
        <v>0</v>
      </c>
      <c r="L152" s="387">
        <v>0.36699999999999999</v>
      </c>
      <c r="M152" s="387">
        <v>0.46300000000000002</v>
      </c>
      <c r="N152" s="387">
        <v>1.0369999999999999</v>
      </c>
      <c r="O152" s="387">
        <v>1.0089999999999999</v>
      </c>
      <c r="P152" s="387">
        <v>1.504</v>
      </c>
      <c r="Q152" s="387">
        <v>3.746</v>
      </c>
      <c r="R152" s="387">
        <v>2.2469999999999999</v>
      </c>
      <c r="S152" s="387">
        <v>2.5569999999999999</v>
      </c>
      <c r="T152" s="387">
        <v>3.7970000000000002</v>
      </c>
      <c r="U152" s="387">
        <v>4.5270000000000001</v>
      </c>
      <c r="V152" s="387">
        <v>5.1950000000000003</v>
      </c>
      <c r="W152" s="387">
        <v>6.1420000000000003</v>
      </c>
      <c r="X152" s="387">
        <v>6.4489999999999998</v>
      </c>
      <c r="Y152" s="387">
        <v>8.6430000000000007</v>
      </c>
      <c r="Z152" s="387">
        <v>6.6150000000000002</v>
      </c>
      <c r="AA152" s="387">
        <v>12.657</v>
      </c>
      <c r="AB152" s="387">
        <v>17.457000000000001</v>
      </c>
      <c r="AC152" s="387">
        <v>12.791</v>
      </c>
      <c r="AD152" s="387">
        <v>16.536000000000001</v>
      </c>
      <c r="AE152" s="387">
        <v>14.257</v>
      </c>
      <c r="AF152" s="387">
        <v>14.478</v>
      </c>
      <c r="AG152" s="387">
        <v>21.164999999999999</v>
      </c>
      <c r="AH152" s="387">
        <v>18.510000000000002</v>
      </c>
      <c r="AI152" s="387">
        <v>18.315000000000001</v>
      </c>
      <c r="AJ152" s="387">
        <v>22.47</v>
      </c>
      <c r="AK152" s="387">
        <v>23.111000000000001</v>
      </c>
      <c r="AL152" s="387">
        <v>31.317</v>
      </c>
      <c r="AM152" s="387">
        <v>23.885999999999999</v>
      </c>
      <c r="AN152" s="387">
        <v>19.968</v>
      </c>
      <c r="AO152" s="387">
        <v>29.777000000000001</v>
      </c>
      <c r="AP152" s="387">
        <v>27.492999999999999</v>
      </c>
      <c r="AQ152" s="387">
        <v>27.811</v>
      </c>
      <c r="AR152" s="387">
        <v>36.424999999999997</v>
      </c>
      <c r="AS152" s="387">
        <v>26.82</v>
      </c>
      <c r="AT152" s="387">
        <v>24.367999999999999</v>
      </c>
      <c r="AU152" s="387">
        <v>13.832000000000001</v>
      </c>
      <c r="AV152" s="387">
        <v>15.698</v>
      </c>
      <c r="AW152" s="387">
        <v>8.9209999999999994</v>
      </c>
      <c r="AX152" s="387">
        <v>10.153</v>
      </c>
      <c r="AY152" s="387">
        <v>4.4020000000000001</v>
      </c>
      <c r="AZ152" s="387">
        <v>3.097</v>
      </c>
      <c r="BA152" s="387">
        <v>2.3119999999999998</v>
      </c>
      <c r="BB152" s="387">
        <v>0.47599999999999998</v>
      </c>
      <c r="BC152" s="387">
        <v>0</v>
      </c>
      <c r="BD152" s="387">
        <v>0</v>
      </c>
      <c r="BE152" s="387">
        <v>0</v>
      </c>
      <c r="BF152" s="387">
        <v>0</v>
      </c>
      <c r="BG152" s="387">
        <v>0</v>
      </c>
      <c r="BH152" s="387">
        <v>0</v>
      </c>
      <c r="BI152" s="387">
        <v>0</v>
      </c>
      <c r="BJ152" s="387">
        <v>0</v>
      </c>
      <c r="BK152" s="387">
        <v>0</v>
      </c>
      <c r="BL152" s="387">
        <v>0</v>
      </c>
      <c r="BM152" s="387">
        <v>0</v>
      </c>
      <c r="BN152" s="387">
        <v>0</v>
      </c>
      <c r="BO152" s="387">
        <v>0</v>
      </c>
    </row>
    <row r="153" spans="1:67" x14ac:dyDescent="0.2">
      <c r="A153" s="386" t="s">
        <v>896</v>
      </c>
      <c r="B153" s="387">
        <v>0</v>
      </c>
      <c r="C153" s="387">
        <v>0</v>
      </c>
      <c r="D153" s="387">
        <v>0</v>
      </c>
      <c r="E153" s="387">
        <v>0</v>
      </c>
      <c r="F153" s="387">
        <v>0</v>
      </c>
      <c r="G153" s="387">
        <v>0</v>
      </c>
      <c r="H153" s="387">
        <v>0</v>
      </c>
      <c r="I153" s="387">
        <v>0</v>
      </c>
      <c r="J153" s="387">
        <v>0</v>
      </c>
      <c r="K153" s="387">
        <v>0</v>
      </c>
      <c r="L153" s="387">
        <v>0.33800000000000002</v>
      </c>
      <c r="M153" s="387">
        <v>0.157</v>
      </c>
      <c r="N153" s="387">
        <v>1.155</v>
      </c>
      <c r="O153" s="387">
        <v>0.77900000000000003</v>
      </c>
      <c r="P153" s="387">
        <v>2.8250000000000002</v>
      </c>
      <c r="Q153" s="387">
        <v>6.2619999999999996</v>
      </c>
      <c r="R153" s="387">
        <v>4.79</v>
      </c>
      <c r="S153" s="387">
        <v>5.36</v>
      </c>
      <c r="T153" s="387">
        <v>8.3670000000000009</v>
      </c>
      <c r="U153" s="387">
        <v>9.4480000000000004</v>
      </c>
      <c r="V153" s="387">
        <v>12.083</v>
      </c>
      <c r="W153" s="387">
        <v>11.766999999999999</v>
      </c>
      <c r="X153" s="387">
        <v>12.911</v>
      </c>
      <c r="Y153" s="387">
        <v>15.696999999999999</v>
      </c>
      <c r="Z153" s="387">
        <v>11.734</v>
      </c>
      <c r="AA153" s="387">
        <v>19.899000000000001</v>
      </c>
      <c r="AB153" s="387">
        <v>26.24</v>
      </c>
      <c r="AC153" s="387">
        <v>17.977</v>
      </c>
      <c r="AD153" s="387">
        <v>27.552</v>
      </c>
      <c r="AE153" s="387">
        <v>25.213999999999999</v>
      </c>
      <c r="AF153" s="387">
        <v>28.178000000000001</v>
      </c>
      <c r="AG153" s="387">
        <v>37.238</v>
      </c>
      <c r="AH153" s="387">
        <v>35.930999999999997</v>
      </c>
      <c r="AI153" s="387">
        <v>30.716000000000001</v>
      </c>
      <c r="AJ153" s="387">
        <v>26.097000000000001</v>
      </c>
      <c r="AK153" s="387">
        <v>30.867999999999999</v>
      </c>
      <c r="AL153" s="387">
        <v>32.591999999999999</v>
      </c>
      <c r="AM153" s="387">
        <v>38.290999999999997</v>
      </c>
      <c r="AN153" s="387">
        <v>26.100999999999999</v>
      </c>
      <c r="AO153" s="387">
        <v>25.081</v>
      </c>
      <c r="AP153" s="387">
        <v>27.42</v>
      </c>
      <c r="AQ153" s="387">
        <v>36.073999999999998</v>
      </c>
      <c r="AR153" s="387">
        <v>40.331000000000003</v>
      </c>
      <c r="AS153" s="387">
        <v>45.670999999999999</v>
      </c>
      <c r="AT153" s="387">
        <v>48.238999999999997</v>
      </c>
      <c r="AU153" s="387">
        <v>28.873999999999999</v>
      </c>
      <c r="AV153" s="387">
        <v>21.887</v>
      </c>
      <c r="AW153" s="387">
        <v>14.98</v>
      </c>
      <c r="AX153" s="387">
        <v>15.096</v>
      </c>
      <c r="AY153" s="387">
        <v>7.774</v>
      </c>
      <c r="AZ153" s="387">
        <v>6.28</v>
      </c>
      <c r="BA153" s="387">
        <v>6.4610000000000003</v>
      </c>
      <c r="BB153" s="387">
        <v>3.6269999999999998</v>
      </c>
      <c r="BC153" s="387">
        <v>2.6030000000000002</v>
      </c>
      <c r="BD153" s="387">
        <v>0</v>
      </c>
      <c r="BE153" s="387">
        <v>0</v>
      </c>
      <c r="BF153" s="387">
        <v>0</v>
      </c>
      <c r="BG153" s="387">
        <v>0</v>
      </c>
      <c r="BH153" s="387">
        <v>0</v>
      </c>
      <c r="BI153" s="387">
        <v>0</v>
      </c>
      <c r="BJ153" s="387">
        <v>0</v>
      </c>
      <c r="BK153" s="387">
        <v>0</v>
      </c>
      <c r="BL153" s="387">
        <v>0</v>
      </c>
      <c r="BM153" s="387">
        <v>0</v>
      </c>
      <c r="BN153" s="387">
        <v>0</v>
      </c>
      <c r="BO153" s="387">
        <v>0</v>
      </c>
    </row>
    <row r="154" spans="1:67" x14ac:dyDescent="0.2">
      <c r="A154" s="386" t="s">
        <v>897</v>
      </c>
      <c r="B154" s="387">
        <v>0</v>
      </c>
      <c r="C154" s="387">
        <v>0</v>
      </c>
      <c r="D154" s="387">
        <v>0</v>
      </c>
      <c r="E154" s="387">
        <v>0</v>
      </c>
      <c r="F154" s="387">
        <v>0</v>
      </c>
      <c r="G154" s="387">
        <v>0</v>
      </c>
      <c r="H154" s="387">
        <v>0</v>
      </c>
      <c r="I154" s="387">
        <v>0</v>
      </c>
      <c r="J154" s="387">
        <v>0</v>
      </c>
      <c r="K154" s="387">
        <v>0</v>
      </c>
      <c r="L154" s="387">
        <v>0</v>
      </c>
      <c r="M154" s="387">
        <v>0</v>
      </c>
      <c r="N154" s="387">
        <v>0</v>
      </c>
      <c r="O154" s="387">
        <v>0.17</v>
      </c>
      <c r="P154" s="387">
        <v>0.58599999999999997</v>
      </c>
      <c r="Q154" s="387">
        <v>1.504</v>
      </c>
      <c r="R154" s="387">
        <v>1.468</v>
      </c>
      <c r="S154" s="387">
        <v>1.393</v>
      </c>
      <c r="T154" s="387">
        <v>1.5920000000000001</v>
      </c>
      <c r="U154" s="387">
        <v>3.367</v>
      </c>
      <c r="V154" s="387">
        <v>4.9139999999999997</v>
      </c>
      <c r="W154" s="387">
        <v>5.2190000000000003</v>
      </c>
      <c r="X154" s="387">
        <v>4.71</v>
      </c>
      <c r="Y154" s="387">
        <v>3.5379999999999998</v>
      </c>
      <c r="Z154" s="387">
        <v>4.5679999999999996</v>
      </c>
      <c r="AA154" s="387">
        <v>7.6619999999999999</v>
      </c>
      <c r="AB154" s="387">
        <v>12.637</v>
      </c>
      <c r="AC154" s="387">
        <v>6.7309999999999999</v>
      </c>
      <c r="AD154" s="387">
        <v>7.7389999999999999</v>
      </c>
      <c r="AE154" s="387">
        <v>8.0960000000000001</v>
      </c>
      <c r="AF154" s="387">
        <v>9.8170000000000002</v>
      </c>
      <c r="AG154" s="387">
        <v>15.308999999999999</v>
      </c>
      <c r="AH154" s="387">
        <v>13.467000000000001</v>
      </c>
      <c r="AI154" s="387">
        <v>13.047000000000001</v>
      </c>
      <c r="AJ154" s="387">
        <v>11.601000000000001</v>
      </c>
      <c r="AK154" s="387">
        <v>16.949000000000002</v>
      </c>
      <c r="AL154" s="387">
        <v>17.111000000000001</v>
      </c>
      <c r="AM154" s="387">
        <v>20.085999999999999</v>
      </c>
      <c r="AN154" s="387">
        <v>18.731999999999999</v>
      </c>
      <c r="AO154" s="387">
        <v>18.771999999999998</v>
      </c>
      <c r="AP154" s="387">
        <v>18.452000000000002</v>
      </c>
      <c r="AQ154" s="387">
        <v>26.343</v>
      </c>
      <c r="AR154" s="387">
        <v>26.018999999999998</v>
      </c>
      <c r="AS154" s="387">
        <v>32.433999999999997</v>
      </c>
      <c r="AT154" s="387">
        <v>37.606999999999999</v>
      </c>
      <c r="AU154" s="387">
        <v>29.413</v>
      </c>
      <c r="AV154" s="387">
        <v>15.598000000000001</v>
      </c>
      <c r="AW154" s="387">
        <v>14.284000000000001</v>
      </c>
      <c r="AX154" s="387">
        <v>10.766999999999999</v>
      </c>
      <c r="AY154" s="387">
        <v>7.1779999999999999</v>
      </c>
      <c r="AZ154" s="387">
        <v>4.7190000000000003</v>
      </c>
      <c r="BA154" s="387">
        <v>7.2229999999999999</v>
      </c>
      <c r="BB154" s="387">
        <v>4.4560000000000004</v>
      </c>
      <c r="BC154" s="387">
        <v>4.7290000000000001</v>
      </c>
      <c r="BD154" s="387">
        <v>0</v>
      </c>
      <c r="BE154" s="387">
        <v>0</v>
      </c>
      <c r="BF154" s="387">
        <v>0</v>
      </c>
      <c r="BG154" s="387">
        <v>0</v>
      </c>
      <c r="BH154" s="387">
        <v>0</v>
      </c>
      <c r="BI154" s="387">
        <v>0</v>
      </c>
      <c r="BJ154" s="387">
        <v>0</v>
      </c>
      <c r="BK154" s="387">
        <v>0</v>
      </c>
      <c r="BL154" s="387">
        <v>0</v>
      </c>
      <c r="BM154" s="387">
        <v>0</v>
      </c>
      <c r="BN154" s="387">
        <v>0</v>
      </c>
      <c r="BO154" s="387">
        <v>0</v>
      </c>
    </row>
    <row r="155" spans="1:67" x14ac:dyDescent="0.2">
      <c r="A155" s="388" t="s">
        <v>898</v>
      </c>
      <c r="B155" s="389">
        <v>0</v>
      </c>
      <c r="C155" s="389">
        <v>0</v>
      </c>
      <c r="D155" s="389">
        <v>0</v>
      </c>
      <c r="E155" s="389">
        <v>0</v>
      </c>
      <c r="F155" s="389">
        <v>0</v>
      </c>
      <c r="G155" s="389">
        <v>0</v>
      </c>
      <c r="H155" s="389">
        <v>0</v>
      </c>
      <c r="I155" s="389">
        <v>0</v>
      </c>
      <c r="J155" s="389">
        <v>0</v>
      </c>
      <c r="K155" s="389">
        <v>0</v>
      </c>
      <c r="L155" s="389">
        <v>0</v>
      </c>
      <c r="M155" s="389">
        <v>0</v>
      </c>
      <c r="N155" s="389">
        <v>0</v>
      </c>
      <c r="O155" s="389">
        <v>0.17</v>
      </c>
      <c r="P155" s="389">
        <v>0.35799999999999998</v>
      </c>
      <c r="Q155" s="389">
        <v>0.54600000000000004</v>
      </c>
      <c r="R155" s="389">
        <v>1.115</v>
      </c>
      <c r="S155" s="389">
        <v>0.72699999999999998</v>
      </c>
      <c r="T155" s="389">
        <v>1.139</v>
      </c>
      <c r="U155" s="389">
        <v>1.2310000000000001</v>
      </c>
      <c r="V155" s="389">
        <v>1.39</v>
      </c>
      <c r="W155" s="389">
        <v>2.5859999999999999</v>
      </c>
      <c r="X155" s="389">
        <v>1.609</v>
      </c>
      <c r="Y155" s="389">
        <v>1.601</v>
      </c>
      <c r="Z155" s="389">
        <v>1.4410000000000001</v>
      </c>
      <c r="AA155" s="389">
        <v>3.11</v>
      </c>
      <c r="AB155" s="389">
        <v>4.6580000000000004</v>
      </c>
      <c r="AC155" s="389">
        <v>2.4830000000000001</v>
      </c>
      <c r="AD155" s="389">
        <v>1.7050000000000001</v>
      </c>
      <c r="AE155" s="389">
        <v>1.839</v>
      </c>
      <c r="AF155" s="389">
        <v>2.2330000000000001</v>
      </c>
      <c r="AG155" s="389">
        <v>3.1080000000000001</v>
      </c>
      <c r="AH155" s="389">
        <v>3.2010000000000001</v>
      </c>
      <c r="AI155" s="389">
        <v>2.9359999999999999</v>
      </c>
      <c r="AJ155" s="389">
        <v>3.6389999999999998</v>
      </c>
      <c r="AK155" s="389">
        <v>4.2960000000000003</v>
      </c>
      <c r="AL155" s="389">
        <v>4.992</v>
      </c>
      <c r="AM155" s="389">
        <v>4.4130000000000003</v>
      </c>
      <c r="AN155" s="389">
        <v>3.7690000000000001</v>
      </c>
      <c r="AO155" s="389">
        <v>3.3820000000000001</v>
      </c>
      <c r="AP155" s="389">
        <v>2.5579999999999998</v>
      </c>
      <c r="AQ155" s="389">
        <v>4.47</v>
      </c>
      <c r="AR155" s="389">
        <v>5.6310000000000002</v>
      </c>
      <c r="AS155" s="389">
        <v>5.4619999999999997</v>
      </c>
      <c r="AT155" s="389">
        <v>3.8889999999999998</v>
      </c>
      <c r="AU155" s="389">
        <v>4.0140000000000002</v>
      </c>
      <c r="AV155" s="389">
        <v>2.8879999999999999</v>
      </c>
      <c r="AW155" s="389">
        <v>2.1539999999999999</v>
      </c>
      <c r="AX155" s="389">
        <v>2.1150000000000002</v>
      </c>
      <c r="AY155" s="389">
        <v>1.4470000000000001</v>
      </c>
      <c r="AZ155" s="389">
        <v>0.78900000000000003</v>
      </c>
      <c r="BA155" s="389">
        <v>0.78900000000000003</v>
      </c>
      <c r="BB155" s="389">
        <v>0.46</v>
      </c>
      <c r="BC155" s="389">
        <v>0</v>
      </c>
      <c r="BD155" s="389">
        <v>0</v>
      </c>
      <c r="BE155" s="389">
        <v>0</v>
      </c>
      <c r="BF155" s="389">
        <v>0</v>
      </c>
      <c r="BG155" s="389">
        <v>0</v>
      </c>
      <c r="BH155" s="389">
        <v>0</v>
      </c>
      <c r="BI155" s="389">
        <v>0</v>
      </c>
      <c r="BJ155" s="389">
        <v>0</v>
      </c>
      <c r="BK155" s="389">
        <v>0</v>
      </c>
      <c r="BL155" s="389">
        <v>0</v>
      </c>
      <c r="BM155" s="389">
        <v>0</v>
      </c>
      <c r="BN155" s="389">
        <v>0</v>
      </c>
      <c r="BO155" s="389">
        <v>0</v>
      </c>
    </row>
    <row r="157" spans="1:67" x14ac:dyDescent="0.2">
      <c r="A157" s="380" t="s">
        <v>3173</v>
      </c>
      <c r="B157" s="381" t="s">
        <v>916</v>
      </c>
    </row>
    <row r="158" spans="1:67" x14ac:dyDescent="0.2">
      <c r="A158" s="382" t="s">
        <v>2123</v>
      </c>
      <c r="B158" s="383"/>
    </row>
    <row r="159" spans="1:67" x14ac:dyDescent="0.2">
      <c r="A159" s="384" t="s">
        <v>3175</v>
      </c>
      <c r="B159" s="384">
        <v>-25</v>
      </c>
      <c r="C159" s="384">
        <v>-24</v>
      </c>
      <c r="D159" s="384">
        <v>-23</v>
      </c>
      <c r="E159" s="384">
        <v>-22</v>
      </c>
      <c r="F159" s="384">
        <v>-21</v>
      </c>
      <c r="G159" s="384">
        <v>-20</v>
      </c>
      <c r="H159" s="384">
        <v>-19</v>
      </c>
      <c r="I159" s="384">
        <v>-18</v>
      </c>
      <c r="J159" s="384">
        <v>-17</v>
      </c>
      <c r="K159" s="384">
        <v>-16</v>
      </c>
      <c r="L159" s="384">
        <v>-15</v>
      </c>
      <c r="M159" s="384">
        <v>-14</v>
      </c>
      <c r="N159" s="384">
        <v>-13</v>
      </c>
      <c r="O159" s="384">
        <v>-12</v>
      </c>
      <c r="P159" s="384">
        <v>-11</v>
      </c>
      <c r="Q159" s="384">
        <v>-10</v>
      </c>
      <c r="R159" s="384">
        <v>-9</v>
      </c>
      <c r="S159" s="384">
        <v>-8</v>
      </c>
      <c r="T159" s="384">
        <v>-7</v>
      </c>
      <c r="U159" s="384">
        <v>-6</v>
      </c>
      <c r="V159" s="384">
        <v>-5</v>
      </c>
      <c r="W159" s="384">
        <v>-4</v>
      </c>
      <c r="X159" s="384">
        <v>-3</v>
      </c>
      <c r="Y159" s="384">
        <v>-2</v>
      </c>
      <c r="Z159" s="384">
        <v>-1</v>
      </c>
      <c r="AA159" s="384">
        <v>0</v>
      </c>
      <c r="AB159" s="384">
        <v>1</v>
      </c>
      <c r="AC159" s="384">
        <v>2</v>
      </c>
      <c r="AD159" s="384">
        <v>3</v>
      </c>
      <c r="AE159" s="384">
        <v>4</v>
      </c>
      <c r="AF159" s="384">
        <v>5</v>
      </c>
      <c r="AG159" s="384">
        <v>6</v>
      </c>
      <c r="AH159" s="384">
        <v>7</v>
      </c>
      <c r="AI159" s="384">
        <v>8</v>
      </c>
      <c r="AJ159" s="384">
        <v>9</v>
      </c>
      <c r="AK159" s="384">
        <v>10</v>
      </c>
      <c r="AL159" s="384">
        <v>11</v>
      </c>
      <c r="AM159" s="384">
        <v>12</v>
      </c>
      <c r="AN159" s="384">
        <v>13</v>
      </c>
      <c r="AO159" s="384">
        <v>14</v>
      </c>
      <c r="AP159" s="384">
        <v>15</v>
      </c>
      <c r="AQ159" s="384">
        <v>16</v>
      </c>
      <c r="AR159" s="384">
        <v>17</v>
      </c>
      <c r="AS159" s="384">
        <v>18</v>
      </c>
      <c r="AT159" s="384">
        <v>19</v>
      </c>
      <c r="AU159" s="384">
        <v>20</v>
      </c>
      <c r="AV159" s="384">
        <v>21</v>
      </c>
      <c r="AW159" s="384">
        <v>22</v>
      </c>
      <c r="AX159" s="384">
        <v>23</v>
      </c>
      <c r="AY159" s="384">
        <v>24</v>
      </c>
      <c r="AZ159" s="384">
        <v>25</v>
      </c>
      <c r="BA159" s="384">
        <v>26</v>
      </c>
      <c r="BB159" s="384">
        <v>27</v>
      </c>
      <c r="BC159" s="384">
        <v>28</v>
      </c>
      <c r="BD159" s="384">
        <v>29</v>
      </c>
      <c r="BE159" s="384">
        <v>30</v>
      </c>
      <c r="BF159" s="384">
        <v>31</v>
      </c>
      <c r="BG159" s="384">
        <v>32</v>
      </c>
      <c r="BH159" s="384">
        <v>33</v>
      </c>
      <c r="BI159" s="384">
        <v>34</v>
      </c>
      <c r="BJ159" s="384">
        <v>35</v>
      </c>
      <c r="BK159" s="384">
        <v>36</v>
      </c>
      <c r="BL159" s="384">
        <v>37</v>
      </c>
      <c r="BM159" s="384">
        <v>38</v>
      </c>
      <c r="BN159" s="384">
        <v>39</v>
      </c>
      <c r="BO159" s="384">
        <v>40</v>
      </c>
    </row>
    <row r="160" spans="1:67" x14ac:dyDescent="0.2">
      <c r="A160" s="385" t="s">
        <v>3176</v>
      </c>
      <c r="B160" s="385">
        <v>0</v>
      </c>
      <c r="C160" s="385">
        <v>0</v>
      </c>
      <c r="D160" s="385">
        <v>0</v>
      </c>
      <c r="E160" s="385">
        <v>0</v>
      </c>
      <c r="F160" s="385">
        <v>0</v>
      </c>
      <c r="G160" s="385">
        <v>0</v>
      </c>
      <c r="H160" s="385">
        <v>0</v>
      </c>
      <c r="I160" s="385">
        <v>0</v>
      </c>
      <c r="J160" s="385">
        <v>0</v>
      </c>
      <c r="K160" s="385">
        <v>0</v>
      </c>
      <c r="L160" s="385">
        <v>0</v>
      </c>
      <c r="M160" s="385">
        <v>0</v>
      </c>
      <c r="N160" s="385">
        <v>0</v>
      </c>
      <c r="O160" s="385">
        <v>0</v>
      </c>
      <c r="P160" s="385">
        <v>0</v>
      </c>
      <c r="Q160" s="385">
        <v>0</v>
      </c>
      <c r="R160" s="385">
        <v>0</v>
      </c>
      <c r="S160" s="385">
        <v>0</v>
      </c>
      <c r="T160" s="385">
        <v>0</v>
      </c>
      <c r="U160" s="385">
        <v>0</v>
      </c>
      <c r="V160" s="385">
        <v>0</v>
      </c>
      <c r="W160" s="385">
        <v>2</v>
      </c>
      <c r="X160" s="385">
        <v>13</v>
      </c>
      <c r="Y160" s="385">
        <v>47</v>
      </c>
      <c r="Z160" s="385">
        <v>75</v>
      </c>
      <c r="AA160" s="385">
        <v>131</v>
      </c>
      <c r="AB160" s="385">
        <v>184</v>
      </c>
      <c r="AC160" s="385">
        <v>281</v>
      </c>
      <c r="AD160" s="385">
        <v>328</v>
      </c>
      <c r="AE160" s="385">
        <v>349</v>
      </c>
      <c r="AF160" s="385">
        <v>324</v>
      </c>
      <c r="AG160" s="385">
        <v>362</v>
      </c>
      <c r="AH160" s="385">
        <v>426</v>
      </c>
      <c r="AI160" s="385">
        <v>438</v>
      </c>
      <c r="AJ160" s="385">
        <v>366</v>
      </c>
      <c r="AK160" s="385">
        <v>339</v>
      </c>
      <c r="AL160" s="385">
        <v>329</v>
      </c>
      <c r="AM160" s="385">
        <v>385</v>
      </c>
      <c r="AN160" s="385">
        <v>350</v>
      </c>
      <c r="AO160" s="385">
        <v>385</v>
      </c>
      <c r="AP160" s="385">
        <v>404</v>
      </c>
      <c r="AQ160" s="385">
        <v>395</v>
      </c>
      <c r="AR160" s="385">
        <v>358</v>
      </c>
      <c r="AS160" s="385">
        <v>341</v>
      </c>
      <c r="AT160" s="385">
        <v>344</v>
      </c>
      <c r="AU160" s="385">
        <v>304</v>
      </c>
      <c r="AV160" s="385">
        <v>295</v>
      </c>
      <c r="AW160" s="385">
        <v>242</v>
      </c>
      <c r="AX160" s="385">
        <v>208</v>
      </c>
      <c r="AY160" s="385">
        <v>179</v>
      </c>
      <c r="AZ160" s="385">
        <v>139</v>
      </c>
      <c r="BA160" s="385">
        <v>149</v>
      </c>
      <c r="BB160" s="385">
        <v>113</v>
      </c>
      <c r="BC160" s="385">
        <v>70</v>
      </c>
      <c r="BD160" s="385">
        <v>50</v>
      </c>
      <c r="BE160" s="385">
        <v>22</v>
      </c>
      <c r="BF160" s="385">
        <v>17</v>
      </c>
      <c r="BG160" s="385">
        <v>6</v>
      </c>
      <c r="BH160" s="385">
        <v>7</v>
      </c>
      <c r="BI160" s="385">
        <v>3</v>
      </c>
      <c r="BJ160" s="385">
        <v>0</v>
      </c>
      <c r="BK160" s="385">
        <v>0</v>
      </c>
      <c r="BL160" s="385">
        <v>0</v>
      </c>
      <c r="BM160" s="385">
        <v>0</v>
      </c>
      <c r="BN160" s="385">
        <v>0</v>
      </c>
      <c r="BO160" s="385">
        <v>0</v>
      </c>
    </row>
    <row r="161" spans="1:67" x14ac:dyDescent="0.2">
      <c r="A161" s="386" t="s">
        <v>893</v>
      </c>
      <c r="B161" s="386">
        <v>0</v>
      </c>
      <c r="C161" s="386">
        <v>0</v>
      </c>
      <c r="D161" s="386">
        <v>0</v>
      </c>
      <c r="E161" s="386">
        <v>0</v>
      </c>
      <c r="F161" s="386">
        <v>0</v>
      </c>
      <c r="G161" s="386">
        <v>0</v>
      </c>
      <c r="H161" s="386">
        <v>0</v>
      </c>
      <c r="I161" s="386">
        <v>0</v>
      </c>
      <c r="J161" s="386">
        <v>0</v>
      </c>
      <c r="K161" s="386">
        <v>0</v>
      </c>
      <c r="L161" s="386">
        <v>0</v>
      </c>
      <c r="M161" s="386">
        <v>0</v>
      </c>
      <c r="N161" s="386">
        <v>0</v>
      </c>
      <c r="O161" s="386">
        <v>0</v>
      </c>
      <c r="P161" s="386">
        <v>0</v>
      </c>
      <c r="Q161" s="386">
        <v>0</v>
      </c>
      <c r="R161" s="386">
        <v>0</v>
      </c>
      <c r="S161" s="386">
        <v>0</v>
      </c>
      <c r="T161" s="386">
        <v>0</v>
      </c>
      <c r="U161" s="386">
        <v>0</v>
      </c>
      <c r="V161" s="386">
        <v>0</v>
      </c>
      <c r="W161" s="386">
        <v>0</v>
      </c>
      <c r="X161" s="386">
        <v>0</v>
      </c>
      <c r="Y161" s="386">
        <v>24</v>
      </c>
      <c r="Z161" s="386">
        <v>24</v>
      </c>
      <c r="AA161" s="386">
        <v>96</v>
      </c>
      <c r="AB161" s="386">
        <v>240</v>
      </c>
      <c r="AC161" s="386">
        <v>240</v>
      </c>
      <c r="AD161" s="386">
        <v>360</v>
      </c>
      <c r="AE161" s="386">
        <v>384</v>
      </c>
      <c r="AF161" s="386">
        <v>312</v>
      </c>
      <c r="AG161" s="386">
        <v>312</v>
      </c>
      <c r="AH161" s="386">
        <v>360</v>
      </c>
      <c r="AI161" s="386">
        <v>552</v>
      </c>
      <c r="AJ161" s="386">
        <v>360</v>
      </c>
      <c r="AK161" s="386">
        <v>360</v>
      </c>
      <c r="AL161" s="386">
        <v>360</v>
      </c>
      <c r="AM161" s="386">
        <v>384</v>
      </c>
      <c r="AN161" s="386">
        <v>360</v>
      </c>
      <c r="AO161" s="386">
        <v>432</v>
      </c>
      <c r="AP161" s="386">
        <v>360</v>
      </c>
      <c r="AQ161" s="386">
        <v>216</v>
      </c>
      <c r="AR161" s="386">
        <v>552</v>
      </c>
      <c r="AS161" s="386">
        <v>336</v>
      </c>
      <c r="AT161" s="386">
        <v>312</v>
      </c>
      <c r="AU161" s="386">
        <v>288</v>
      </c>
      <c r="AV161" s="386">
        <v>288</v>
      </c>
      <c r="AW161" s="386">
        <v>408</v>
      </c>
      <c r="AX161" s="386">
        <v>384</v>
      </c>
      <c r="AY161" s="386">
        <v>216</v>
      </c>
      <c r="AZ161" s="386">
        <v>168</v>
      </c>
      <c r="BA161" s="386">
        <v>24</v>
      </c>
      <c r="BB161" s="386">
        <v>48</v>
      </c>
      <c r="BC161" s="386">
        <v>0</v>
      </c>
      <c r="BD161" s="386">
        <v>0</v>
      </c>
      <c r="BE161" s="386">
        <v>0</v>
      </c>
      <c r="BF161" s="386">
        <v>0</v>
      </c>
      <c r="BG161" s="386">
        <v>0</v>
      </c>
      <c r="BH161" s="386">
        <v>0</v>
      </c>
      <c r="BI161" s="386">
        <v>0</v>
      </c>
      <c r="BJ161" s="386">
        <v>0</v>
      </c>
      <c r="BK161" s="386">
        <v>0</v>
      </c>
      <c r="BL161" s="386">
        <v>0</v>
      </c>
      <c r="BM161" s="386">
        <v>0</v>
      </c>
      <c r="BN161" s="386">
        <v>0</v>
      </c>
      <c r="BO161" s="386">
        <v>0</v>
      </c>
    </row>
    <row r="162" spans="1:67" x14ac:dyDescent="0.2">
      <c r="A162" s="386" t="s">
        <v>894</v>
      </c>
      <c r="B162" s="387">
        <v>0</v>
      </c>
      <c r="C162" s="387">
        <v>0</v>
      </c>
      <c r="D162" s="387">
        <v>0</v>
      </c>
      <c r="E162" s="387">
        <v>0</v>
      </c>
      <c r="F162" s="387">
        <v>0</v>
      </c>
      <c r="G162" s="387">
        <v>0</v>
      </c>
      <c r="H162" s="387">
        <v>0</v>
      </c>
      <c r="I162" s="387">
        <v>0</v>
      </c>
      <c r="J162" s="387">
        <v>0</v>
      </c>
      <c r="K162" s="387">
        <v>0</v>
      </c>
      <c r="L162" s="387">
        <v>0</v>
      </c>
      <c r="M162" s="387">
        <v>0</v>
      </c>
      <c r="N162" s="387">
        <v>0</v>
      </c>
      <c r="O162" s="387">
        <v>0</v>
      </c>
      <c r="P162" s="387">
        <v>0</v>
      </c>
      <c r="Q162" s="387">
        <v>0</v>
      </c>
      <c r="R162" s="387">
        <v>0</v>
      </c>
      <c r="S162" s="387">
        <v>0</v>
      </c>
      <c r="T162" s="387">
        <v>0</v>
      </c>
      <c r="U162" s="387">
        <v>0</v>
      </c>
      <c r="V162" s="387">
        <v>0</v>
      </c>
      <c r="W162" s="387">
        <v>0</v>
      </c>
      <c r="X162" s="387">
        <v>0</v>
      </c>
      <c r="Y162" s="387">
        <v>0</v>
      </c>
      <c r="Z162" s="387">
        <v>0.96899999999999997</v>
      </c>
      <c r="AA162" s="387">
        <v>1.4590000000000001</v>
      </c>
      <c r="AB162" s="387">
        <v>2.8239999999999998</v>
      </c>
      <c r="AC162" s="387">
        <v>6.2060000000000004</v>
      </c>
      <c r="AD162" s="387">
        <v>8.0519999999999996</v>
      </c>
      <c r="AE162" s="387">
        <v>13.260999999999999</v>
      </c>
      <c r="AF162" s="387">
        <v>17.047000000000001</v>
      </c>
      <c r="AG162" s="387">
        <v>19.277999999999999</v>
      </c>
      <c r="AH162" s="387">
        <v>20.710999999999999</v>
      </c>
      <c r="AI162" s="387">
        <v>23.779</v>
      </c>
      <c r="AJ162" s="387">
        <v>21.376999999999999</v>
      </c>
      <c r="AK162" s="387">
        <v>31.423999999999999</v>
      </c>
      <c r="AL162" s="387">
        <v>33.018000000000001</v>
      </c>
      <c r="AM162" s="387">
        <v>41.648000000000003</v>
      </c>
      <c r="AN162" s="387">
        <v>35.762</v>
      </c>
      <c r="AO162" s="387">
        <v>44.895000000000003</v>
      </c>
      <c r="AP162" s="387">
        <v>48.103000000000002</v>
      </c>
      <c r="AQ162" s="387">
        <v>49.997999999999998</v>
      </c>
      <c r="AR162" s="387">
        <v>52.511000000000003</v>
      </c>
      <c r="AS162" s="387">
        <v>54.441000000000003</v>
      </c>
      <c r="AT162" s="387">
        <v>57.579000000000001</v>
      </c>
      <c r="AU162" s="387">
        <v>61.234000000000002</v>
      </c>
      <c r="AV162" s="387">
        <v>66.162999999999997</v>
      </c>
      <c r="AW162" s="387">
        <v>67.995000000000005</v>
      </c>
      <c r="AX162" s="387">
        <v>66.007999999999996</v>
      </c>
      <c r="AY162" s="387">
        <v>59.567999999999998</v>
      </c>
      <c r="AZ162" s="387">
        <v>59.908999999999999</v>
      </c>
      <c r="BA162" s="387">
        <v>69.304000000000002</v>
      </c>
      <c r="BB162" s="387">
        <v>58.988999999999997</v>
      </c>
      <c r="BC162" s="387">
        <v>39.009</v>
      </c>
      <c r="BD162" s="387">
        <v>26.093</v>
      </c>
      <c r="BE162" s="387">
        <v>11.936999999999999</v>
      </c>
      <c r="BF162" s="387">
        <v>9.4489999999999998</v>
      </c>
      <c r="BG162" s="387">
        <v>3.2450000000000001</v>
      </c>
      <c r="BH162" s="387">
        <v>3.86</v>
      </c>
      <c r="BI162" s="387">
        <v>1.5489999999999999</v>
      </c>
      <c r="BJ162" s="387">
        <v>0</v>
      </c>
      <c r="BK162" s="387">
        <v>0</v>
      </c>
      <c r="BL162" s="387">
        <v>0</v>
      </c>
      <c r="BM162" s="387">
        <v>0</v>
      </c>
      <c r="BN162" s="387">
        <v>0</v>
      </c>
      <c r="BO162" s="387">
        <v>0</v>
      </c>
    </row>
    <row r="163" spans="1:67" x14ac:dyDescent="0.2">
      <c r="A163" s="386" t="s">
        <v>895</v>
      </c>
      <c r="B163" s="387">
        <v>0</v>
      </c>
      <c r="C163" s="387">
        <v>0</v>
      </c>
      <c r="D163" s="387">
        <v>0</v>
      </c>
      <c r="E163" s="387">
        <v>0</v>
      </c>
      <c r="F163" s="387">
        <v>0</v>
      </c>
      <c r="G163" s="387">
        <v>0</v>
      </c>
      <c r="H163" s="387">
        <v>0</v>
      </c>
      <c r="I163" s="387">
        <v>0</v>
      </c>
      <c r="J163" s="387">
        <v>0</v>
      </c>
      <c r="K163" s="387">
        <v>0</v>
      </c>
      <c r="L163" s="387">
        <v>0</v>
      </c>
      <c r="M163" s="387">
        <v>0</v>
      </c>
      <c r="N163" s="387">
        <v>0</v>
      </c>
      <c r="O163" s="387">
        <v>0</v>
      </c>
      <c r="P163" s="387">
        <v>0</v>
      </c>
      <c r="Q163" s="387">
        <v>0</v>
      </c>
      <c r="R163" s="387">
        <v>0</v>
      </c>
      <c r="S163" s="387">
        <v>0</v>
      </c>
      <c r="T163" s="387">
        <v>0</v>
      </c>
      <c r="U163" s="387">
        <v>0</v>
      </c>
      <c r="V163" s="387">
        <v>0</v>
      </c>
      <c r="W163" s="387">
        <v>0</v>
      </c>
      <c r="X163" s="387">
        <v>0.73599999999999999</v>
      </c>
      <c r="Y163" s="387">
        <v>0.69499999999999995</v>
      </c>
      <c r="Z163" s="387">
        <v>1.962</v>
      </c>
      <c r="AA163" s="387">
        <v>2.0470000000000002</v>
      </c>
      <c r="AB163" s="387">
        <v>4.1500000000000004</v>
      </c>
      <c r="AC163" s="387">
        <v>6.04</v>
      </c>
      <c r="AD163" s="387">
        <v>7.0780000000000003</v>
      </c>
      <c r="AE163" s="387">
        <v>10.961</v>
      </c>
      <c r="AF163" s="387">
        <v>9.8070000000000004</v>
      </c>
      <c r="AG163" s="387">
        <v>11.03</v>
      </c>
      <c r="AH163" s="387">
        <v>15.250999999999999</v>
      </c>
      <c r="AI163" s="387">
        <v>18.23</v>
      </c>
      <c r="AJ163" s="387">
        <v>16.75</v>
      </c>
      <c r="AK163" s="387">
        <v>19.257000000000001</v>
      </c>
      <c r="AL163" s="387">
        <v>21.872</v>
      </c>
      <c r="AM163" s="387">
        <v>25.064</v>
      </c>
      <c r="AN163" s="387">
        <v>18.832000000000001</v>
      </c>
      <c r="AO163" s="387">
        <v>23.852</v>
      </c>
      <c r="AP163" s="387">
        <v>21.812000000000001</v>
      </c>
      <c r="AQ163" s="387">
        <v>30.6</v>
      </c>
      <c r="AR163" s="387">
        <v>22.808</v>
      </c>
      <c r="AS163" s="387">
        <v>32.67</v>
      </c>
      <c r="AT163" s="387">
        <v>30.643999999999998</v>
      </c>
      <c r="AU163" s="387">
        <v>28.995000000000001</v>
      </c>
      <c r="AV163" s="387">
        <v>31.574999999999999</v>
      </c>
      <c r="AW163" s="387">
        <v>32.057000000000002</v>
      </c>
      <c r="AX163" s="387">
        <v>29.084</v>
      </c>
      <c r="AY163" s="387">
        <v>22.905000000000001</v>
      </c>
      <c r="AZ163" s="387">
        <v>20.457000000000001</v>
      </c>
      <c r="BA163" s="387">
        <v>14.727</v>
      </c>
      <c r="BB163" s="387">
        <v>8.8889999999999993</v>
      </c>
      <c r="BC163" s="387">
        <v>4.2409999999999997</v>
      </c>
      <c r="BD163" s="387">
        <v>1.1910000000000001</v>
      </c>
      <c r="BE163" s="387">
        <v>0.996</v>
      </c>
      <c r="BF163" s="387">
        <v>1.034</v>
      </c>
      <c r="BG163" s="387">
        <v>0.54200000000000004</v>
      </c>
      <c r="BH163" s="387">
        <v>0.32600000000000001</v>
      </c>
      <c r="BI163" s="387">
        <v>0</v>
      </c>
      <c r="BJ163" s="387">
        <v>0</v>
      </c>
      <c r="BK163" s="387">
        <v>0</v>
      </c>
      <c r="BL163" s="387">
        <v>0</v>
      </c>
      <c r="BM163" s="387">
        <v>0</v>
      </c>
      <c r="BN163" s="387">
        <v>0</v>
      </c>
      <c r="BO163" s="387">
        <v>0</v>
      </c>
    </row>
    <row r="164" spans="1:67" x14ac:dyDescent="0.2">
      <c r="A164" s="386" t="s">
        <v>896</v>
      </c>
      <c r="B164" s="387">
        <v>0</v>
      </c>
      <c r="C164" s="387">
        <v>0</v>
      </c>
      <c r="D164" s="387">
        <v>0</v>
      </c>
      <c r="E164" s="387">
        <v>0</v>
      </c>
      <c r="F164" s="387">
        <v>0</v>
      </c>
      <c r="G164" s="387">
        <v>0</v>
      </c>
      <c r="H164" s="387">
        <v>0</v>
      </c>
      <c r="I164" s="387">
        <v>0</v>
      </c>
      <c r="J164" s="387">
        <v>0</v>
      </c>
      <c r="K164" s="387">
        <v>0</v>
      </c>
      <c r="L164" s="387">
        <v>0</v>
      </c>
      <c r="M164" s="387">
        <v>0</v>
      </c>
      <c r="N164" s="387">
        <v>0</v>
      </c>
      <c r="O164" s="387">
        <v>0</v>
      </c>
      <c r="P164" s="387">
        <v>0</v>
      </c>
      <c r="Q164" s="387">
        <v>0</v>
      </c>
      <c r="R164" s="387">
        <v>0</v>
      </c>
      <c r="S164" s="387">
        <v>0</v>
      </c>
      <c r="T164" s="387">
        <v>0</v>
      </c>
      <c r="U164" s="387">
        <v>0</v>
      </c>
      <c r="V164" s="387">
        <v>0</v>
      </c>
      <c r="W164" s="387">
        <v>0</v>
      </c>
      <c r="X164" s="387">
        <v>0.496</v>
      </c>
      <c r="Y164" s="387">
        <v>0.40400000000000003</v>
      </c>
      <c r="Z164" s="387">
        <v>2.032</v>
      </c>
      <c r="AA164" s="387">
        <v>3.1429999999999998</v>
      </c>
      <c r="AB164" s="387">
        <v>7.3079999999999998</v>
      </c>
      <c r="AC164" s="387">
        <v>14.859</v>
      </c>
      <c r="AD164" s="387">
        <v>19.637</v>
      </c>
      <c r="AE164" s="387">
        <v>29.29</v>
      </c>
      <c r="AF164" s="387">
        <v>31.452000000000002</v>
      </c>
      <c r="AG164" s="387">
        <v>38.378</v>
      </c>
      <c r="AH164" s="387">
        <v>37.667999999999999</v>
      </c>
      <c r="AI164" s="387">
        <v>36.991999999999997</v>
      </c>
      <c r="AJ164" s="387">
        <v>28.018000000000001</v>
      </c>
      <c r="AK164" s="387">
        <v>39.411000000000001</v>
      </c>
      <c r="AL164" s="387">
        <v>40.295999999999999</v>
      </c>
      <c r="AM164" s="387">
        <v>50.082000000000001</v>
      </c>
      <c r="AN164" s="387">
        <v>39.536999999999999</v>
      </c>
      <c r="AO164" s="387">
        <v>46.886000000000003</v>
      </c>
      <c r="AP164" s="387">
        <v>41.847999999999999</v>
      </c>
      <c r="AQ164" s="387">
        <v>42.212000000000003</v>
      </c>
      <c r="AR164" s="387">
        <v>42.957000000000001</v>
      </c>
      <c r="AS164" s="387">
        <v>39.787999999999997</v>
      </c>
      <c r="AT164" s="387">
        <v>40.29</v>
      </c>
      <c r="AU164" s="387">
        <v>38.795000000000002</v>
      </c>
      <c r="AV164" s="387">
        <v>38.058999999999997</v>
      </c>
      <c r="AW164" s="387">
        <v>36.811</v>
      </c>
      <c r="AX164" s="387">
        <v>34.808999999999997</v>
      </c>
      <c r="AY164" s="387">
        <v>31.244</v>
      </c>
      <c r="AZ164" s="387">
        <v>31.768999999999998</v>
      </c>
      <c r="BA164" s="387">
        <v>37.292000000000002</v>
      </c>
      <c r="BB164" s="387">
        <v>31.614000000000001</v>
      </c>
      <c r="BC164" s="387">
        <v>20.553000000000001</v>
      </c>
      <c r="BD164" s="387">
        <v>12.617000000000001</v>
      </c>
      <c r="BE164" s="387">
        <v>5.8230000000000004</v>
      </c>
      <c r="BF164" s="387">
        <v>4.7409999999999997</v>
      </c>
      <c r="BG164" s="387">
        <v>1.871</v>
      </c>
      <c r="BH164" s="387">
        <v>1.966</v>
      </c>
      <c r="BI164" s="387">
        <v>0.81399999999999995</v>
      </c>
      <c r="BJ164" s="387">
        <v>0</v>
      </c>
      <c r="BK164" s="387">
        <v>0</v>
      </c>
      <c r="BL164" s="387">
        <v>0</v>
      </c>
      <c r="BM164" s="387">
        <v>0</v>
      </c>
      <c r="BN164" s="387">
        <v>0</v>
      </c>
      <c r="BO164" s="387">
        <v>0</v>
      </c>
    </row>
    <row r="165" spans="1:67" x14ac:dyDescent="0.2">
      <c r="A165" s="386" t="s">
        <v>897</v>
      </c>
      <c r="B165" s="387">
        <v>0</v>
      </c>
      <c r="C165" s="387">
        <v>0</v>
      </c>
      <c r="D165" s="387">
        <v>0</v>
      </c>
      <c r="E165" s="387">
        <v>0</v>
      </c>
      <c r="F165" s="387">
        <v>0</v>
      </c>
      <c r="G165" s="387">
        <v>0</v>
      </c>
      <c r="H165" s="387">
        <v>0</v>
      </c>
      <c r="I165" s="387">
        <v>0</v>
      </c>
      <c r="J165" s="387">
        <v>0</v>
      </c>
      <c r="K165" s="387">
        <v>0</v>
      </c>
      <c r="L165" s="387">
        <v>0</v>
      </c>
      <c r="M165" s="387">
        <v>0</v>
      </c>
      <c r="N165" s="387">
        <v>0</v>
      </c>
      <c r="O165" s="387">
        <v>0</v>
      </c>
      <c r="P165" s="387">
        <v>0</v>
      </c>
      <c r="Q165" s="387">
        <v>0</v>
      </c>
      <c r="R165" s="387">
        <v>0</v>
      </c>
      <c r="S165" s="387">
        <v>0</v>
      </c>
      <c r="T165" s="387">
        <v>0</v>
      </c>
      <c r="U165" s="387">
        <v>0</v>
      </c>
      <c r="V165" s="387">
        <v>0</v>
      </c>
      <c r="W165" s="387">
        <v>0</v>
      </c>
      <c r="X165" s="387">
        <v>0</v>
      </c>
      <c r="Y165" s="387">
        <v>0</v>
      </c>
      <c r="Z165" s="387">
        <v>0</v>
      </c>
      <c r="AA165" s="387">
        <v>0</v>
      </c>
      <c r="AB165" s="387">
        <v>0</v>
      </c>
      <c r="AC165" s="387">
        <v>1.635</v>
      </c>
      <c r="AD165" s="387">
        <v>3.9780000000000002</v>
      </c>
      <c r="AE165" s="387">
        <v>5.3579999999999997</v>
      </c>
      <c r="AF165" s="387">
        <v>7.8719999999999999</v>
      </c>
      <c r="AG165" s="387">
        <v>10.537000000000001</v>
      </c>
      <c r="AH165" s="387">
        <v>10.603999999999999</v>
      </c>
      <c r="AI165" s="387">
        <v>7.7750000000000004</v>
      </c>
      <c r="AJ165" s="387">
        <v>4.7869999999999999</v>
      </c>
      <c r="AK165" s="387">
        <v>10.866</v>
      </c>
      <c r="AL165" s="387">
        <v>12.077</v>
      </c>
      <c r="AM165" s="387">
        <v>14.734</v>
      </c>
      <c r="AN165" s="387">
        <v>14.846</v>
      </c>
      <c r="AO165" s="387">
        <v>19.905999999999999</v>
      </c>
      <c r="AP165" s="387">
        <v>26.041</v>
      </c>
      <c r="AQ165" s="387">
        <v>18.199000000000002</v>
      </c>
      <c r="AR165" s="387">
        <v>23.315999999999999</v>
      </c>
      <c r="AS165" s="387">
        <v>18.228999999999999</v>
      </c>
      <c r="AT165" s="387">
        <v>22.971</v>
      </c>
      <c r="AU165" s="387">
        <v>23.239000000000001</v>
      </c>
      <c r="AV165" s="387">
        <v>28.853999999999999</v>
      </c>
      <c r="AW165" s="387">
        <v>27.218</v>
      </c>
      <c r="AX165" s="387">
        <v>24.942</v>
      </c>
      <c r="AY165" s="387">
        <v>25.306999999999999</v>
      </c>
      <c r="AZ165" s="387">
        <v>24.506</v>
      </c>
      <c r="BA165" s="387">
        <v>37.874000000000002</v>
      </c>
      <c r="BB165" s="387">
        <v>37.582000000000001</v>
      </c>
      <c r="BC165" s="387">
        <v>24.190999999999999</v>
      </c>
      <c r="BD165" s="387">
        <v>22.89</v>
      </c>
      <c r="BE165" s="387">
        <v>8.9879999999999995</v>
      </c>
      <c r="BF165" s="387">
        <v>7.1369999999999996</v>
      </c>
      <c r="BG165" s="387">
        <v>2.0339999999999998</v>
      </c>
      <c r="BH165" s="387">
        <v>3.0249999999999999</v>
      </c>
      <c r="BI165" s="387">
        <v>1.673</v>
      </c>
      <c r="BJ165" s="387">
        <v>0</v>
      </c>
      <c r="BK165" s="387">
        <v>0</v>
      </c>
      <c r="BL165" s="387">
        <v>0</v>
      </c>
      <c r="BM165" s="387">
        <v>0</v>
      </c>
      <c r="BN165" s="387">
        <v>0</v>
      </c>
      <c r="BO165" s="387">
        <v>0</v>
      </c>
    </row>
    <row r="166" spans="1:67" x14ac:dyDescent="0.2">
      <c r="A166" s="388" t="s">
        <v>898</v>
      </c>
      <c r="B166" s="389">
        <v>0</v>
      </c>
      <c r="C166" s="389">
        <v>0</v>
      </c>
      <c r="D166" s="389">
        <v>0</v>
      </c>
      <c r="E166" s="389">
        <v>0</v>
      </c>
      <c r="F166" s="389">
        <v>0</v>
      </c>
      <c r="G166" s="389">
        <v>0</v>
      </c>
      <c r="H166" s="389">
        <v>0</v>
      </c>
      <c r="I166" s="389">
        <v>0</v>
      </c>
      <c r="J166" s="389">
        <v>0</v>
      </c>
      <c r="K166" s="389">
        <v>0</v>
      </c>
      <c r="L166" s="389">
        <v>0</v>
      </c>
      <c r="M166" s="389">
        <v>0</v>
      </c>
      <c r="N166" s="389">
        <v>0</v>
      </c>
      <c r="O166" s="389">
        <v>0</v>
      </c>
      <c r="P166" s="389">
        <v>0</v>
      </c>
      <c r="Q166" s="389">
        <v>0</v>
      </c>
      <c r="R166" s="389">
        <v>0</v>
      </c>
      <c r="S166" s="389">
        <v>0</v>
      </c>
      <c r="T166" s="389">
        <v>0</v>
      </c>
      <c r="U166" s="389">
        <v>0</v>
      </c>
      <c r="V166" s="389">
        <v>0</v>
      </c>
      <c r="W166" s="389">
        <v>0</v>
      </c>
      <c r="X166" s="389">
        <v>0</v>
      </c>
      <c r="Y166" s="389">
        <v>0</v>
      </c>
      <c r="Z166" s="389">
        <v>0</v>
      </c>
      <c r="AA166" s="389">
        <v>0</v>
      </c>
      <c r="AB166" s="389">
        <v>0</v>
      </c>
      <c r="AC166" s="389">
        <v>0.151</v>
      </c>
      <c r="AD166" s="389">
        <v>0.16400000000000001</v>
      </c>
      <c r="AE166" s="389">
        <v>0.37</v>
      </c>
      <c r="AF166" s="389">
        <v>0.32200000000000001</v>
      </c>
      <c r="AG166" s="389">
        <v>0</v>
      </c>
      <c r="AH166" s="389">
        <v>0</v>
      </c>
      <c r="AI166" s="389">
        <v>0</v>
      </c>
      <c r="AJ166" s="389">
        <v>0</v>
      </c>
      <c r="AK166" s="389">
        <v>0</v>
      </c>
      <c r="AL166" s="389">
        <v>0.34699999999999998</v>
      </c>
      <c r="AM166" s="389">
        <v>0.66100000000000003</v>
      </c>
      <c r="AN166" s="389">
        <v>0.30299999999999999</v>
      </c>
      <c r="AO166" s="389">
        <v>0.216</v>
      </c>
      <c r="AP166" s="389">
        <v>1.1339999999999999</v>
      </c>
      <c r="AQ166" s="389">
        <v>1.2589999999999999</v>
      </c>
      <c r="AR166" s="389">
        <v>0.78</v>
      </c>
      <c r="AS166" s="389">
        <v>1.1579999999999999</v>
      </c>
      <c r="AT166" s="389">
        <v>1.246</v>
      </c>
      <c r="AU166" s="389">
        <v>2.36</v>
      </c>
      <c r="AV166" s="389">
        <v>1.5940000000000001</v>
      </c>
      <c r="AW166" s="389">
        <v>1.2809999999999999</v>
      </c>
      <c r="AX166" s="389">
        <v>2.7010000000000001</v>
      </c>
      <c r="AY166" s="389">
        <v>0.77100000000000002</v>
      </c>
      <c r="AZ166" s="389">
        <v>1.395</v>
      </c>
      <c r="BA166" s="389">
        <v>1.7050000000000001</v>
      </c>
      <c r="BB166" s="389">
        <v>1.381</v>
      </c>
      <c r="BC166" s="389">
        <v>1.2250000000000001</v>
      </c>
      <c r="BD166" s="389">
        <v>0.61799999999999999</v>
      </c>
      <c r="BE166" s="389">
        <v>0.47099999999999997</v>
      </c>
      <c r="BF166" s="389">
        <v>0.47199999999999998</v>
      </c>
      <c r="BG166" s="389">
        <v>0</v>
      </c>
      <c r="BH166" s="389">
        <v>0.155</v>
      </c>
      <c r="BI166" s="389">
        <v>0</v>
      </c>
      <c r="BJ166" s="389">
        <v>0</v>
      </c>
      <c r="BK166" s="389">
        <v>0</v>
      </c>
      <c r="BL166" s="389">
        <v>0</v>
      </c>
      <c r="BM166" s="389">
        <v>0</v>
      </c>
      <c r="BN166" s="389">
        <v>0</v>
      </c>
      <c r="BO166" s="389">
        <v>0</v>
      </c>
    </row>
    <row r="168" spans="1:67" x14ac:dyDescent="0.2">
      <c r="A168" s="380" t="s">
        <v>3173</v>
      </c>
      <c r="B168" s="381" t="s">
        <v>917</v>
      </c>
    </row>
    <row r="169" spans="1:67" x14ac:dyDescent="0.2">
      <c r="A169" s="382" t="s">
        <v>2125</v>
      </c>
      <c r="B169" s="383"/>
    </row>
    <row r="170" spans="1:67" x14ac:dyDescent="0.2">
      <c r="A170" s="384" t="s">
        <v>3175</v>
      </c>
      <c r="B170" s="384">
        <v>-25</v>
      </c>
      <c r="C170" s="384">
        <v>-24</v>
      </c>
      <c r="D170" s="384">
        <v>-23</v>
      </c>
      <c r="E170" s="384">
        <v>-22</v>
      </c>
      <c r="F170" s="384">
        <v>-21</v>
      </c>
      <c r="G170" s="384">
        <v>-20</v>
      </c>
      <c r="H170" s="384">
        <v>-19</v>
      </c>
      <c r="I170" s="384">
        <v>-18</v>
      </c>
      <c r="J170" s="384">
        <v>-17</v>
      </c>
      <c r="K170" s="384">
        <v>-16</v>
      </c>
      <c r="L170" s="384">
        <v>-15</v>
      </c>
      <c r="M170" s="384">
        <v>-14</v>
      </c>
      <c r="N170" s="384">
        <v>-13</v>
      </c>
      <c r="O170" s="384">
        <v>-12</v>
      </c>
      <c r="P170" s="384">
        <v>-11</v>
      </c>
      <c r="Q170" s="384">
        <v>-10</v>
      </c>
      <c r="R170" s="384">
        <v>-9</v>
      </c>
      <c r="S170" s="384">
        <v>-8</v>
      </c>
      <c r="T170" s="384">
        <v>-7</v>
      </c>
      <c r="U170" s="384">
        <v>-6</v>
      </c>
      <c r="V170" s="384">
        <v>-5</v>
      </c>
      <c r="W170" s="384">
        <v>-4</v>
      </c>
      <c r="X170" s="384">
        <v>-3</v>
      </c>
      <c r="Y170" s="384">
        <v>-2</v>
      </c>
      <c r="Z170" s="384">
        <v>-1</v>
      </c>
      <c r="AA170" s="384">
        <v>0</v>
      </c>
      <c r="AB170" s="384">
        <v>1</v>
      </c>
      <c r="AC170" s="384">
        <v>2</v>
      </c>
      <c r="AD170" s="384">
        <v>3</v>
      </c>
      <c r="AE170" s="384">
        <v>4</v>
      </c>
      <c r="AF170" s="384">
        <v>5</v>
      </c>
      <c r="AG170" s="384">
        <v>6</v>
      </c>
      <c r="AH170" s="384">
        <v>7</v>
      </c>
      <c r="AI170" s="384">
        <v>8</v>
      </c>
      <c r="AJ170" s="384">
        <v>9</v>
      </c>
      <c r="AK170" s="384">
        <v>10</v>
      </c>
      <c r="AL170" s="384">
        <v>11</v>
      </c>
      <c r="AM170" s="384">
        <v>12</v>
      </c>
      <c r="AN170" s="384">
        <v>13</v>
      </c>
      <c r="AO170" s="384">
        <v>14</v>
      </c>
      <c r="AP170" s="384">
        <v>15</v>
      </c>
      <c r="AQ170" s="384">
        <v>16</v>
      </c>
      <c r="AR170" s="384">
        <v>17</v>
      </c>
      <c r="AS170" s="384">
        <v>18</v>
      </c>
      <c r="AT170" s="384">
        <v>19</v>
      </c>
      <c r="AU170" s="384">
        <v>20</v>
      </c>
      <c r="AV170" s="384">
        <v>21</v>
      </c>
      <c r="AW170" s="384">
        <v>22</v>
      </c>
      <c r="AX170" s="384">
        <v>23</v>
      </c>
      <c r="AY170" s="384">
        <v>24</v>
      </c>
      <c r="AZ170" s="384">
        <v>25</v>
      </c>
      <c r="BA170" s="384">
        <v>26</v>
      </c>
      <c r="BB170" s="384">
        <v>27</v>
      </c>
      <c r="BC170" s="384">
        <v>28</v>
      </c>
      <c r="BD170" s="384">
        <v>29</v>
      </c>
      <c r="BE170" s="384">
        <v>30</v>
      </c>
      <c r="BF170" s="384">
        <v>31</v>
      </c>
      <c r="BG170" s="384">
        <v>32</v>
      </c>
      <c r="BH170" s="384">
        <v>33</v>
      </c>
      <c r="BI170" s="384">
        <v>34</v>
      </c>
      <c r="BJ170" s="384">
        <v>35</v>
      </c>
      <c r="BK170" s="384">
        <v>36</v>
      </c>
      <c r="BL170" s="384">
        <v>37</v>
      </c>
      <c r="BM170" s="384">
        <v>38</v>
      </c>
      <c r="BN170" s="384">
        <v>39</v>
      </c>
      <c r="BO170" s="384">
        <v>40</v>
      </c>
    </row>
    <row r="171" spans="1:67" x14ac:dyDescent="0.2">
      <c r="A171" s="385" t="s">
        <v>3176</v>
      </c>
      <c r="B171" s="385">
        <v>0</v>
      </c>
      <c r="C171" s="385">
        <v>0</v>
      </c>
      <c r="D171" s="385">
        <v>0</v>
      </c>
      <c r="E171" s="385">
        <v>0</v>
      </c>
      <c r="F171" s="385">
        <v>0</v>
      </c>
      <c r="G171" s="385">
        <v>0</v>
      </c>
      <c r="H171" s="385">
        <v>0</v>
      </c>
      <c r="I171" s="385">
        <v>0</v>
      </c>
      <c r="J171" s="385">
        <v>0</v>
      </c>
      <c r="K171" s="385">
        <v>0</v>
      </c>
      <c r="L171" s="385">
        <v>0</v>
      </c>
      <c r="M171" s="385">
        <v>0</v>
      </c>
      <c r="N171" s="385">
        <v>0</v>
      </c>
      <c r="O171" s="385">
        <v>0</v>
      </c>
      <c r="P171" s="385">
        <v>0</v>
      </c>
      <c r="Q171" s="385">
        <v>0</v>
      </c>
      <c r="R171" s="385">
        <v>0</v>
      </c>
      <c r="S171" s="385">
        <v>0</v>
      </c>
      <c r="T171" s="385">
        <v>0</v>
      </c>
      <c r="U171" s="385">
        <v>0</v>
      </c>
      <c r="V171" s="385">
        <v>0</v>
      </c>
      <c r="W171" s="385">
        <v>0</v>
      </c>
      <c r="X171" s="385">
        <v>3</v>
      </c>
      <c r="Y171" s="385">
        <v>24</v>
      </c>
      <c r="Z171" s="385">
        <v>34</v>
      </c>
      <c r="AA171" s="385">
        <v>45</v>
      </c>
      <c r="AB171" s="385">
        <v>190</v>
      </c>
      <c r="AC171" s="385">
        <v>270</v>
      </c>
      <c r="AD171" s="385">
        <v>344</v>
      </c>
      <c r="AE171" s="385">
        <v>428</v>
      </c>
      <c r="AF171" s="385">
        <v>409</v>
      </c>
      <c r="AG171" s="385">
        <v>436</v>
      </c>
      <c r="AH171" s="385">
        <v>405</v>
      </c>
      <c r="AI171" s="385">
        <v>366</v>
      </c>
      <c r="AJ171" s="385">
        <v>351</v>
      </c>
      <c r="AK171" s="385">
        <v>354</v>
      </c>
      <c r="AL171" s="385">
        <v>330</v>
      </c>
      <c r="AM171" s="385">
        <v>379</v>
      </c>
      <c r="AN171" s="385">
        <v>369</v>
      </c>
      <c r="AO171" s="385">
        <v>355</v>
      </c>
      <c r="AP171" s="385">
        <v>406</v>
      </c>
      <c r="AQ171" s="385">
        <v>373</v>
      </c>
      <c r="AR171" s="385">
        <v>344</v>
      </c>
      <c r="AS171" s="385">
        <v>349</v>
      </c>
      <c r="AT171" s="385">
        <v>356</v>
      </c>
      <c r="AU171" s="385">
        <v>361</v>
      </c>
      <c r="AV171" s="385">
        <v>326</v>
      </c>
      <c r="AW171" s="385">
        <v>262</v>
      </c>
      <c r="AX171" s="385">
        <v>220</v>
      </c>
      <c r="AY171" s="385">
        <v>167</v>
      </c>
      <c r="AZ171" s="385">
        <v>161</v>
      </c>
      <c r="BA171" s="385">
        <v>118</v>
      </c>
      <c r="BB171" s="385">
        <v>88</v>
      </c>
      <c r="BC171" s="385">
        <v>63</v>
      </c>
      <c r="BD171" s="385">
        <v>51</v>
      </c>
      <c r="BE171" s="385">
        <v>19</v>
      </c>
      <c r="BF171" s="385">
        <v>3</v>
      </c>
      <c r="BG171" s="385">
        <v>1</v>
      </c>
      <c r="BH171" s="385">
        <v>0</v>
      </c>
      <c r="BI171" s="385">
        <v>0</v>
      </c>
      <c r="BJ171" s="385">
        <v>0</v>
      </c>
      <c r="BK171" s="385">
        <v>0</v>
      </c>
      <c r="BL171" s="385">
        <v>0</v>
      </c>
      <c r="BM171" s="385">
        <v>0</v>
      </c>
      <c r="BN171" s="385">
        <v>0</v>
      </c>
      <c r="BO171" s="385">
        <v>0</v>
      </c>
    </row>
    <row r="172" spans="1:67" x14ac:dyDescent="0.2">
      <c r="A172" s="386" t="s">
        <v>893</v>
      </c>
      <c r="B172" s="386">
        <v>0</v>
      </c>
      <c r="C172" s="386">
        <v>0</v>
      </c>
      <c r="D172" s="386">
        <v>0</v>
      </c>
      <c r="E172" s="386">
        <v>0</v>
      </c>
      <c r="F172" s="386">
        <v>0</v>
      </c>
      <c r="G172" s="386">
        <v>0</v>
      </c>
      <c r="H172" s="386">
        <v>0</v>
      </c>
      <c r="I172" s="386">
        <v>0</v>
      </c>
      <c r="J172" s="386">
        <v>0</v>
      </c>
      <c r="K172" s="386">
        <v>0</v>
      </c>
      <c r="L172" s="386">
        <v>0</v>
      </c>
      <c r="M172" s="386">
        <v>0</v>
      </c>
      <c r="N172" s="386">
        <v>0</v>
      </c>
      <c r="O172" s="386">
        <v>0</v>
      </c>
      <c r="P172" s="386">
        <v>0</v>
      </c>
      <c r="Q172" s="386">
        <v>0</v>
      </c>
      <c r="R172" s="386">
        <v>0</v>
      </c>
      <c r="S172" s="386">
        <v>0</v>
      </c>
      <c r="T172" s="386">
        <v>0</v>
      </c>
      <c r="U172" s="386">
        <v>0</v>
      </c>
      <c r="V172" s="386">
        <v>0</v>
      </c>
      <c r="W172" s="386">
        <v>0</v>
      </c>
      <c r="X172" s="386">
        <v>0</v>
      </c>
      <c r="Y172" s="386">
        <v>0</v>
      </c>
      <c r="Z172" s="386">
        <v>0</v>
      </c>
      <c r="AA172" s="386">
        <v>48</v>
      </c>
      <c r="AB172" s="386">
        <v>120</v>
      </c>
      <c r="AC172" s="386">
        <v>168</v>
      </c>
      <c r="AD172" s="386">
        <v>360</v>
      </c>
      <c r="AE172" s="386">
        <v>456</v>
      </c>
      <c r="AF172" s="386">
        <v>600</v>
      </c>
      <c r="AG172" s="386">
        <v>528</v>
      </c>
      <c r="AH172" s="386">
        <v>336</v>
      </c>
      <c r="AI172" s="386">
        <v>384</v>
      </c>
      <c r="AJ172" s="386">
        <v>360</v>
      </c>
      <c r="AK172" s="386">
        <v>336</v>
      </c>
      <c r="AL172" s="386">
        <v>312</v>
      </c>
      <c r="AM172" s="386">
        <v>312</v>
      </c>
      <c r="AN172" s="386">
        <v>360</v>
      </c>
      <c r="AO172" s="386">
        <v>360</v>
      </c>
      <c r="AP172" s="386">
        <v>432</v>
      </c>
      <c r="AQ172" s="386">
        <v>288</v>
      </c>
      <c r="AR172" s="386">
        <v>432</v>
      </c>
      <c r="AS172" s="386">
        <v>432</v>
      </c>
      <c r="AT172" s="386">
        <v>312</v>
      </c>
      <c r="AU172" s="386">
        <v>360</v>
      </c>
      <c r="AV172" s="386">
        <v>432</v>
      </c>
      <c r="AW172" s="386">
        <v>240</v>
      </c>
      <c r="AX172" s="386">
        <v>384</v>
      </c>
      <c r="AY172" s="386">
        <v>240</v>
      </c>
      <c r="AZ172" s="386">
        <v>168</v>
      </c>
      <c r="BA172" s="386">
        <v>0</v>
      </c>
      <c r="BB172" s="386">
        <v>0</v>
      </c>
      <c r="BC172" s="386">
        <v>0</v>
      </c>
      <c r="BD172" s="386">
        <v>0</v>
      </c>
      <c r="BE172" s="386">
        <v>0</v>
      </c>
      <c r="BF172" s="386">
        <v>0</v>
      </c>
      <c r="BG172" s="386">
        <v>0</v>
      </c>
      <c r="BH172" s="386">
        <v>0</v>
      </c>
      <c r="BI172" s="386">
        <v>0</v>
      </c>
      <c r="BJ172" s="386">
        <v>0</v>
      </c>
      <c r="BK172" s="386">
        <v>0</v>
      </c>
      <c r="BL172" s="386">
        <v>0</v>
      </c>
      <c r="BM172" s="386">
        <v>0</v>
      </c>
      <c r="BN172" s="386">
        <v>0</v>
      </c>
      <c r="BO172" s="386">
        <v>0</v>
      </c>
    </row>
    <row r="173" spans="1:67" x14ac:dyDescent="0.2">
      <c r="A173" s="386" t="s">
        <v>894</v>
      </c>
      <c r="B173" s="387">
        <v>0</v>
      </c>
      <c r="C173" s="387">
        <v>0</v>
      </c>
      <c r="D173" s="387">
        <v>0</v>
      </c>
      <c r="E173" s="387">
        <v>0</v>
      </c>
      <c r="F173" s="387">
        <v>0</v>
      </c>
      <c r="G173" s="387">
        <v>0</v>
      </c>
      <c r="H173" s="387">
        <v>0</v>
      </c>
      <c r="I173" s="387">
        <v>0</v>
      </c>
      <c r="J173" s="387">
        <v>0</v>
      </c>
      <c r="K173" s="387">
        <v>0</v>
      </c>
      <c r="L173" s="387">
        <v>0</v>
      </c>
      <c r="M173" s="387">
        <v>0</v>
      </c>
      <c r="N173" s="387">
        <v>0</v>
      </c>
      <c r="O173" s="387">
        <v>0</v>
      </c>
      <c r="P173" s="387">
        <v>0</v>
      </c>
      <c r="Q173" s="387">
        <v>0</v>
      </c>
      <c r="R173" s="387">
        <v>0</v>
      </c>
      <c r="S173" s="387">
        <v>0</v>
      </c>
      <c r="T173" s="387">
        <v>0</v>
      </c>
      <c r="U173" s="387">
        <v>0</v>
      </c>
      <c r="V173" s="387">
        <v>0</v>
      </c>
      <c r="W173" s="387">
        <v>0</v>
      </c>
      <c r="X173" s="387">
        <v>0</v>
      </c>
      <c r="Y173" s="387">
        <v>0</v>
      </c>
      <c r="Z173" s="387">
        <v>0.218</v>
      </c>
      <c r="AA173" s="387">
        <v>0.70399999999999996</v>
      </c>
      <c r="AB173" s="387">
        <v>2.4159999999999999</v>
      </c>
      <c r="AC173" s="387">
        <v>3.9319999999999999</v>
      </c>
      <c r="AD173" s="387">
        <v>6.31</v>
      </c>
      <c r="AE173" s="387">
        <v>12.999000000000001</v>
      </c>
      <c r="AF173" s="387">
        <v>19.463999999999999</v>
      </c>
      <c r="AG173" s="387">
        <v>30.625</v>
      </c>
      <c r="AH173" s="387">
        <v>26.622</v>
      </c>
      <c r="AI173" s="387">
        <v>28.298999999999999</v>
      </c>
      <c r="AJ173" s="387">
        <v>24.420999999999999</v>
      </c>
      <c r="AK173" s="387">
        <v>31.440999999999999</v>
      </c>
      <c r="AL173" s="387">
        <v>27.677</v>
      </c>
      <c r="AM173" s="387">
        <v>29</v>
      </c>
      <c r="AN173" s="387">
        <v>35.326000000000001</v>
      </c>
      <c r="AO173" s="387">
        <v>38.543999999999997</v>
      </c>
      <c r="AP173" s="387">
        <v>45.408000000000001</v>
      </c>
      <c r="AQ173" s="387">
        <v>49.625999999999998</v>
      </c>
      <c r="AR173" s="387">
        <v>45.619</v>
      </c>
      <c r="AS173" s="387">
        <v>52.34</v>
      </c>
      <c r="AT173" s="387">
        <v>60.756999999999998</v>
      </c>
      <c r="AU173" s="387">
        <v>72.218000000000004</v>
      </c>
      <c r="AV173" s="387">
        <v>59.83</v>
      </c>
      <c r="AW173" s="387">
        <v>67.86</v>
      </c>
      <c r="AX173" s="387">
        <v>65.795000000000002</v>
      </c>
      <c r="AY173" s="387">
        <v>62.692</v>
      </c>
      <c r="AZ173" s="387">
        <v>60.515000000000001</v>
      </c>
      <c r="BA173" s="387">
        <v>50.631</v>
      </c>
      <c r="BB173" s="387">
        <v>39.448</v>
      </c>
      <c r="BC173" s="387">
        <v>30.699000000000002</v>
      </c>
      <c r="BD173" s="387">
        <v>26.030999999999999</v>
      </c>
      <c r="BE173" s="387">
        <v>11.2</v>
      </c>
      <c r="BF173" s="387">
        <v>1.8180000000000001</v>
      </c>
      <c r="BG173" s="387">
        <v>0.627</v>
      </c>
      <c r="BH173" s="387">
        <v>0</v>
      </c>
      <c r="BI173" s="387">
        <v>0</v>
      </c>
      <c r="BJ173" s="387">
        <v>0</v>
      </c>
      <c r="BK173" s="387">
        <v>0</v>
      </c>
      <c r="BL173" s="387">
        <v>0</v>
      </c>
      <c r="BM173" s="387">
        <v>0</v>
      </c>
      <c r="BN173" s="387">
        <v>0</v>
      </c>
      <c r="BO173" s="387">
        <v>0</v>
      </c>
    </row>
    <row r="174" spans="1:67" x14ac:dyDescent="0.2">
      <c r="A174" s="386" t="s">
        <v>895</v>
      </c>
      <c r="B174" s="387">
        <v>0</v>
      </c>
      <c r="C174" s="387">
        <v>0</v>
      </c>
      <c r="D174" s="387">
        <v>0</v>
      </c>
      <c r="E174" s="387">
        <v>0</v>
      </c>
      <c r="F174" s="387">
        <v>0</v>
      </c>
      <c r="G174" s="387">
        <v>0</v>
      </c>
      <c r="H174" s="387">
        <v>0</v>
      </c>
      <c r="I174" s="387">
        <v>0</v>
      </c>
      <c r="J174" s="387">
        <v>0</v>
      </c>
      <c r="K174" s="387">
        <v>0</v>
      </c>
      <c r="L174" s="387">
        <v>0</v>
      </c>
      <c r="M174" s="387">
        <v>0</v>
      </c>
      <c r="N174" s="387">
        <v>0</v>
      </c>
      <c r="O174" s="387">
        <v>0</v>
      </c>
      <c r="P174" s="387">
        <v>0</v>
      </c>
      <c r="Q174" s="387">
        <v>0</v>
      </c>
      <c r="R174" s="387">
        <v>0</v>
      </c>
      <c r="S174" s="387">
        <v>0</v>
      </c>
      <c r="T174" s="387">
        <v>0</v>
      </c>
      <c r="U174" s="387">
        <v>0</v>
      </c>
      <c r="V174" s="387">
        <v>0</v>
      </c>
      <c r="W174" s="387">
        <v>0</v>
      </c>
      <c r="X174" s="387">
        <v>0</v>
      </c>
      <c r="Y174" s="387">
        <v>0</v>
      </c>
      <c r="Z174" s="387">
        <v>0.46300000000000002</v>
      </c>
      <c r="AA174" s="387">
        <v>1.5329999999999999</v>
      </c>
      <c r="AB174" s="387">
        <v>3.8180000000000001</v>
      </c>
      <c r="AC174" s="387">
        <v>5.0839999999999996</v>
      </c>
      <c r="AD174" s="387">
        <v>7.1779999999999999</v>
      </c>
      <c r="AE174" s="387">
        <v>13.385</v>
      </c>
      <c r="AF174" s="387">
        <v>16.838000000000001</v>
      </c>
      <c r="AG174" s="387">
        <v>14.951000000000001</v>
      </c>
      <c r="AH174" s="387">
        <v>10.984999999999999</v>
      </c>
      <c r="AI174" s="387">
        <v>12.141999999999999</v>
      </c>
      <c r="AJ174" s="387">
        <v>11.351000000000001</v>
      </c>
      <c r="AK174" s="387">
        <v>10.906000000000001</v>
      </c>
      <c r="AL174" s="387">
        <v>12.287000000000001</v>
      </c>
      <c r="AM174" s="387">
        <v>13.766</v>
      </c>
      <c r="AN174" s="387">
        <v>19.347999999999999</v>
      </c>
      <c r="AO174" s="387">
        <v>19.995000000000001</v>
      </c>
      <c r="AP174" s="387">
        <v>25.353000000000002</v>
      </c>
      <c r="AQ174" s="387">
        <v>22.414000000000001</v>
      </c>
      <c r="AR174" s="387">
        <v>25.161000000000001</v>
      </c>
      <c r="AS174" s="387">
        <v>28.97</v>
      </c>
      <c r="AT174" s="387">
        <v>27.475000000000001</v>
      </c>
      <c r="AU174" s="387">
        <v>27.283999999999999</v>
      </c>
      <c r="AV174" s="387">
        <v>30.367000000000001</v>
      </c>
      <c r="AW174" s="387">
        <v>29.599</v>
      </c>
      <c r="AX174" s="387">
        <v>22.478999999999999</v>
      </c>
      <c r="AY174" s="387">
        <v>20.855</v>
      </c>
      <c r="AZ174" s="387">
        <v>12.685</v>
      </c>
      <c r="BA174" s="387">
        <v>7.7169999999999996</v>
      </c>
      <c r="BB174" s="387">
        <v>3.9350000000000001</v>
      </c>
      <c r="BC174" s="387">
        <v>2.5750000000000002</v>
      </c>
      <c r="BD174" s="387">
        <v>0.78700000000000003</v>
      </c>
      <c r="BE174" s="387">
        <v>0.156</v>
      </c>
      <c r="BF174" s="387">
        <v>0</v>
      </c>
      <c r="BG174" s="387">
        <v>0</v>
      </c>
      <c r="BH174" s="387">
        <v>0</v>
      </c>
      <c r="BI174" s="387">
        <v>0</v>
      </c>
      <c r="BJ174" s="387">
        <v>0</v>
      </c>
      <c r="BK174" s="387">
        <v>0</v>
      </c>
      <c r="BL174" s="387">
        <v>0</v>
      </c>
      <c r="BM174" s="387">
        <v>0</v>
      </c>
      <c r="BN174" s="387">
        <v>0</v>
      </c>
      <c r="BO174" s="387">
        <v>0</v>
      </c>
    </row>
    <row r="175" spans="1:67" x14ac:dyDescent="0.2">
      <c r="A175" s="386" t="s">
        <v>896</v>
      </c>
      <c r="B175" s="387">
        <v>0</v>
      </c>
      <c r="C175" s="387">
        <v>0</v>
      </c>
      <c r="D175" s="387">
        <v>0</v>
      </c>
      <c r="E175" s="387">
        <v>0</v>
      </c>
      <c r="F175" s="387">
        <v>0</v>
      </c>
      <c r="G175" s="387">
        <v>0</v>
      </c>
      <c r="H175" s="387">
        <v>0</v>
      </c>
      <c r="I175" s="387">
        <v>0</v>
      </c>
      <c r="J175" s="387">
        <v>0</v>
      </c>
      <c r="K175" s="387">
        <v>0</v>
      </c>
      <c r="L175" s="387">
        <v>0</v>
      </c>
      <c r="M175" s="387">
        <v>0</v>
      </c>
      <c r="N175" s="387">
        <v>0</v>
      </c>
      <c r="O175" s="387">
        <v>0</v>
      </c>
      <c r="P175" s="387">
        <v>0</v>
      </c>
      <c r="Q175" s="387">
        <v>0</v>
      </c>
      <c r="R175" s="387">
        <v>0</v>
      </c>
      <c r="S175" s="387">
        <v>0</v>
      </c>
      <c r="T175" s="387">
        <v>0</v>
      </c>
      <c r="U175" s="387">
        <v>0</v>
      </c>
      <c r="V175" s="387">
        <v>0</v>
      </c>
      <c r="W175" s="387">
        <v>0</v>
      </c>
      <c r="X175" s="387">
        <v>0</v>
      </c>
      <c r="Y175" s="387">
        <v>0</v>
      </c>
      <c r="Z175" s="387">
        <v>0.36199999999999999</v>
      </c>
      <c r="AA175" s="387">
        <v>1.42</v>
      </c>
      <c r="AB175" s="387">
        <v>4.3280000000000003</v>
      </c>
      <c r="AC175" s="387">
        <v>7.2089999999999996</v>
      </c>
      <c r="AD175" s="387">
        <v>11.49</v>
      </c>
      <c r="AE175" s="387">
        <v>22.960999999999999</v>
      </c>
      <c r="AF175" s="387">
        <v>31.79</v>
      </c>
      <c r="AG175" s="387">
        <v>49.134</v>
      </c>
      <c r="AH175" s="387">
        <v>45.033999999999999</v>
      </c>
      <c r="AI175" s="387">
        <v>41.265000000000001</v>
      </c>
      <c r="AJ175" s="387">
        <v>32.950000000000003</v>
      </c>
      <c r="AK175" s="387">
        <v>39.686</v>
      </c>
      <c r="AL175" s="387">
        <v>32.880000000000003</v>
      </c>
      <c r="AM175" s="387">
        <v>34.039000000000001</v>
      </c>
      <c r="AN175" s="387">
        <v>32.372999999999998</v>
      </c>
      <c r="AO175" s="387">
        <v>38.914999999999999</v>
      </c>
      <c r="AP175" s="387">
        <v>36.402000000000001</v>
      </c>
      <c r="AQ175" s="387">
        <v>40.545000000000002</v>
      </c>
      <c r="AR175" s="387">
        <v>29.545000000000002</v>
      </c>
      <c r="AS175" s="387">
        <v>36.463999999999999</v>
      </c>
      <c r="AT175" s="387">
        <v>39.445999999999998</v>
      </c>
      <c r="AU175" s="387">
        <v>41.337000000000003</v>
      </c>
      <c r="AV175" s="387">
        <v>32.411000000000001</v>
      </c>
      <c r="AW175" s="387">
        <v>35.758000000000003</v>
      </c>
      <c r="AX175" s="387">
        <v>37.298999999999999</v>
      </c>
      <c r="AY175" s="387">
        <v>33.978000000000002</v>
      </c>
      <c r="AZ175" s="387">
        <v>32.469000000000001</v>
      </c>
      <c r="BA175" s="387">
        <v>27.11</v>
      </c>
      <c r="BB175" s="387">
        <v>19.831</v>
      </c>
      <c r="BC175" s="387">
        <v>15.786</v>
      </c>
      <c r="BD175" s="387">
        <v>13.183</v>
      </c>
      <c r="BE175" s="387">
        <v>6.2220000000000004</v>
      </c>
      <c r="BF175" s="387">
        <v>1.1140000000000001</v>
      </c>
      <c r="BG175" s="387">
        <v>0.38700000000000001</v>
      </c>
      <c r="BH175" s="387">
        <v>0</v>
      </c>
      <c r="BI175" s="387">
        <v>0</v>
      </c>
      <c r="BJ175" s="387">
        <v>0</v>
      </c>
      <c r="BK175" s="387">
        <v>0</v>
      </c>
      <c r="BL175" s="387">
        <v>0</v>
      </c>
      <c r="BM175" s="387">
        <v>0</v>
      </c>
      <c r="BN175" s="387">
        <v>0</v>
      </c>
      <c r="BO175" s="387">
        <v>0</v>
      </c>
    </row>
    <row r="176" spans="1:67" x14ac:dyDescent="0.2">
      <c r="A176" s="386" t="s">
        <v>897</v>
      </c>
      <c r="B176" s="387">
        <v>0</v>
      </c>
      <c r="C176" s="387">
        <v>0</v>
      </c>
      <c r="D176" s="387">
        <v>0</v>
      </c>
      <c r="E176" s="387">
        <v>0</v>
      </c>
      <c r="F176" s="387">
        <v>0</v>
      </c>
      <c r="G176" s="387">
        <v>0</v>
      </c>
      <c r="H176" s="387">
        <v>0</v>
      </c>
      <c r="I176" s="387">
        <v>0</v>
      </c>
      <c r="J176" s="387">
        <v>0</v>
      </c>
      <c r="K176" s="387">
        <v>0</v>
      </c>
      <c r="L176" s="387">
        <v>0</v>
      </c>
      <c r="M176" s="387">
        <v>0</v>
      </c>
      <c r="N176" s="387">
        <v>0</v>
      </c>
      <c r="O176" s="387">
        <v>0</v>
      </c>
      <c r="P176" s="387">
        <v>0</v>
      </c>
      <c r="Q176" s="387">
        <v>0</v>
      </c>
      <c r="R176" s="387">
        <v>0</v>
      </c>
      <c r="S176" s="387">
        <v>0</v>
      </c>
      <c r="T176" s="387">
        <v>0</v>
      </c>
      <c r="U176" s="387">
        <v>0</v>
      </c>
      <c r="V176" s="387">
        <v>0</v>
      </c>
      <c r="W176" s="387">
        <v>0</v>
      </c>
      <c r="X176" s="387">
        <v>0</v>
      </c>
      <c r="Y176" s="387">
        <v>0</v>
      </c>
      <c r="Z176" s="387">
        <v>0</v>
      </c>
      <c r="AA176" s="387">
        <v>0</v>
      </c>
      <c r="AB176" s="387">
        <v>0</v>
      </c>
      <c r="AC176" s="387">
        <v>0</v>
      </c>
      <c r="AD176" s="387">
        <v>0.94699999999999995</v>
      </c>
      <c r="AE176" s="387">
        <v>3.46</v>
      </c>
      <c r="AF176" s="387">
        <v>2.8439999999999999</v>
      </c>
      <c r="AG176" s="387">
        <v>11.518000000000001</v>
      </c>
      <c r="AH176" s="387">
        <v>15.714</v>
      </c>
      <c r="AI176" s="387">
        <v>17.497</v>
      </c>
      <c r="AJ176" s="387">
        <v>12.477</v>
      </c>
      <c r="AK176" s="387">
        <v>14.102</v>
      </c>
      <c r="AL176" s="387">
        <v>13.305999999999999</v>
      </c>
      <c r="AM176" s="387">
        <v>15.266999999999999</v>
      </c>
      <c r="AN176" s="387">
        <v>15.193</v>
      </c>
      <c r="AO176" s="387">
        <v>16.027000000000001</v>
      </c>
      <c r="AP176" s="387">
        <v>17.25</v>
      </c>
      <c r="AQ176" s="387">
        <v>18.274999999999999</v>
      </c>
      <c r="AR176" s="387">
        <v>19.399999999999999</v>
      </c>
      <c r="AS176" s="387">
        <v>16.195</v>
      </c>
      <c r="AT176" s="387">
        <v>21.585000000000001</v>
      </c>
      <c r="AU176" s="387">
        <v>30.638000000000002</v>
      </c>
      <c r="AV176" s="387">
        <v>23.667999999999999</v>
      </c>
      <c r="AW176" s="387">
        <v>27.393000000000001</v>
      </c>
      <c r="AX176" s="387">
        <v>29.556000000000001</v>
      </c>
      <c r="AY176" s="387">
        <v>24.178000000000001</v>
      </c>
      <c r="AZ176" s="387">
        <v>33.4</v>
      </c>
      <c r="BA176" s="387">
        <v>31.29</v>
      </c>
      <c r="BB176" s="387">
        <v>28.033000000000001</v>
      </c>
      <c r="BC176" s="387">
        <v>23.077000000000002</v>
      </c>
      <c r="BD176" s="387">
        <v>23.986000000000001</v>
      </c>
      <c r="BE176" s="387">
        <v>9.3520000000000003</v>
      </c>
      <c r="BF176" s="387">
        <v>1.7230000000000001</v>
      </c>
      <c r="BG176" s="387">
        <v>0.59499999999999997</v>
      </c>
      <c r="BH176" s="387">
        <v>0</v>
      </c>
      <c r="BI176" s="387">
        <v>0</v>
      </c>
      <c r="BJ176" s="387">
        <v>0</v>
      </c>
      <c r="BK176" s="387">
        <v>0</v>
      </c>
      <c r="BL176" s="387">
        <v>0</v>
      </c>
      <c r="BM176" s="387">
        <v>0</v>
      </c>
      <c r="BN176" s="387">
        <v>0</v>
      </c>
      <c r="BO176" s="387">
        <v>0</v>
      </c>
    </row>
    <row r="177" spans="1:67" x14ac:dyDescent="0.2">
      <c r="A177" s="388" t="s">
        <v>898</v>
      </c>
      <c r="B177" s="389">
        <v>0</v>
      </c>
      <c r="C177" s="389">
        <v>0</v>
      </c>
      <c r="D177" s="389">
        <v>0</v>
      </c>
      <c r="E177" s="389">
        <v>0</v>
      </c>
      <c r="F177" s="389">
        <v>0</v>
      </c>
      <c r="G177" s="389">
        <v>0</v>
      </c>
      <c r="H177" s="389">
        <v>0</v>
      </c>
      <c r="I177" s="389">
        <v>0</v>
      </c>
      <c r="J177" s="389">
        <v>0</v>
      </c>
      <c r="K177" s="389">
        <v>0</v>
      </c>
      <c r="L177" s="389">
        <v>0</v>
      </c>
      <c r="M177" s="389">
        <v>0</v>
      </c>
      <c r="N177" s="389">
        <v>0</v>
      </c>
      <c r="O177" s="389">
        <v>0</v>
      </c>
      <c r="P177" s="389">
        <v>0</v>
      </c>
      <c r="Q177" s="389">
        <v>0</v>
      </c>
      <c r="R177" s="389">
        <v>0</v>
      </c>
      <c r="S177" s="389">
        <v>0</v>
      </c>
      <c r="T177" s="389">
        <v>0</v>
      </c>
      <c r="U177" s="389">
        <v>0</v>
      </c>
      <c r="V177" s="389">
        <v>0</v>
      </c>
      <c r="W177" s="389">
        <v>0</v>
      </c>
      <c r="X177" s="389">
        <v>0</v>
      </c>
      <c r="Y177" s="389">
        <v>0</v>
      </c>
      <c r="Z177" s="389">
        <v>0</v>
      </c>
      <c r="AA177" s="389">
        <v>0</v>
      </c>
      <c r="AB177" s="389">
        <v>0</v>
      </c>
      <c r="AC177" s="389">
        <v>0</v>
      </c>
      <c r="AD177" s="389">
        <v>0</v>
      </c>
      <c r="AE177" s="389">
        <v>0</v>
      </c>
      <c r="AF177" s="389">
        <v>0</v>
      </c>
      <c r="AG177" s="389">
        <v>0</v>
      </c>
      <c r="AH177" s="389">
        <v>0</v>
      </c>
      <c r="AI177" s="389">
        <v>0</v>
      </c>
      <c r="AJ177" s="389">
        <v>0</v>
      </c>
      <c r="AK177" s="389">
        <v>0</v>
      </c>
      <c r="AL177" s="389">
        <v>0.157</v>
      </c>
      <c r="AM177" s="389">
        <v>0.17499999999999999</v>
      </c>
      <c r="AN177" s="389">
        <v>0.15</v>
      </c>
      <c r="AO177" s="389">
        <v>0.311</v>
      </c>
      <c r="AP177" s="389">
        <v>1.0940000000000001</v>
      </c>
      <c r="AQ177" s="389">
        <v>1.72</v>
      </c>
      <c r="AR177" s="389">
        <v>1.466</v>
      </c>
      <c r="AS177" s="389">
        <v>2.4169999999999998</v>
      </c>
      <c r="AT177" s="389">
        <v>3.1190000000000002</v>
      </c>
      <c r="AU177" s="389">
        <v>2.488</v>
      </c>
      <c r="AV177" s="389">
        <v>3.0539999999999998</v>
      </c>
      <c r="AW177" s="389">
        <v>4.4649999999999999</v>
      </c>
      <c r="AX177" s="389">
        <v>4.3609999999999998</v>
      </c>
      <c r="AY177" s="389">
        <v>5.3810000000000002</v>
      </c>
      <c r="AZ177" s="389">
        <v>3.7869999999999999</v>
      </c>
      <c r="BA177" s="389">
        <v>3.2010000000000001</v>
      </c>
      <c r="BB177" s="389">
        <v>2.0470000000000002</v>
      </c>
      <c r="BC177" s="389">
        <v>1.913</v>
      </c>
      <c r="BD177" s="389">
        <v>0.46800000000000003</v>
      </c>
      <c r="BE177" s="389">
        <v>0.15</v>
      </c>
      <c r="BF177" s="389">
        <v>0</v>
      </c>
      <c r="BG177" s="389">
        <v>0</v>
      </c>
      <c r="BH177" s="389">
        <v>0</v>
      </c>
      <c r="BI177" s="389">
        <v>0</v>
      </c>
      <c r="BJ177" s="389">
        <v>0</v>
      </c>
      <c r="BK177" s="389">
        <v>0</v>
      </c>
      <c r="BL177" s="389">
        <v>0</v>
      </c>
      <c r="BM177" s="389">
        <v>0</v>
      </c>
      <c r="BN177" s="389">
        <v>0</v>
      </c>
      <c r="BO177" s="389">
        <v>0</v>
      </c>
    </row>
    <row r="179" spans="1:67" x14ac:dyDescent="0.2">
      <c r="A179" s="380" t="s">
        <v>3173</v>
      </c>
      <c r="B179" s="381" t="s">
        <v>918</v>
      </c>
    </row>
    <row r="180" spans="1:67" x14ac:dyDescent="0.2">
      <c r="A180" s="382" t="s">
        <v>2127</v>
      </c>
      <c r="B180" s="383"/>
    </row>
    <row r="181" spans="1:67" x14ac:dyDescent="0.2">
      <c r="A181" s="384" t="s">
        <v>3175</v>
      </c>
      <c r="B181" s="384">
        <v>-25</v>
      </c>
      <c r="C181" s="384">
        <v>-24</v>
      </c>
      <c r="D181" s="384">
        <v>-23</v>
      </c>
      <c r="E181" s="384">
        <v>-22</v>
      </c>
      <c r="F181" s="384">
        <v>-21</v>
      </c>
      <c r="G181" s="384">
        <v>-20</v>
      </c>
      <c r="H181" s="384">
        <v>-19</v>
      </c>
      <c r="I181" s="384">
        <v>-18</v>
      </c>
      <c r="J181" s="384">
        <v>-17</v>
      </c>
      <c r="K181" s="384">
        <v>-16</v>
      </c>
      <c r="L181" s="384">
        <v>-15</v>
      </c>
      <c r="M181" s="384">
        <v>-14</v>
      </c>
      <c r="N181" s="384">
        <v>-13</v>
      </c>
      <c r="O181" s="384">
        <v>-12</v>
      </c>
      <c r="P181" s="384">
        <v>-11</v>
      </c>
      <c r="Q181" s="384">
        <v>-10</v>
      </c>
      <c r="R181" s="384">
        <v>-9</v>
      </c>
      <c r="S181" s="384">
        <v>-8</v>
      </c>
      <c r="T181" s="384">
        <v>-7</v>
      </c>
      <c r="U181" s="384">
        <v>-6</v>
      </c>
      <c r="V181" s="384">
        <v>-5</v>
      </c>
      <c r="W181" s="384">
        <v>-4</v>
      </c>
      <c r="X181" s="384">
        <v>-3</v>
      </c>
      <c r="Y181" s="384">
        <v>-2</v>
      </c>
      <c r="Z181" s="384">
        <v>-1</v>
      </c>
      <c r="AA181" s="384">
        <v>0</v>
      </c>
      <c r="AB181" s="384">
        <v>1</v>
      </c>
      <c r="AC181" s="384">
        <v>2</v>
      </c>
      <c r="AD181" s="384">
        <v>3</v>
      </c>
      <c r="AE181" s="384">
        <v>4</v>
      </c>
      <c r="AF181" s="384">
        <v>5</v>
      </c>
      <c r="AG181" s="384">
        <v>6</v>
      </c>
      <c r="AH181" s="384">
        <v>7</v>
      </c>
      <c r="AI181" s="384">
        <v>8</v>
      </c>
      <c r="AJ181" s="384">
        <v>9</v>
      </c>
      <c r="AK181" s="384">
        <v>10</v>
      </c>
      <c r="AL181" s="384">
        <v>11</v>
      </c>
      <c r="AM181" s="384">
        <v>12</v>
      </c>
      <c r="AN181" s="384">
        <v>13</v>
      </c>
      <c r="AO181" s="384">
        <v>14</v>
      </c>
      <c r="AP181" s="384">
        <v>15</v>
      </c>
      <c r="AQ181" s="384">
        <v>16</v>
      </c>
      <c r="AR181" s="384">
        <v>17</v>
      </c>
      <c r="AS181" s="384">
        <v>18</v>
      </c>
      <c r="AT181" s="384">
        <v>19</v>
      </c>
      <c r="AU181" s="384">
        <v>20</v>
      </c>
      <c r="AV181" s="384">
        <v>21</v>
      </c>
      <c r="AW181" s="384">
        <v>22</v>
      </c>
      <c r="AX181" s="384">
        <v>23</v>
      </c>
      <c r="AY181" s="384">
        <v>24</v>
      </c>
      <c r="AZ181" s="384">
        <v>25</v>
      </c>
      <c r="BA181" s="384">
        <v>26</v>
      </c>
      <c r="BB181" s="384">
        <v>27</v>
      </c>
      <c r="BC181" s="384">
        <v>28</v>
      </c>
      <c r="BD181" s="384">
        <v>29</v>
      </c>
      <c r="BE181" s="384">
        <v>30</v>
      </c>
      <c r="BF181" s="384">
        <v>31</v>
      </c>
      <c r="BG181" s="384">
        <v>32</v>
      </c>
      <c r="BH181" s="384">
        <v>33</v>
      </c>
      <c r="BI181" s="384">
        <v>34</v>
      </c>
      <c r="BJ181" s="384">
        <v>35</v>
      </c>
      <c r="BK181" s="384">
        <v>36</v>
      </c>
      <c r="BL181" s="384">
        <v>37</v>
      </c>
      <c r="BM181" s="384">
        <v>38</v>
      </c>
      <c r="BN181" s="384">
        <v>39</v>
      </c>
      <c r="BO181" s="384">
        <v>40</v>
      </c>
    </row>
    <row r="182" spans="1:67" x14ac:dyDescent="0.2">
      <c r="A182" s="385" t="s">
        <v>3176</v>
      </c>
      <c r="B182" s="385">
        <v>0</v>
      </c>
      <c r="C182" s="385">
        <v>0</v>
      </c>
      <c r="D182" s="385">
        <v>0</v>
      </c>
      <c r="E182" s="385">
        <v>0</v>
      </c>
      <c r="F182" s="385">
        <v>0</v>
      </c>
      <c r="G182" s="385">
        <v>0</v>
      </c>
      <c r="H182" s="385">
        <v>0</v>
      </c>
      <c r="I182" s="385">
        <v>0</v>
      </c>
      <c r="J182" s="385">
        <v>0</v>
      </c>
      <c r="K182" s="385">
        <v>0</v>
      </c>
      <c r="L182" s="385">
        <v>0</v>
      </c>
      <c r="M182" s="385">
        <v>0</v>
      </c>
      <c r="N182" s="385">
        <v>0</v>
      </c>
      <c r="O182" s="385">
        <v>0</v>
      </c>
      <c r="P182" s="385">
        <v>0</v>
      </c>
      <c r="Q182" s="385">
        <v>0</v>
      </c>
      <c r="R182" s="385">
        <v>1</v>
      </c>
      <c r="S182" s="385">
        <v>5</v>
      </c>
      <c r="T182" s="385">
        <v>42</v>
      </c>
      <c r="U182" s="385">
        <v>67</v>
      </c>
      <c r="V182" s="385">
        <v>83</v>
      </c>
      <c r="W182" s="385">
        <v>58</v>
      </c>
      <c r="X182" s="385">
        <v>130</v>
      </c>
      <c r="Y182" s="385">
        <v>198</v>
      </c>
      <c r="Z182" s="385">
        <v>209</v>
      </c>
      <c r="AA182" s="385">
        <v>256</v>
      </c>
      <c r="AB182" s="385">
        <v>346</v>
      </c>
      <c r="AC182" s="385">
        <v>309</v>
      </c>
      <c r="AD182" s="385">
        <v>370</v>
      </c>
      <c r="AE182" s="385">
        <v>470</v>
      </c>
      <c r="AF182" s="385">
        <v>364</v>
      </c>
      <c r="AG182" s="385">
        <v>310</v>
      </c>
      <c r="AH182" s="385">
        <v>341</v>
      </c>
      <c r="AI182" s="385">
        <v>349</v>
      </c>
      <c r="AJ182" s="385">
        <v>372</v>
      </c>
      <c r="AK182" s="385">
        <v>389</v>
      </c>
      <c r="AL182" s="385">
        <v>354</v>
      </c>
      <c r="AM182" s="385">
        <v>368</v>
      </c>
      <c r="AN182" s="385">
        <v>362</v>
      </c>
      <c r="AO182" s="385">
        <v>335</v>
      </c>
      <c r="AP182" s="385">
        <v>376</v>
      </c>
      <c r="AQ182" s="385">
        <v>411</v>
      </c>
      <c r="AR182" s="385">
        <v>367</v>
      </c>
      <c r="AS182" s="385">
        <v>304</v>
      </c>
      <c r="AT182" s="385">
        <v>262</v>
      </c>
      <c r="AU182" s="385">
        <v>197</v>
      </c>
      <c r="AV182" s="385">
        <v>157</v>
      </c>
      <c r="AW182" s="385">
        <v>106</v>
      </c>
      <c r="AX182" s="385">
        <v>116</v>
      </c>
      <c r="AY182" s="385">
        <v>85</v>
      </c>
      <c r="AZ182" s="385">
        <v>79</v>
      </c>
      <c r="BA182" s="385">
        <v>59</v>
      </c>
      <c r="BB182" s="385">
        <v>37</v>
      </c>
      <c r="BC182" s="385">
        <v>29</v>
      </c>
      <c r="BD182" s="385">
        <v>30</v>
      </c>
      <c r="BE182" s="385">
        <v>25</v>
      </c>
      <c r="BF182" s="385">
        <v>13</v>
      </c>
      <c r="BG182" s="385">
        <v>11</v>
      </c>
      <c r="BH182" s="385">
        <v>6</v>
      </c>
      <c r="BI182" s="385">
        <v>2</v>
      </c>
      <c r="BJ182" s="385">
        <v>0</v>
      </c>
      <c r="BK182" s="385">
        <v>0</v>
      </c>
      <c r="BL182" s="385">
        <v>0</v>
      </c>
      <c r="BM182" s="385">
        <v>0</v>
      </c>
      <c r="BN182" s="385">
        <v>0</v>
      </c>
      <c r="BO182" s="385">
        <v>0</v>
      </c>
    </row>
    <row r="183" spans="1:67" x14ac:dyDescent="0.2">
      <c r="A183" s="386" t="s">
        <v>893</v>
      </c>
      <c r="B183" s="386">
        <v>0</v>
      </c>
      <c r="C183" s="386">
        <v>0</v>
      </c>
      <c r="D183" s="386">
        <v>0</v>
      </c>
      <c r="E183" s="386">
        <v>0</v>
      </c>
      <c r="F183" s="386">
        <v>0</v>
      </c>
      <c r="G183" s="386">
        <v>0</v>
      </c>
      <c r="H183" s="386">
        <v>0</v>
      </c>
      <c r="I183" s="386">
        <v>0</v>
      </c>
      <c r="J183" s="386">
        <v>0</v>
      </c>
      <c r="K183" s="386">
        <v>0</v>
      </c>
      <c r="L183" s="386">
        <v>0</v>
      </c>
      <c r="M183" s="386">
        <v>0</v>
      </c>
      <c r="N183" s="386">
        <v>0</v>
      </c>
      <c r="O183" s="386">
        <v>0</v>
      </c>
      <c r="P183" s="386">
        <v>0</v>
      </c>
      <c r="Q183" s="386">
        <v>0</v>
      </c>
      <c r="R183" s="386">
        <v>0</v>
      </c>
      <c r="S183" s="386">
        <v>0</v>
      </c>
      <c r="T183" s="386">
        <v>24</v>
      </c>
      <c r="U183" s="386">
        <v>24</v>
      </c>
      <c r="V183" s="386">
        <v>96</v>
      </c>
      <c r="W183" s="386">
        <v>120</v>
      </c>
      <c r="X183" s="386">
        <v>96</v>
      </c>
      <c r="Y183" s="386">
        <v>144</v>
      </c>
      <c r="Z183" s="386">
        <v>192</v>
      </c>
      <c r="AA183" s="386">
        <v>192</v>
      </c>
      <c r="AB183" s="386">
        <v>336</v>
      </c>
      <c r="AC183" s="386">
        <v>336</v>
      </c>
      <c r="AD183" s="386">
        <v>312</v>
      </c>
      <c r="AE183" s="386">
        <v>504</v>
      </c>
      <c r="AF183" s="386">
        <v>408</v>
      </c>
      <c r="AG183" s="386">
        <v>336</v>
      </c>
      <c r="AH183" s="386">
        <v>288</v>
      </c>
      <c r="AI183" s="386">
        <v>432</v>
      </c>
      <c r="AJ183" s="386">
        <v>384</v>
      </c>
      <c r="AK183" s="386">
        <v>408</v>
      </c>
      <c r="AL183" s="386">
        <v>432</v>
      </c>
      <c r="AM183" s="386">
        <v>384</v>
      </c>
      <c r="AN183" s="386">
        <v>312</v>
      </c>
      <c r="AO183" s="386">
        <v>432</v>
      </c>
      <c r="AP183" s="386">
        <v>360</v>
      </c>
      <c r="AQ183" s="386">
        <v>336</v>
      </c>
      <c r="AR183" s="386">
        <v>408</v>
      </c>
      <c r="AS183" s="386">
        <v>240</v>
      </c>
      <c r="AT183" s="386">
        <v>240</v>
      </c>
      <c r="AU183" s="386">
        <v>312</v>
      </c>
      <c r="AV183" s="386">
        <v>216</v>
      </c>
      <c r="AW183" s="386">
        <v>144</v>
      </c>
      <c r="AX183" s="386">
        <v>120</v>
      </c>
      <c r="AY183" s="386">
        <v>120</v>
      </c>
      <c r="AZ183" s="386">
        <v>24</v>
      </c>
      <c r="BA183" s="386">
        <v>48</v>
      </c>
      <c r="BB183" s="386">
        <v>0</v>
      </c>
      <c r="BC183" s="386">
        <v>0</v>
      </c>
      <c r="BD183" s="386">
        <v>0</v>
      </c>
      <c r="BE183" s="386">
        <v>0</v>
      </c>
      <c r="BF183" s="386">
        <v>0</v>
      </c>
      <c r="BG183" s="386">
        <v>0</v>
      </c>
      <c r="BH183" s="386">
        <v>0</v>
      </c>
      <c r="BI183" s="386">
        <v>0</v>
      </c>
      <c r="BJ183" s="386">
        <v>0</v>
      </c>
      <c r="BK183" s="386">
        <v>0</v>
      </c>
      <c r="BL183" s="386">
        <v>0</v>
      </c>
      <c r="BM183" s="386">
        <v>0</v>
      </c>
      <c r="BN183" s="386">
        <v>0</v>
      </c>
      <c r="BO183" s="386">
        <v>0</v>
      </c>
    </row>
    <row r="184" spans="1:67" x14ac:dyDescent="0.2">
      <c r="A184" s="386" t="s">
        <v>894</v>
      </c>
      <c r="B184" s="387">
        <v>0</v>
      </c>
      <c r="C184" s="387">
        <v>0</v>
      </c>
      <c r="D184" s="387">
        <v>0</v>
      </c>
      <c r="E184" s="387">
        <v>0</v>
      </c>
      <c r="F184" s="387">
        <v>0</v>
      </c>
      <c r="G184" s="387">
        <v>0</v>
      </c>
      <c r="H184" s="387">
        <v>0</v>
      </c>
      <c r="I184" s="387">
        <v>0</v>
      </c>
      <c r="J184" s="387">
        <v>0</v>
      </c>
      <c r="K184" s="387">
        <v>0</v>
      </c>
      <c r="L184" s="387">
        <v>0</v>
      </c>
      <c r="M184" s="387">
        <v>0</v>
      </c>
      <c r="N184" s="387">
        <v>0</v>
      </c>
      <c r="O184" s="387">
        <v>0</v>
      </c>
      <c r="P184" s="387">
        <v>0</v>
      </c>
      <c r="Q184" s="387">
        <v>0</v>
      </c>
      <c r="R184" s="387">
        <v>0</v>
      </c>
      <c r="S184" s="387">
        <v>0</v>
      </c>
      <c r="T184" s="387">
        <v>0</v>
      </c>
      <c r="U184" s="387">
        <v>0.154</v>
      </c>
      <c r="V184" s="387">
        <v>1.1299999999999999</v>
      </c>
      <c r="W184" s="387">
        <v>2.141</v>
      </c>
      <c r="X184" s="387">
        <v>3.149</v>
      </c>
      <c r="Y184" s="387">
        <v>4.6369999999999996</v>
      </c>
      <c r="Z184" s="387">
        <v>3.835</v>
      </c>
      <c r="AA184" s="387">
        <v>3.6</v>
      </c>
      <c r="AB184" s="387">
        <v>7.0229999999999997</v>
      </c>
      <c r="AC184" s="387">
        <v>7.0380000000000003</v>
      </c>
      <c r="AD184" s="387">
        <v>8.718</v>
      </c>
      <c r="AE184" s="387">
        <v>9.4960000000000004</v>
      </c>
      <c r="AF184" s="387">
        <v>15.593</v>
      </c>
      <c r="AG184" s="387">
        <v>15.965999999999999</v>
      </c>
      <c r="AH184" s="387">
        <v>19.076000000000001</v>
      </c>
      <c r="AI184" s="387">
        <v>22.013000000000002</v>
      </c>
      <c r="AJ184" s="387">
        <v>21.611999999999998</v>
      </c>
      <c r="AK184" s="387">
        <v>27.71</v>
      </c>
      <c r="AL184" s="387">
        <v>25.884</v>
      </c>
      <c r="AM184" s="387">
        <v>35.793999999999997</v>
      </c>
      <c r="AN184" s="387">
        <v>37.158999999999999</v>
      </c>
      <c r="AO184" s="387">
        <v>47.753</v>
      </c>
      <c r="AP184" s="387">
        <v>37.536000000000001</v>
      </c>
      <c r="AQ184" s="387">
        <v>52.262999999999998</v>
      </c>
      <c r="AR184" s="387">
        <v>59.353000000000002</v>
      </c>
      <c r="AS184" s="387">
        <v>51.780999999999999</v>
      </c>
      <c r="AT184" s="387">
        <v>51.465000000000003</v>
      </c>
      <c r="AU184" s="387">
        <v>47.667999999999999</v>
      </c>
      <c r="AV184" s="387">
        <v>45.372999999999998</v>
      </c>
      <c r="AW184" s="387">
        <v>30.532</v>
      </c>
      <c r="AX184" s="387">
        <v>41.442</v>
      </c>
      <c r="AY184" s="387">
        <v>32.515000000000001</v>
      </c>
      <c r="AZ184" s="387">
        <v>39.970999999999997</v>
      </c>
      <c r="BA184" s="387">
        <v>29.411000000000001</v>
      </c>
      <c r="BB184" s="387">
        <v>17.751000000000001</v>
      </c>
      <c r="BC184" s="387">
        <v>13.818</v>
      </c>
      <c r="BD184" s="387">
        <v>14.577</v>
      </c>
      <c r="BE184" s="387">
        <v>14.52</v>
      </c>
      <c r="BF184" s="387">
        <v>7.5359999999999996</v>
      </c>
      <c r="BG184" s="387">
        <v>6.2930000000000001</v>
      </c>
      <c r="BH184" s="387">
        <v>3.6440000000000001</v>
      </c>
      <c r="BI184" s="387">
        <v>1.2669999999999999</v>
      </c>
      <c r="BJ184" s="387">
        <v>0</v>
      </c>
      <c r="BK184" s="387">
        <v>0</v>
      </c>
      <c r="BL184" s="387">
        <v>0</v>
      </c>
      <c r="BM184" s="387">
        <v>0</v>
      </c>
      <c r="BN184" s="387">
        <v>0</v>
      </c>
      <c r="BO184" s="387">
        <v>0</v>
      </c>
    </row>
    <row r="185" spans="1:67" x14ac:dyDescent="0.2">
      <c r="A185" s="386" t="s">
        <v>895</v>
      </c>
      <c r="B185" s="387">
        <v>0</v>
      </c>
      <c r="C185" s="387">
        <v>0</v>
      </c>
      <c r="D185" s="387">
        <v>0</v>
      </c>
      <c r="E185" s="387">
        <v>0</v>
      </c>
      <c r="F185" s="387">
        <v>0</v>
      </c>
      <c r="G185" s="387">
        <v>0</v>
      </c>
      <c r="H185" s="387">
        <v>0</v>
      </c>
      <c r="I185" s="387">
        <v>0</v>
      </c>
      <c r="J185" s="387">
        <v>0</v>
      </c>
      <c r="K185" s="387">
        <v>0</v>
      </c>
      <c r="L185" s="387">
        <v>0</v>
      </c>
      <c r="M185" s="387">
        <v>0</v>
      </c>
      <c r="N185" s="387">
        <v>0</v>
      </c>
      <c r="O185" s="387">
        <v>0</v>
      </c>
      <c r="P185" s="387">
        <v>0</v>
      </c>
      <c r="Q185" s="387">
        <v>0</v>
      </c>
      <c r="R185" s="387">
        <v>0</v>
      </c>
      <c r="S185" s="387">
        <v>0</v>
      </c>
      <c r="T185" s="387">
        <v>0.34799999999999998</v>
      </c>
      <c r="U185" s="387">
        <v>0.189</v>
      </c>
      <c r="V185" s="387">
        <v>1.8879999999999999</v>
      </c>
      <c r="W185" s="387">
        <v>1.155</v>
      </c>
      <c r="X185" s="387">
        <v>1.8919999999999999</v>
      </c>
      <c r="Y185" s="387">
        <v>3.895</v>
      </c>
      <c r="Z185" s="387">
        <v>3.7149999999999999</v>
      </c>
      <c r="AA185" s="387">
        <v>3.1560000000000001</v>
      </c>
      <c r="AB185" s="387">
        <v>6.3230000000000004</v>
      </c>
      <c r="AC185" s="387">
        <v>4.1360000000000001</v>
      </c>
      <c r="AD185" s="387">
        <v>6.6589999999999998</v>
      </c>
      <c r="AE185" s="387">
        <v>7.3079999999999998</v>
      </c>
      <c r="AF185" s="387">
        <v>11.858000000000001</v>
      </c>
      <c r="AG185" s="387">
        <v>9.4939999999999998</v>
      </c>
      <c r="AH185" s="387">
        <v>11.545</v>
      </c>
      <c r="AI185" s="387">
        <v>14.613</v>
      </c>
      <c r="AJ185" s="387">
        <v>14.361000000000001</v>
      </c>
      <c r="AK185" s="387">
        <v>17.571000000000002</v>
      </c>
      <c r="AL185" s="387">
        <v>18.841999999999999</v>
      </c>
      <c r="AM185" s="387">
        <v>20.417999999999999</v>
      </c>
      <c r="AN185" s="387">
        <v>20.251000000000001</v>
      </c>
      <c r="AO185" s="387">
        <v>23.98</v>
      </c>
      <c r="AP185" s="387">
        <v>23.081</v>
      </c>
      <c r="AQ185" s="387">
        <v>22.978999999999999</v>
      </c>
      <c r="AR185" s="387">
        <v>26.893000000000001</v>
      </c>
      <c r="AS185" s="387">
        <v>24.844000000000001</v>
      </c>
      <c r="AT185" s="387">
        <v>22.466999999999999</v>
      </c>
      <c r="AU185" s="387">
        <v>20.193000000000001</v>
      </c>
      <c r="AV185" s="387">
        <v>19.288</v>
      </c>
      <c r="AW185" s="387">
        <v>14.423999999999999</v>
      </c>
      <c r="AX185" s="387">
        <v>16.954999999999998</v>
      </c>
      <c r="AY185" s="387">
        <v>10.061</v>
      </c>
      <c r="AZ185" s="387">
        <v>11.983000000000001</v>
      </c>
      <c r="BA185" s="387">
        <v>7.9160000000000004</v>
      </c>
      <c r="BB185" s="387">
        <v>3.8820000000000001</v>
      </c>
      <c r="BC185" s="387">
        <v>3.7269999999999999</v>
      </c>
      <c r="BD185" s="387">
        <v>2.3860000000000001</v>
      </c>
      <c r="BE185" s="387">
        <v>2.7450000000000001</v>
      </c>
      <c r="BF185" s="387">
        <v>0.70599999999999996</v>
      </c>
      <c r="BG185" s="387">
        <v>0.56399999999999995</v>
      </c>
      <c r="BH185" s="387">
        <v>0.46800000000000003</v>
      </c>
      <c r="BI185" s="387">
        <v>0.153</v>
      </c>
      <c r="BJ185" s="387">
        <v>0</v>
      </c>
      <c r="BK185" s="387">
        <v>0</v>
      </c>
      <c r="BL185" s="387">
        <v>0</v>
      </c>
      <c r="BM185" s="387">
        <v>0</v>
      </c>
      <c r="BN185" s="387">
        <v>0</v>
      </c>
      <c r="BO185" s="387">
        <v>0</v>
      </c>
    </row>
    <row r="186" spans="1:67" x14ac:dyDescent="0.2">
      <c r="A186" s="386" t="s">
        <v>896</v>
      </c>
      <c r="B186" s="387">
        <v>0</v>
      </c>
      <c r="C186" s="387">
        <v>0</v>
      </c>
      <c r="D186" s="387">
        <v>0</v>
      </c>
      <c r="E186" s="387">
        <v>0</v>
      </c>
      <c r="F186" s="387">
        <v>0</v>
      </c>
      <c r="G186" s="387">
        <v>0</v>
      </c>
      <c r="H186" s="387">
        <v>0</v>
      </c>
      <c r="I186" s="387">
        <v>0</v>
      </c>
      <c r="J186" s="387">
        <v>0</v>
      </c>
      <c r="K186" s="387">
        <v>0</v>
      </c>
      <c r="L186" s="387">
        <v>0</v>
      </c>
      <c r="M186" s="387">
        <v>0</v>
      </c>
      <c r="N186" s="387">
        <v>0</v>
      </c>
      <c r="O186" s="387">
        <v>0</v>
      </c>
      <c r="P186" s="387">
        <v>0</v>
      </c>
      <c r="Q186" s="387">
        <v>0</v>
      </c>
      <c r="R186" s="387">
        <v>0</v>
      </c>
      <c r="S186" s="387">
        <v>0</v>
      </c>
      <c r="T186" s="387">
        <v>0.36</v>
      </c>
      <c r="U186" s="387">
        <v>0.24399999999999999</v>
      </c>
      <c r="V186" s="387">
        <v>2.1360000000000001</v>
      </c>
      <c r="W186" s="387">
        <v>3.1219999999999999</v>
      </c>
      <c r="X186" s="387">
        <v>5.351</v>
      </c>
      <c r="Y186" s="387">
        <v>9.7040000000000006</v>
      </c>
      <c r="Z186" s="387">
        <v>8.5640000000000001</v>
      </c>
      <c r="AA186" s="387">
        <v>7.1440000000000001</v>
      </c>
      <c r="AB186" s="387">
        <v>12.741</v>
      </c>
      <c r="AC186" s="387">
        <v>10.611000000000001</v>
      </c>
      <c r="AD186" s="387">
        <v>11.839</v>
      </c>
      <c r="AE186" s="387">
        <v>13.045</v>
      </c>
      <c r="AF186" s="387">
        <v>19.690000000000001</v>
      </c>
      <c r="AG186" s="387">
        <v>15.788</v>
      </c>
      <c r="AH186" s="387">
        <v>18.518000000000001</v>
      </c>
      <c r="AI186" s="387">
        <v>23.446000000000002</v>
      </c>
      <c r="AJ186" s="387">
        <v>19.228999999999999</v>
      </c>
      <c r="AK186" s="387">
        <v>25.007000000000001</v>
      </c>
      <c r="AL186" s="387">
        <v>22.367000000000001</v>
      </c>
      <c r="AM186" s="387">
        <v>33.902000000000001</v>
      </c>
      <c r="AN186" s="387">
        <v>31.617000000000001</v>
      </c>
      <c r="AO186" s="387">
        <v>36.783000000000001</v>
      </c>
      <c r="AP186" s="387">
        <v>27.012</v>
      </c>
      <c r="AQ186" s="387">
        <v>36.113999999999997</v>
      </c>
      <c r="AR186" s="387">
        <v>36.972000000000001</v>
      </c>
      <c r="AS186" s="387">
        <v>30.67</v>
      </c>
      <c r="AT186" s="387">
        <v>26.654</v>
      </c>
      <c r="AU186" s="387">
        <v>22.65</v>
      </c>
      <c r="AV186" s="387">
        <v>22.367999999999999</v>
      </c>
      <c r="AW186" s="387">
        <v>17.204999999999998</v>
      </c>
      <c r="AX186" s="387">
        <v>21.417000000000002</v>
      </c>
      <c r="AY186" s="387">
        <v>16.128</v>
      </c>
      <c r="AZ186" s="387">
        <v>21.1</v>
      </c>
      <c r="BA186" s="387">
        <v>14.887</v>
      </c>
      <c r="BB186" s="387">
        <v>9.6709999999999994</v>
      </c>
      <c r="BC186" s="387">
        <v>8.0030000000000001</v>
      </c>
      <c r="BD186" s="387">
        <v>6.798</v>
      </c>
      <c r="BE186" s="387">
        <v>8.3330000000000002</v>
      </c>
      <c r="BF186" s="387">
        <v>3.7109999999999999</v>
      </c>
      <c r="BG186" s="387">
        <v>3.7360000000000002</v>
      </c>
      <c r="BH186" s="387">
        <v>2.1320000000000001</v>
      </c>
      <c r="BI186" s="387">
        <v>0.82399999999999995</v>
      </c>
      <c r="BJ186" s="387">
        <v>0</v>
      </c>
      <c r="BK186" s="387">
        <v>0</v>
      </c>
      <c r="BL186" s="387">
        <v>0</v>
      </c>
      <c r="BM186" s="387">
        <v>0</v>
      </c>
      <c r="BN186" s="387">
        <v>0</v>
      </c>
      <c r="BO186" s="387">
        <v>0</v>
      </c>
    </row>
    <row r="187" spans="1:67" x14ac:dyDescent="0.2">
      <c r="A187" s="386" t="s">
        <v>897</v>
      </c>
      <c r="B187" s="387">
        <v>0</v>
      </c>
      <c r="C187" s="387">
        <v>0</v>
      </c>
      <c r="D187" s="387">
        <v>0</v>
      </c>
      <c r="E187" s="387">
        <v>0</v>
      </c>
      <c r="F187" s="387">
        <v>0</v>
      </c>
      <c r="G187" s="387">
        <v>0</v>
      </c>
      <c r="H187" s="387">
        <v>0</v>
      </c>
      <c r="I187" s="387">
        <v>0</v>
      </c>
      <c r="J187" s="387">
        <v>0</v>
      </c>
      <c r="K187" s="387">
        <v>0</v>
      </c>
      <c r="L187" s="387">
        <v>0</v>
      </c>
      <c r="M187" s="387">
        <v>0</v>
      </c>
      <c r="N187" s="387">
        <v>0</v>
      </c>
      <c r="O187" s="387">
        <v>0</v>
      </c>
      <c r="P187" s="387">
        <v>0</v>
      </c>
      <c r="Q187" s="387">
        <v>0</v>
      </c>
      <c r="R187" s="387">
        <v>0</v>
      </c>
      <c r="S187" s="387">
        <v>0</v>
      </c>
      <c r="T187" s="387">
        <v>0</v>
      </c>
      <c r="U187" s="387">
        <v>0</v>
      </c>
      <c r="V187" s="387">
        <v>0</v>
      </c>
      <c r="W187" s="387">
        <v>0.64500000000000002</v>
      </c>
      <c r="X187" s="387">
        <v>1.839</v>
      </c>
      <c r="Y187" s="387">
        <v>1.8320000000000001</v>
      </c>
      <c r="Z187" s="387">
        <v>0.89600000000000002</v>
      </c>
      <c r="AA187" s="387">
        <v>1.7210000000000001</v>
      </c>
      <c r="AB187" s="387">
        <v>3.52</v>
      </c>
      <c r="AC187" s="387">
        <v>2.4649999999999999</v>
      </c>
      <c r="AD187" s="387">
        <v>2.992</v>
      </c>
      <c r="AE187" s="387">
        <v>3.0760000000000001</v>
      </c>
      <c r="AF187" s="387">
        <v>3.802</v>
      </c>
      <c r="AG187" s="387">
        <v>5.4290000000000003</v>
      </c>
      <c r="AH187" s="387">
        <v>4.3940000000000001</v>
      </c>
      <c r="AI187" s="387">
        <v>6.9080000000000004</v>
      </c>
      <c r="AJ187" s="387">
        <v>5.4630000000000001</v>
      </c>
      <c r="AK187" s="387">
        <v>8.7669999999999995</v>
      </c>
      <c r="AL187" s="387">
        <v>7.6079999999999997</v>
      </c>
      <c r="AM187" s="387">
        <v>10.778</v>
      </c>
      <c r="AN187" s="387">
        <v>10.786</v>
      </c>
      <c r="AO187" s="387">
        <v>16.452000000000002</v>
      </c>
      <c r="AP187" s="387">
        <v>16.434999999999999</v>
      </c>
      <c r="AQ187" s="387">
        <v>19.690000000000001</v>
      </c>
      <c r="AR187" s="387">
        <v>20.219000000000001</v>
      </c>
      <c r="AS187" s="387">
        <v>23.231999999999999</v>
      </c>
      <c r="AT187" s="387">
        <v>20.167000000000002</v>
      </c>
      <c r="AU187" s="387">
        <v>17.960999999999999</v>
      </c>
      <c r="AV187" s="387">
        <v>19.928000000000001</v>
      </c>
      <c r="AW187" s="387">
        <v>12.680999999999999</v>
      </c>
      <c r="AX187" s="387">
        <v>16.399999999999999</v>
      </c>
      <c r="AY187" s="387">
        <v>16.484999999999999</v>
      </c>
      <c r="AZ187" s="387">
        <v>19.712</v>
      </c>
      <c r="BA187" s="387">
        <v>16.77</v>
      </c>
      <c r="BB187" s="387">
        <v>11.615</v>
      </c>
      <c r="BC187" s="387">
        <v>6.6890000000000001</v>
      </c>
      <c r="BD187" s="387">
        <v>9.5589999999999993</v>
      </c>
      <c r="BE187" s="387">
        <v>8.5760000000000005</v>
      </c>
      <c r="BF187" s="387">
        <v>5.0670000000000002</v>
      </c>
      <c r="BG187" s="387">
        <v>4.4720000000000004</v>
      </c>
      <c r="BH187" s="387">
        <v>2.653</v>
      </c>
      <c r="BI187" s="387">
        <v>0.94499999999999995</v>
      </c>
      <c r="BJ187" s="387">
        <v>0</v>
      </c>
      <c r="BK187" s="387">
        <v>0</v>
      </c>
      <c r="BL187" s="387">
        <v>0</v>
      </c>
      <c r="BM187" s="387">
        <v>0</v>
      </c>
      <c r="BN187" s="387">
        <v>0</v>
      </c>
      <c r="BO187" s="387">
        <v>0</v>
      </c>
    </row>
    <row r="188" spans="1:67" x14ac:dyDescent="0.2">
      <c r="A188" s="388" t="s">
        <v>898</v>
      </c>
      <c r="B188" s="389">
        <v>0</v>
      </c>
      <c r="C188" s="389">
        <v>0</v>
      </c>
      <c r="D188" s="389">
        <v>0</v>
      </c>
      <c r="E188" s="389">
        <v>0</v>
      </c>
      <c r="F188" s="389">
        <v>0</v>
      </c>
      <c r="G188" s="389">
        <v>0</v>
      </c>
      <c r="H188" s="389">
        <v>0</v>
      </c>
      <c r="I188" s="389">
        <v>0</v>
      </c>
      <c r="J188" s="389">
        <v>0</v>
      </c>
      <c r="K188" s="389">
        <v>0</v>
      </c>
      <c r="L188" s="389">
        <v>0</v>
      </c>
      <c r="M188" s="389">
        <v>0</v>
      </c>
      <c r="N188" s="389">
        <v>0</v>
      </c>
      <c r="O188" s="389">
        <v>0</v>
      </c>
      <c r="P188" s="389">
        <v>0</v>
      </c>
      <c r="Q188" s="389">
        <v>0</v>
      </c>
      <c r="R188" s="389">
        <v>0</v>
      </c>
      <c r="S188" s="389">
        <v>0</v>
      </c>
      <c r="T188" s="389">
        <v>0</v>
      </c>
      <c r="U188" s="389">
        <v>0</v>
      </c>
      <c r="V188" s="389">
        <v>0</v>
      </c>
      <c r="W188" s="389">
        <v>0.39200000000000002</v>
      </c>
      <c r="X188" s="389">
        <v>0.53400000000000003</v>
      </c>
      <c r="Y188" s="389">
        <v>0.55000000000000004</v>
      </c>
      <c r="Z188" s="389">
        <v>0.33800000000000002</v>
      </c>
      <c r="AA188" s="389">
        <v>0.35899999999999999</v>
      </c>
      <c r="AB188" s="389">
        <v>0.64300000000000002</v>
      </c>
      <c r="AC188" s="389">
        <v>0</v>
      </c>
      <c r="AD188" s="389">
        <v>0.30399999999999999</v>
      </c>
      <c r="AE188" s="389">
        <v>0.186</v>
      </c>
      <c r="AF188" s="389">
        <v>0.35299999999999998</v>
      </c>
      <c r="AG188" s="389">
        <v>0.48699999999999999</v>
      </c>
      <c r="AH188" s="389">
        <v>0.89200000000000002</v>
      </c>
      <c r="AI188" s="389">
        <v>0.49199999999999999</v>
      </c>
      <c r="AJ188" s="389">
        <v>0.80800000000000005</v>
      </c>
      <c r="AK188" s="389">
        <v>1.099</v>
      </c>
      <c r="AL188" s="389">
        <v>1.0069999999999999</v>
      </c>
      <c r="AM188" s="389">
        <v>0.78500000000000003</v>
      </c>
      <c r="AN188" s="389">
        <v>1.633</v>
      </c>
      <c r="AO188" s="389">
        <v>2.903</v>
      </c>
      <c r="AP188" s="389">
        <v>3.516</v>
      </c>
      <c r="AQ188" s="389">
        <v>3.5049999999999999</v>
      </c>
      <c r="AR188" s="389">
        <v>3.5569999999999999</v>
      </c>
      <c r="AS188" s="389">
        <v>4.141</v>
      </c>
      <c r="AT188" s="389">
        <v>4.3170000000000002</v>
      </c>
      <c r="AU188" s="389">
        <v>5.49</v>
      </c>
      <c r="AV188" s="389">
        <v>3.9460000000000002</v>
      </c>
      <c r="AW188" s="389">
        <v>1.6339999999999999</v>
      </c>
      <c r="AX188" s="389">
        <v>3.9289999999999998</v>
      </c>
      <c r="AY188" s="389">
        <v>3.742</v>
      </c>
      <c r="AZ188" s="389">
        <v>3.6779999999999999</v>
      </c>
      <c r="BA188" s="389">
        <v>2.5640000000000001</v>
      </c>
      <c r="BB188" s="389">
        <v>1.4390000000000001</v>
      </c>
      <c r="BC188" s="389">
        <v>1.821</v>
      </c>
      <c r="BD188" s="389">
        <v>0.97699999999999998</v>
      </c>
      <c r="BE188" s="389">
        <v>1.4059999999999999</v>
      </c>
      <c r="BF188" s="389">
        <v>0.63700000000000001</v>
      </c>
      <c r="BG188" s="389">
        <v>0.32400000000000001</v>
      </c>
      <c r="BH188" s="389">
        <v>0.46100000000000002</v>
      </c>
      <c r="BI188" s="389">
        <v>0.153</v>
      </c>
      <c r="BJ188" s="389">
        <v>0</v>
      </c>
      <c r="BK188" s="389">
        <v>0</v>
      </c>
      <c r="BL188" s="389">
        <v>0</v>
      </c>
      <c r="BM188" s="389">
        <v>0</v>
      </c>
      <c r="BN188" s="389">
        <v>0</v>
      </c>
      <c r="BO188" s="389">
        <v>0</v>
      </c>
    </row>
    <row r="190" spans="1:67" x14ac:dyDescent="0.2">
      <c r="A190" s="380" t="s">
        <v>3173</v>
      </c>
      <c r="B190" s="381" t="s">
        <v>919</v>
      </c>
    </row>
    <row r="191" spans="1:67" x14ac:dyDescent="0.2">
      <c r="A191" s="382" t="s">
        <v>2355</v>
      </c>
      <c r="B191" s="383"/>
    </row>
    <row r="192" spans="1:67" x14ac:dyDescent="0.2">
      <c r="A192" s="384" t="s">
        <v>3175</v>
      </c>
      <c r="B192" s="384">
        <v>-25</v>
      </c>
      <c r="C192" s="384">
        <v>-24</v>
      </c>
      <c r="D192" s="384">
        <v>-23</v>
      </c>
      <c r="E192" s="384">
        <v>-22</v>
      </c>
      <c r="F192" s="384">
        <v>-21</v>
      </c>
      <c r="G192" s="384">
        <v>-20</v>
      </c>
      <c r="H192" s="384">
        <v>-19</v>
      </c>
      <c r="I192" s="384">
        <v>-18</v>
      </c>
      <c r="J192" s="384">
        <v>-17</v>
      </c>
      <c r="K192" s="384">
        <v>-16</v>
      </c>
      <c r="L192" s="384">
        <v>-15</v>
      </c>
      <c r="M192" s="384">
        <v>-14</v>
      </c>
      <c r="N192" s="384">
        <v>-13</v>
      </c>
      <c r="O192" s="384">
        <v>-12</v>
      </c>
      <c r="P192" s="384">
        <v>-11</v>
      </c>
      <c r="Q192" s="384">
        <v>-10</v>
      </c>
      <c r="R192" s="384">
        <v>-9</v>
      </c>
      <c r="S192" s="384">
        <v>-8</v>
      </c>
      <c r="T192" s="384">
        <v>-7</v>
      </c>
      <c r="U192" s="384">
        <v>-6</v>
      </c>
      <c r="V192" s="384">
        <v>-5</v>
      </c>
      <c r="W192" s="384">
        <v>-4</v>
      </c>
      <c r="X192" s="384">
        <v>-3</v>
      </c>
      <c r="Y192" s="384">
        <v>-2</v>
      </c>
      <c r="Z192" s="384">
        <v>-1</v>
      </c>
      <c r="AA192" s="384">
        <v>0</v>
      </c>
      <c r="AB192" s="384">
        <v>1</v>
      </c>
      <c r="AC192" s="384">
        <v>2</v>
      </c>
      <c r="AD192" s="384">
        <v>3</v>
      </c>
      <c r="AE192" s="384">
        <v>4</v>
      </c>
      <c r="AF192" s="384">
        <v>5</v>
      </c>
      <c r="AG192" s="384">
        <v>6</v>
      </c>
      <c r="AH192" s="384">
        <v>7</v>
      </c>
      <c r="AI192" s="384">
        <v>8</v>
      </c>
      <c r="AJ192" s="384">
        <v>9</v>
      </c>
      <c r="AK192" s="384">
        <v>10</v>
      </c>
      <c r="AL192" s="384">
        <v>11</v>
      </c>
      <c r="AM192" s="384">
        <v>12</v>
      </c>
      <c r="AN192" s="384">
        <v>13</v>
      </c>
      <c r="AO192" s="384">
        <v>14</v>
      </c>
      <c r="AP192" s="384">
        <v>15</v>
      </c>
      <c r="AQ192" s="384">
        <v>16</v>
      </c>
      <c r="AR192" s="384">
        <v>17</v>
      </c>
      <c r="AS192" s="384">
        <v>18</v>
      </c>
      <c r="AT192" s="384">
        <v>19</v>
      </c>
      <c r="AU192" s="384">
        <v>20</v>
      </c>
      <c r="AV192" s="384">
        <v>21</v>
      </c>
      <c r="AW192" s="384">
        <v>22</v>
      </c>
      <c r="AX192" s="384">
        <v>23</v>
      </c>
      <c r="AY192" s="384">
        <v>24</v>
      </c>
      <c r="AZ192" s="384">
        <v>25</v>
      </c>
      <c r="BA192" s="384">
        <v>26</v>
      </c>
      <c r="BB192" s="384">
        <v>27</v>
      </c>
      <c r="BC192" s="384">
        <v>28</v>
      </c>
      <c r="BD192" s="384">
        <v>29</v>
      </c>
      <c r="BE192" s="384">
        <v>30</v>
      </c>
      <c r="BF192" s="384">
        <v>31</v>
      </c>
      <c r="BG192" s="384">
        <v>32</v>
      </c>
      <c r="BH192" s="384">
        <v>33</v>
      </c>
      <c r="BI192" s="384">
        <v>34</v>
      </c>
      <c r="BJ192" s="384">
        <v>35</v>
      </c>
      <c r="BK192" s="384">
        <v>36</v>
      </c>
      <c r="BL192" s="384">
        <v>37</v>
      </c>
      <c r="BM192" s="384">
        <v>38</v>
      </c>
      <c r="BN192" s="384">
        <v>39</v>
      </c>
      <c r="BO192" s="384">
        <v>40</v>
      </c>
    </row>
    <row r="193" spans="1:67" x14ac:dyDescent="0.2">
      <c r="A193" s="385" t="s">
        <v>3176</v>
      </c>
      <c r="B193" s="385">
        <v>0</v>
      </c>
      <c r="C193" s="385">
        <v>0</v>
      </c>
      <c r="D193" s="385">
        <v>0</v>
      </c>
      <c r="E193" s="385">
        <v>0</v>
      </c>
      <c r="F193" s="385">
        <v>0</v>
      </c>
      <c r="G193" s="385">
        <v>0</v>
      </c>
      <c r="H193" s="385">
        <v>0</v>
      </c>
      <c r="I193" s="385">
        <v>0</v>
      </c>
      <c r="J193" s="385">
        <v>0</v>
      </c>
      <c r="K193" s="385">
        <v>0</v>
      </c>
      <c r="L193" s="385">
        <v>0</v>
      </c>
      <c r="M193" s="385">
        <v>0</v>
      </c>
      <c r="N193" s="385">
        <v>0</v>
      </c>
      <c r="O193" s="385">
        <v>0</v>
      </c>
      <c r="P193" s="385">
        <v>0</v>
      </c>
      <c r="Q193" s="385">
        <v>0</v>
      </c>
      <c r="R193" s="385">
        <v>0</v>
      </c>
      <c r="S193" s="385">
        <v>0</v>
      </c>
      <c r="T193" s="385">
        <v>3</v>
      </c>
      <c r="U193" s="385">
        <v>10</v>
      </c>
      <c r="V193" s="385">
        <v>23</v>
      </c>
      <c r="W193" s="385">
        <v>47</v>
      </c>
      <c r="X193" s="385">
        <v>75</v>
      </c>
      <c r="Y193" s="385">
        <v>120</v>
      </c>
      <c r="Z193" s="385">
        <v>206</v>
      </c>
      <c r="AA193" s="385">
        <v>234</v>
      </c>
      <c r="AB193" s="385">
        <v>301</v>
      </c>
      <c r="AC193" s="385">
        <v>323</v>
      </c>
      <c r="AD193" s="385">
        <v>287</v>
      </c>
      <c r="AE193" s="385">
        <v>275</v>
      </c>
      <c r="AF193" s="385">
        <v>262</v>
      </c>
      <c r="AG193" s="385">
        <v>311</v>
      </c>
      <c r="AH193" s="385">
        <v>337</v>
      </c>
      <c r="AI193" s="385">
        <v>347</v>
      </c>
      <c r="AJ193" s="385">
        <v>399</v>
      </c>
      <c r="AK193" s="385">
        <v>337</v>
      </c>
      <c r="AL193" s="385">
        <v>334</v>
      </c>
      <c r="AM193" s="385">
        <v>326</v>
      </c>
      <c r="AN193" s="385">
        <v>373</v>
      </c>
      <c r="AO193" s="385">
        <v>393</v>
      </c>
      <c r="AP193" s="385">
        <v>320</v>
      </c>
      <c r="AQ193" s="385">
        <v>346</v>
      </c>
      <c r="AR193" s="385">
        <v>339</v>
      </c>
      <c r="AS193" s="385">
        <v>312</v>
      </c>
      <c r="AT193" s="385">
        <v>309</v>
      </c>
      <c r="AU193" s="385">
        <v>342</v>
      </c>
      <c r="AV193" s="385">
        <v>294</v>
      </c>
      <c r="AW193" s="385">
        <v>245</v>
      </c>
      <c r="AX193" s="385">
        <v>199</v>
      </c>
      <c r="AY193" s="385">
        <v>170</v>
      </c>
      <c r="AZ193" s="385">
        <v>152</v>
      </c>
      <c r="BA193" s="385">
        <v>110</v>
      </c>
      <c r="BB193" s="385">
        <v>121</v>
      </c>
      <c r="BC193" s="385">
        <v>93</v>
      </c>
      <c r="BD193" s="385">
        <v>65</v>
      </c>
      <c r="BE193" s="385">
        <v>16</v>
      </c>
      <c r="BF193" s="385">
        <v>4</v>
      </c>
      <c r="BG193" s="385">
        <v>0</v>
      </c>
      <c r="BH193" s="385">
        <v>0</v>
      </c>
      <c r="BI193" s="385">
        <v>0</v>
      </c>
      <c r="BJ193" s="385">
        <v>0</v>
      </c>
      <c r="BK193" s="385">
        <v>0</v>
      </c>
      <c r="BL193" s="385">
        <v>0</v>
      </c>
      <c r="BM193" s="385">
        <v>0</v>
      </c>
      <c r="BN193" s="385">
        <v>0</v>
      </c>
      <c r="BO193" s="385">
        <v>0</v>
      </c>
    </row>
    <row r="194" spans="1:67" x14ac:dyDescent="0.2">
      <c r="A194" s="386" t="s">
        <v>893</v>
      </c>
      <c r="B194" s="386">
        <v>0</v>
      </c>
      <c r="C194" s="386">
        <v>0</v>
      </c>
      <c r="D194" s="386">
        <v>0</v>
      </c>
      <c r="E194" s="386">
        <v>0</v>
      </c>
      <c r="F194" s="386">
        <v>0</v>
      </c>
      <c r="G194" s="386">
        <v>0</v>
      </c>
      <c r="H194" s="386">
        <v>0</v>
      </c>
      <c r="I194" s="386">
        <v>0</v>
      </c>
      <c r="J194" s="386">
        <v>0</v>
      </c>
      <c r="K194" s="386">
        <v>0</v>
      </c>
      <c r="L194" s="386">
        <v>0</v>
      </c>
      <c r="M194" s="386">
        <v>0</v>
      </c>
      <c r="N194" s="386">
        <v>0</v>
      </c>
      <c r="O194" s="386">
        <v>0</v>
      </c>
      <c r="P194" s="386">
        <v>0</v>
      </c>
      <c r="Q194" s="386">
        <v>0</v>
      </c>
      <c r="R194" s="386">
        <v>0</v>
      </c>
      <c r="S194" s="386">
        <v>0</v>
      </c>
      <c r="T194" s="386">
        <v>0</v>
      </c>
      <c r="U194" s="386">
        <v>0</v>
      </c>
      <c r="V194" s="386">
        <v>0</v>
      </c>
      <c r="W194" s="386">
        <v>0</v>
      </c>
      <c r="X194" s="386">
        <v>48</v>
      </c>
      <c r="Y194" s="386">
        <v>24</v>
      </c>
      <c r="Z194" s="386">
        <v>96</v>
      </c>
      <c r="AA194" s="386">
        <v>216</v>
      </c>
      <c r="AB194" s="386">
        <v>336</v>
      </c>
      <c r="AC194" s="386">
        <v>384</v>
      </c>
      <c r="AD194" s="386">
        <v>288</v>
      </c>
      <c r="AE194" s="386">
        <v>480</v>
      </c>
      <c r="AF194" s="386">
        <v>264</v>
      </c>
      <c r="AG194" s="386">
        <v>264</v>
      </c>
      <c r="AH194" s="386">
        <v>456</v>
      </c>
      <c r="AI194" s="386">
        <v>456</v>
      </c>
      <c r="AJ194" s="386">
        <v>360</v>
      </c>
      <c r="AK194" s="386">
        <v>192</v>
      </c>
      <c r="AL194" s="386">
        <v>360</v>
      </c>
      <c r="AM194" s="386">
        <v>240</v>
      </c>
      <c r="AN194" s="386">
        <v>432</v>
      </c>
      <c r="AO194" s="386">
        <v>264</v>
      </c>
      <c r="AP194" s="386">
        <v>360</v>
      </c>
      <c r="AQ194" s="386">
        <v>408</v>
      </c>
      <c r="AR194" s="386">
        <v>456</v>
      </c>
      <c r="AS194" s="386">
        <v>312</v>
      </c>
      <c r="AT194" s="386">
        <v>360</v>
      </c>
      <c r="AU194" s="386">
        <v>264</v>
      </c>
      <c r="AV194" s="386">
        <v>264</v>
      </c>
      <c r="AW194" s="386">
        <v>480</v>
      </c>
      <c r="AX194" s="386">
        <v>336</v>
      </c>
      <c r="AY194" s="386">
        <v>264</v>
      </c>
      <c r="AZ194" s="386">
        <v>96</v>
      </c>
      <c r="BA194" s="386">
        <v>0</v>
      </c>
      <c r="BB194" s="386">
        <v>0</v>
      </c>
      <c r="BC194" s="386">
        <v>0</v>
      </c>
      <c r="BD194" s="386">
        <v>0</v>
      </c>
      <c r="BE194" s="386">
        <v>0</v>
      </c>
      <c r="BF194" s="386">
        <v>0</v>
      </c>
      <c r="BG194" s="386">
        <v>0</v>
      </c>
      <c r="BH194" s="386">
        <v>0</v>
      </c>
      <c r="BI194" s="386">
        <v>0</v>
      </c>
      <c r="BJ194" s="386">
        <v>0</v>
      </c>
      <c r="BK194" s="386">
        <v>0</v>
      </c>
      <c r="BL194" s="386">
        <v>0</v>
      </c>
      <c r="BM194" s="386">
        <v>0</v>
      </c>
      <c r="BN194" s="386">
        <v>0</v>
      </c>
      <c r="BO194" s="386">
        <v>0</v>
      </c>
    </row>
    <row r="195" spans="1:67" x14ac:dyDescent="0.2">
      <c r="A195" s="386" t="s">
        <v>894</v>
      </c>
      <c r="B195" s="387">
        <v>0</v>
      </c>
      <c r="C195" s="387">
        <v>0</v>
      </c>
      <c r="D195" s="387">
        <v>0</v>
      </c>
      <c r="E195" s="387">
        <v>0</v>
      </c>
      <c r="F195" s="387">
        <v>0</v>
      </c>
      <c r="G195" s="387">
        <v>0</v>
      </c>
      <c r="H195" s="387">
        <v>0</v>
      </c>
      <c r="I195" s="387">
        <v>0</v>
      </c>
      <c r="J195" s="387">
        <v>0</v>
      </c>
      <c r="K195" s="387">
        <v>0</v>
      </c>
      <c r="L195" s="387">
        <v>0</v>
      </c>
      <c r="M195" s="387">
        <v>0</v>
      </c>
      <c r="N195" s="387">
        <v>0</v>
      </c>
      <c r="O195" s="387">
        <v>0</v>
      </c>
      <c r="P195" s="387">
        <v>0</v>
      </c>
      <c r="Q195" s="387">
        <v>0</v>
      </c>
      <c r="R195" s="387">
        <v>0</v>
      </c>
      <c r="S195" s="387">
        <v>0</v>
      </c>
      <c r="T195" s="387">
        <v>0</v>
      </c>
      <c r="U195" s="387">
        <v>0</v>
      </c>
      <c r="V195" s="387">
        <v>0</v>
      </c>
      <c r="W195" s="387">
        <v>0</v>
      </c>
      <c r="X195" s="387">
        <v>0.185</v>
      </c>
      <c r="Y195" s="387">
        <v>0.38600000000000001</v>
      </c>
      <c r="Z195" s="387">
        <v>1.0529999999999999</v>
      </c>
      <c r="AA195" s="387">
        <v>1.4039999999999999</v>
      </c>
      <c r="AB195" s="387">
        <v>2.7360000000000002</v>
      </c>
      <c r="AC195" s="387">
        <v>5.9420000000000002</v>
      </c>
      <c r="AD195" s="387">
        <v>8.5259999999999998</v>
      </c>
      <c r="AE195" s="387">
        <v>11.446</v>
      </c>
      <c r="AF195" s="387">
        <v>13.821999999999999</v>
      </c>
      <c r="AG195" s="387">
        <v>14.333</v>
      </c>
      <c r="AH195" s="387">
        <v>17.651</v>
      </c>
      <c r="AI195" s="387">
        <v>19.399999999999999</v>
      </c>
      <c r="AJ195" s="387">
        <v>22.686</v>
      </c>
      <c r="AK195" s="387">
        <v>22.332999999999998</v>
      </c>
      <c r="AL195" s="387">
        <v>33.975999999999999</v>
      </c>
      <c r="AM195" s="387">
        <v>32.405000000000001</v>
      </c>
      <c r="AN195" s="387">
        <v>29.378</v>
      </c>
      <c r="AO195" s="387">
        <v>37.256999999999998</v>
      </c>
      <c r="AP195" s="387">
        <v>37.119</v>
      </c>
      <c r="AQ195" s="387">
        <v>38.637999999999998</v>
      </c>
      <c r="AR195" s="387">
        <v>40.064999999999998</v>
      </c>
      <c r="AS195" s="387">
        <v>44.845999999999997</v>
      </c>
      <c r="AT195" s="387">
        <v>51.646999999999998</v>
      </c>
      <c r="AU195" s="387">
        <v>57.332000000000001</v>
      </c>
      <c r="AV195" s="387">
        <v>59.655000000000001</v>
      </c>
      <c r="AW195" s="387">
        <v>67.944999999999993</v>
      </c>
      <c r="AX195" s="387">
        <v>78.174000000000007</v>
      </c>
      <c r="AY195" s="387">
        <v>61.66</v>
      </c>
      <c r="AZ195" s="387">
        <v>61.1</v>
      </c>
      <c r="BA195" s="387">
        <v>54.527000000000001</v>
      </c>
      <c r="BB195" s="387">
        <v>62.469000000000001</v>
      </c>
      <c r="BC195" s="387">
        <v>51.606999999999999</v>
      </c>
      <c r="BD195" s="387">
        <v>37.152000000000001</v>
      </c>
      <c r="BE195" s="387">
        <v>10.282</v>
      </c>
      <c r="BF195" s="387">
        <v>2.39</v>
      </c>
      <c r="BG195" s="387">
        <v>0</v>
      </c>
      <c r="BH195" s="387">
        <v>0</v>
      </c>
      <c r="BI195" s="387">
        <v>0</v>
      </c>
      <c r="BJ195" s="387">
        <v>0</v>
      </c>
      <c r="BK195" s="387">
        <v>0</v>
      </c>
      <c r="BL195" s="387">
        <v>0</v>
      </c>
      <c r="BM195" s="387">
        <v>0</v>
      </c>
      <c r="BN195" s="387">
        <v>0</v>
      </c>
      <c r="BO195" s="387">
        <v>0</v>
      </c>
    </row>
    <row r="196" spans="1:67" x14ac:dyDescent="0.2">
      <c r="A196" s="386" t="s">
        <v>895</v>
      </c>
      <c r="B196" s="387">
        <v>0</v>
      </c>
      <c r="C196" s="387">
        <v>0</v>
      </c>
      <c r="D196" s="387">
        <v>0</v>
      </c>
      <c r="E196" s="387">
        <v>0</v>
      </c>
      <c r="F196" s="387">
        <v>0</v>
      </c>
      <c r="G196" s="387">
        <v>0</v>
      </c>
      <c r="H196" s="387">
        <v>0</v>
      </c>
      <c r="I196" s="387">
        <v>0</v>
      </c>
      <c r="J196" s="387">
        <v>0</v>
      </c>
      <c r="K196" s="387">
        <v>0</v>
      </c>
      <c r="L196" s="387">
        <v>0</v>
      </c>
      <c r="M196" s="387">
        <v>0</v>
      </c>
      <c r="N196" s="387">
        <v>0</v>
      </c>
      <c r="O196" s="387">
        <v>0</v>
      </c>
      <c r="P196" s="387">
        <v>0</v>
      </c>
      <c r="Q196" s="387">
        <v>0</v>
      </c>
      <c r="R196" s="387">
        <v>0</v>
      </c>
      <c r="S196" s="387">
        <v>0</v>
      </c>
      <c r="T196" s="387">
        <v>0</v>
      </c>
      <c r="U196" s="387">
        <v>0</v>
      </c>
      <c r="V196" s="387">
        <v>0.57299999999999995</v>
      </c>
      <c r="W196" s="387">
        <v>0.23100000000000001</v>
      </c>
      <c r="X196" s="387">
        <v>1.0309999999999999</v>
      </c>
      <c r="Y196" s="387">
        <v>2.0630000000000002</v>
      </c>
      <c r="Z196" s="387">
        <v>2.9550000000000001</v>
      </c>
      <c r="AA196" s="387">
        <v>3.355</v>
      </c>
      <c r="AB196" s="387">
        <v>5.2549999999999999</v>
      </c>
      <c r="AC196" s="387">
        <v>8.0630000000000006</v>
      </c>
      <c r="AD196" s="387">
        <v>6.9619999999999997</v>
      </c>
      <c r="AE196" s="387">
        <v>8.2629999999999999</v>
      </c>
      <c r="AF196" s="387">
        <v>9.6530000000000005</v>
      </c>
      <c r="AG196" s="387">
        <v>10.478999999999999</v>
      </c>
      <c r="AH196" s="387">
        <v>8.1069999999999993</v>
      </c>
      <c r="AI196" s="387">
        <v>9.6839999999999993</v>
      </c>
      <c r="AJ196" s="387">
        <v>16.701000000000001</v>
      </c>
      <c r="AK196" s="387">
        <v>11.009</v>
      </c>
      <c r="AL196" s="387">
        <v>15.561</v>
      </c>
      <c r="AM196" s="387">
        <v>16.875</v>
      </c>
      <c r="AN196" s="387">
        <v>14.853</v>
      </c>
      <c r="AO196" s="387">
        <v>15.978</v>
      </c>
      <c r="AP196" s="387">
        <v>17.312999999999999</v>
      </c>
      <c r="AQ196" s="387">
        <v>20.896999999999998</v>
      </c>
      <c r="AR196" s="387">
        <v>20.666</v>
      </c>
      <c r="AS196" s="387">
        <v>20.065000000000001</v>
      </c>
      <c r="AT196" s="387">
        <v>25.832000000000001</v>
      </c>
      <c r="AU196" s="387">
        <v>24.74</v>
      </c>
      <c r="AV196" s="387">
        <v>28.111999999999998</v>
      </c>
      <c r="AW196" s="387">
        <v>28.331</v>
      </c>
      <c r="AX196" s="387">
        <v>26.274000000000001</v>
      </c>
      <c r="AY196" s="387">
        <v>21.181000000000001</v>
      </c>
      <c r="AZ196" s="387">
        <v>20.422000000000001</v>
      </c>
      <c r="BA196" s="387">
        <v>15.58</v>
      </c>
      <c r="BB196" s="387">
        <v>12.486000000000001</v>
      </c>
      <c r="BC196" s="387">
        <v>6.4569999999999999</v>
      </c>
      <c r="BD196" s="387">
        <v>1.6879999999999999</v>
      </c>
      <c r="BE196" s="387">
        <v>0.32500000000000001</v>
      </c>
      <c r="BF196" s="387">
        <v>0</v>
      </c>
      <c r="BG196" s="387">
        <v>0</v>
      </c>
      <c r="BH196" s="387">
        <v>0</v>
      </c>
      <c r="BI196" s="387">
        <v>0</v>
      </c>
      <c r="BJ196" s="387">
        <v>0</v>
      </c>
      <c r="BK196" s="387">
        <v>0</v>
      </c>
      <c r="BL196" s="387">
        <v>0</v>
      </c>
      <c r="BM196" s="387">
        <v>0</v>
      </c>
      <c r="BN196" s="387">
        <v>0</v>
      </c>
      <c r="BO196" s="387">
        <v>0</v>
      </c>
    </row>
    <row r="197" spans="1:67" x14ac:dyDescent="0.2">
      <c r="A197" s="386" t="s">
        <v>896</v>
      </c>
      <c r="B197" s="387">
        <v>0</v>
      </c>
      <c r="C197" s="387">
        <v>0</v>
      </c>
      <c r="D197" s="387">
        <v>0</v>
      </c>
      <c r="E197" s="387">
        <v>0</v>
      </c>
      <c r="F197" s="387">
        <v>0</v>
      </c>
      <c r="G197" s="387">
        <v>0</v>
      </c>
      <c r="H197" s="387">
        <v>0</v>
      </c>
      <c r="I197" s="387">
        <v>0</v>
      </c>
      <c r="J197" s="387">
        <v>0</v>
      </c>
      <c r="K197" s="387">
        <v>0</v>
      </c>
      <c r="L197" s="387">
        <v>0</v>
      </c>
      <c r="M197" s="387">
        <v>0</v>
      </c>
      <c r="N197" s="387">
        <v>0</v>
      </c>
      <c r="O197" s="387">
        <v>0</v>
      </c>
      <c r="P197" s="387">
        <v>0</v>
      </c>
      <c r="Q197" s="387">
        <v>0</v>
      </c>
      <c r="R197" s="387">
        <v>0</v>
      </c>
      <c r="S197" s="387">
        <v>0</v>
      </c>
      <c r="T197" s="387">
        <v>0</v>
      </c>
      <c r="U197" s="387">
        <v>0</v>
      </c>
      <c r="V197" s="387">
        <v>0.36499999999999999</v>
      </c>
      <c r="W197" s="387">
        <v>0.20300000000000001</v>
      </c>
      <c r="X197" s="387">
        <v>1.1279999999999999</v>
      </c>
      <c r="Y197" s="387">
        <v>2.1309999999999998</v>
      </c>
      <c r="Z197" s="387">
        <v>2.9910000000000001</v>
      </c>
      <c r="AA197" s="387">
        <v>3.7959999999999998</v>
      </c>
      <c r="AB197" s="387">
        <v>7.4820000000000002</v>
      </c>
      <c r="AC197" s="387">
        <v>14.125999999999999</v>
      </c>
      <c r="AD197" s="387">
        <v>17.28</v>
      </c>
      <c r="AE197" s="387">
        <v>21.1</v>
      </c>
      <c r="AF197" s="387">
        <v>26.428999999999998</v>
      </c>
      <c r="AG197" s="387">
        <v>20.597000000000001</v>
      </c>
      <c r="AH197" s="387">
        <v>27.901</v>
      </c>
      <c r="AI197" s="387">
        <v>31.652000000000001</v>
      </c>
      <c r="AJ197" s="387">
        <v>33.837000000000003</v>
      </c>
      <c r="AK197" s="387">
        <v>29.247</v>
      </c>
      <c r="AL197" s="387">
        <v>39.728999999999999</v>
      </c>
      <c r="AM197" s="387">
        <v>33.482999999999997</v>
      </c>
      <c r="AN197" s="387">
        <v>29.577000000000002</v>
      </c>
      <c r="AO197" s="387">
        <v>33.021000000000001</v>
      </c>
      <c r="AP197" s="387">
        <v>28.291</v>
      </c>
      <c r="AQ197" s="387">
        <v>28.204000000000001</v>
      </c>
      <c r="AR197" s="387">
        <v>28.373999999999999</v>
      </c>
      <c r="AS197" s="387">
        <v>30.361999999999998</v>
      </c>
      <c r="AT197" s="387">
        <v>32.423999999999999</v>
      </c>
      <c r="AU197" s="387">
        <v>34.433</v>
      </c>
      <c r="AV197" s="387">
        <v>30.867999999999999</v>
      </c>
      <c r="AW197" s="387">
        <v>35.463000000000001</v>
      </c>
      <c r="AX197" s="387">
        <v>42.616</v>
      </c>
      <c r="AY197" s="387">
        <v>33.67</v>
      </c>
      <c r="AZ197" s="387">
        <v>33.645000000000003</v>
      </c>
      <c r="BA197" s="387">
        <v>28.530999999999999</v>
      </c>
      <c r="BB197" s="387">
        <v>33.942999999999998</v>
      </c>
      <c r="BC197" s="387">
        <v>26.727</v>
      </c>
      <c r="BD197" s="387">
        <v>18.701000000000001</v>
      </c>
      <c r="BE197" s="387">
        <v>5.7519999999999998</v>
      </c>
      <c r="BF197" s="387">
        <v>1.3480000000000001</v>
      </c>
      <c r="BG197" s="387">
        <v>0</v>
      </c>
      <c r="BH197" s="387">
        <v>0</v>
      </c>
      <c r="BI197" s="387">
        <v>0</v>
      </c>
      <c r="BJ197" s="387">
        <v>0</v>
      </c>
      <c r="BK197" s="387">
        <v>0</v>
      </c>
      <c r="BL197" s="387">
        <v>0</v>
      </c>
      <c r="BM197" s="387">
        <v>0</v>
      </c>
      <c r="BN197" s="387">
        <v>0</v>
      </c>
      <c r="BO197" s="387">
        <v>0</v>
      </c>
    </row>
    <row r="198" spans="1:67" x14ac:dyDescent="0.2">
      <c r="A198" s="386" t="s">
        <v>897</v>
      </c>
      <c r="B198" s="387">
        <v>0</v>
      </c>
      <c r="C198" s="387">
        <v>0</v>
      </c>
      <c r="D198" s="387">
        <v>0</v>
      </c>
      <c r="E198" s="387">
        <v>0</v>
      </c>
      <c r="F198" s="387">
        <v>0</v>
      </c>
      <c r="G198" s="387">
        <v>0</v>
      </c>
      <c r="H198" s="387">
        <v>0</v>
      </c>
      <c r="I198" s="387">
        <v>0</v>
      </c>
      <c r="J198" s="387">
        <v>0</v>
      </c>
      <c r="K198" s="387">
        <v>0</v>
      </c>
      <c r="L198" s="387">
        <v>0</v>
      </c>
      <c r="M198" s="387">
        <v>0</v>
      </c>
      <c r="N198" s="387">
        <v>0</v>
      </c>
      <c r="O198" s="387">
        <v>0</v>
      </c>
      <c r="P198" s="387">
        <v>0</v>
      </c>
      <c r="Q198" s="387">
        <v>0</v>
      </c>
      <c r="R198" s="387">
        <v>0</v>
      </c>
      <c r="S198" s="387">
        <v>0</v>
      </c>
      <c r="T198" s="387">
        <v>0</v>
      </c>
      <c r="U198" s="387">
        <v>0</v>
      </c>
      <c r="V198" s="387">
        <v>0</v>
      </c>
      <c r="W198" s="387">
        <v>0</v>
      </c>
      <c r="X198" s="387">
        <v>0</v>
      </c>
      <c r="Y198" s="387">
        <v>0</v>
      </c>
      <c r="Z198" s="387">
        <v>0</v>
      </c>
      <c r="AA198" s="387">
        <v>0</v>
      </c>
      <c r="AB198" s="387">
        <v>0</v>
      </c>
      <c r="AC198" s="387">
        <v>1.399</v>
      </c>
      <c r="AD198" s="387">
        <v>3.758</v>
      </c>
      <c r="AE198" s="387">
        <v>3.1720000000000002</v>
      </c>
      <c r="AF198" s="387">
        <v>6.806</v>
      </c>
      <c r="AG198" s="387">
        <v>4.4859999999999998</v>
      </c>
      <c r="AH198" s="387">
        <v>7.758</v>
      </c>
      <c r="AI198" s="387">
        <v>9.7080000000000002</v>
      </c>
      <c r="AJ198" s="387">
        <v>8.9749999999999996</v>
      </c>
      <c r="AK198" s="387">
        <v>8.843</v>
      </c>
      <c r="AL198" s="387">
        <v>15.292999999999999</v>
      </c>
      <c r="AM198" s="387">
        <v>12.688000000000001</v>
      </c>
      <c r="AN198" s="387">
        <v>14.14</v>
      </c>
      <c r="AO198" s="387">
        <v>16.036000000000001</v>
      </c>
      <c r="AP198" s="387">
        <v>16.102</v>
      </c>
      <c r="AQ198" s="387">
        <v>18.649000000000001</v>
      </c>
      <c r="AR198" s="387">
        <v>14.993</v>
      </c>
      <c r="AS198" s="387">
        <v>17.716999999999999</v>
      </c>
      <c r="AT198" s="387">
        <v>17.032</v>
      </c>
      <c r="AU198" s="387">
        <v>20.741</v>
      </c>
      <c r="AV198" s="387">
        <v>24.550999999999998</v>
      </c>
      <c r="AW198" s="387">
        <v>31.951000000000001</v>
      </c>
      <c r="AX198" s="387">
        <v>35.572000000000003</v>
      </c>
      <c r="AY198" s="387">
        <v>29.283999999999999</v>
      </c>
      <c r="AZ198" s="387">
        <v>27.596</v>
      </c>
      <c r="BA198" s="387">
        <v>25.123000000000001</v>
      </c>
      <c r="BB198" s="387">
        <v>35.125</v>
      </c>
      <c r="BC198" s="387">
        <v>34.28</v>
      </c>
      <c r="BD198" s="387">
        <v>31.027000000000001</v>
      </c>
      <c r="BE198" s="387">
        <v>7.9219999999999997</v>
      </c>
      <c r="BF198" s="387">
        <v>2.1280000000000001</v>
      </c>
      <c r="BG198" s="387">
        <v>0</v>
      </c>
      <c r="BH198" s="387">
        <v>0</v>
      </c>
      <c r="BI198" s="387">
        <v>0</v>
      </c>
      <c r="BJ198" s="387">
        <v>0</v>
      </c>
      <c r="BK198" s="387">
        <v>0</v>
      </c>
      <c r="BL198" s="387">
        <v>0</v>
      </c>
      <c r="BM198" s="387">
        <v>0</v>
      </c>
      <c r="BN198" s="387">
        <v>0</v>
      </c>
      <c r="BO198" s="387">
        <v>0</v>
      </c>
    </row>
    <row r="199" spans="1:67" x14ac:dyDescent="0.2">
      <c r="A199" s="388" t="s">
        <v>898</v>
      </c>
      <c r="B199" s="389">
        <v>0</v>
      </c>
      <c r="C199" s="389">
        <v>0</v>
      </c>
      <c r="D199" s="389">
        <v>0</v>
      </c>
      <c r="E199" s="389">
        <v>0</v>
      </c>
      <c r="F199" s="389">
        <v>0</v>
      </c>
      <c r="G199" s="389">
        <v>0</v>
      </c>
      <c r="H199" s="389">
        <v>0</v>
      </c>
      <c r="I199" s="389">
        <v>0</v>
      </c>
      <c r="J199" s="389">
        <v>0</v>
      </c>
      <c r="K199" s="389">
        <v>0</v>
      </c>
      <c r="L199" s="389">
        <v>0</v>
      </c>
      <c r="M199" s="389">
        <v>0</v>
      </c>
      <c r="N199" s="389">
        <v>0</v>
      </c>
      <c r="O199" s="389">
        <v>0</v>
      </c>
      <c r="P199" s="389">
        <v>0</v>
      </c>
      <c r="Q199" s="389">
        <v>0</v>
      </c>
      <c r="R199" s="389">
        <v>0</v>
      </c>
      <c r="S199" s="389">
        <v>0</v>
      </c>
      <c r="T199" s="389">
        <v>0</v>
      </c>
      <c r="U199" s="389">
        <v>0</v>
      </c>
      <c r="V199" s="389">
        <v>0</v>
      </c>
      <c r="W199" s="389">
        <v>0</v>
      </c>
      <c r="X199" s="389">
        <v>0</v>
      </c>
      <c r="Y199" s="389">
        <v>0</v>
      </c>
      <c r="Z199" s="389">
        <v>0</v>
      </c>
      <c r="AA199" s="389">
        <v>0</v>
      </c>
      <c r="AB199" s="389">
        <v>0</v>
      </c>
      <c r="AC199" s="389">
        <v>0</v>
      </c>
      <c r="AD199" s="389">
        <v>0</v>
      </c>
      <c r="AE199" s="389">
        <v>0</v>
      </c>
      <c r="AF199" s="389">
        <v>0</v>
      </c>
      <c r="AG199" s="389">
        <v>0</v>
      </c>
      <c r="AH199" s="389">
        <v>0.151</v>
      </c>
      <c r="AI199" s="389">
        <v>0</v>
      </c>
      <c r="AJ199" s="389">
        <v>0</v>
      </c>
      <c r="AK199" s="389">
        <v>0.36799999999999999</v>
      </c>
      <c r="AL199" s="389">
        <v>0.18</v>
      </c>
      <c r="AM199" s="389">
        <v>0.63900000000000001</v>
      </c>
      <c r="AN199" s="389">
        <v>0.313</v>
      </c>
      <c r="AO199" s="389">
        <v>0.315</v>
      </c>
      <c r="AP199" s="389">
        <v>0.314</v>
      </c>
      <c r="AQ199" s="389">
        <v>0.313</v>
      </c>
      <c r="AR199" s="389">
        <v>0.35099999999999998</v>
      </c>
      <c r="AS199" s="389">
        <v>0.96199999999999997</v>
      </c>
      <c r="AT199" s="389">
        <v>0.77800000000000002</v>
      </c>
      <c r="AU199" s="389">
        <v>0.93600000000000005</v>
      </c>
      <c r="AV199" s="389">
        <v>3.3919999999999999</v>
      </c>
      <c r="AW199" s="389">
        <v>2.5139999999999998</v>
      </c>
      <c r="AX199" s="389">
        <v>3.9969999999999999</v>
      </c>
      <c r="AY199" s="389">
        <v>2.6859999999999999</v>
      </c>
      <c r="AZ199" s="389">
        <v>2.7869999999999999</v>
      </c>
      <c r="BA199" s="389">
        <v>3.7829999999999999</v>
      </c>
      <c r="BB199" s="389">
        <v>3.2719999999999998</v>
      </c>
      <c r="BC199" s="389">
        <v>2.964</v>
      </c>
      <c r="BD199" s="389">
        <v>0.91900000000000004</v>
      </c>
      <c r="BE199" s="389">
        <v>0.314</v>
      </c>
      <c r="BF199" s="389">
        <v>0</v>
      </c>
      <c r="BG199" s="389">
        <v>0</v>
      </c>
      <c r="BH199" s="389">
        <v>0</v>
      </c>
      <c r="BI199" s="389">
        <v>0</v>
      </c>
      <c r="BJ199" s="389">
        <v>0</v>
      </c>
      <c r="BK199" s="389">
        <v>0</v>
      </c>
      <c r="BL199" s="389">
        <v>0</v>
      </c>
      <c r="BM199" s="389">
        <v>0</v>
      </c>
      <c r="BN199" s="389">
        <v>0</v>
      </c>
      <c r="BO199" s="389">
        <v>0</v>
      </c>
    </row>
    <row r="201" spans="1:67" x14ac:dyDescent="0.2">
      <c r="A201" s="380" t="s">
        <v>3173</v>
      </c>
      <c r="B201" s="381" t="s">
        <v>920</v>
      </c>
    </row>
    <row r="202" spans="1:67" x14ac:dyDescent="0.2">
      <c r="A202" s="382" t="s">
        <v>2129</v>
      </c>
      <c r="B202" s="383"/>
    </row>
    <row r="203" spans="1:67" x14ac:dyDescent="0.2">
      <c r="A203" s="384" t="s">
        <v>3175</v>
      </c>
      <c r="B203" s="384">
        <v>-25</v>
      </c>
      <c r="C203" s="384">
        <v>-24</v>
      </c>
      <c r="D203" s="384">
        <v>-23</v>
      </c>
      <c r="E203" s="384">
        <v>-22</v>
      </c>
      <c r="F203" s="384">
        <v>-21</v>
      </c>
      <c r="G203" s="384">
        <v>-20</v>
      </c>
      <c r="H203" s="384">
        <v>-19</v>
      </c>
      <c r="I203" s="384">
        <v>-18</v>
      </c>
      <c r="J203" s="384">
        <v>-17</v>
      </c>
      <c r="K203" s="384">
        <v>-16</v>
      </c>
      <c r="L203" s="384">
        <v>-15</v>
      </c>
      <c r="M203" s="384">
        <v>-14</v>
      </c>
      <c r="N203" s="384">
        <v>-13</v>
      </c>
      <c r="O203" s="384">
        <v>-12</v>
      </c>
      <c r="P203" s="384">
        <v>-11</v>
      </c>
      <c r="Q203" s="384">
        <v>-10</v>
      </c>
      <c r="R203" s="384">
        <v>-9</v>
      </c>
      <c r="S203" s="384">
        <v>-8</v>
      </c>
      <c r="T203" s="384">
        <v>-7</v>
      </c>
      <c r="U203" s="384">
        <v>-6</v>
      </c>
      <c r="V203" s="384">
        <v>-5</v>
      </c>
      <c r="W203" s="384">
        <v>-4</v>
      </c>
      <c r="X203" s="384">
        <v>-3</v>
      </c>
      <c r="Y203" s="384">
        <v>-2</v>
      </c>
      <c r="Z203" s="384">
        <v>-1</v>
      </c>
      <c r="AA203" s="384">
        <v>0</v>
      </c>
      <c r="AB203" s="384">
        <v>1</v>
      </c>
      <c r="AC203" s="384">
        <v>2</v>
      </c>
      <c r="AD203" s="384">
        <v>3</v>
      </c>
      <c r="AE203" s="384">
        <v>4</v>
      </c>
      <c r="AF203" s="384">
        <v>5</v>
      </c>
      <c r="AG203" s="384">
        <v>6</v>
      </c>
      <c r="AH203" s="384">
        <v>7</v>
      </c>
      <c r="AI203" s="384">
        <v>8</v>
      </c>
      <c r="AJ203" s="384">
        <v>9</v>
      </c>
      <c r="AK203" s="384">
        <v>10</v>
      </c>
      <c r="AL203" s="384">
        <v>11</v>
      </c>
      <c r="AM203" s="384">
        <v>12</v>
      </c>
      <c r="AN203" s="384">
        <v>13</v>
      </c>
      <c r="AO203" s="384">
        <v>14</v>
      </c>
      <c r="AP203" s="384">
        <v>15</v>
      </c>
      <c r="AQ203" s="384">
        <v>16</v>
      </c>
      <c r="AR203" s="384">
        <v>17</v>
      </c>
      <c r="AS203" s="384">
        <v>18</v>
      </c>
      <c r="AT203" s="384">
        <v>19</v>
      </c>
      <c r="AU203" s="384">
        <v>20</v>
      </c>
      <c r="AV203" s="384">
        <v>21</v>
      </c>
      <c r="AW203" s="384">
        <v>22</v>
      </c>
      <c r="AX203" s="384">
        <v>23</v>
      </c>
      <c r="AY203" s="384">
        <v>24</v>
      </c>
      <c r="AZ203" s="384">
        <v>25</v>
      </c>
      <c r="BA203" s="384">
        <v>26</v>
      </c>
      <c r="BB203" s="384">
        <v>27</v>
      </c>
      <c r="BC203" s="384">
        <v>28</v>
      </c>
      <c r="BD203" s="384">
        <v>29</v>
      </c>
      <c r="BE203" s="384">
        <v>30</v>
      </c>
      <c r="BF203" s="384">
        <v>31</v>
      </c>
      <c r="BG203" s="384">
        <v>32</v>
      </c>
      <c r="BH203" s="384">
        <v>33</v>
      </c>
      <c r="BI203" s="384">
        <v>34</v>
      </c>
      <c r="BJ203" s="384">
        <v>35</v>
      </c>
      <c r="BK203" s="384">
        <v>36</v>
      </c>
      <c r="BL203" s="384">
        <v>37</v>
      </c>
      <c r="BM203" s="384">
        <v>38</v>
      </c>
      <c r="BN203" s="384">
        <v>39</v>
      </c>
      <c r="BO203" s="384">
        <v>40</v>
      </c>
    </row>
    <row r="204" spans="1:67" x14ac:dyDescent="0.2">
      <c r="A204" s="385" t="s">
        <v>3176</v>
      </c>
      <c r="B204" s="385">
        <v>0</v>
      </c>
      <c r="C204" s="385">
        <v>0</v>
      </c>
      <c r="D204" s="385">
        <v>0</v>
      </c>
      <c r="E204" s="385">
        <v>0</v>
      </c>
      <c r="F204" s="385">
        <v>0</v>
      </c>
      <c r="G204" s="385">
        <v>0</v>
      </c>
      <c r="H204" s="385">
        <v>0</v>
      </c>
      <c r="I204" s="385">
        <v>0</v>
      </c>
      <c r="J204" s="385">
        <v>5</v>
      </c>
      <c r="K204" s="385">
        <v>3</v>
      </c>
      <c r="L204" s="385">
        <v>4</v>
      </c>
      <c r="M204" s="385">
        <v>6</v>
      </c>
      <c r="N204" s="385">
        <v>13</v>
      </c>
      <c r="O204" s="385">
        <v>20</v>
      </c>
      <c r="P204" s="385">
        <v>25</v>
      </c>
      <c r="Q204" s="385">
        <v>50</v>
      </c>
      <c r="R204" s="385">
        <v>44</v>
      </c>
      <c r="S204" s="385">
        <v>86</v>
      </c>
      <c r="T204" s="385">
        <v>67</v>
      </c>
      <c r="U204" s="385">
        <v>90</v>
      </c>
      <c r="V204" s="385">
        <v>173</v>
      </c>
      <c r="W204" s="385">
        <v>206</v>
      </c>
      <c r="X204" s="385">
        <v>217</v>
      </c>
      <c r="Y204" s="385">
        <v>283</v>
      </c>
      <c r="Z204" s="385">
        <v>411</v>
      </c>
      <c r="AA204" s="385">
        <v>364</v>
      </c>
      <c r="AB204" s="385">
        <v>437</v>
      </c>
      <c r="AC204" s="385">
        <v>476</v>
      </c>
      <c r="AD204" s="385">
        <v>390</v>
      </c>
      <c r="AE204" s="385">
        <v>400</v>
      </c>
      <c r="AF204" s="385">
        <v>464</v>
      </c>
      <c r="AG204" s="385">
        <v>371</v>
      </c>
      <c r="AH204" s="385">
        <v>436</v>
      </c>
      <c r="AI204" s="385">
        <v>407</v>
      </c>
      <c r="AJ204" s="385">
        <v>414</v>
      </c>
      <c r="AK204" s="385">
        <v>427</v>
      </c>
      <c r="AL204" s="385">
        <v>385</v>
      </c>
      <c r="AM204" s="385">
        <v>325</v>
      </c>
      <c r="AN204" s="385">
        <v>308</v>
      </c>
      <c r="AO204" s="385">
        <v>274</v>
      </c>
      <c r="AP204" s="385">
        <v>223</v>
      </c>
      <c r="AQ204" s="385">
        <v>198</v>
      </c>
      <c r="AR204" s="385">
        <v>141</v>
      </c>
      <c r="AS204" s="385">
        <v>144</v>
      </c>
      <c r="AT204" s="385">
        <v>117</v>
      </c>
      <c r="AU204" s="385">
        <v>98</v>
      </c>
      <c r="AV204" s="385">
        <v>71</v>
      </c>
      <c r="AW204" s="385">
        <v>75</v>
      </c>
      <c r="AX204" s="385">
        <v>55</v>
      </c>
      <c r="AY204" s="385">
        <v>27</v>
      </c>
      <c r="AZ204" s="385">
        <v>14</v>
      </c>
      <c r="BA204" s="385">
        <v>9</v>
      </c>
      <c r="BB204" s="385">
        <v>6</v>
      </c>
      <c r="BC204" s="385">
        <v>1</v>
      </c>
      <c r="BD204" s="385">
        <v>0</v>
      </c>
      <c r="BE204" s="385">
        <v>0</v>
      </c>
      <c r="BF204" s="385">
        <v>0</v>
      </c>
      <c r="BG204" s="385">
        <v>0</v>
      </c>
      <c r="BH204" s="385">
        <v>0</v>
      </c>
      <c r="BI204" s="385">
        <v>0</v>
      </c>
      <c r="BJ204" s="385">
        <v>0</v>
      </c>
      <c r="BK204" s="385">
        <v>0</v>
      </c>
      <c r="BL204" s="385">
        <v>0</v>
      </c>
      <c r="BM204" s="385">
        <v>0</v>
      </c>
      <c r="BN204" s="385">
        <v>0</v>
      </c>
      <c r="BO204" s="385">
        <v>0</v>
      </c>
    </row>
    <row r="205" spans="1:67" x14ac:dyDescent="0.2">
      <c r="A205" s="386" t="s">
        <v>893</v>
      </c>
      <c r="B205" s="386">
        <v>0</v>
      </c>
      <c r="C205" s="386">
        <v>0</v>
      </c>
      <c r="D205" s="386">
        <v>0</v>
      </c>
      <c r="E205" s="386">
        <v>0</v>
      </c>
      <c r="F205" s="386">
        <v>0</v>
      </c>
      <c r="G205" s="386">
        <v>0</v>
      </c>
      <c r="H205" s="386">
        <v>0</v>
      </c>
      <c r="I205" s="386">
        <v>0</v>
      </c>
      <c r="J205" s="386">
        <v>0</v>
      </c>
      <c r="K205" s="386">
        <v>0</v>
      </c>
      <c r="L205" s="386">
        <v>0</v>
      </c>
      <c r="M205" s="386">
        <v>0</v>
      </c>
      <c r="N205" s="386">
        <v>24</v>
      </c>
      <c r="O205" s="386">
        <v>24</v>
      </c>
      <c r="P205" s="386">
        <v>0</v>
      </c>
      <c r="Q205" s="386">
        <v>48</v>
      </c>
      <c r="R205" s="386">
        <v>48</v>
      </c>
      <c r="S205" s="386">
        <v>72</v>
      </c>
      <c r="T205" s="386">
        <v>48</v>
      </c>
      <c r="U205" s="386">
        <v>144</v>
      </c>
      <c r="V205" s="386">
        <v>120</v>
      </c>
      <c r="W205" s="386">
        <v>120</v>
      </c>
      <c r="X205" s="386">
        <v>264</v>
      </c>
      <c r="Y205" s="386">
        <v>240</v>
      </c>
      <c r="Z205" s="386">
        <v>216</v>
      </c>
      <c r="AA205" s="386">
        <v>576</v>
      </c>
      <c r="AB205" s="386">
        <v>528</v>
      </c>
      <c r="AC205" s="386">
        <v>408</v>
      </c>
      <c r="AD205" s="386">
        <v>480</v>
      </c>
      <c r="AE205" s="386">
        <v>408</v>
      </c>
      <c r="AF205" s="386">
        <v>408</v>
      </c>
      <c r="AG205" s="386">
        <v>360</v>
      </c>
      <c r="AH205" s="386">
        <v>504</v>
      </c>
      <c r="AI205" s="386">
        <v>408</v>
      </c>
      <c r="AJ205" s="386">
        <v>384</v>
      </c>
      <c r="AK205" s="386">
        <v>504</v>
      </c>
      <c r="AL205" s="386">
        <v>408</v>
      </c>
      <c r="AM205" s="386">
        <v>264</v>
      </c>
      <c r="AN205" s="386">
        <v>264</v>
      </c>
      <c r="AO205" s="386">
        <v>336</v>
      </c>
      <c r="AP205" s="386">
        <v>216</v>
      </c>
      <c r="AQ205" s="386">
        <v>216</v>
      </c>
      <c r="AR205" s="386">
        <v>312</v>
      </c>
      <c r="AS205" s="386">
        <v>240</v>
      </c>
      <c r="AT205" s="386">
        <v>72</v>
      </c>
      <c r="AU205" s="386">
        <v>48</v>
      </c>
      <c r="AV205" s="386">
        <v>48</v>
      </c>
      <c r="AW205" s="386">
        <v>0</v>
      </c>
      <c r="AX205" s="386">
        <v>0</v>
      </c>
      <c r="AY205" s="386">
        <v>0</v>
      </c>
      <c r="AZ205" s="386">
        <v>0</v>
      </c>
      <c r="BA205" s="386">
        <v>0</v>
      </c>
      <c r="BB205" s="386">
        <v>0</v>
      </c>
      <c r="BC205" s="386">
        <v>0</v>
      </c>
      <c r="BD205" s="386">
        <v>0</v>
      </c>
      <c r="BE205" s="386">
        <v>0</v>
      </c>
      <c r="BF205" s="386">
        <v>0</v>
      </c>
      <c r="BG205" s="386">
        <v>0</v>
      </c>
      <c r="BH205" s="386">
        <v>0</v>
      </c>
      <c r="BI205" s="386">
        <v>0</v>
      </c>
      <c r="BJ205" s="386">
        <v>0</v>
      </c>
      <c r="BK205" s="386">
        <v>0</v>
      </c>
      <c r="BL205" s="386">
        <v>0</v>
      </c>
      <c r="BM205" s="386">
        <v>0</v>
      </c>
      <c r="BN205" s="386">
        <v>0</v>
      </c>
      <c r="BO205" s="386">
        <v>0</v>
      </c>
    </row>
    <row r="206" spans="1:67" x14ac:dyDescent="0.2">
      <c r="A206" s="386" t="s">
        <v>894</v>
      </c>
      <c r="B206" s="387">
        <v>0</v>
      </c>
      <c r="C206" s="387">
        <v>0</v>
      </c>
      <c r="D206" s="387">
        <v>0</v>
      </c>
      <c r="E206" s="387">
        <v>0</v>
      </c>
      <c r="F206" s="387">
        <v>0</v>
      </c>
      <c r="G206" s="387">
        <v>0</v>
      </c>
      <c r="H206" s="387">
        <v>0</v>
      </c>
      <c r="I206" s="387">
        <v>0</v>
      </c>
      <c r="J206" s="387">
        <v>0</v>
      </c>
      <c r="K206" s="387">
        <v>0</v>
      </c>
      <c r="L206" s="387">
        <v>0.16</v>
      </c>
      <c r="M206" s="387">
        <v>0.30599999999999999</v>
      </c>
      <c r="N206" s="387">
        <v>0</v>
      </c>
      <c r="O206" s="387">
        <v>0.57999999999999996</v>
      </c>
      <c r="P206" s="387">
        <v>1.1459999999999999</v>
      </c>
      <c r="Q206" s="387">
        <v>3.2959999999999998</v>
      </c>
      <c r="R206" s="387">
        <v>3.4940000000000002</v>
      </c>
      <c r="S206" s="387">
        <v>2.544</v>
      </c>
      <c r="T206" s="387">
        <v>4.4870000000000001</v>
      </c>
      <c r="U206" s="387">
        <v>4.4050000000000002</v>
      </c>
      <c r="V206" s="387">
        <v>6.7569999999999997</v>
      </c>
      <c r="W206" s="387">
        <v>13.209</v>
      </c>
      <c r="X206" s="387">
        <v>10.111000000000001</v>
      </c>
      <c r="Y206" s="387">
        <v>8.9949999999999992</v>
      </c>
      <c r="Z206" s="387">
        <v>14.776</v>
      </c>
      <c r="AA206" s="387">
        <v>16.108000000000001</v>
      </c>
      <c r="AB206" s="387">
        <v>26.050999999999998</v>
      </c>
      <c r="AC206" s="387">
        <v>31.359000000000002</v>
      </c>
      <c r="AD206" s="387">
        <v>27.914000000000001</v>
      </c>
      <c r="AE206" s="387">
        <v>29.323</v>
      </c>
      <c r="AF206" s="387">
        <v>44.9</v>
      </c>
      <c r="AG206" s="387">
        <v>44.887999999999998</v>
      </c>
      <c r="AH206" s="387">
        <v>54.042000000000002</v>
      </c>
      <c r="AI206" s="387">
        <v>50.247</v>
      </c>
      <c r="AJ206" s="387">
        <v>69.436999999999998</v>
      </c>
      <c r="AK206" s="387">
        <v>76.078999999999994</v>
      </c>
      <c r="AL206" s="387">
        <v>66.742999999999995</v>
      </c>
      <c r="AM206" s="387">
        <v>66.944000000000003</v>
      </c>
      <c r="AN206" s="387">
        <v>59.417999999999999</v>
      </c>
      <c r="AO206" s="387">
        <v>62.997</v>
      </c>
      <c r="AP206" s="387">
        <v>66.611999999999995</v>
      </c>
      <c r="AQ206" s="387">
        <v>56.648000000000003</v>
      </c>
      <c r="AR206" s="387">
        <v>43.866999999999997</v>
      </c>
      <c r="AS206" s="387">
        <v>51.826000000000001</v>
      </c>
      <c r="AT206" s="387">
        <v>55.305</v>
      </c>
      <c r="AU206" s="387">
        <v>47.412999999999997</v>
      </c>
      <c r="AV206" s="387">
        <v>36.74</v>
      </c>
      <c r="AW206" s="387">
        <v>41.87</v>
      </c>
      <c r="AX206" s="387">
        <v>35.101999999999997</v>
      </c>
      <c r="AY206" s="387">
        <v>16.628</v>
      </c>
      <c r="AZ206" s="387">
        <v>9.3550000000000004</v>
      </c>
      <c r="BA206" s="387">
        <v>6.7009999999999996</v>
      </c>
      <c r="BB206" s="387">
        <v>3.7559999999999998</v>
      </c>
      <c r="BC206" s="387">
        <v>0.71399999999999997</v>
      </c>
      <c r="BD206" s="387">
        <v>0</v>
      </c>
      <c r="BE206" s="387">
        <v>0</v>
      </c>
      <c r="BF206" s="387">
        <v>0</v>
      </c>
      <c r="BG206" s="387">
        <v>0</v>
      </c>
      <c r="BH206" s="387">
        <v>0</v>
      </c>
      <c r="BI206" s="387">
        <v>0</v>
      </c>
      <c r="BJ206" s="387">
        <v>0</v>
      </c>
      <c r="BK206" s="387">
        <v>0</v>
      </c>
      <c r="BL206" s="387">
        <v>0</v>
      </c>
      <c r="BM206" s="387">
        <v>0</v>
      </c>
      <c r="BN206" s="387">
        <v>0</v>
      </c>
      <c r="BO206" s="387">
        <v>0</v>
      </c>
    </row>
    <row r="207" spans="1:67" x14ac:dyDescent="0.2">
      <c r="A207" s="386" t="s">
        <v>895</v>
      </c>
      <c r="B207" s="387">
        <v>0</v>
      </c>
      <c r="C207" s="387">
        <v>0</v>
      </c>
      <c r="D207" s="387">
        <v>0</v>
      </c>
      <c r="E207" s="387">
        <v>0</v>
      </c>
      <c r="F207" s="387">
        <v>0</v>
      </c>
      <c r="G207" s="387">
        <v>0</v>
      </c>
      <c r="H207" s="387">
        <v>0</v>
      </c>
      <c r="I207" s="387">
        <v>0</v>
      </c>
      <c r="J207" s="387">
        <v>0</v>
      </c>
      <c r="K207" s="387">
        <v>0</v>
      </c>
      <c r="L207" s="387">
        <v>0.60099999999999998</v>
      </c>
      <c r="M207" s="387">
        <v>0.63100000000000001</v>
      </c>
      <c r="N207" s="387">
        <v>0</v>
      </c>
      <c r="O207" s="387">
        <v>1.0409999999999999</v>
      </c>
      <c r="P207" s="387">
        <v>2.6859999999999999</v>
      </c>
      <c r="Q207" s="387">
        <v>3.5720000000000001</v>
      </c>
      <c r="R207" s="387">
        <v>2.048</v>
      </c>
      <c r="S207" s="387">
        <v>2.988</v>
      </c>
      <c r="T207" s="387">
        <v>5.117</v>
      </c>
      <c r="U207" s="387">
        <v>5.742</v>
      </c>
      <c r="V207" s="387">
        <v>8.0060000000000002</v>
      </c>
      <c r="W207" s="387">
        <v>8.702</v>
      </c>
      <c r="X207" s="387">
        <v>9.157</v>
      </c>
      <c r="Y207" s="387">
        <v>8.8179999999999996</v>
      </c>
      <c r="Z207" s="387">
        <v>11.936999999999999</v>
      </c>
      <c r="AA207" s="387">
        <v>13.443</v>
      </c>
      <c r="AB207" s="387">
        <v>18.204000000000001</v>
      </c>
      <c r="AC207" s="387">
        <v>26.452999999999999</v>
      </c>
      <c r="AD207" s="387">
        <v>24.978999999999999</v>
      </c>
      <c r="AE207" s="387">
        <v>30.349</v>
      </c>
      <c r="AF207" s="387">
        <v>33.180999999999997</v>
      </c>
      <c r="AG207" s="387">
        <v>35.515000000000001</v>
      </c>
      <c r="AH207" s="387">
        <v>33.659999999999997</v>
      </c>
      <c r="AI207" s="387">
        <v>33.249000000000002</v>
      </c>
      <c r="AJ207" s="387">
        <v>38.046999999999997</v>
      </c>
      <c r="AK207" s="387">
        <v>37.453000000000003</v>
      </c>
      <c r="AL207" s="387">
        <v>33.301000000000002</v>
      </c>
      <c r="AM207" s="387">
        <v>34.31</v>
      </c>
      <c r="AN207" s="387">
        <v>35.24</v>
      </c>
      <c r="AO207" s="387">
        <v>27.638999999999999</v>
      </c>
      <c r="AP207" s="387">
        <v>28.318000000000001</v>
      </c>
      <c r="AQ207" s="387">
        <v>25.396000000000001</v>
      </c>
      <c r="AR207" s="387">
        <v>24.946999999999999</v>
      </c>
      <c r="AS207" s="387">
        <v>20.241</v>
      </c>
      <c r="AT207" s="387">
        <v>18.988</v>
      </c>
      <c r="AU207" s="387">
        <v>13.427</v>
      </c>
      <c r="AV207" s="387">
        <v>7.0549999999999997</v>
      </c>
      <c r="AW207" s="387">
        <v>6.4459999999999997</v>
      </c>
      <c r="AX207" s="387">
        <v>5.0659999999999998</v>
      </c>
      <c r="AY207" s="387">
        <v>1.177</v>
      </c>
      <c r="AZ207" s="387">
        <v>1.1419999999999999</v>
      </c>
      <c r="BA207" s="387">
        <v>0.251</v>
      </c>
      <c r="BB207" s="387">
        <v>0.17599999999999999</v>
      </c>
      <c r="BC207" s="387">
        <v>0.15</v>
      </c>
      <c r="BD207" s="387">
        <v>0</v>
      </c>
      <c r="BE207" s="387">
        <v>0</v>
      </c>
      <c r="BF207" s="387">
        <v>0</v>
      </c>
      <c r="BG207" s="387">
        <v>0</v>
      </c>
      <c r="BH207" s="387">
        <v>0</v>
      </c>
      <c r="BI207" s="387">
        <v>0</v>
      </c>
      <c r="BJ207" s="387">
        <v>0</v>
      </c>
      <c r="BK207" s="387">
        <v>0</v>
      </c>
      <c r="BL207" s="387">
        <v>0</v>
      </c>
      <c r="BM207" s="387">
        <v>0</v>
      </c>
      <c r="BN207" s="387">
        <v>0</v>
      </c>
      <c r="BO207" s="387">
        <v>0</v>
      </c>
    </row>
    <row r="208" spans="1:67" x14ac:dyDescent="0.2">
      <c r="A208" s="386" t="s">
        <v>896</v>
      </c>
      <c r="B208" s="387">
        <v>0</v>
      </c>
      <c r="C208" s="387">
        <v>0</v>
      </c>
      <c r="D208" s="387">
        <v>0</v>
      </c>
      <c r="E208" s="387">
        <v>0</v>
      </c>
      <c r="F208" s="387">
        <v>0</v>
      </c>
      <c r="G208" s="387">
        <v>0</v>
      </c>
      <c r="H208" s="387">
        <v>0</v>
      </c>
      <c r="I208" s="387">
        <v>0</v>
      </c>
      <c r="J208" s="387">
        <v>0</v>
      </c>
      <c r="K208" s="387">
        <v>0</v>
      </c>
      <c r="L208" s="387">
        <v>0.501</v>
      </c>
      <c r="M208" s="387">
        <v>0.76500000000000001</v>
      </c>
      <c r="N208" s="387">
        <v>0</v>
      </c>
      <c r="O208" s="387">
        <v>1.397</v>
      </c>
      <c r="P208" s="387">
        <v>3.4289999999999998</v>
      </c>
      <c r="Q208" s="387">
        <v>7.5170000000000003</v>
      </c>
      <c r="R208" s="387">
        <v>7.6669999999999998</v>
      </c>
      <c r="S208" s="387">
        <v>5.8179999999999996</v>
      </c>
      <c r="T208" s="387">
        <v>10.009</v>
      </c>
      <c r="U208" s="387">
        <v>9.343</v>
      </c>
      <c r="V208" s="387">
        <v>14.395</v>
      </c>
      <c r="W208" s="387">
        <v>25.558</v>
      </c>
      <c r="X208" s="387">
        <v>16.02</v>
      </c>
      <c r="Y208" s="387">
        <v>10.911</v>
      </c>
      <c r="Z208" s="387">
        <v>20.704000000000001</v>
      </c>
      <c r="AA208" s="387">
        <v>27.184000000000001</v>
      </c>
      <c r="AB208" s="387">
        <v>39.911999999999999</v>
      </c>
      <c r="AC208" s="387">
        <v>47.412999999999997</v>
      </c>
      <c r="AD208" s="387">
        <v>47.713999999999999</v>
      </c>
      <c r="AE208" s="387">
        <v>56.078000000000003</v>
      </c>
      <c r="AF208" s="387">
        <v>68.587000000000003</v>
      </c>
      <c r="AG208" s="387">
        <v>66.234999999999999</v>
      </c>
      <c r="AH208" s="387">
        <v>64.239000000000004</v>
      </c>
      <c r="AI208" s="387">
        <v>44.399000000000001</v>
      </c>
      <c r="AJ208" s="387">
        <v>61.274000000000001</v>
      </c>
      <c r="AK208" s="387">
        <v>60.246000000000002</v>
      </c>
      <c r="AL208" s="387">
        <v>45.018000000000001</v>
      </c>
      <c r="AM208" s="387">
        <v>50.502000000000002</v>
      </c>
      <c r="AN208" s="387">
        <v>34.89</v>
      </c>
      <c r="AO208" s="387">
        <v>39.637</v>
      </c>
      <c r="AP208" s="387">
        <v>42.423000000000002</v>
      </c>
      <c r="AQ208" s="387">
        <v>34.426000000000002</v>
      </c>
      <c r="AR208" s="387">
        <v>25.52</v>
      </c>
      <c r="AS208" s="387">
        <v>31.817</v>
      </c>
      <c r="AT208" s="387">
        <v>32.561</v>
      </c>
      <c r="AU208" s="387">
        <v>28.481000000000002</v>
      </c>
      <c r="AV208" s="387">
        <v>20.324999999999999</v>
      </c>
      <c r="AW208" s="387">
        <v>22.286000000000001</v>
      </c>
      <c r="AX208" s="387">
        <v>19.045000000000002</v>
      </c>
      <c r="AY208" s="387">
        <v>9.6199999999999992</v>
      </c>
      <c r="AZ208" s="387">
        <v>5.0810000000000004</v>
      </c>
      <c r="BA208" s="387">
        <v>4.1609999999999996</v>
      </c>
      <c r="BB208" s="387">
        <v>2.3330000000000002</v>
      </c>
      <c r="BC208" s="387">
        <v>0.40600000000000003</v>
      </c>
      <c r="BD208" s="387">
        <v>0</v>
      </c>
      <c r="BE208" s="387">
        <v>0</v>
      </c>
      <c r="BF208" s="387">
        <v>0</v>
      </c>
      <c r="BG208" s="387">
        <v>0</v>
      </c>
      <c r="BH208" s="387">
        <v>0</v>
      </c>
      <c r="BI208" s="387">
        <v>0</v>
      </c>
      <c r="BJ208" s="387">
        <v>0</v>
      </c>
      <c r="BK208" s="387">
        <v>0</v>
      </c>
      <c r="BL208" s="387">
        <v>0</v>
      </c>
      <c r="BM208" s="387">
        <v>0</v>
      </c>
      <c r="BN208" s="387">
        <v>0</v>
      </c>
      <c r="BO208" s="387">
        <v>0</v>
      </c>
    </row>
    <row r="209" spans="1:67" x14ac:dyDescent="0.2">
      <c r="A209" s="386" t="s">
        <v>897</v>
      </c>
      <c r="B209" s="387">
        <v>0</v>
      </c>
      <c r="C209" s="387">
        <v>0</v>
      </c>
      <c r="D209" s="387">
        <v>0</v>
      </c>
      <c r="E209" s="387">
        <v>0</v>
      </c>
      <c r="F209" s="387">
        <v>0</v>
      </c>
      <c r="G209" s="387">
        <v>0</v>
      </c>
      <c r="H209" s="387">
        <v>0</v>
      </c>
      <c r="I209" s="387">
        <v>0</v>
      </c>
      <c r="J209" s="387">
        <v>0</v>
      </c>
      <c r="K209" s="387">
        <v>0</v>
      </c>
      <c r="L209" s="387">
        <v>0</v>
      </c>
      <c r="M209" s="387">
        <v>0</v>
      </c>
      <c r="N209" s="387">
        <v>0</v>
      </c>
      <c r="O209" s="387">
        <v>0.17100000000000001</v>
      </c>
      <c r="P209" s="387">
        <v>0.7</v>
      </c>
      <c r="Q209" s="387">
        <v>2.399</v>
      </c>
      <c r="R209" s="387">
        <v>3.0950000000000002</v>
      </c>
      <c r="S209" s="387">
        <v>2.5299999999999998</v>
      </c>
      <c r="T209" s="387">
        <v>3.3879999999999999</v>
      </c>
      <c r="U209" s="387">
        <v>2.294</v>
      </c>
      <c r="V209" s="387">
        <v>4.4930000000000003</v>
      </c>
      <c r="W209" s="387">
        <v>12.038</v>
      </c>
      <c r="X209" s="387">
        <v>5.91</v>
      </c>
      <c r="Y209" s="387">
        <v>2.6789999999999998</v>
      </c>
      <c r="Z209" s="387">
        <v>6.0609999999999999</v>
      </c>
      <c r="AA209" s="387">
        <v>10.347</v>
      </c>
      <c r="AB209" s="387">
        <v>17.931000000000001</v>
      </c>
      <c r="AC209" s="387">
        <v>13.609</v>
      </c>
      <c r="AD209" s="387">
        <v>12.164999999999999</v>
      </c>
      <c r="AE209" s="387">
        <v>16.515999999999998</v>
      </c>
      <c r="AF209" s="387">
        <v>23.866</v>
      </c>
      <c r="AG209" s="387">
        <v>25.905999999999999</v>
      </c>
      <c r="AH209" s="387">
        <v>25.173999999999999</v>
      </c>
      <c r="AI209" s="387">
        <v>16.838999999999999</v>
      </c>
      <c r="AJ209" s="387">
        <v>30.285</v>
      </c>
      <c r="AK209" s="387">
        <v>32.487000000000002</v>
      </c>
      <c r="AL209" s="387">
        <v>29.201000000000001</v>
      </c>
      <c r="AM209" s="387">
        <v>29.199000000000002</v>
      </c>
      <c r="AN209" s="387">
        <v>16.597999999999999</v>
      </c>
      <c r="AO209" s="387">
        <v>28.693999999999999</v>
      </c>
      <c r="AP209" s="387">
        <v>34.005000000000003</v>
      </c>
      <c r="AQ209" s="387">
        <v>26.402999999999999</v>
      </c>
      <c r="AR209" s="387">
        <v>15.085000000000001</v>
      </c>
      <c r="AS209" s="387">
        <v>24.859000000000002</v>
      </c>
      <c r="AT209" s="387">
        <v>26.805</v>
      </c>
      <c r="AU209" s="387">
        <v>22.544</v>
      </c>
      <c r="AV209" s="387">
        <v>21.637</v>
      </c>
      <c r="AW209" s="387">
        <v>26.791</v>
      </c>
      <c r="AX209" s="387">
        <v>21.006</v>
      </c>
      <c r="AY209" s="387">
        <v>9.5690000000000008</v>
      </c>
      <c r="AZ209" s="387">
        <v>4.7919999999999998</v>
      </c>
      <c r="BA209" s="387">
        <v>4.1609999999999996</v>
      </c>
      <c r="BB209" s="387">
        <v>2.9319999999999999</v>
      </c>
      <c r="BC209" s="387">
        <v>0.4</v>
      </c>
      <c r="BD209" s="387">
        <v>0</v>
      </c>
      <c r="BE209" s="387">
        <v>0</v>
      </c>
      <c r="BF209" s="387">
        <v>0</v>
      </c>
      <c r="BG209" s="387">
        <v>0</v>
      </c>
      <c r="BH209" s="387">
        <v>0</v>
      </c>
      <c r="BI209" s="387">
        <v>0</v>
      </c>
      <c r="BJ209" s="387">
        <v>0</v>
      </c>
      <c r="BK209" s="387">
        <v>0</v>
      </c>
      <c r="BL209" s="387">
        <v>0</v>
      </c>
      <c r="BM209" s="387">
        <v>0</v>
      </c>
      <c r="BN209" s="387">
        <v>0</v>
      </c>
      <c r="BO209" s="387">
        <v>0</v>
      </c>
    </row>
    <row r="210" spans="1:67" x14ac:dyDescent="0.2">
      <c r="A210" s="388" t="s">
        <v>898</v>
      </c>
      <c r="B210" s="389">
        <v>0</v>
      </c>
      <c r="C210" s="389">
        <v>0</v>
      </c>
      <c r="D210" s="389">
        <v>0</v>
      </c>
      <c r="E210" s="389">
        <v>0</v>
      </c>
      <c r="F210" s="389">
        <v>0</v>
      </c>
      <c r="G210" s="389">
        <v>0</v>
      </c>
      <c r="H210" s="389">
        <v>0</v>
      </c>
      <c r="I210" s="389">
        <v>0</v>
      </c>
      <c r="J210" s="389">
        <v>0</v>
      </c>
      <c r="K210" s="389">
        <v>0</v>
      </c>
      <c r="L210" s="389">
        <v>0</v>
      </c>
      <c r="M210" s="389">
        <v>0</v>
      </c>
      <c r="N210" s="389">
        <v>0</v>
      </c>
      <c r="O210" s="389">
        <v>0.17899999999999999</v>
      </c>
      <c r="P210" s="389">
        <v>0.20100000000000001</v>
      </c>
      <c r="Q210" s="389">
        <v>0.56799999999999995</v>
      </c>
      <c r="R210" s="389">
        <v>0.72799999999999998</v>
      </c>
      <c r="S210" s="389">
        <v>0.41799999999999998</v>
      </c>
      <c r="T210" s="389">
        <v>1.1279999999999999</v>
      </c>
      <c r="U210" s="389">
        <v>0.751</v>
      </c>
      <c r="V210" s="389">
        <v>2.323</v>
      </c>
      <c r="W210" s="389">
        <v>3.7149999999999999</v>
      </c>
      <c r="X210" s="389">
        <v>2.2229999999999999</v>
      </c>
      <c r="Y210" s="389">
        <v>1.639</v>
      </c>
      <c r="Z210" s="389">
        <v>1.859</v>
      </c>
      <c r="AA210" s="389">
        <v>1.962</v>
      </c>
      <c r="AB210" s="389">
        <v>2.8959999999999999</v>
      </c>
      <c r="AC210" s="389">
        <v>2.5720000000000001</v>
      </c>
      <c r="AD210" s="389">
        <v>2.589</v>
      </c>
      <c r="AE210" s="389">
        <v>4.6920000000000002</v>
      </c>
      <c r="AF210" s="389">
        <v>5.1070000000000002</v>
      </c>
      <c r="AG210" s="389">
        <v>6.8029999999999999</v>
      </c>
      <c r="AH210" s="389">
        <v>4.3639999999999999</v>
      </c>
      <c r="AI210" s="389">
        <v>3.5110000000000001</v>
      </c>
      <c r="AJ210" s="389">
        <v>5.8869999999999996</v>
      </c>
      <c r="AK210" s="389">
        <v>5.7169999999999996</v>
      </c>
      <c r="AL210" s="389">
        <v>2.1619999999999999</v>
      </c>
      <c r="AM210" s="389">
        <v>3.202</v>
      </c>
      <c r="AN210" s="389">
        <v>3.1120000000000001</v>
      </c>
      <c r="AO210" s="389">
        <v>1.712</v>
      </c>
      <c r="AP210" s="389">
        <v>2.2629999999999999</v>
      </c>
      <c r="AQ210" s="389">
        <v>1.151</v>
      </c>
      <c r="AR210" s="389">
        <v>0.99399999999999999</v>
      </c>
      <c r="AS210" s="389">
        <v>0.81899999999999995</v>
      </c>
      <c r="AT210" s="389">
        <v>0.61099999999999999</v>
      </c>
      <c r="AU210" s="389">
        <v>1.147</v>
      </c>
      <c r="AV210" s="389">
        <v>0.497</v>
      </c>
      <c r="AW210" s="389">
        <v>0.63400000000000001</v>
      </c>
      <c r="AX210" s="389">
        <v>0.47399999999999998</v>
      </c>
      <c r="AY210" s="389">
        <v>0.30599999999999999</v>
      </c>
      <c r="AZ210" s="389">
        <v>0.157</v>
      </c>
      <c r="BA210" s="389">
        <v>0.152</v>
      </c>
      <c r="BB210" s="389">
        <v>0.159</v>
      </c>
      <c r="BC210" s="389">
        <v>0</v>
      </c>
      <c r="BD210" s="389">
        <v>0</v>
      </c>
      <c r="BE210" s="389">
        <v>0</v>
      </c>
      <c r="BF210" s="389">
        <v>0</v>
      </c>
      <c r="BG210" s="389">
        <v>0</v>
      </c>
      <c r="BH210" s="389">
        <v>0</v>
      </c>
      <c r="BI210" s="389">
        <v>0</v>
      </c>
      <c r="BJ210" s="389">
        <v>0</v>
      </c>
      <c r="BK210" s="389">
        <v>0</v>
      </c>
      <c r="BL210" s="389">
        <v>0</v>
      </c>
      <c r="BM210" s="389">
        <v>0</v>
      </c>
      <c r="BN210" s="389">
        <v>0</v>
      </c>
      <c r="BO210" s="389">
        <v>0</v>
      </c>
    </row>
    <row r="212" spans="1:67" x14ac:dyDescent="0.2">
      <c r="A212" s="380" t="s">
        <v>3173</v>
      </c>
      <c r="B212" s="381" t="s">
        <v>921</v>
      </c>
    </row>
    <row r="213" spans="1:67" x14ac:dyDescent="0.2">
      <c r="A213" s="382" t="s">
        <v>2130</v>
      </c>
      <c r="B213" s="383"/>
    </row>
    <row r="214" spans="1:67" x14ac:dyDescent="0.2">
      <c r="A214" s="384" t="s">
        <v>3175</v>
      </c>
      <c r="B214" s="384">
        <v>-25</v>
      </c>
      <c r="C214" s="384">
        <v>-24</v>
      </c>
      <c r="D214" s="384">
        <v>-23</v>
      </c>
      <c r="E214" s="384">
        <v>-22</v>
      </c>
      <c r="F214" s="384">
        <v>-21</v>
      </c>
      <c r="G214" s="384">
        <v>-20</v>
      </c>
      <c r="H214" s="384">
        <v>-19</v>
      </c>
      <c r="I214" s="384">
        <v>-18</v>
      </c>
      <c r="J214" s="384">
        <v>-17</v>
      </c>
      <c r="K214" s="384">
        <v>-16</v>
      </c>
      <c r="L214" s="384">
        <v>-15</v>
      </c>
      <c r="M214" s="384">
        <v>-14</v>
      </c>
      <c r="N214" s="384">
        <v>-13</v>
      </c>
      <c r="O214" s="384">
        <v>-12</v>
      </c>
      <c r="P214" s="384">
        <v>-11</v>
      </c>
      <c r="Q214" s="384">
        <v>-10</v>
      </c>
      <c r="R214" s="384">
        <v>-9</v>
      </c>
      <c r="S214" s="384">
        <v>-8</v>
      </c>
      <c r="T214" s="384">
        <v>-7</v>
      </c>
      <c r="U214" s="384">
        <v>-6</v>
      </c>
      <c r="V214" s="384">
        <v>-5</v>
      </c>
      <c r="W214" s="384">
        <v>-4</v>
      </c>
      <c r="X214" s="384">
        <v>-3</v>
      </c>
      <c r="Y214" s="384">
        <v>-2</v>
      </c>
      <c r="Z214" s="384">
        <v>-1</v>
      </c>
      <c r="AA214" s="384">
        <v>0</v>
      </c>
      <c r="AB214" s="384">
        <v>1</v>
      </c>
      <c r="AC214" s="384">
        <v>2</v>
      </c>
      <c r="AD214" s="384">
        <v>3</v>
      </c>
      <c r="AE214" s="384">
        <v>4</v>
      </c>
      <c r="AF214" s="384">
        <v>5</v>
      </c>
      <c r="AG214" s="384">
        <v>6</v>
      </c>
      <c r="AH214" s="384">
        <v>7</v>
      </c>
      <c r="AI214" s="384">
        <v>8</v>
      </c>
      <c r="AJ214" s="384">
        <v>9</v>
      </c>
      <c r="AK214" s="384">
        <v>10</v>
      </c>
      <c r="AL214" s="384">
        <v>11</v>
      </c>
      <c r="AM214" s="384">
        <v>12</v>
      </c>
      <c r="AN214" s="384">
        <v>13</v>
      </c>
      <c r="AO214" s="384">
        <v>14</v>
      </c>
      <c r="AP214" s="384">
        <v>15</v>
      </c>
      <c r="AQ214" s="384">
        <v>16</v>
      </c>
      <c r="AR214" s="384">
        <v>17</v>
      </c>
      <c r="AS214" s="384">
        <v>18</v>
      </c>
      <c r="AT214" s="384">
        <v>19</v>
      </c>
      <c r="AU214" s="384">
        <v>20</v>
      </c>
      <c r="AV214" s="384">
        <v>21</v>
      </c>
      <c r="AW214" s="384">
        <v>22</v>
      </c>
      <c r="AX214" s="384">
        <v>23</v>
      </c>
      <c r="AY214" s="384">
        <v>24</v>
      </c>
      <c r="AZ214" s="384">
        <v>25</v>
      </c>
      <c r="BA214" s="384">
        <v>26</v>
      </c>
      <c r="BB214" s="384">
        <v>27</v>
      </c>
      <c r="BC214" s="384">
        <v>28</v>
      </c>
      <c r="BD214" s="384">
        <v>29</v>
      </c>
      <c r="BE214" s="384">
        <v>30</v>
      </c>
      <c r="BF214" s="384">
        <v>31</v>
      </c>
      <c r="BG214" s="384">
        <v>32</v>
      </c>
      <c r="BH214" s="384">
        <v>33</v>
      </c>
      <c r="BI214" s="384">
        <v>34</v>
      </c>
      <c r="BJ214" s="384">
        <v>35</v>
      </c>
      <c r="BK214" s="384">
        <v>36</v>
      </c>
      <c r="BL214" s="384">
        <v>37</v>
      </c>
      <c r="BM214" s="384">
        <v>38</v>
      </c>
      <c r="BN214" s="384">
        <v>39</v>
      </c>
      <c r="BO214" s="384">
        <v>40</v>
      </c>
    </row>
    <row r="215" spans="1:67" x14ac:dyDescent="0.2">
      <c r="A215" s="385" t="s">
        <v>3176</v>
      </c>
      <c r="B215" s="385">
        <v>0</v>
      </c>
      <c r="C215" s="385">
        <v>0</v>
      </c>
      <c r="D215" s="385">
        <v>0</v>
      </c>
      <c r="E215" s="385">
        <v>0</v>
      </c>
      <c r="F215" s="385">
        <v>0</v>
      </c>
      <c r="G215" s="385">
        <v>0</v>
      </c>
      <c r="H215" s="385">
        <v>0</v>
      </c>
      <c r="I215" s="385">
        <v>0</v>
      </c>
      <c r="J215" s="385">
        <v>0</v>
      </c>
      <c r="K215" s="385">
        <v>0</v>
      </c>
      <c r="L215" s="385">
        <v>0</v>
      </c>
      <c r="M215" s="385">
        <v>0</v>
      </c>
      <c r="N215" s="385">
        <v>0</v>
      </c>
      <c r="O215" s="385">
        <v>0</v>
      </c>
      <c r="P215" s="385">
        <v>0</v>
      </c>
      <c r="Q215" s="385">
        <v>6</v>
      </c>
      <c r="R215" s="385">
        <v>5</v>
      </c>
      <c r="S215" s="385">
        <v>7</v>
      </c>
      <c r="T215" s="385">
        <v>29</v>
      </c>
      <c r="U215" s="385">
        <v>19</v>
      </c>
      <c r="V215" s="385">
        <v>19</v>
      </c>
      <c r="W215" s="385">
        <v>37</v>
      </c>
      <c r="X215" s="385">
        <v>32</v>
      </c>
      <c r="Y215" s="385">
        <v>92</v>
      </c>
      <c r="Z215" s="385">
        <v>117</v>
      </c>
      <c r="AA215" s="385">
        <v>249</v>
      </c>
      <c r="AB215" s="385">
        <v>349</v>
      </c>
      <c r="AC215" s="385">
        <v>421</v>
      </c>
      <c r="AD215" s="385">
        <v>394</v>
      </c>
      <c r="AE215" s="385">
        <v>482</v>
      </c>
      <c r="AF215" s="385">
        <v>394</v>
      </c>
      <c r="AG215" s="385">
        <v>390</v>
      </c>
      <c r="AH215" s="385">
        <v>370</v>
      </c>
      <c r="AI215" s="385">
        <v>332</v>
      </c>
      <c r="AJ215" s="385">
        <v>322</v>
      </c>
      <c r="AK215" s="385">
        <v>351</v>
      </c>
      <c r="AL215" s="385">
        <v>380</v>
      </c>
      <c r="AM215" s="385">
        <v>392</v>
      </c>
      <c r="AN215" s="385">
        <v>387</v>
      </c>
      <c r="AO215" s="385">
        <v>371</v>
      </c>
      <c r="AP215" s="385">
        <v>308</v>
      </c>
      <c r="AQ215" s="385">
        <v>325</v>
      </c>
      <c r="AR215" s="385">
        <v>327</v>
      </c>
      <c r="AS215" s="385">
        <v>334</v>
      </c>
      <c r="AT215" s="385">
        <v>292</v>
      </c>
      <c r="AU215" s="385">
        <v>260</v>
      </c>
      <c r="AV215" s="385">
        <v>205</v>
      </c>
      <c r="AW215" s="385">
        <v>199</v>
      </c>
      <c r="AX215" s="385">
        <v>144</v>
      </c>
      <c r="AY215" s="385">
        <v>130</v>
      </c>
      <c r="AZ215" s="385">
        <v>80</v>
      </c>
      <c r="BA215" s="385">
        <v>81</v>
      </c>
      <c r="BB215" s="385">
        <v>50</v>
      </c>
      <c r="BC215" s="385">
        <v>27</v>
      </c>
      <c r="BD215" s="385">
        <v>24</v>
      </c>
      <c r="BE215" s="385">
        <v>11</v>
      </c>
      <c r="BF215" s="385">
        <v>9</v>
      </c>
      <c r="BG215" s="385">
        <v>5</v>
      </c>
      <c r="BH215" s="385">
        <v>1</v>
      </c>
      <c r="BI215" s="385">
        <v>1</v>
      </c>
      <c r="BJ215" s="385">
        <v>0</v>
      </c>
      <c r="BK215" s="385">
        <v>0</v>
      </c>
      <c r="BL215" s="385">
        <v>0</v>
      </c>
      <c r="BM215" s="385">
        <v>0</v>
      </c>
      <c r="BN215" s="385">
        <v>0</v>
      </c>
      <c r="BO215" s="385">
        <v>0</v>
      </c>
    </row>
    <row r="216" spans="1:67" x14ac:dyDescent="0.2">
      <c r="A216" s="386" t="s">
        <v>893</v>
      </c>
      <c r="B216" s="386">
        <v>0</v>
      </c>
      <c r="C216" s="386">
        <v>0</v>
      </c>
      <c r="D216" s="386">
        <v>0</v>
      </c>
      <c r="E216" s="386">
        <v>0</v>
      </c>
      <c r="F216" s="386">
        <v>0</v>
      </c>
      <c r="G216" s="386">
        <v>0</v>
      </c>
      <c r="H216" s="386">
        <v>0</v>
      </c>
      <c r="I216" s="386">
        <v>0</v>
      </c>
      <c r="J216" s="386">
        <v>0</v>
      </c>
      <c r="K216" s="386">
        <v>0</v>
      </c>
      <c r="L216" s="386">
        <v>0</v>
      </c>
      <c r="M216" s="386">
        <v>0</v>
      </c>
      <c r="N216" s="386">
        <v>0</v>
      </c>
      <c r="O216" s="386">
        <v>0</v>
      </c>
      <c r="P216" s="386">
        <v>0</v>
      </c>
      <c r="Q216" s="386">
        <v>0</v>
      </c>
      <c r="R216" s="386">
        <v>0</v>
      </c>
      <c r="S216" s="386">
        <v>24</v>
      </c>
      <c r="T216" s="386">
        <v>24</v>
      </c>
      <c r="U216" s="386">
        <v>0</v>
      </c>
      <c r="V216" s="386">
        <v>24</v>
      </c>
      <c r="W216" s="386">
        <v>24</v>
      </c>
      <c r="X216" s="386">
        <v>48</v>
      </c>
      <c r="Y216" s="386">
        <v>48</v>
      </c>
      <c r="Z216" s="386">
        <v>96</v>
      </c>
      <c r="AA216" s="386">
        <v>216</v>
      </c>
      <c r="AB216" s="386">
        <v>384</v>
      </c>
      <c r="AC216" s="386">
        <v>360</v>
      </c>
      <c r="AD216" s="386">
        <v>552</v>
      </c>
      <c r="AE216" s="386">
        <v>480</v>
      </c>
      <c r="AF216" s="386">
        <v>312</v>
      </c>
      <c r="AG216" s="386">
        <v>384</v>
      </c>
      <c r="AH216" s="386">
        <v>384</v>
      </c>
      <c r="AI216" s="386">
        <v>360</v>
      </c>
      <c r="AJ216" s="386">
        <v>312</v>
      </c>
      <c r="AK216" s="386">
        <v>288</v>
      </c>
      <c r="AL216" s="386">
        <v>360</v>
      </c>
      <c r="AM216" s="386">
        <v>336</v>
      </c>
      <c r="AN216" s="386">
        <v>552</v>
      </c>
      <c r="AO216" s="386">
        <v>408</v>
      </c>
      <c r="AP216" s="386">
        <v>360</v>
      </c>
      <c r="AQ216" s="386">
        <v>216</v>
      </c>
      <c r="AR216" s="386">
        <v>408</v>
      </c>
      <c r="AS216" s="386">
        <v>192</v>
      </c>
      <c r="AT216" s="386">
        <v>456</v>
      </c>
      <c r="AU216" s="386">
        <v>216</v>
      </c>
      <c r="AV216" s="386">
        <v>384</v>
      </c>
      <c r="AW216" s="386">
        <v>216</v>
      </c>
      <c r="AX216" s="386">
        <v>168</v>
      </c>
      <c r="AY216" s="386">
        <v>72</v>
      </c>
      <c r="AZ216" s="386">
        <v>72</v>
      </c>
      <c r="BA216" s="386">
        <v>0</v>
      </c>
      <c r="BB216" s="386">
        <v>24</v>
      </c>
      <c r="BC216" s="386">
        <v>0</v>
      </c>
      <c r="BD216" s="386">
        <v>0</v>
      </c>
      <c r="BE216" s="386">
        <v>0</v>
      </c>
      <c r="BF216" s="386">
        <v>0</v>
      </c>
      <c r="BG216" s="386">
        <v>0</v>
      </c>
      <c r="BH216" s="386">
        <v>0</v>
      </c>
      <c r="BI216" s="386">
        <v>0</v>
      </c>
      <c r="BJ216" s="386">
        <v>0</v>
      </c>
      <c r="BK216" s="386">
        <v>0</v>
      </c>
      <c r="BL216" s="386">
        <v>0</v>
      </c>
      <c r="BM216" s="386">
        <v>0</v>
      </c>
      <c r="BN216" s="386">
        <v>0</v>
      </c>
      <c r="BO216" s="386">
        <v>0</v>
      </c>
    </row>
    <row r="217" spans="1:67" x14ac:dyDescent="0.2">
      <c r="A217" s="386" t="s">
        <v>894</v>
      </c>
      <c r="B217" s="387">
        <v>0</v>
      </c>
      <c r="C217" s="387">
        <v>0</v>
      </c>
      <c r="D217" s="387">
        <v>0</v>
      </c>
      <c r="E217" s="387">
        <v>0</v>
      </c>
      <c r="F217" s="387">
        <v>0</v>
      </c>
      <c r="G217" s="387">
        <v>0</v>
      </c>
      <c r="H217" s="387">
        <v>0</v>
      </c>
      <c r="I217" s="387">
        <v>0</v>
      </c>
      <c r="J217" s="387">
        <v>0</v>
      </c>
      <c r="K217" s="387">
        <v>0</v>
      </c>
      <c r="L217" s="387">
        <v>0</v>
      </c>
      <c r="M217" s="387">
        <v>0</v>
      </c>
      <c r="N217" s="387">
        <v>0</v>
      </c>
      <c r="O217" s="387">
        <v>0</v>
      </c>
      <c r="P217" s="387">
        <v>0</v>
      </c>
      <c r="Q217" s="387">
        <v>0</v>
      </c>
      <c r="R217" s="387">
        <v>0</v>
      </c>
      <c r="S217" s="387">
        <v>0.17699999999999999</v>
      </c>
      <c r="T217" s="387">
        <v>0.58099999999999996</v>
      </c>
      <c r="U217" s="387">
        <v>0.433</v>
      </c>
      <c r="V217" s="387">
        <v>0.91600000000000004</v>
      </c>
      <c r="W217" s="387">
        <v>1.391</v>
      </c>
      <c r="X217" s="387">
        <v>1.1779999999999999</v>
      </c>
      <c r="Y217" s="387">
        <v>4.5019999999999998</v>
      </c>
      <c r="Z217" s="387">
        <v>4.2430000000000003</v>
      </c>
      <c r="AA217" s="387">
        <v>5.3410000000000002</v>
      </c>
      <c r="AB217" s="387">
        <v>5.2130000000000001</v>
      </c>
      <c r="AC217" s="387">
        <v>8.1199999999999992</v>
      </c>
      <c r="AD217" s="387">
        <v>7.1390000000000002</v>
      </c>
      <c r="AE217" s="387">
        <v>18.951000000000001</v>
      </c>
      <c r="AF217" s="387">
        <v>14.186</v>
      </c>
      <c r="AG217" s="387">
        <v>19.835000000000001</v>
      </c>
      <c r="AH217" s="387">
        <v>24.413</v>
      </c>
      <c r="AI217" s="387">
        <v>23.896999999999998</v>
      </c>
      <c r="AJ217" s="387">
        <v>23.763999999999999</v>
      </c>
      <c r="AK217" s="387">
        <v>35.619</v>
      </c>
      <c r="AL217" s="387">
        <v>33.106999999999999</v>
      </c>
      <c r="AM217" s="387">
        <v>36.433</v>
      </c>
      <c r="AN217" s="387">
        <v>39.576000000000001</v>
      </c>
      <c r="AO217" s="387">
        <v>40.146999999999998</v>
      </c>
      <c r="AP217" s="387">
        <v>49.168999999999997</v>
      </c>
      <c r="AQ217" s="387">
        <v>43.441000000000003</v>
      </c>
      <c r="AR217" s="387">
        <v>54.628</v>
      </c>
      <c r="AS217" s="387">
        <v>57.728999999999999</v>
      </c>
      <c r="AT217" s="387">
        <v>55.860999999999997</v>
      </c>
      <c r="AU217" s="387">
        <v>57.948</v>
      </c>
      <c r="AV217" s="387">
        <v>53.784999999999997</v>
      </c>
      <c r="AW217" s="387">
        <v>59.835000000000001</v>
      </c>
      <c r="AX217" s="387">
        <v>46.526000000000003</v>
      </c>
      <c r="AY217" s="387">
        <v>49.74</v>
      </c>
      <c r="AZ217" s="387">
        <v>40.158000000000001</v>
      </c>
      <c r="BA217" s="387">
        <v>35.700000000000003</v>
      </c>
      <c r="BB217" s="387">
        <v>25.332999999999998</v>
      </c>
      <c r="BC217" s="387">
        <v>12.978999999999999</v>
      </c>
      <c r="BD217" s="387">
        <v>11.811</v>
      </c>
      <c r="BE217" s="387">
        <v>5.907</v>
      </c>
      <c r="BF217" s="387">
        <v>3.74</v>
      </c>
      <c r="BG217" s="387">
        <v>2.3210000000000002</v>
      </c>
      <c r="BH217" s="387">
        <v>0.81</v>
      </c>
      <c r="BI217" s="387">
        <v>0.72799999999999998</v>
      </c>
      <c r="BJ217" s="387">
        <v>0</v>
      </c>
      <c r="BK217" s="387">
        <v>0</v>
      </c>
      <c r="BL217" s="387">
        <v>0</v>
      </c>
      <c r="BM217" s="387">
        <v>0</v>
      </c>
      <c r="BN217" s="387">
        <v>0</v>
      </c>
      <c r="BO217" s="387">
        <v>0</v>
      </c>
    </row>
    <row r="218" spans="1:67" x14ac:dyDescent="0.2">
      <c r="A218" s="386" t="s">
        <v>895</v>
      </c>
      <c r="B218" s="387">
        <v>0</v>
      </c>
      <c r="C218" s="387">
        <v>0</v>
      </c>
      <c r="D218" s="387">
        <v>0</v>
      </c>
      <c r="E218" s="387">
        <v>0</v>
      </c>
      <c r="F218" s="387">
        <v>0</v>
      </c>
      <c r="G218" s="387">
        <v>0</v>
      </c>
      <c r="H218" s="387">
        <v>0</v>
      </c>
      <c r="I218" s="387">
        <v>0</v>
      </c>
      <c r="J218" s="387">
        <v>0</v>
      </c>
      <c r="K218" s="387">
        <v>0</v>
      </c>
      <c r="L218" s="387">
        <v>0</v>
      </c>
      <c r="M218" s="387">
        <v>0</v>
      </c>
      <c r="N218" s="387">
        <v>0</v>
      </c>
      <c r="O218" s="387">
        <v>0</v>
      </c>
      <c r="P218" s="387">
        <v>0</v>
      </c>
      <c r="Q218" s="387">
        <v>0</v>
      </c>
      <c r="R218" s="387">
        <v>0</v>
      </c>
      <c r="S218" s="387">
        <v>0</v>
      </c>
      <c r="T218" s="387">
        <v>0</v>
      </c>
      <c r="U218" s="387">
        <v>0.20499999999999999</v>
      </c>
      <c r="V218" s="387">
        <v>1.605</v>
      </c>
      <c r="W218" s="387">
        <v>0.46400000000000002</v>
      </c>
      <c r="X218" s="387">
        <v>1.145</v>
      </c>
      <c r="Y218" s="387">
        <v>4.843</v>
      </c>
      <c r="Z218" s="387">
        <v>4.0229999999999997</v>
      </c>
      <c r="AA218" s="387">
        <v>5.1920000000000002</v>
      </c>
      <c r="AB218" s="387">
        <v>3.7189999999999999</v>
      </c>
      <c r="AC218" s="387">
        <v>6.657</v>
      </c>
      <c r="AD218" s="387">
        <v>5.1230000000000002</v>
      </c>
      <c r="AE218" s="387">
        <v>9.9049999999999994</v>
      </c>
      <c r="AF218" s="387">
        <v>10.372999999999999</v>
      </c>
      <c r="AG218" s="387">
        <v>10.853</v>
      </c>
      <c r="AH218" s="387">
        <v>16.417999999999999</v>
      </c>
      <c r="AI218" s="387">
        <v>12.308</v>
      </c>
      <c r="AJ218" s="387">
        <v>17.779</v>
      </c>
      <c r="AK218" s="387">
        <v>17.919</v>
      </c>
      <c r="AL218" s="387">
        <v>19.666</v>
      </c>
      <c r="AM218" s="387">
        <v>22.754999999999999</v>
      </c>
      <c r="AN218" s="387">
        <v>22.555</v>
      </c>
      <c r="AO218" s="387">
        <v>21.798999999999999</v>
      </c>
      <c r="AP218" s="387">
        <v>24.977</v>
      </c>
      <c r="AQ218" s="387">
        <v>25.152999999999999</v>
      </c>
      <c r="AR218" s="387">
        <v>27.658000000000001</v>
      </c>
      <c r="AS218" s="387">
        <v>28.247</v>
      </c>
      <c r="AT218" s="387">
        <v>27.055</v>
      </c>
      <c r="AU218" s="387">
        <v>27.439</v>
      </c>
      <c r="AV218" s="387">
        <v>27.491</v>
      </c>
      <c r="AW218" s="387">
        <v>22.623999999999999</v>
      </c>
      <c r="AX218" s="387">
        <v>15.452999999999999</v>
      </c>
      <c r="AY218" s="387">
        <v>14.834</v>
      </c>
      <c r="AZ218" s="387">
        <v>8.68</v>
      </c>
      <c r="BA218" s="387">
        <v>6.3959999999999999</v>
      </c>
      <c r="BB218" s="387">
        <v>3.6869999999999998</v>
      </c>
      <c r="BC218" s="387">
        <v>2.0750000000000002</v>
      </c>
      <c r="BD218" s="387">
        <v>1.589</v>
      </c>
      <c r="BE218" s="387">
        <v>0.40899999999999997</v>
      </c>
      <c r="BF218" s="387">
        <v>0.187</v>
      </c>
      <c r="BG218" s="387">
        <v>0</v>
      </c>
      <c r="BH218" s="387">
        <v>0.17199999999999999</v>
      </c>
      <c r="BI218" s="387">
        <v>0.158</v>
      </c>
      <c r="BJ218" s="387">
        <v>0</v>
      </c>
      <c r="BK218" s="387">
        <v>0</v>
      </c>
      <c r="BL218" s="387">
        <v>0</v>
      </c>
      <c r="BM218" s="387">
        <v>0</v>
      </c>
      <c r="BN218" s="387">
        <v>0</v>
      </c>
      <c r="BO218" s="387">
        <v>0</v>
      </c>
    </row>
    <row r="219" spans="1:67" x14ac:dyDescent="0.2">
      <c r="A219" s="386" t="s">
        <v>896</v>
      </c>
      <c r="B219" s="387">
        <v>0</v>
      </c>
      <c r="C219" s="387">
        <v>0</v>
      </c>
      <c r="D219" s="387">
        <v>0</v>
      </c>
      <c r="E219" s="387">
        <v>0</v>
      </c>
      <c r="F219" s="387">
        <v>0</v>
      </c>
      <c r="G219" s="387">
        <v>0</v>
      </c>
      <c r="H219" s="387">
        <v>0</v>
      </c>
      <c r="I219" s="387">
        <v>0</v>
      </c>
      <c r="J219" s="387">
        <v>0</v>
      </c>
      <c r="K219" s="387">
        <v>0</v>
      </c>
      <c r="L219" s="387">
        <v>0</v>
      </c>
      <c r="M219" s="387">
        <v>0</v>
      </c>
      <c r="N219" s="387">
        <v>0</v>
      </c>
      <c r="O219" s="387">
        <v>0</v>
      </c>
      <c r="P219" s="387">
        <v>0</v>
      </c>
      <c r="Q219" s="387">
        <v>0</v>
      </c>
      <c r="R219" s="387">
        <v>0</v>
      </c>
      <c r="S219" s="387">
        <v>0.189</v>
      </c>
      <c r="T219" s="387">
        <v>0.71299999999999997</v>
      </c>
      <c r="U219" s="387">
        <v>0.76600000000000001</v>
      </c>
      <c r="V219" s="387">
        <v>1.9830000000000001</v>
      </c>
      <c r="W219" s="387">
        <v>2.8519999999999999</v>
      </c>
      <c r="X219" s="387">
        <v>2.4780000000000002</v>
      </c>
      <c r="Y219" s="387">
        <v>9.6280000000000001</v>
      </c>
      <c r="Z219" s="387">
        <v>9.4339999999999993</v>
      </c>
      <c r="AA219" s="387">
        <v>10.436</v>
      </c>
      <c r="AB219" s="387">
        <v>10.27</v>
      </c>
      <c r="AC219" s="387">
        <v>14.430999999999999</v>
      </c>
      <c r="AD219" s="387">
        <v>10.667</v>
      </c>
      <c r="AE219" s="387">
        <v>31.895</v>
      </c>
      <c r="AF219" s="387">
        <v>17.829999999999998</v>
      </c>
      <c r="AG219" s="387">
        <v>21.042000000000002</v>
      </c>
      <c r="AH219" s="387">
        <v>25.939</v>
      </c>
      <c r="AI219" s="387">
        <v>24.507999999999999</v>
      </c>
      <c r="AJ219" s="387">
        <v>22.486000000000001</v>
      </c>
      <c r="AK219" s="387">
        <v>35.713000000000001</v>
      </c>
      <c r="AL219" s="387">
        <v>31.143999999999998</v>
      </c>
      <c r="AM219" s="387">
        <v>32.177999999999997</v>
      </c>
      <c r="AN219" s="387">
        <v>30.664000000000001</v>
      </c>
      <c r="AO219" s="387">
        <v>27.553000000000001</v>
      </c>
      <c r="AP219" s="387">
        <v>32.085999999999999</v>
      </c>
      <c r="AQ219" s="387">
        <v>29.7</v>
      </c>
      <c r="AR219" s="387">
        <v>33.819000000000003</v>
      </c>
      <c r="AS219" s="387">
        <v>35.853999999999999</v>
      </c>
      <c r="AT219" s="387">
        <v>32.587000000000003</v>
      </c>
      <c r="AU219" s="387">
        <v>29.282</v>
      </c>
      <c r="AV219" s="387">
        <v>30.138000000000002</v>
      </c>
      <c r="AW219" s="387">
        <v>32.927</v>
      </c>
      <c r="AX219" s="387">
        <v>24.318000000000001</v>
      </c>
      <c r="AY219" s="387">
        <v>26.885000000000002</v>
      </c>
      <c r="AZ219" s="387">
        <v>22.135000000000002</v>
      </c>
      <c r="BA219" s="387">
        <v>19.824999999999999</v>
      </c>
      <c r="BB219" s="387">
        <v>14.856</v>
      </c>
      <c r="BC219" s="387">
        <v>6.5380000000000003</v>
      </c>
      <c r="BD219" s="387">
        <v>6.12</v>
      </c>
      <c r="BE219" s="387">
        <v>3.09</v>
      </c>
      <c r="BF219" s="387">
        <v>1.736</v>
      </c>
      <c r="BG219" s="387">
        <v>0.90800000000000003</v>
      </c>
      <c r="BH219" s="387">
        <v>0.48899999999999999</v>
      </c>
      <c r="BI219" s="387">
        <v>0.42299999999999999</v>
      </c>
      <c r="BJ219" s="387">
        <v>0</v>
      </c>
      <c r="BK219" s="387">
        <v>0</v>
      </c>
      <c r="BL219" s="387">
        <v>0</v>
      </c>
      <c r="BM219" s="387">
        <v>0</v>
      </c>
      <c r="BN219" s="387">
        <v>0</v>
      </c>
      <c r="BO219" s="387">
        <v>0</v>
      </c>
    </row>
    <row r="220" spans="1:67" x14ac:dyDescent="0.2">
      <c r="A220" s="386" t="s">
        <v>897</v>
      </c>
      <c r="B220" s="387">
        <v>0</v>
      </c>
      <c r="C220" s="387">
        <v>0</v>
      </c>
      <c r="D220" s="387">
        <v>0</v>
      </c>
      <c r="E220" s="387">
        <v>0</v>
      </c>
      <c r="F220" s="387">
        <v>0</v>
      </c>
      <c r="G220" s="387">
        <v>0</v>
      </c>
      <c r="H220" s="387">
        <v>0</v>
      </c>
      <c r="I220" s="387">
        <v>0</v>
      </c>
      <c r="J220" s="387">
        <v>0</v>
      </c>
      <c r="K220" s="387">
        <v>0</v>
      </c>
      <c r="L220" s="387">
        <v>0</v>
      </c>
      <c r="M220" s="387">
        <v>0</v>
      </c>
      <c r="N220" s="387">
        <v>0</v>
      </c>
      <c r="O220" s="387">
        <v>0</v>
      </c>
      <c r="P220" s="387">
        <v>0</v>
      </c>
      <c r="Q220" s="387">
        <v>0</v>
      </c>
      <c r="R220" s="387">
        <v>0</v>
      </c>
      <c r="S220" s="387">
        <v>0</v>
      </c>
      <c r="T220" s="387">
        <v>0</v>
      </c>
      <c r="U220" s="387">
        <v>0.501</v>
      </c>
      <c r="V220" s="387">
        <v>0.26500000000000001</v>
      </c>
      <c r="W220" s="387">
        <v>1.083</v>
      </c>
      <c r="X220" s="387">
        <v>0.72299999999999998</v>
      </c>
      <c r="Y220" s="387">
        <v>3.0640000000000001</v>
      </c>
      <c r="Z220" s="387">
        <v>3.6640000000000001</v>
      </c>
      <c r="AA220" s="387">
        <v>2.121</v>
      </c>
      <c r="AB220" s="387">
        <v>2.415</v>
      </c>
      <c r="AC220" s="387">
        <v>3.6619999999999999</v>
      </c>
      <c r="AD220" s="387">
        <v>3.4159999999999999</v>
      </c>
      <c r="AE220" s="387">
        <v>8.6890000000000001</v>
      </c>
      <c r="AF220" s="387">
        <v>3.5190000000000001</v>
      </c>
      <c r="AG220" s="387">
        <v>8.6219999999999999</v>
      </c>
      <c r="AH220" s="387">
        <v>7.47</v>
      </c>
      <c r="AI220" s="387">
        <v>9.1560000000000006</v>
      </c>
      <c r="AJ220" s="387">
        <v>8.0440000000000005</v>
      </c>
      <c r="AK220" s="387">
        <v>15.907999999999999</v>
      </c>
      <c r="AL220" s="387">
        <v>11.086</v>
      </c>
      <c r="AM220" s="387">
        <v>12.691000000000001</v>
      </c>
      <c r="AN220" s="387">
        <v>11.670999999999999</v>
      </c>
      <c r="AO220" s="387">
        <v>13.673</v>
      </c>
      <c r="AP220" s="387">
        <v>15.747999999999999</v>
      </c>
      <c r="AQ220" s="387">
        <v>16.745999999999999</v>
      </c>
      <c r="AR220" s="387">
        <v>18.907</v>
      </c>
      <c r="AS220" s="387">
        <v>21.829000000000001</v>
      </c>
      <c r="AT220" s="387">
        <v>25.693999999999999</v>
      </c>
      <c r="AU220" s="387">
        <v>24.812999999999999</v>
      </c>
      <c r="AV220" s="387">
        <v>16.597000000000001</v>
      </c>
      <c r="AW220" s="387">
        <v>25.815000000000001</v>
      </c>
      <c r="AX220" s="387">
        <v>23.716999999999999</v>
      </c>
      <c r="AY220" s="387">
        <v>24.759</v>
      </c>
      <c r="AZ220" s="387">
        <v>20.488</v>
      </c>
      <c r="BA220" s="387">
        <v>21.056999999999999</v>
      </c>
      <c r="BB220" s="387">
        <v>15.724</v>
      </c>
      <c r="BC220" s="387">
        <v>9.9329999999999998</v>
      </c>
      <c r="BD220" s="387">
        <v>7.9850000000000003</v>
      </c>
      <c r="BE220" s="387">
        <v>4.742</v>
      </c>
      <c r="BF220" s="387">
        <v>3.5569999999999999</v>
      </c>
      <c r="BG220" s="387">
        <v>2.403</v>
      </c>
      <c r="BH220" s="387">
        <v>0.26700000000000002</v>
      </c>
      <c r="BI220" s="387">
        <v>0.40200000000000002</v>
      </c>
      <c r="BJ220" s="387">
        <v>0</v>
      </c>
      <c r="BK220" s="387">
        <v>0</v>
      </c>
      <c r="BL220" s="387">
        <v>0</v>
      </c>
      <c r="BM220" s="387">
        <v>0</v>
      </c>
      <c r="BN220" s="387">
        <v>0</v>
      </c>
      <c r="BO220" s="387">
        <v>0</v>
      </c>
    </row>
    <row r="221" spans="1:67" x14ac:dyDescent="0.2">
      <c r="A221" s="388" t="s">
        <v>898</v>
      </c>
      <c r="B221" s="389">
        <v>0</v>
      </c>
      <c r="C221" s="389">
        <v>0</v>
      </c>
      <c r="D221" s="389">
        <v>0</v>
      </c>
      <c r="E221" s="389">
        <v>0</v>
      </c>
      <c r="F221" s="389">
        <v>0</v>
      </c>
      <c r="G221" s="389">
        <v>0</v>
      </c>
      <c r="H221" s="389">
        <v>0</v>
      </c>
      <c r="I221" s="389">
        <v>0</v>
      </c>
      <c r="J221" s="389">
        <v>0</v>
      </c>
      <c r="K221" s="389">
        <v>0</v>
      </c>
      <c r="L221" s="389">
        <v>0</v>
      </c>
      <c r="M221" s="389">
        <v>0</v>
      </c>
      <c r="N221" s="389">
        <v>0</v>
      </c>
      <c r="O221" s="389">
        <v>0</v>
      </c>
      <c r="P221" s="389">
        <v>0</v>
      </c>
      <c r="Q221" s="389">
        <v>0</v>
      </c>
      <c r="R221" s="389">
        <v>0</v>
      </c>
      <c r="S221" s="389">
        <v>0</v>
      </c>
      <c r="T221" s="389">
        <v>0</v>
      </c>
      <c r="U221" s="389">
        <v>0</v>
      </c>
      <c r="V221" s="389">
        <v>0</v>
      </c>
      <c r="W221" s="389">
        <v>0</v>
      </c>
      <c r="X221" s="389">
        <v>0</v>
      </c>
      <c r="Y221" s="389">
        <v>1.1679999999999999</v>
      </c>
      <c r="Z221" s="389">
        <v>0.38400000000000001</v>
      </c>
      <c r="AA221" s="389">
        <v>0</v>
      </c>
      <c r="AB221" s="389">
        <v>0.15</v>
      </c>
      <c r="AC221" s="389">
        <v>0</v>
      </c>
      <c r="AD221" s="389">
        <v>0</v>
      </c>
      <c r="AE221" s="389">
        <v>0</v>
      </c>
      <c r="AF221" s="389">
        <v>0</v>
      </c>
      <c r="AG221" s="389">
        <v>0</v>
      </c>
      <c r="AH221" s="389">
        <v>0.158</v>
      </c>
      <c r="AI221" s="389">
        <v>0.51300000000000001</v>
      </c>
      <c r="AJ221" s="389">
        <v>0.32300000000000001</v>
      </c>
      <c r="AK221" s="389">
        <v>0.315</v>
      </c>
      <c r="AL221" s="389">
        <v>0.47099999999999997</v>
      </c>
      <c r="AM221" s="389">
        <v>0.48799999999999999</v>
      </c>
      <c r="AN221" s="389">
        <v>1.177</v>
      </c>
      <c r="AO221" s="389">
        <v>1.0469999999999999</v>
      </c>
      <c r="AP221" s="389">
        <v>2.2610000000000001</v>
      </c>
      <c r="AQ221" s="389">
        <v>2.3199999999999998</v>
      </c>
      <c r="AR221" s="389">
        <v>2.39</v>
      </c>
      <c r="AS221" s="389">
        <v>1.7869999999999999</v>
      </c>
      <c r="AT221" s="389">
        <v>3.8029999999999999</v>
      </c>
      <c r="AU221" s="389">
        <v>4.2489999999999997</v>
      </c>
      <c r="AV221" s="389">
        <v>2.8260000000000001</v>
      </c>
      <c r="AW221" s="389">
        <v>3.5129999999999999</v>
      </c>
      <c r="AX221" s="389">
        <v>2.198</v>
      </c>
      <c r="AY221" s="389">
        <v>1.861</v>
      </c>
      <c r="AZ221" s="389">
        <v>2.5059999999999998</v>
      </c>
      <c r="BA221" s="389">
        <v>2.2170000000000001</v>
      </c>
      <c r="BB221" s="389">
        <v>1.58</v>
      </c>
      <c r="BC221" s="389">
        <v>0.78600000000000003</v>
      </c>
      <c r="BD221" s="389">
        <v>0.95099999999999996</v>
      </c>
      <c r="BE221" s="389">
        <v>0.154</v>
      </c>
      <c r="BF221" s="389">
        <v>0.16500000000000001</v>
      </c>
      <c r="BG221" s="389">
        <v>0</v>
      </c>
      <c r="BH221" s="389">
        <v>0.158</v>
      </c>
      <c r="BI221" s="389">
        <v>0.153</v>
      </c>
      <c r="BJ221" s="389">
        <v>0</v>
      </c>
      <c r="BK221" s="389">
        <v>0</v>
      </c>
      <c r="BL221" s="389">
        <v>0</v>
      </c>
      <c r="BM221" s="389">
        <v>0</v>
      </c>
      <c r="BN221" s="389">
        <v>0</v>
      </c>
      <c r="BO221" s="389">
        <v>0</v>
      </c>
    </row>
    <row r="223" spans="1:67" x14ac:dyDescent="0.2">
      <c r="A223" s="380" t="s">
        <v>3173</v>
      </c>
      <c r="B223" s="381" t="s">
        <v>922</v>
      </c>
    </row>
    <row r="224" spans="1:67" x14ac:dyDescent="0.2">
      <c r="A224" s="382" t="s">
        <v>2356</v>
      </c>
      <c r="B224" s="383"/>
    </row>
    <row r="225" spans="1:67" x14ac:dyDescent="0.2">
      <c r="A225" s="384" t="s">
        <v>3175</v>
      </c>
      <c r="B225" s="384">
        <v>-25</v>
      </c>
      <c r="C225" s="384">
        <v>-24</v>
      </c>
      <c r="D225" s="384">
        <v>-23</v>
      </c>
      <c r="E225" s="384">
        <v>-22</v>
      </c>
      <c r="F225" s="384">
        <v>-21</v>
      </c>
      <c r="G225" s="384">
        <v>-20</v>
      </c>
      <c r="H225" s="384">
        <v>-19</v>
      </c>
      <c r="I225" s="384">
        <v>-18</v>
      </c>
      <c r="J225" s="384">
        <v>-17</v>
      </c>
      <c r="K225" s="384">
        <v>-16</v>
      </c>
      <c r="L225" s="384">
        <v>-15</v>
      </c>
      <c r="M225" s="384">
        <v>-14</v>
      </c>
      <c r="N225" s="384">
        <v>-13</v>
      </c>
      <c r="O225" s="384">
        <v>-12</v>
      </c>
      <c r="P225" s="384">
        <v>-11</v>
      </c>
      <c r="Q225" s="384">
        <v>-10</v>
      </c>
      <c r="R225" s="384">
        <v>-9</v>
      </c>
      <c r="S225" s="384">
        <v>-8</v>
      </c>
      <c r="T225" s="384">
        <v>-7</v>
      </c>
      <c r="U225" s="384">
        <v>-6</v>
      </c>
      <c r="V225" s="384">
        <v>-5</v>
      </c>
      <c r="W225" s="384">
        <v>-4</v>
      </c>
      <c r="X225" s="384">
        <v>-3</v>
      </c>
      <c r="Y225" s="384">
        <v>-2</v>
      </c>
      <c r="Z225" s="384">
        <v>-1</v>
      </c>
      <c r="AA225" s="384">
        <v>0</v>
      </c>
      <c r="AB225" s="384">
        <v>1</v>
      </c>
      <c r="AC225" s="384">
        <v>2</v>
      </c>
      <c r="AD225" s="384">
        <v>3</v>
      </c>
      <c r="AE225" s="384">
        <v>4</v>
      </c>
      <c r="AF225" s="384">
        <v>5</v>
      </c>
      <c r="AG225" s="384">
        <v>6</v>
      </c>
      <c r="AH225" s="384">
        <v>7</v>
      </c>
      <c r="AI225" s="384">
        <v>8</v>
      </c>
      <c r="AJ225" s="384">
        <v>9</v>
      </c>
      <c r="AK225" s="384">
        <v>10</v>
      </c>
      <c r="AL225" s="384">
        <v>11</v>
      </c>
      <c r="AM225" s="384">
        <v>12</v>
      </c>
      <c r="AN225" s="384">
        <v>13</v>
      </c>
      <c r="AO225" s="384">
        <v>14</v>
      </c>
      <c r="AP225" s="384">
        <v>15</v>
      </c>
      <c r="AQ225" s="384">
        <v>16</v>
      </c>
      <c r="AR225" s="384">
        <v>17</v>
      </c>
      <c r="AS225" s="384">
        <v>18</v>
      </c>
      <c r="AT225" s="384">
        <v>19</v>
      </c>
      <c r="AU225" s="384">
        <v>20</v>
      </c>
      <c r="AV225" s="384">
        <v>21</v>
      </c>
      <c r="AW225" s="384">
        <v>22</v>
      </c>
      <c r="AX225" s="384">
        <v>23</v>
      </c>
      <c r="AY225" s="384">
        <v>24</v>
      </c>
      <c r="AZ225" s="384">
        <v>25</v>
      </c>
      <c r="BA225" s="384">
        <v>26</v>
      </c>
      <c r="BB225" s="384">
        <v>27</v>
      </c>
      <c r="BC225" s="384">
        <v>28</v>
      </c>
      <c r="BD225" s="384">
        <v>29</v>
      </c>
      <c r="BE225" s="384">
        <v>30</v>
      </c>
      <c r="BF225" s="384">
        <v>31</v>
      </c>
      <c r="BG225" s="384">
        <v>32</v>
      </c>
      <c r="BH225" s="384">
        <v>33</v>
      </c>
      <c r="BI225" s="384">
        <v>34</v>
      </c>
      <c r="BJ225" s="384">
        <v>35</v>
      </c>
      <c r="BK225" s="384">
        <v>36</v>
      </c>
      <c r="BL225" s="384">
        <v>37</v>
      </c>
      <c r="BM225" s="384">
        <v>38</v>
      </c>
      <c r="BN225" s="384">
        <v>39</v>
      </c>
      <c r="BO225" s="384">
        <v>40</v>
      </c>
    </row>
    <row r="226" spans="1:67" x14ac:dyDescent="0.2">
      <c r="A226" s="385" t="s">
        <v>3176</v>
      </c>
      <c r="B226" s="385">
        <v>0</v>
      </c>
      <c r="C226" s="385">
        <v>0</v>
      </c>
      <c r="D226" s="385">
        <v>0</v>
      </c>
      <c r="E226" s="385">
        <v>0</v>
      </c>
      <c r="F226" s="385">
        <v>0</v>
      </c>
      <c r="G226" s="385">
        <v>0</v>
      </c>
      <c r="H226" s="385">
        <v>0</v>
      </c>
      <c r="I226" s="385">
        <v>0</v>
      </c>
      <c r="J226" s="385">
        <v>0</v>
      </c>
      <c r="K226" s="385">
        <v>0</v>
      </c>
      <c r="L226" s="385">
        <v>0</v>
      </c>
      <c r="M226" s="385">
        <v>0</v>
      </c>
      <c r="N226" s="385">
        <v>5</v>
      </c>
      <c r="O226" s="385">
        <v>3</v>
      </c>
      <c r="P226" s="385">
        <v>3</v>
      </c>
      <c r="Q226" s="385">
        <v>6</v>
      </c>
      <c r="R226" s="385">
        <v>18</v>
      </c>
      <c r="S226" s="385">
        <v>17</v>
      </c>
      <c r="T226" s="385">
        <v>41</v>
      </c>
      <c r="U226" s="385">
        <v>56</v>
      </c>
      <c r="V226" s="385">
        <v>56</v>
      </c>
      <c r="W226" s="385">
        <v>96</v>
      </c>
      <c r="X226" s="385">
        <v>117</v>
      </c>
      <c r="Y226" s="385">
        <v>169</v>
      </c>
      <c r="Z226" s="385">
        <v>311</v>
      </c>
      <c r="AA226" s="385">
        <v>323</v>
      </c>
      <c r="AB226" s="385">
        <v>334</v>
      </c>
      <c r="AC226" s="385">
        <v>350</v>
      </c>
      <c r="AD226" s="385">
        <v>379</v>
      </c>
      <c r="AE226" s="385">
        <v>397</v>
      </c>
      <c r="AF226" s="385">
        <v>356</v>
      </c>
      <c r="AG226" s="385">
        <v>395</v>
      </c>
      <c r="AH226" s="385">
        <v>386</v>
      </c>
      <c r="AI226" s="385">
        <v>348</v>
      </c>
      <c r="AJ226" s="385">
        <v>328</v>
      </c>
      <c r="AK226" s="385">
        <v>409</v>
      </c>
      <c r="AL226" s="385">
        <v>355</v>
      </c>
      <c r="AM226" s="385">
        <v>351</v>
      </c>
      <c r="AN226" s="385">
        <v>324</v>
      </c>
      <c r="AO226" s="385">
        <v>354</v>
      </c>
      <c r="AP226" s="385">
        <v>317</v>
      </c>
      <c r="AQ226" s="385">
        <v>312</v>
      </c>
      <c r="AR226" s="385">
        <v>268</v>
      </c>
      <c r="AS226" s="385">
        <v>259</v>
      </c>
      <c r="AT226" s="385">
        <v>238</v>
      </c>
      <c r="AU226" s="385">
        <v>216</v>
      </c>
      <c r="AV226" s="385">
        <v>162</v>
      </c>
      <c r="AW226" s="385">
        <v>171</v>
      </c>
      <c r="AX226" s="385">
        <v>129</v>
      </c>
      <c r="AY226" s="385">
        <v>130</v>
      </c>
      <c r="AZ226" s="385">
        <v>93</v>
      </c>
      <c r="BA226" s="385">
        <v>71</v>
      </c>
      <c r="BB226" s="385">
        <v>34</v>
      </c>
      <c r="BC226" s="385">
        <v>25</v>
      </c>
      <c r="BD226" s="385">
        <v>24</v>
      </c>
      <c r="BE226" s="385">
        <v>11</v>
      </c>
      <c r="BF226" s="385">
        <v>8</v>
      </c>
      <c r="BG226" s="385">
        <v>5</v>
      </c>
      <c r="BH226" s="385">
        <v>0</v>
      </c>
      <c r="BI226" s="385">
        <v>0</v>
      </c>
      <c r="BJ226" s="385">
        <v>0</v>
      </c>
      <c r="BK226" s="385">
        <v>0</v>
      </c>
      <c r="BL226" s="385">
        <v>0</v>
      </c>
      <c r="BM226" s="385">
        <v>0</v>
      </c>
      <c r="BN226" s="385">
        <v>0</v>
      </c>
      <c r="BO226" s="385">
        <v>0</v>
      </c>
    </row>
    <row r="227" spans="1:67" x14ac:dyDescent="0.2">
      <c r="A227" s="386" t="s">
        <v>893</v>
      </c>
      <c r="B227" s="386">
        <v>0</v>
      </c>
      <c r="C227" s="386">
        <v>0</v>
      </c>
      <c r="D227" s="386">
        <v>0</v>
      </c>
      <c r="E227" s="386">
        <v>0</v>
      </c>
      <c r="F227" s="386">
        <v>0</v>
      </c>
      <c r="G227" s="386">
        <v>0</v>
      </c>
      <c r="H227" s="386">
        <v>0</v>
      </c>
      <c r="I227" s="386">
        <v>0</v>
      </c>
      <c r="J227" s="386">
        <v>0</v>
      </c>
      <c r="K227" s="386">
        <v>0</v>
      </c>
      <c r="L227" s="386">
        <v>0</v>
      </c>
      <c r="M227" s="386">
        <v>0</v>
      </c>
      <c r="N227" s="386">
        <v>0</v>
      </c>
      <c r="O227" s="386">
        <v>0</v>
      </c>
      <c r="P227" s="386">
        <v>0</v>
      </c>
      <c r="Q227" s="386">
        <v>0</v>
      </c>
      <c r="R227" s="386">
        <v>24</v>
      </c>
      <c r="S227" s="386">
        <v>24</v>
      </c>
      <c r="T227" s="386">
        <v>24</v>
      </c>
      <c r="U227" s="386">
        <v>48</v>
      </c>
      <c r="V227" s="386">
        <v>0</v>
      </c>
      <c r="W227" s="386">
        <v>120</v>
      </c>
      <c r="X227" s="386">
        <v>96</v>
      </c>
      <c r="Y227" s="386">
        <v>192</v>
      </c>
      <c r="Z227" s="386">
        <v>168</v>
      </c>
      <c r="AA227" s="386">
        <v>456</v>
      </c>
      <c r="AB227" s="386">
        <v>408</v>
      </c>
      <c r="AC227" s="386">
        <v>336</v>
      </c>
      <c r="AD227" s="386">
        <v>408</v>
      </c>
      <c r="AE227" s="386">
        <v>264</v>
      </c>
      <c r="AF227" s="386">
        <v>312</v>
      </c>
      <c r="AG227" s="386">
        <v>384</v>
      </c>
      <c r="AH227" s="386">
        <v>408</v>
      </c>
      <c r="AI227" s="386">
        <v>408</v>
      </c>
      <c r="AJ227" s="386">
        <v>264</v>
      </c>
      <c r="AK227" s="386">
        <v>264</v>
      </c>
      <c r="AL227" s="386">
        <v>408</v>
      </c>
      <c r="AM227" s="386">
        <v>528</v>
      </c>
      <c r="AN227" s="386">
        <v>456</v>
      </c>
      <c r="AO227" s="386">
        <v>288</v>
      </c>
      <c r="AP227" s="386">
        <v>384</v>
      </c>
      <c r="AQ227" s="386">
        <v>120</v>
      </c>
      <c r="AR227" s="386">
        <v>288</v>
      </c>
      <c r="AS227" s="386">
        <v>336</v>
      </c>
      <c r="AT227" s="386">
        <v>552</v>
      </c>
      <c r="AU227" s="386">
        <v>240</v>
      </c>
      <c r="AV227" s="386">
        <v>264</v>
      </c>
      <c r="AW227" s="386">
        <v>192</v>
      </c>
      <c r="AX227" s="386">
        <v>96</v>
      </c>
      <c r="AY227" s="386">
        <v>0</v>
      </c>
      <c r="AZ227" s="386">
        <v>0</v>
      </c>
      <c r="BA227" s="386">
        <v>0</v>
      </c>
      <c r="BB227" s="386">
        <v>0</v>
      </c>
      <c r="BC227" s="386">
        <v>0</v>
      </c>
      <c r="BD227" s="386">
        <v>0</v>
      </c>
      <c r="BE227" s="386">
        <v>0</v>
      </c>
      <c r="BF227" s="386">
        <v>0</v>
      </c>
      <c r="BG227" s="386">
        <v>0</v>
      </c>
      <c r="BH227" s="386">
        <v>0</v>
      </c>
      <c r="BI227" s="386">
        <v>0</v>
      </c>
      <c r="BJ227" s="386">
        <v>0</v>
      </c>
      <c r="BK227" s="386">
        <v>0</v>
      </c>
      <c r="BL227" s="386">
        <v>0</v>
      </c>
      <c r="BM227" s="386">
        <v>0</v>
      </c>
      <c r="BN227" s="386">
        <v>0</v>
      </c>
      <c r="BO227" s="386">
        <v>0</v>
      </c>
    </row>
    <row r="228" spans="1:67" x14ac:dyDescent="0.2">
      <c r="A228" s="386" t="s">
        <v>894</v>
      </c>
      <c r="B228" s="387">
        <v>0</v>
      </c>
      <c r="C228" s="387">
        <v>0</v>
      </c>
      <c r="D228" s="387">
        <v>0</v>
      </c>
      <c r="E228" s="387">
        <v>0</v>
      </c>
      <c r="F228" s="387">
        <v>0</v>
      </c>
      <c r="G228" s="387">
        <v>0</v>
      </c>
      <c r="H228" s="387">
        <v>0</v>
      </c>
      <c r="I228" s="387">
        <v>0</v>
      </c>
      <c r="J228" s="387">
        <v>0</v>
      </c>
      <c r="K228" s="387">
        <v>0</v>
      </c>
      <c r="L228" s="387">
        <v>0</v>
      </c>
      <c r="M228" s="387">
        <v>0</v>
      </c>
      <c r="N228" s="387">
        <v>0</v>
      </c>
      <c r="O228" s="387">
        <v>0</v>
      </c>
      <c r="P228" s="387">
        <v>0</v>
      </c>
      <c r="Q228" s="387">
        <v>0</v>
      </c>
      <c r="R228" s="387">
        <v>0</v>
      </c>
      <c r="S228" s="387">
        <v>0</v>
      </c>
      <c r="T228" s="387">
        <v>0.68300000000000005</v>
      </c>
      <c r="U228" s="387">
        <v>2.0529999999999999</v>
      </c>
      <c r="V228" s="387">
        <v>1.927</v>
      </c>
      <c r="W228" s="387">
        <v>1.88</v>
      </c>
      <c r="X228" s="387">
        <v>5.6980000000000004</v>
      </c>
      <c r="Y228" s="387">
        <v>6.976</v>
      </c>
      <c r="Z228" s="387">
        <v>5.7080000000000002</v>
      </c>
      <c r="AA228" s="387">
        <v>7.0369999999999999</v>
      </c>
      <c r="AB228" s="387">
        <v>9.7110000000000003</v>
      </c>
      <c r="AC228" s="387">
        <v>11.318</v>
      </c>
      <c r="AD228" s="387">
        <v>17.443999999999999</v>
      </c>
      <c r="AE228" s="387">
        <v>12.935</v>
      </c>
      <c r="AF228" s="387">
        <v>16.460999999999999</v>
      </c>
      <c r="AG228" s="387">
        <v>19.105</v>
      </c>
      <c r="AH228" s="387">
        <v>22.047000000000001</v>
      </c>
      <c r="AI228" s="387">
        <v>24.564</v>
      </c>
      <c r="AJ228" s="387">
        <v>27</v>
      </c>
      <c r="AK228" s="387">
        <v>36.671999999999997</v>
      </c>
      <c r="AL228" s="387">
        <v>35.954999999999998</v>
      </c>
      <c r="AM228" s="387">
        <v>31.943000000000001</v>
      </c>
      <c r="AN228" s="387">
        <v>42.28</v>
      </c>
      <c r="AO228" s="387">
        <v>47.728000000000002</v>
      </c>
      <c r="AP228" s="387">
        <v>48.061999999999998</v>
      </c>
      <c r="AQ228" s="387">
        <v>58.841999999999999</v>
      </c>
      <c r="AR228" s="387">
        <v>50.654000000000003</v>
      </c>
      <c r="AS228" s="387">
        <v>57.093000000000004</v>
      </c>
      <c r="AT228" s="387">
        <v>62.988999999999997</v>
      </c>
      <c r="AU228" s="387">
        <v>61.325000000000003</v>
      </c>
      <c r="AV228" s="387">
        <v>50.619</v>
      </c>
      <c r="AW228" s="387">
        <v>60.902000000000001</v>
      </c>
      <c r="AX228" s="387">
        <v>55.223999999999997</v>
      </c>
      <c r="AY228" s="387">
        <v>61.369</v>
      </c>
      <c r="AZ228" s="387">
        <v>50.054000000000002</v>
      </c>
      <c r="BA228" s="387">
        <v>35.274999999999999</v>
      </c>
      <c r="BB228" s="387">
        <v>18.739999999999998</v>
      </c>
      <c r="BC228" s="387">
        <v>12.943</v>
      </c>
      <c r="BD228" s="387">
        <v>11.879</v>
      </c>
      <c r="BE228" s="387">
        <v>5.5490000000000004</v>
      </c>
      <c r="BF228" s="387">
        <v>4.7030000000000003</v>
      </c>
      <c r="BG228" s="387">
        <v>2.2909999999999999</v>
      </c>
      <c r="BH228" s="387">
        <v>0</v>
      </c>
      <c r="BI228" s="387">
        <v>0</v>
      </c>
      <c r="BJ228" s="387">
        <v>0</v>
      </c>
      <c r="BK228" s="387">
        <v>0</v>
      </c>
      <c r="BL228" s="387">
        <v>0</v>
      </c>
      <c r="BM228" s="387">
        <v>0</v>
      </c>
      <c r="BN228" s="387">
        <v>0</v>
      </c>
      <c r="BO228" s="387">
        <v>0</v>
      </c>
    </row>
    <row r="229" spans="1:67" x14ac:dyDescent="0.2">
      <c r="A229" s="386" t="s">
        <v>895</v>
      </c>
      <c r="B229" s="387">
        <v>0</v>
      </c>
      <c r="C229" s="387">
        <v>0</v>
      </c>
      <c r="D229" s="387">
        <v>0</v>
      </c>
      <c r="E229" s="387">
        <v>0</v>
      </c>
      <c r="F229" s="387">
        <v>0</v>
      </c>
      <c r="G229" s="387">
        <v>0</v>
      </c>
      <c r="H229" s="387">
        <v>0</v>
      </c>
      <c r="I229" s="387">
        <v>0</v>
      </c>
      <c r="J229" s="387">
        <v>0</v>
      </c>
      <c r="K229" s="387">
        <v>0</v>
      </c>
      <c r="L229" s="387">
        <v>0</v>
      </c>
      <c r="M229" s="387">
        <v>0</v>
      </c>
      <c r="N229" s="387">
        <v>0</v>
      </c>
      <c r="O229" s="387">
        <v>0</v>
      </c>
      <c r="P229" s="387">
        <v>0</v>
      </c>
      <c r="Q229" s="387">
        <v>0</v>
      </c>
      <c r="R229" s="387">
        <v>0</v>
      </c>
      <c r="S229" s="387">
        <v>0</v>
      </c>
      <c r="T229" s="387">
        <v>0.94299999999999995</v>
      </c>
      <c r="U229" s="387">
        <v>0.96399999999999997</v>
      </c>
      <c r="V229" s="387">
        <v>1.9810000000000001</v>
      </c>
      <c r="W229" s="387">
        <v>2.2989999999999999</v>
      </c>
      <c r="X229" s="387">
        <v>5.8449999999999998</v>
      </c>
      <c r="Y229" s="387">
        <v>6.6760000000000002</v>
      </c>
      <c r="Z229" s="387">
        <v>6.4329999999999998</v>
      </c>
      <c r="AA229" s="387">
        <v>5.9359999999999999</v>
      </c>
      <c r="AB229" s="387">
        <v>7.6859999999999999</v>
      </c>
      <c r="AC229" s="387">
        <v>5.3840000000000003</v>
      </c>
      <c r="AD229" s="387">
        <v>7.8819999999999997</v>
      </c>
      <c r="AE229" s="387">
        <v>10.778</v>
      </c>
      <c r="AF229" s="387">
        <v>11.577999999999999</v>
      </c>
      <c r="AG229" s="387">
        <v>13.605</v>
      </c>
      <c r="AH229" s="387">
        <v>16.914000000000001</v>
      </c>
      <c r="AI229" s="387">
        <v>20.318000000000001</v>
      </c>
      <c r="AJ229" s="387">
        <v>14.827999999999999</v>
      </c>
      <c r="AK229" s="387">
        <v>25.114000000000001</v>
      </c>
      <c r="AL229" s="387">
        <v>20.501999999999999</v>
      </c>
      <c r="AM229" s="387">
        <v>19.143000000000001</v>
      </c>
      <c r="AN229" s="387">
        <v>32.378999999999998</v>
      </c>
      <c r="AO229" s="387">
        <v>23.062000000000001</v>
      </c>
      <c r="AP229" s="387">
        <v>30.721</v>
      </c>
      <c r="AQ229" s="387">
        <v>25.792000000000002</v>
      </c>
      <c r="AR229" s="387">
        <v>23.454000000000001</v>
      </c>
      <c r="AS229" s="387">
        <v>27.155000000000001</v>
      </c>
      <c r="AT229" s="387">
        <v>27.521000000000001</v>
      </c>
      <c r="AU229" s="387">
        <v>26.664000000000001</v>
      </c>
      <c r="AV229" s="387">
        <v>19.835000000000001</v>
      </c>
      <c r="AW229" s="387">
        <v>23.074999999999999</v>
      </c>
      <c r="AX229" s="387">
        <v>15.589</v>
      </c>
      <c r="AY229" s="387">
        <v>12.305</v>
      </c>
      <c r="AZ229" s="387">
        <v>12.034000000000001</v>
      </c>
      <c r="BA229" s="387">
        <v>4.9530000000000003</v>
      </c>
      <c r="BB229" s="387">
        <v>2.79</v>
      </c>
      <c r="BC229" s="387">
        <v>1.0149999999999999</v>
      </c>
      <c r="BD229" s="387">
        <v>1.0760000000000001</v>
      </c>
      <c r="BE229" s="387">
        <v>0.151</v>
      </c>
      <c r="BF229" s="387">
        <v>0.313</v>
      </c>
      <c r="BG229" s="387">
        <v>0</v>
      </c>
      <c r="BH229" s="387">
        <v>0</v>
      </c>
      <c r="BI229" s="387">
        <v>0</v>
      </c>
      <c r="BJ229" s="387">
        <v>0</v>
      </c>
      <c r="BK229" s="387">
        <v>0</v>
      </c>
      <c r="BL229" s="387">
        <v>0</v>
      </c>
      <c r="BM229" s="387">
        <v>0</v>
      </c>
      <c r="BN229" s="387">
        <v>0</v>
      </c>
      <c r="BO229" s="387">
        <v>0</v>
      </c>
    </row>
    <row r="230" spans="1:67" x14ac:dyDescent="0.2">
      <c r="A230" s="386" t="s">
        <v>896</v>
      </c>
      <c r="B230" s="387">
        <v>0</v>
      </c>
      <c r="C230" s="387">
        <v>0</v>
      </c>
      <c r="D230" s="387">
        <v>0</v>
      </c>
      <c r="E230" s="387">
        <v>0</v>
      </c>
      <c r="F230" s="387">
        <v>0</v>
      </c>
      <c r="G230" s="387">
        <v>0</v>
      </c>
      <c r="H230" s="387">
        <v>0</v>
      </c>
      <c r="I230" s="387">
        <v>0</v>
      </c>
      <c r="J230" s="387">
        <v>0</v>
      </c>
      <c r="K230" s="387">
        <v>0</v>
      </c>
      <c r="L230" s="387">
        <v>0</v>
      </c>
      <c r="M230" s="387">
        <v>0</v>
      </c>
      <c r="N230" s="387">
        <v>0</v>
      </c>
      <c r="O230" s="387">
        <v>0</v>
      </c>
      <c r="P230" s="387">
        <v>0</v>
      </c>
      <c r="Q230" s="387">
        <v>0</v>
      </c>
      <c r="R230" s="387">
        <v>0</v>
      </c>
      <c r="S230" s="387">
        <v>0</v>
      </c>
      <c r="T230" s="387">
        <v>1.1970000000000001</v>
      </c>
      <c r="U230" s="387">
        <v>3.8940000000000001</v>
      </c>
      <c r="V230" s="387">
        <v>3.5390000000000001</v>
      </c>
      <c r="W230" s="387">
        <v>3.762</v>
      </c>
      <c r="X230" s="387">
        <v>11.739000000000001</v>
      </c>
      <c r="Y230" s="387">
        <v>14.537000000000001</v>
      </c>
      <c r="Z230" s="387">
        <v>11.151</v>
      </c>
      <c r="AA230" s="387">
        <v>12.002000000000001</v>
      </c>
      <c r="AB230" s="387">
        <v>13.93</v>
      </c>
      <c r="AC230" s="387">
        <v>17.963000000000001</v>
      </c>
      <c r="AD230" s="387">
        <v>28.641999999999999</v>
      </c>
      <c r="AE230" s="387">
        <v>17.015999999999998</v>
      </c>
      <c r="AF230" s="387">
        <v>16.472999999999999</v>
      </c>
      <c r="AG230" s="387">
        <v>17.048999999999999</v>
      </c>
      <c r="AH230" s="387">
        <v>21.122</v>
      </c>
      <c r="AI230" s="387">
        <v>23.164999999999999</v>
      </c>
      <c r="AJ230" s="387">
        <v>23.332000000000001</v>
      </c>
      <c r="AK230" s="387">
        <v>33.043999999999997</v>
      </c>
      <c r="AL230" s="387">
        <v>29.963000000000001</v>
      </c>
      <c r="AM230" s="387">
        <v>28.523</v>
      </c>
      <c r="AN230" s="387">
        <v>28.733000000000001</v>
      </c>
      <c r="AO230" s="387">
        <v>35.933</v>
      </c>
      <c r="AP230" s="387">
        <v>29.664000000000001</v>
      </c>
      <c r="AQ230" s="387">
        <v>38.457999999999998</v>
      </c>
      <c r="AR230" s="387">
        <v>33.322000000000003</v>
      </c>
      <c r="AS230" s="387">
        <v>34.215000000000003</v>
      </c>
      <c r="AT230" s="387">
        <v>37.567</v>
      </c>
      <c r="AU230" s="387">
        <v>31.43</v>
      </c>
      <c r="AV230" s="387">
        <v>27.925999999999998</v>
      </c>
      <c r="AW230" s="387">
        <v>33.155999999999999</v>
      </c>
      <c r="AX230" s="387">
        <v>30.125</v>
      </c>
      <c r="AY230" s="387">
        <v>31.4</v>
      </c>
      <c r="AZ230" s="387">
        <v>27.228999999999999</v>
      </c>
      <c r="BA230" s="387">
        <v>18.524000000000001</v>
      </c>
      <c r="BB230" s="387">
        <v>10.429</v>
      </c>
      <c r="BC230" s="387">
        <v>6.81</v>
      </c>
      <c r="BD230" s="387">
        <v>6.3920000000000003</v>
      </c>
      <c r="BE230" s="387">
        <v>2.661</v>
      </c>
      <c r="BF230" s="387">
        <v>2.359</v>
      </c>
      <c r="BG230" s="387">
        <v>0.80900000000000005</v>
      </c>
      <c r="BH230" s="387">
        <v>0</v>
      </c>
      <c r="BI230" s="387">
        <v>0</v>
      </c>
      <c r="BJ230" s="387">
        <v>0</v>
      </c>
      <c r="BK230" s="387">
        <v>0</v>
      </c>
      <c r="BL230" s="387">
        <v>0</v>
      </c>
      <c r="BM230" s="387">
        <v>0</v>
      </c>
      <c r="BN230" s="387">
        <v>0</v>
      </c>
      <c r="BO230" s="387">
        <v>0</v>
      </c>
    </row>
    <row r="231" spans="1:67" x14ac:dyDescent="0.2">
      <c r="A231" s="386" t="s">
        <v>897</v>
      </c>
      <c r="B231" s="387">
        <v>0</v>
      </c>
      <c r="C231" s="387">
        <v>0</v>
      </c>
      <c r="D231" s="387">
        <v>0</v>
      </c>
      <c r="E231" s="387">
        <v>0</v>
      </c>
      <c r="F231" s="387">
        <v>0</v>
      </c>
      <c r="G231" s="387">
        <v>0</v>
      </c>
      <c r="H231" s="387">
        <v>0</v>
      </c>
      <c r="I231" s="387">
        <v>0</v>
      </c>
      <c r="J231" s="387">
        <v>0</v>
      </c>
      <c r="K231" s="387">
        <v>0</v>
      </c>
      <c r="L231" s="387">
        <v>0</v>
      </c>
      <c r="M231" s="387">
        <v>0</v>
      </c>
      <c r="N231" s="387">
        <v>0</v>
      </c>
      <c r="O231" s="387">
        <v>0</v>
      </c>
      <c r="P231" s="387">
        <v>0</v>
      </c>
      <c r="Q231" s="387">
        <v>0</v>
      </c>
      <c r="R231" s="387">
        <v>0</v>
      </c>
      <c r="S231" s="387">
        <v>0</v>
      </c>
      <c r="T231" s="387">
        <v>0</v>
      </c>
      <c r="U231" s="387">
        <v>1.8720000000000001</v>
      </c>
      <c r="V231" s="387">
        <v>1.0009999999999999</v>
      </c>
      <c r="W231" s="387">
        <v>0.96599999999999997</v>
      </c>
      <c r="X231" s="387">
        <v>3.5129999999999999</v>
      </c>
      <c r="Y231" s="387">
        <v>3.831</v>
      </c>
      <c r="Z231" s="387">
        <v>3.665</v>
      </c>
      <c r="AA231" s="387">
        <v>3.5369999999999999</v>
      </c>
      <c r="AB231" s="387">
        <v>2.9009999999999998</v>
      </c>
      <c r="AC231" s="387">
        <v>4.3</v>
      </c>
      <c r="AD231" s="387">
        <v>10.839</v>
      </c>
      <c r="AE231" s="387">
        <v>5.3120000000000003</v>
      </c>
      <c r="AF231" s="387">
        <v>6.5570000000000004</v>
      </c>
      <c r="AG231" s="387">
        <v>10.297000000000001</v>
      </c>
      <c r="AH231" s="387">
        <v>4.6710000000000003</v>
      </c>
      <c r="AI231" s="387">
        <v>11.407999999999999</v>
      </c>
      <c r="AJ231" s="387">
        <v>10.416</v>
      </c>
      <c r="AK231" s="387">
        <v>15.909000000000001</v>
      </c>
      <c r="AL231" s="387">
        <v>13.920999999999999</v>
      </c>
      <c r="AM231" s="387">
        <v>13.625</v>
      </c>
      <c r="AN231" s="387">
        <v>9.2870000000000008</v>
      </c>
      <c r="AO231" s="387">
        <v>17.61</v>
      </c>
      <c r="AP231" s="387">
        <v>16.800999999999998</v>
      </c>
      <c r="AQ231" s="387">
        <v>26.954999999999998</v>
      </c>
      <c r="AR231" s="387">
        <v>24.512</v>
      </c>
      <c r="AS231" s="387">
        <v>28.841000000000001</v>
      </c>
      <c r="AT231" s="387">
        <v>28.635999999999999</v>
      </c>
      <c r="AU231" s="387">
        <v>29.504999999999999</v>
      </c>
      <c r="AV231" s="387">
        <v>24.050999999999998</v>
      </c>
      <c r="AW231" s="387">
        <v>24.79</v>
      </c>
      <c r="AX231" s="387">
        <v>28.792000000000002</v>
      </c>
      <c r="AY231" s="387">
        <v>38.935000000000002</v>
      </c>
      <c r="AZ231" s="387">
        <v>28.913</v>
      </c>
      <c r="BA231" s="387">
        <v>24.356000000000002</v>
      </c>
      <c r="BB231" s="387">
        <v>13.465</v>
      </c>
      <c r="BC231" s="387">
        <v>10.364000000000001</v>
      </c>
      <c r="BD231" s="387">
        <v>9.9700000000000006</v>
      </c>
      <c r="BE231" s="387">
        <v>5.2510000000000003</v>
      </c>
      <c r="BF231" s="387">
        <v>4.2140000000000004</v>
      </c>
      <c r="BG231" s="387">
        <v>2.67</v>
      </c>
      <c r="BH231" s="387">
        <v>0</v>
      </c>
      <c r="BI231" s="387">
        <v>0</v>
      </c>
      <c r="BJ231" s="387">
        <v>0</v>
      </c>
      <c r="BK231" s="387">
        <v>0</v>
      </c>
      <c r="BL231" s="387">
        <v>0</v>
      </c>
      <c r="BM231" s="387">
        <v>0</v>
      </c>
      <c r="BN231" s="387">
        <v>0</v>
      </c>
      <c r="BO231" s="387">
        <v>0</v>
      </c>
    </row>
    <row r="232" spans="1:67" x14ac:dyDescent="0.2">
      <c r="A232" s="388" t="s">
        <v>898</v>
      </c>
      <c r="B232" s="389">
        <v>0</v>
      </c>
      <c r="C232" s="389">
        <v>0</v>
      </c>
      <c r="D232" s="389">
        <v>0</v>
      </c>
      <c r="E232" s="389">
        <v>0</v>
      </c>
      <c r="F232" s="389">
        <v>0</v>
      </c>
      <c r="G232" s="389">
        <v>0</v>
      </c>
      <c r="H232" s="389">
        <v>0</v>
      </c>
      <c r="I232" s="389">
        <v>0</v>
      </c>
      <c r="J232" s="389">
        <v>0</v>
      </c>
      <c r="K232" s="389">
        <v>0</v>
      </c>
      <c r="L232" s="389">
        <v>0</v>
      </c>
      <c r="M232" s="389">
        <v>0</v>
      </c>
      <c r="N232" s="389">
        <v>0</v>
      </c>
      <c r="O232" s="389">
        <v>0</v>
      </c>
      <c r="P232" s="389">
        <v>0</v>
      </c>
      <c r="Q232" s="389">
        <v>0</v>
      </c>
      <c r="R232" s="389">
        <v>0</v>
      </c>
      <c r="S232" s="389">
        <v>0</v>
      </c>
      <c r="T232" s="389">
        <v>0</v>
      </c>
      <c r="U232" s="389">
        <v>0.39100000000000001</v>
      </c>
      <c r="V232" s="389">
        <v>0</v>
      </c>
      <c r="W232" s="389">
        <v>0.16800000000000001</v>
      </c>
      <c r="X232" s="389">
        <v>0.56299999999999994</v>
      </c>
      <c r="Y232" s="389">
        <v>0.7</v>
      </c>
      <c r="Z232" s="389">
        <v>0.16600000000000001</v>
      </c>
      <c r="AA232" s="389">
        <v>0.32600000000000001</v>
      </c>
      <c r="AB232" s="389">
        <v>0.36399999999999999</v>
      </c>
      <c r="AC232" s="389">
        <v>0.54700000000000004</v>
      </c>
      <c r="AD232" s="389">
        <v>0.79400000000000004</v>
      </c>
      <c r="AE232" s="389">
        <v>0.32700000000000001</v>
      </c>
      <c r="AF232" s="389">
        <v>0.79</v>
      </c>
      <c r="AG232" s="389">
        <v>0.79300000000000004</v>
      </c>
      <c r="AH232" s="389">
        <v>1.194</v>
      </c>
      <c r="AI232" s="389">
        <v>1.748</v>
      </c>
      <c r="AJ232" s="389">
        <v>1.0009999999999999</v>
      </c>
      <c r="AK232" s="389">
        <v>1.391</v>
      </c>
      <c r="AL232" s="389">
        <v>2.512</v>
      </c>
      <c r="AM232" s="389">
        <v>0.80900000000000005</v>
      </c>
      <c r="AN232" s="389">
        <v>2.444</v>
      </c>
      <c r="AO232" s="389">
        <v>2.69</v>
      </c>
      <c r="AP232" s="389">
        <v>3.0489999999999999</v>
      </c>
      <c r="AQ232" s="389">
        <v>4.798</v>
      </c>
      <c r="AR232" s="389">
        <v>3.29</v>
      </c>
      <c r="AS232" s="389">
        <v>3.52</v>
      </c>
      <c r="AT232" s="389">
        <v>4.2270000000000003</v>
      </c>
      <c r="AU232" s="389">
        <v>4.383</v>
      </c>
      <c r="AV232" s="389">
        <v>4.2370000000000001</v>
      </c>
      <c r="AW232" s="389">
        <v>5.8070000000000004</v>
      </c>
      <c r="AX232" s="389">
        <v>4.867</v>
      </c>
      <c r="AY232" s="389">
        <v>4.992</v>
      </c>
      <c r="AZ232" s="389">
        <v>6.0229999999999997</v>
      </c>
      <c r="BA232" s="389">
        <v>3.0760000000000001</v>
      </c>
      <c r="BB232" s="389">
        <v>1.6020000000000001</v>
      </c>
      <c r="BC232" s="389">
        <v>0.84699999999999998</v>
      </c>
      <c r="BD232" s="389">
        <v>1.014</v>
      </c>
      <c r="BE232" s="389">
        <v>0.151</v>
      </c>
      <c r="BF232" s="389">
        <v>0.317</v>
      </c>
      <c r="BG232" s="389">
        <v>0</v>
      </c>
      <c r="BH232" s="389">
        <v>0</v>
      </c>
      <c r="BI232" s="389">
        <v>0</v>
      </c>
      <c r="BJ232" s="389">
        <v>0</v>
      </c>
      <c r="BK232" s="389">
        <v>0</v>
      </c>
      <c r="BL232" s="389">
        <v>0</v>
      </c>
      <c r="BM232" s="389">
        <v>0</v>
      </c>
      <c r="BN232" s="389">
        <v>0</v>
      </c>
      <c r="BO232" s="389">
        <v>0</v>
      </c>
    </row>
    <row r="234" spans="1:67" x14ac:dyDescent="0.2">
      <c r="A234" s="380" t="s">
        <v>3173</v>
      </c>
      <c r="B234" s="381" t="s">
        <v>1611</v>
      </c>
    </row>
    <row r="235" spans="1:67" x14ac:dyDescent="0.2">
      <c r="A235" s="382" t="s">
        <v>2132</v>
      </c>
      <c r="B235" s="383"/>
    </row>
    <row r="236" spans="1:67" x14ac:dyDescent="0.2">
      <c r="A236" s="384" t="s">
        <v>3175</v>
      </c>
      <c r="B236" s="384">
        <v>-25</v>
      </c>
      <c r="C236" s="384">
        <v>-24</v>
      </c>
      <c r="D236" s="384">
        <v>-23</v>
      </c>
      <c r="E236" s="384">
        <v>-22</v>
      </c>
      <c r="F236" s="384">
        <v>-21</v>
      </c>
      <c r="G236" s="384">
        <v>-20</v>
      </c>
      <c r="H236" s="384">
        <v>-19</v>
      </c>
      <c r="I236" s="384">
        <v>-18</v>
      </c>
      <c r="J236" s="384">
        <v>-17</v>
      </c>
      <c r="K236" s="384">
        <v>-16</v>
      </c>
      <c r="L236" s="384">
        <v>-15</v>
      </c>
      <c r="M236" s="384">
        <v>-14</v>
      </c>
      <c r="N236" s="384">
        <v>-13</v>
      </c>
      <c r="O236" s="384">
        <v>-12</v>
      </c>
      <c r="P236" s="384">
        <v>-11</v>
      </c>
      <c r="Q236" s="384">
        <v>-10</v>
      </c>
      <c r="R236" s="384">
        <v>-9</v>
      </c>
      <c r="S236" s="384">
        <v>-8</v>
      </c>
      <c r="T236" s="384">
        <v>-7</v>
      </c>
      <c r="U236" s="384">
        <v>-6</v>
      </c>
      <c r="V236" s="384">
        <v>-5</v>
      </c>
      <c r="W236" s="384">
        <v>-4</v>
      </c>
      <c r="X236" s="384">
        <v>-3</v>
      </c>
      <c r="Y236" s="384">
        <v>-2</v>
      </c>
      <c r="Z236" s="384">
        <v>-1</v>
      </c>
      <c r="AA236" s="384">
        <v>0</v>
      </c>
      <c r="AB236" s="384">
        <v>1</v>
      </c>
      <c r="AC236" s="384">
        <v>2</v>
      </c>
      <c r="AD236" s="384">
        <v>3</v>
      </c>
      <c r="AE236" s="384">
        <v>4</v>
      </c>
      <c r="AF236" s="384">
        <v>5</v>
      </c>
      <c r="AG236" s="384">
        <v>6</v>
      </c>
      <c r="AH236" s="384">
        <v>7</v>
      </c>
      <c r="AI236" s="384">
        <v>8</v>
      </c>
      <c r="AJ236" s="384">
        <v>9</v>
      </c>
      <c r="AK236" s="384">
        <v>10</v>
      </c>
      <c r="AL236" s="384">
        <v>11</v>
      </c>
      <c r="AM236" s="384">
        <v>12</v>
      </c>
      <c r="AN236" s="384">
        <v>13</v>
      </c>
      <c r="AO236" s="384">
        <v>14</v>
      </c>
      <c r="AP236" s="384">
        <v>15</v>
      </c>
      <c r="AQ236" s="384">
        <v>16</v>
      </c>
      <c r="AR236" s="384">
        <v>17</v>
      </c>
      <c r="AS236" s="384">
        <v>18</v>
      </c>
      <c r="AT236" s="384">
        <v>19</v>
      </c>
      <c r="AU236" s="384">
        <v>20</v>
      </c>
      <c r="AV236" s="384">
        <v>21</v>
      </c>
      <c r="AW236" s="384">
        <v>22</v>
      </c>
      <c r="AX236" s="384">
        <v>23</v>
      </c>
      <c r="AY236" s="384">
        <v>24</v>
      </c>
      <c r="AZ236" s="384">
        <v>25</v>
      </c>
      <c r="BA236" s="384">
        <v>26</v>
      </c>
      <c r="BB236" s="384">
        <v>27</v>
      </c>
      <c r="BC236" s="384">
        <v>28</v>
      </c>
      <c r="BD236" s="384">
        <v>29</v>
      </c>
      <c r="BE236" s="384">
        <v>30</v>
      </c>
      <c r="BF236" s="384">
        <v>31</v>
      </c>
      <c r="BG236" s="384">
        <v>32</v>
      </c>
      <c r="BH236" s="384">
        <v>33</v>
      </c>
      <c r="BI236" s="384">
        <v>34</v>
      </c>
      <c r="BJ236" s="384">
        <v>35</v>
      </c>
      <c r="BK236" s="384">
        <v>36</v>
      </c>
      <c r="BL236" s="384">
        <v>37</v>
      </c>
      <c r="BM236" s="384">
        <v>38</v>
      </c>
      <c r="BN236" s="384">
        <v>39</v>
      </c>
      <c r="BO236" s="384">
        <v>40</v>
      </c>
    </row>
    <row r="237" spans="1:67" x14ac:dyDescent="0.2">
      <c r="A237" s="385" t="s">
        <v>3176</v>
      </c>
      <c r="B237" s="385">
        <v>0</v>
      </c>
      <c r="C237" s="385">
        <v>0</v>
      </c>
      <c r="D237" s="385">
        <v>0</v>
      </c>
      <c r="E237" s="385">
        <v>0</v>
      </c>
      <c r="F237" s="385">
        <v>0</v>
      </c>
      <c r="G237" s="385">
        <v>0</v>
      </c>
      <c r="H237" s="385">
        <v>0</v>
      </c>
      <c r="I237" s="385">
        <v>0</v>
      </c>
      <c r="J237" s="385">
        <v>2</v>
      </c>
      <c r="K237" s="385">
        <v>3</v>
      </c>
      <c r="L237" s="385">
        <v>9</v>
      </c>
      <c r="M237" s="385">
        <v>7</v>
      </c>
      <c r="N237" s="385">
        <v>5</v>
      </c>
      <c r="O237" s="385">
        <v>20</v>
      </c>
      <c r="P237" s="385">
        <v>19</v>
      </c>
      <c r="Q237" s="385">
        <v>36</v>
      </c>
      <c r="R237" s="385">
        <v>40</v>
      </c>
      <c r="S237" s="385">
        <v>50</v>
      </c>
      <c r="T237" s="385">
        <v>67</v>
      </c>
      <c r="U237" s="385">
        <v>112</v>
      </c>
      <c r="V237" s="385">
        <v>135</v>
      </c>
      <c r="W237" s="385">
        <v>210</v>
      </c>
      <c r="X237" s="385">
        <v>264</v>
      </c>
      <c r="Y237" s="385">
        <v>292</v>
      </c>
      <c r="Z237" s="385">
        <v>342</v>
      </c>
      <c r="AA237" s="385">
        <v>353</v>
      </c>
      <c r="AB237" s="385">
        <v>396</v>
      </c>
      <c r="AC237" s="385">
        <v>359</v>
      </c>
      <c r="AD237" s="385">
        <v>342</v>
      </c>
      <c r="AE237" s="385">
        <v>376</v>
      </c>
      <c r="AF237" s="385">
        <v>338</v>
      </c>
      <c r="AG237" s="385">
        <v>325</v>
      </c>
      <c r="AH237" s="385">
        <v>351</v>
      </c>
      <c r="AI237" s="385">
        <v>382</v>
      </c>
      <c r="AJ237" s="385">
        <v>362</v>
      </c>
      <c r="AK237" s="385">
        <v>443</v>
      </c>
      <c r="AL237" s="385">
        <v>497</v>
      </c>
      <c r="AM237" s="385">
        <v>422</v>
      </c>
      <c r="AN237" s="385">
        <v>325</v>
      </c>
      <c r="AO237" s="385">
        <v>341</v>
      </c>
      <c r="AP237" s="385">
        <v>288</v>
      </c>
      <c r="AQ237" s="385">
        <v>276</v>
      </c>
      <c r="AR237" s="385">
        <v>180</v>
      </c>
      <c r="AS237" s="385">
        <v>162</v>
      </c>
      <c r="AT237" s="385">
        <v>145</v>
      </c>
      <c r="AU237" s="385">
        <v>105</v>
      </c>
      <c r="AV237" s="385">
        <v>101</v>
      </c>
      <c r="AW237" s="385">
        <v>67</v>
      </c>
      <c r="AX237" s="385">
        <v>75</v>
      </c>
      <c r="AY237" s="385">
        <v>66</v>
      </c>
      <c r="AZ237" s="385">
        <v>37</v>
      </c>
      <c r="BA237" s="385">
        <v>21</v>
      </c>
      <c r="BB237" s="385">
        <v>11</v>
      </c>
      <c r="BC237" s="385">
        <v>1</v>
      </c>
      <c r="BD237" s="385">
        <v>0</v>
      </c>
      <c r="BE237" s="385">
        <v>0</v>
      </c>
      <c r="BF237" s="385">
        <v>0</v>
      </c>
      <c r="BG237" s="385">
        <v>0</v>
      </c>
      <c r="BH237" s="385">
        <v>0</v>
      </c>
      <c r="BI237" s="385">
        <v>0</v>
      </c>
      <c r="BJ237" s="385">
        <v>0</v>
      </c>
      <c r="BK237" s="385">
        <v>0</v>
      </c>
      <c r="BL237" s="385">
        <v>0</v>
      </c>
      <c r="BM237" s="385">
        <v>0</v>
      </c>
      <c r="BN237" s="385">
        <v>0</v>
      </c>
      <c r="BO237" s="385">
        <v>0</v>
      </c>
    </row>
    <row r="238" spans="1:67" x14ac:dyDescent="0.2">
      <c r="A238" s="386" t="s">
        <v>893</v>
      </c>
      <c r="B238" s="386">
        <v>0</v>
      </c>
      <c r="C238" s="386">
        <v>0</v>
      </c>
      <c r="D238" s="386">
        <v>0</v>
      </c>
      <c r="E238" s="386">
        <v>0</v>
      </c>
      <c r="F238" s="386">
        <v>0</v>
      </c>
      <c r="G238" s="386">
        <v>0</v>
      </c>
      <c r="H238" s="386">
        <v>0</v>
      </c>
      <c r="I238" s="386">
        <v>0</v>
      </c>
      <c r="J238" s="386">
        <v>0</v>
      </c>
      <c r="K238" s="386">
        <v>0</v>
      </c>
      <c r="L238" s="386">
        <v>0</v>
      </c>
      <c r="M238" s="386">
        <v>0</v>
      </c>
      <c r="N238" s="386">
        <v>0</v>
      </c>
      <c r="O238" s="386">
        <v>24</v>
      </c>
      <c r="P238" s="386">
        <v>0</v>
      </c>
      <c r="Q238" s="386">
        <v>24</v>
      </c>
      <c r="R238" s="386">
        <v>0</v>
      </c>
      <c r="S238" s="386">
        <v>24</v>
      </c>
      <c r="T238" s="386">
        <v>72</v>
      </c>
      <c r="U238" s="386">
        <v>192</v>
      </c>
      <c r="V238" s="386">
        <v>96</v>
      </c>
      <c r="W238" s="386">
        <v>168</v>
      </c>
      <c r="X238" s="386">
        <v>144</v>
      </c>
      <c r="Y238" s="386">
        <v>336</v>
      </c>
      <c r="Z238" s="386">
        <v>264</v>
      </c>
      <c r="AA238" s="386">
        <v>336</v>
      </c>
      <c r="AB238" s="386">
        <v>576</v>
      </c>
      <c r="AC238" s="386">
        <v>504</v>
      </c>
      <c r="AD238" s="386">
        <v>144</v>
      </c>
      <c r="AE238" s="386">
        <v>312</v>
      </c>
      <c r="AF238" s="386">
        <v>288</v>
      </c>
      <c r="AG238" s="386">
        <v>384</v>
      </c>
      <c r="AH238" s="386">
        <v>360</v>
      </c>
      <c r="AI238" s="386">
        <v>480</v>
      </c>
      <c r="AJ238" s="386">
        <v>456</v>
      </c>
      <c r="AK238" s="386">
        <v>504</v>
      </c>
      <c r="AL238" s="386">
        <v>432</v>
      </c>
      <c r="AM238" s="386">
        <v>528</v>
      </c>
      <c r="AN238" s="386">
        <v>336</v>
      </c>
      <c r="AO238" s="386">
        <v>480</v>
      </c>
      <c r="AP238" s="386">
        <v>168</v>
      </c>
      <c r="AQ238" s="386">
        <v>384</v>
      </c>
      <c r="AR238" s="386">
        <v>408</v>
      </c>
      <c r="AS238" s="386">
        <v>192</v>
      </c>
      <c r="AT238" s="386">
        <v>120</v>
      </c>
      <c r="AU238" s="386">
        <v>24</v>
      </c>
      <c r="AV238" s="386">
        <v>0</v>
      </c>
      <c r="AW238" s="386">
        <v>0</v>
      </c>
      <c r="AX238" s="386">
        <v>0</v>
      </c>
      <c r="AY238" s="386">
        <v>0</v>
      </c>
      <c r="AZ238" s="386">
        <v>0</v>
      </c>
      <c r="BA238" s="386">
        <v>0</v>
      </c>
      <c r="BB238" s="386">
        <v>0</v>
      </c>
      <c r="BC238" s="386">
        <v>0</v>
      </c>
      <c r="BD238" s="386">
        <v>0</v>
      </c>
      <c r="BE238" s="386">
        <v>0</v>
      </c>
      <c r="BF238" s="386">
        <v>0</v>
      </c>
      <c r="BG238" s="386">
        <v>0</v>
      </c>
      <c r="BH238" s="386">
        <v>0</v>
      </c>
      <c r="BI238" s="386">
        <v>0</v>
      </c>
      <c r="BJ238" s="386">
        <v>0</v>
      </c>
      <c r="BK238" s="386">
        <v>0</v>
      </c>
      <c r="BL238" s="386">
        <v>0</v>
      </c>
      <c r="BM238" s="386">
        <v>0</v>
      </c>
      <c r="BN238" s="386">
        <v>0</v>
      </c>
      <c r="BO238" s="386">
        <v>0</v>
      </c>
    </row>
    <row r="239" spans="1:67" x14ac:dyDescent="0.2">
      <c r="A239" s="386" t="s">
        <v>894</v>
      </c>
      <c r="B239" s="387">
        <v>0</v>
      </c>
      <c r="C239" s="387">
        <v>0</v>
      </c>
      <c r="D239" s="387">
        <v>0</v>
      </c>
      <c r="E239" s="387">
        <v>0</v>
      </c>
      <c r="F239" s="387">
        <v>0</v>
      </c>
      <c r="G239" s="387">
        <v>0</v>
      </c>
      <c r="H239" s="387">
        <v>0</v>
      </c>
      <c r="I239" s="387">
        <v>0</v>
      </c>
      <c r="J239" s="387">
        <v>0</v>
      </c>
      <c r="K239" s="387">
        <v>0</v>
      </c>
      <c r="L239" s="387">
        <v>0</v>
      </c>
      <c r="M239" s="387">
        <v>0.19600000000000001</v>
      </c>
      <c r="N239" s="387">
        <v>0</v>
      </c>
      <c r="O239" s="387">
        <v>0.20100000000000001</v>
      </c>
      <c r="P239" s="387">
        <v>0</v>
      </c>
      <c r="Q239" s="387">
        <v>0.39600000000000002</v>
      </c>
      <c r="R239" s="387">
        <v>0</v>
      </c>
      <c r="S239" s="387">
        <v>1.0429999999999999</v>
      </c>
      <c r="T239" s="387">
        <v>0.86099999999999999</v>
      </c>
      <c r="U239" s="387">
        <v>2.91</v>
      </c>
      <c r="V239" s="387">
        <v>3.8580000000000001</v>
      </c>
      <c r="W239" s="387">
        <v>3.407</v>
      </c>
      <c r="X239" s="387">
        <v>6.8730000000000002</v>
      </c>
      <c r="Y239" s="387">
        <v>6.8109999999999999</v>
      </c>
      <c r="Z239" s="387">
        <v>8.0459999999999994</v>
      </c>
      <c r="AA239" s="387">
        <v>12.318</v>
      </c>
      <c r="AB239" s="387">
        <v>12.391999999999999</v>
      </c>
      <c r="AC239" s="387">
        <v>19.13</v>
      </c>
      <c r="AD239" s="387">
        <v>23.349</v>
      </c>
      <c r="AE239" s="387">
        <v>20.218</v>
      </c>
      <c r="AF239" s="387">
        <v>22.853999999999999</v>
      </c>
      <c r="AG239" s="387">
        <v>17.41</v>
      </c>
      <c r="AH239" s="387">
        <v>28.545000000000002</v>
      </c>
      <c r="AI239" s="387">
        <v>27.387</v>
      </c>
      <c r="AJ239" s="387">
        <v>34.698</v>
      </c>
      <c r="AK239" s="387">
        <v>48.68</v>
      </c>
      <c r="AL239" s="387">
        <v>53.786999999999999</v>
      </c>
      <c r="AM239" s="387">
        <v>53.295999999999999</v>
      </c>
      <c r="AN239" s="387">
        <v>42.113999999999997</v>
      </c>
      <c r="AO239" s="387">
        <v>54.648000000000003</v>
      </c>
      <c r="AP239" s="387">
        <v>64.06</v>
      </c>
      <c r="AQ239" s="387">
        <v>71.962999999999994</v>
      </c>
      <c r="AR239" s="387">
        <v>53.792999999999999</v>
      </c>
      <c r="AS239" s="387">
        <v>60.780999999999999</v>
      </c>
      <c r="AT239" s="387">
        <v>60.231000000000002</v>
      </c>
      <c r="AU239" s="387">
        <v>46.064</v>
      </c>
      <c r="AV239" s="387">
        <v>52.634999999999998</v>
      </c>
      <c r="AW239" s="387">
        <v>39.07</v>
      </c>
      <c r="AX239" s="387">
        <v>45.987000000000002</v>
      </c>
      <c r="AY239" s="387">
        <v>43.566000000000003</v>
      </c>
      <c r="AZ239" s="387">
        <v>25.67</v>
      </c>
      <c r="BA239" s="387">
        <v>15.175000000000001</v>
      </c>
      <c r="BB239" s="387">
        <v>8.5389999999999997</v>
      </c>
      <c r="BC239" s="387">
        <v>0.70899999999999996</v>
      </c>
      <c r="BD239" s="387">
        <v>0</v>
      </c>
      <c r="BE239" s="387">
        <v>0</v>
      </c>
      <c r="BF239" s="387">
        <v>0</v>
      </c>
      <c r="BG239" s="387">
        <v>0</v>
      </c>
      <c r="BH239" s="387">
        <v>0</v>
      </c>
      <c r="BI239" s="387">
        <v>0</v>
      </c>
      <c r="BJ239" s="387">
        <v>0</v>
      </c>
      <c r="BK239" s="387">
        <v>0</v>
      </c>
      <c r="BL239" s="387">
        <v>0</v>
      </c>
      <c r="BM239" s="387">
        <v>0</v>
      </c>
      <c r="BN239" s="387">
        <v>0</v>
      </c>
      <c r="BO239" s="387">
        <v>0</v>
      </c>
    </row>
    <row r="240" spans="1:67" x14ac:dyDescent="0.2">
      <c r="A240" s="386" t="s">
        <v>895</v>
      </c>
      <c r="B240" s="387">
        <v>0</v>
      </c>
      <c r="C240" s="387">
        <v>0</v>
      </c>
      <c r="D240" s="387">
        <v>0</v>
      </c>
      <c r="E240" s="387">
        <v>0</v>
      </c>
      <c r="F240" s="387">
        <v>0</v>
      </c>
      <c r="G240" s="387">
        <v>0</v>
      </c>
      <c r="H240" s="387">
        <v>0</v>
      </c>
      <c r="I240" s="387">
        <v>0</v>
      </c>
      <c r="J240" s="387">
        <v>0</v>
      </c>
      <c r="K240" s="387">
        <v>0</v>
      </c>
      <c r="L240" s="387">
        <v>0</v>
      </c>
      <c r="M240" s="387">
        <v>0.308</v>
      </c>
      <c r="N240" s="387">
        <v>0</v>
      </c>
      <c r="O240" s="387">
        <v>0.377</v>
      </c>
      <c r="P240" s="387">
        <v>0</v>
      </c>
      <c r="Q240" s="387">
        <v>0.55100000000000005</v>
      </c>
      <c r="R240" s="387">
        <v>0</v>
      </c>
      <c r="S240" s="387">
        <v>1.5609999999999999</v>
      </c>
      <c r="T240" s="387">
        <v>0.72399999999999998</v>
      </c>
      <c r="U240" s="387">
        <v>2.5190000000000001</v>
      </c>
      <c r="V240" s="387">
        <v>3.8109999999999999</v>
      </c>
      <c r="W240" s="387">
        <v>3.0059999999999998</v>
      </c>
      <c r="X240" s="387">
        <v>5.383</v>
      </c>
      <c r="Y240" s="387">
        <v>5.2649999999999997</v>
      </c>
      <c r="Z240" s="387">
        <v>5.3029999999999999</v>
      </c>
      <c r="AA240" s="387">
        <v>8.8190000000000008</v>
      </c>
      <c r="AB240" s="387">
        <v>10.372</v>
      </c>
      <c r="AC240" s="387">
        <v>12.036</v>
      </c>
      <c r="AD240" s="387">
        <v>14.48</v>
      </c>
      <c r="AE240" s="387">
        <v>11.288</v>
      </c>
      <c r="AF240" s="387">
        <v>10.693</v>
      </c>
      <c r="AG240" s="387">
        <v>7.4039999999999999</v>
      </c>
      <c r="AH240" s="387">
        <v>13.823</v>
      </c>
      <c r="AI240" s="387">
        <v>11.49</v>
      </c>
      <c r="AJ240" s="387">
        <v>13.38</v>
      </c>
      <c r="AK240" s="387">
        <v>16.765000000000001</v>
      </c>
      <c r="AL240" s="387">
        <v>19.39</v>
      </c>
      <c r="AM240" s="387">
        <v>17.489000000000001</v>
      </c>
      <c r="AN240" s="387">
        <v>17.77</v>
      </c>
      <c r="AO240" s="387">
        <v>21.664999999999999</v>
      </c>
      <c r="AP240" s="387">
        <v>18.995000000000001</v>
      </c>
      <c r="AQ240" s="387">
        <v>26.721</v>
      </c>
      <c r="AR240" s="387">
        <v>18.617999999999999</v>
      </c>
      <c r="AS240" s="387">
        <v>19.923999999999999</v>
      </c>
      <c r="AT240" s="387">
        <v>18.919</v>
      </c>
      <c r="AU240" s="387">
        <v>17.280999999999999</v>
      </c>
      <c r="AV240" s="387">
        <v>18.998000000000001</v>
      </c>
      <c r="AW240" s="387">
        <v>9.9890000000000008</v>
      </c>
      <c r="AX240" s="387">
        <v>8.9260000000000002</v>
      </c>
      <c r="AY240" s="387">
        <v>8.0739999999999998</v>
      </c>
      <c r="AZ240" s="387">
        <v>2.9319999999999999</v>
      </c>
      <c r="BA240" s="387">
        <v>1.32</v>
      </c>
      <c r="BB240" s="387">
        <v>0.34899999999999998</v>
      </c>
      <c r="BC240" s="387">
        <v>0</v>
      </c>
      <c r="BD240" s="387">
        <v>0</v>
      </c>
      <c r="BE240" s="387">
        <v>0</v>
      </c>
      <c r="BF240" s="387">
        <v>0</v>
      </c>
      <c r="BG240" s="387">
        <v>0</v>
      </c>
      <c r="BH240" s="387">
        <v>0</v>
      </c>
      <c r="BI240" s="387">
        <v>0</v>
      </c>
      <c r="BJ240" s="387">
        <v>0</v>
      </c>
      <c r="BK240" s="387">
        <v>0</v>
      </c>
      <c r="BL240" s="387">
        <v>0</v>
      </c>
      <c r="BM240" s="387">
        <v>0</v>
      </c>
      <c r="BN240" s="387">
        <v>0</v>
      </c>
      <c r="BO240" s="387">
        <v>0</v>
      </c>
    </row>
    <row r="241" spans="1:67" x14ac:dyDescent="0.2">
      <c r="A241" s="386" t="s">
        <v>896</v>
      </c>
      <c r="B241" s="387">
        <v>0</v>
      </c>
      <c r="C241" s="387">
        <v>0</v>
      </c>
      <c r="D241" s="387">
        <v>0</v>
      </c>
      <c r="E241" s="387">
        <v>0</v>
      </c>
      <c r="F241" s="387">
        <v>0</v>
      </c>
      <c r="G241" s="387">
        <v>0</v>
      </c>
      <c r="H241" s="387">
        <v>0</v>
      </c>
      <c r="I241" s="387">
        <v>0</v>
      </c>
      <c r="J241" s="387">
        <v>0</v>
      </c>
      <c r="K241" s="387">
        <v>0</v>
      </c>
      <c r="L241" s="387">
        <v>0</v>
      </c>
      <c r="M241" s="387">
        <v>0.37</v>
      </c>
      <c r="N241" s="387">
        <v>0</v>
      </c>
      <c r="O241" s="387">
        <v>0.46200000000000002</v>
      </c>
      <c r="P241" s="387">
        <v>0</v>
      </c>
      <c r="Q241" s="387">
        <v>0.97899999999999998</v>
      </c>
      <c r="R241" s="387">
        <v>0</v>
      </c>
      <c r="S241" s="387">
        <v>2.1070000000000002</v>
      </c>
      <c r="T241" s="387">
        <v>0.98699999999999999</v>
      </c>
      <c r="U241" s="387">
        <v>4.7610000000000001</v>
      </c>
      <c r="V241" s="387">
        <v>8.2110000000000003</v>
      </c>
      <c r="W241" s="387">
        <v>7.085</v>
      </c>
      <c r="X241" s="387">
        <v>13.151999999999999</v>
      </c>
      <c r="Y241" s="387">
        <v>12.44</v>
      </c>
      <c r="Z241" s="387">
        <v>14.904999999999999</v>
      </c>
      <c r="AA241" s="387">
        <v>20.050999999999998</v>
      </c>
      <c r="AB241" s="387">
        <v>20.257999999999999</v>
      </c>
      <c r="AC241" s="387">
        <v>29.454999999999998</v>
      </c>
      <c r="AD241" s="387">
        <v>39.637999999999998</v>
      </c>
      <c r="AE241" s="387">
        <v>31.62</v>
      </c>
      <c r="AF241" s="387">
        <v>34.634999999999998</v>
      </c>
      <c r="AG241" s="387">
        <v>19.815999999999999</v>
      </c>
      <c r="AH241" s="387">
        <v>33.043999999999997</v>
      </c>
      <c r="AI241" s="387">
        <v>29.501000000000001</v>
      </c>
      <c r="AJ241" s="387">
        <v>32.076000000000001</v>
      </c>
      <c r="AK241" s="387">
        <v>43.555</v>
      </c>
      <c r="AL241" s="387">
        <v>46.302</v>
      </c>
      <c r="AM241" s="387">
        <v>43.265000000000001</v>
      </c>
      <c r="AN241" s="387">
        <v>29.254000000000001</v>
      </c>
      <c r="AO241" s="387">
        <v>37.177999999999997</v>
      </c>
      <c r="AP241" s="387">
        <v>41.945999999999998</v>
      </c>
      <c r="AQ241" s="387">
        <v>47.573999999999998</v>
      </c>
      <c r="AR241" s="387">
        <v>32.588999999999999</v>
      </c>
      <c r="AS241" s="387">
        <v>36.195</v>
      </c>
      <c r="AT241" s="387">
        <v>34.372999999999998</v>
      </c>
      <c r="AU241" s="387">
        <v>25.158999999999999</v>
      </c>
      <c r="AV241" s="387">
        <v>29.199000000000002</v>
      </c>
      <c r="AW241" s="387">
        <v>20.201000000000001</v>
      </c>
      <c r="AX241" s="387">
        <v>24.045999999999999</v>
      </c>
      <c r="AY241" s="387">
        <v>24.058</v>
      </c>
      <c r="AZ241" s="387">
        <v>14.65</v>
      </c>
      <c r="BA241" s="387">
        <v>8.9700000000000006</v>
      </c>
      <c r="BB241" s="387">
        <v>4.7779999999999996</v>
      </c>
      <c r="BC241" s="387">
        <v>0.504</v>
      </c>
      <c r="BD241" s="387">
        <v>0</v>
      </c>
      <c r="BE241" s="387">
        <v>0</v>
      </c>
      <c r="BF241" s="387">
        <v>0</v>
      </c>
      <c r="BG241" s="387">
        <v>0</v>
      </c>
      <c r="BH241" s="387">
        <v>0</v>
      </c>
      <c r="BI241" s="387">
        <v>0</v>
      </c>
      <c r="BJ241" s="387">
        <v>0</v>
      </c>
      <c r="BK241" s="387">
        <v>0</v>
      </c>
      <c r="BL241" s="387">
        <v>0</v>
      </c>
      <c r="BM241" s="387">
        <v>0</v>
      </c>
      <c r="BN241" s="387">
        <v>0</v>
      </c>
      <c r="BO241" s="387">
        <v>0</v>
      </c>
    </row>
    <row r="242" spans="1:67" x14ac:dyDescent="0.2">
      <c r="A242" s="386" t="s">
        <v>897</v>
      </c>
      <c r="B242" s="387">
        <v>0</v>
      </c>
      <c r="C242" s="387">
        <v>0</v>
      </c>
      <c r="D242" s="387">
        <v>0</v>
      </c>
      <c r="E242" s="387">
        <v>0</v>
      </c>
      <c r="F242" s="387">
        <v>0</v>
      </c>
      <c r="G242" s="387">
        <v>0</v>
      </c>
      <c r="H242" s="387">
        <v>0</v>
      </c>
      <c r="I242" s="387">
        <v>0</v>
      </c>
      <c r="J242" s="387">
        <v>0</v>
      </c>
      <c r="K242" s="387">
        <v>0</v>
      </c>
      <c r="L242" s="387">
        <v>0</v>
      </c>
      <c r="M242" s="387">
        <v>0</v>
      </c>
      <c r="N242" s="387">
        <v>0</v>
      </c>
      <c r="O242" s="387">
        <v>0</v>
      </c>
      <c r="P242" s="387">
        <v>0</v>
      </c>
      <c r="Q242" s="387">
        <v>0.26800000000000002</v>
      </c>
      <c r="R242" s="387">
        <v>0</v>
      </c>
      <c r="S242" s="387">
        <v>0.72799999999999998</v>
      </c>
      <c r="T242" s="387">
        <v>0.16200000000000001</v>
      </c>
      <c r="U242" s="387">
        <v>1.7609999999999999</v>
      </c>
      <c r="V242" s="387">
        <v>3.3849999999999998</v>
      </c>
      <c r="W242" s="387">
        <v>2.88</v>
      </c>
      <c r="X242" s="387">
        <v>5.66</v>
      </c>
      <c r="Y242" s="387">
        <v>4.3760000000000003</v>
      </c>
      <c r="Z242" s="387">
        <v>4.3440000000000003</v>
      </c>
      <c r="AA242" s="387">
        <v>6.4859999999999998</v>
      </c>
      <c r="AB242" s="387">
        <v>7.0309999999999997</v>
      </c>
      <c r="AC242" s="387">
        <v>10.363</v>
      </c>
      <c r="AD242" s="387">
        <v>12.978999999999999</v>
      </c>
      <c r="AE242" s="387">
        <v>10.146000000000001</v>
      </c>
      <c r="AF242" s="387">
        <v>11.976000000000001</v>
      </c>
      <c r="AG242" s="387">
        <v>6.9089999999999998</v>
      </c>
      <c r="AH242" s="387">
        <v>7.827</v>
      </c>
      <c r="AI242" s="387">
        <v>8.8330000000000002</v>
      </c>
      <c r="AJ242" s="387">
        <v>10.647</v>
      </c>
      <c r="AK242" s="387">
        <v>12.148</v>
      </c>
      <c r="AL242" s="387">
        <v>13.433999999999999</v>
      </c>
      <c r="AM242" s="387">
        <v>16.873999999999999</v>
      </c>
      <c r="AN242" s="387">
        <v>9.0760000000000005</v>
      </c>
      <c r="AO242" s="387">
        <v>10.295</v>
      </c>
      <c r="AP242" s="387">
        <v>17.562999999999999</v>
      </c>
      <c r="AQ242" s="387">
        <v>22.978000000000002</v>
      </c>
      <c r="AR242" s="387">
        <v>17.393999999999998</v>
      </c>
      <c r="AS242" s="387">
        <v>14.186999999999999</v>
      </c>
      <c r="AT242" s="387">
        <v>22.241</v>
      </c>
      <c r="AU242" s="387">
        <v>13.364000000000001</v>
      </c>
      <c r="AV242" s="387">
        <v>13.053000000000001</v>
      </c>
      <c r="AW242" s="387">
        <v>13.704000000000001</v>
      </c>
      <c r="AX242" s="387">
        <v>19.088000000000001</v>
      </c>
      <c r="AY242" s="387">
        <v>19.186</v>
      </c>
      <c r="AZ242" s="387">
        <v>12.638</v>
      </c>
      <c r="BA242" s="387">
        <v>8.5660000000000007</v>
      </c>
      <c r="BB242" s="387">
        <v>5.0880000000000001</v>
      </c>
      <c r="BC242" s="387">
        <v>0.47399999999999998</v>
      </c>
      <c r="BD242" s="387">
        <v>0</v>
      </c>
      <c r="BE242" s="387">
        <v>0</v>
      </c>
      <c r="BF242" s="387">
        <v>0</v>
      </c>
      <c r="BG242" s="387">
        <v>0</v>
      </c>
      <c r="BH242" s="387">
        <v>0</v>
      </c>
      <c r="BI242" s="387">
        <v>0</v>
      </c>
      <c r="BJ242" s="387">
        <v>0</v>
      </c>
      <c r="BK242" s="387">
        <v>0</v>
      </c>
      <c r="BL242" s="387">
        <v>0</v>
      </c>
      <c r="BM242" s="387">
        <v>0</v>
      </c>
      <c r="BN242" s="387">
        <v>0</v>
      </c>
      <c r="BO242" s="387">
        <v>0</v>
      </c>
    </row>
    <row r="243" spans="1:67" x14ac:dyDescent="0.2">
      <c r="A243" s="388" t="s">
        <v>898</v>
      </c>
      <c r="B243" s="389">
        <v>0</v>
      </c>
      <c r="C243" s="389">
        <v>0</v>
      </c>
      <c r="D243" s="389">
        <v>0</v>
      </c>
      <c r="E243" s="389">
        <v>0</v>
      </c>
      <c r="F243" s="389">
        <v>0</v>
      </c>
      <c r="G243" s="389">
        <v>0</v>
      </c>
      <c r="H243" s="389">
        <v>0</v>
      </c>
      <c r="I243" s="389">
        <v>0</v>
      </c>
      <c r="J243" s="389">
        <v>0</v>
      </c>
      <c r="K243" s="389">
        <v>0</v>
      </c>
      <c r="L243" s="389">
        <v>0</v>
      </c>
      <c r="M243" s="389">
        <v>0</v>
      </c>
      <c r="N243" s="389">
        <v>0</v>
      </c>
      <c r="O243" s="389">
        <v>0</v>
      </c>
      <c r="P243" s="389">
        <v>0</v>
      </c>
      <c r="Q243" s="389">
        <v>0.26600000000000001</v>
      </c>
      <c r="R243" s="389">
        <v>0</v>
      </c>
      <c r="S243" s="389">
        <v>0.72299999999999998</v>
      </c>
      <c r="T243" s="389">
        <v>0.161</v>
      </c>
      <c r="U243" s="389">
        <v>1.714</v>
      </c>
      <c r="V243" s="389">
        <v>2.544</v>
      </c>
      <c r="W243" s="389">
        <v>1.8859999999999999</v>
      </c>
      <c r="X243" s="389">
        <v>3.1389999999999998</v>
      </c>
      <c r="Y243" s="389">
        <v>3.03</v>
      </c>
      <c r="Z243" s="389">
        <v>2.23</v>
      </c>
      <c r="AA243" s="389">
        <v>2.9929999999999999</v>
      </c>
      <c r="AB243" s="389">
        <v>4.5670000000000002</v>
      </c>
      <c r="AC243" s="389">
        <v>4.9630000000000001</v>
      </c>
      <c r="AD243" s="389">
        <v>6.7830000000000004</v>
      </c>
      <c r="AE243" s="389">
        <v>4.1820000000000004</v>
      </c>
      <c r="AF243" s="389">
        <v>4.9189999999999996</v>
      </c>
      <c r="AG243" s="389">
        <v>2.0190000000000001</v>
      </c>
      <c r="AH243" s="389">
        <v>1.8</v>
      </c>
      <c r="AI243" s="389">
        <v>1.5249999999999999</v>
      </c>
      <c r="AJ243" s="389">
        <v>1.153</v>
      </c>
      <c r="AK243" s="389">
        <v>0</v>
      </c>
      <c r="AL243" s="389">
        <v>0.70399999999999996</v>
      </c>
      <c r="AM243" s="389">
        <v>0.46500000000000002</v>
      </c>
      <c r="AN243" s="389">
        <v>0</v>
      </c>
      <c r="AO243" s="389">
        <v>0.15</v>
      </c>
      <c r="AP243" s="389">
        <v>0.308</v>
      </c>
      <c r="AQ243" s="389">
        <v>0.50700000000000001</v>
      </c>
      <c r="AR243" s="389">
        <v>0.61099999999999999</v>
      </c>
      <c r="AS243" s="389">
        <v>0.46300000000000002</v>
      </c>
      <c r="AT243" s="389">
        <v>0.95899999999999996</v>
      </c>
      <c r="AU243" s="389">
        <v>0.46</v>
      </c>
      <c r="AV243" s="389">
        <v>0.78</v>
      </c>
      <c r="AW243" s="389">
        <v>0.77100000000000002</v>
      </c>
      <c r="AX243" s="389">
        <v>0.78300000000000003</v>
      </c>
      <c r="AY243" s="389">
        <v>0.61399999999999999</v>
      </c>
      <c r="AZ243" s="389">
        <v>0.625</v>
      </c>
      <c r="BA243" s="389">
        <v>0.154</v>
      </c>
      <c r="BB243" s="389">
        <v>0</v>
      </c>
      <c r="BC243" s="389">
        <v>0</v>
      </c>
      <c r="BD243" s="389">
        <v>0</v>
      </c>
      <c r="BE243" s="389">
        <v>0</v>
      </c>
      <c r="BF243" s="389">
        <v>0</v>
      </c>
      <c r="BG243" s="389">
        <v>0</v>
      </c>
      <c r="BH243" s="389">
        <v>0</v>
      </c>
      <c r="BI243" s="389">
        <v>0</v>
      </c>
      <c r="BJ243" s="389">
        <v>0</v>
      </c>
      <c r="BK243" s="389">
        <v>0</v>
      </c>
      <c r="BL243" s="389">
        <v>0</v>
      </c>
      <c r="BM243" s="389">
        <v>0</v>
      </c>
      <c r="BN243" s="389">
        <v>0</v>
      </c>
      <c r="BO243" s="389">
        <v>0</v>
      </c>
    </row>
    <row r="245" spans="1:67" x14ac:dyDescent="0.2">
      <c r="A245" s="380" t="s">
        <v>3173</v>
      </c>
      <c r="B245" s="381" t="s">
        <v>1612</v>
      </c>
    </row>
    <row r="246" spans="1:67" x14ac:dyDescent="0.2">
      <c r="A246" s="382" t="s">
        <v>2357</v>
      </c>
      <c r="B246" s="383"/>
    </row>
    <row r="247" spans="1:67" x14ac:dyDescent="0.2">
      <c r="A247" s="384" t="s">
        <v>3175</v>
      </c>
      <c r="B247" s="384">
        <v>-25</v>
      </c>
      <c r="C247" s="384">
        <v>-24</v>
      </c>
      <c r="D247" s="384">
        <v>-23</v>
      </c>
      <c r="E247" s="384">
        <v>-22</v>
      </c>
      <c r="F247" s="384">
        <v>-21</v>
      </c>
      <c r="G247" s="384">
        <v>-20</v>
      </c>
      <c r="H247" s="384">
        <v>-19</v>
      </c>
      <c r="I247" s="384">
        <v>-18</v>
      </c>
      <c r="J247" s="384">
        <v>-17</v>
      </c>
      <c r="K247" s="384">
        <v>-16</v>
      </c>
      <c r="L247" s="384">
        <v>-15</v>
      </c>
      <c r="M247" s="384">
        <v>-14</v>
      </c>
      <c r="N247" s="384">
        <v>-13</v>
      </c>
      <c r="O247" s="384">
        <v>-12</v>
      </c>
      <c r="P247" s="384">
        <v>-11</v>
      </c>
      <c r="Q247" s="384">
        <v>-10</v>
      </c>
      <c r="R247" s="384">
        <v>-9</v>
      </c>
      <c r="S247" s="384">
        <v>-8</v>
      </c>
      <c r="T247" s="384">
        <v>-7</v>
      </c>
      <c r="U247" s="384">
        <v>-6</v>
      </c>
      <c r="V247" s="384">
        <v>-5</v>
      </c>
      <c r="W247" s="384">
        <v>-4</v>
      </c>
      <c r="X247" s="384">
        <v>-3</v>
      </c>
      <c r="Y247" s="384">
        <v>-2</v>
      </c>
      <c r="Z247" s="384">
        <v>-1</v>
      </c>
      <c r="AA247" s="384">
        <v>0</v>
      </c>
      <c r="AB247" s="384">
        <v>1</v>
      </c>
      <c r="AC247" s="384">
        <v>2</v>
      </c>
      <c r="AD247" s="384">
        <v>3</v>
      </c>
      <c r="AE247" s="384">
        <v>4</v>
      </c>
      <c r="AF247" s="384">
        <v>5</v>
      </c>
      <c r="AG247" s="384">
        <v>6</v>
      </c>
      <c r="AH247" s="384">
        <v>7</v>
      </c>
      <c r="AI247" s="384">
        <v>8</v>
      </c>
      <c r="AJ247" s="384">
        <v>9</v>
      </c>
      <c r="AK247" s="384">
        <v>10</v>
      </c>
      <c r="AL247" s="384">
        <v>11</v>
      </c>
      <c r="AM247" s="384">
        <v>12</v>
      </c>
      <c r="AN247" s="384">
        <v>13</v>
      </c>
      <c r="AO247" s="384">
        <v>14</v>
      </c>
      <c r="AP247" s="384">
        <v>15</v>
      </c>
      <c r="AQ247" s="384">
        <v>16</v>
      </c>
      <c r="AR247" s="384">
        <v>17</v>
      </c>
      <c r="AS247" s="384">
        <v>18</v>
      </c>
      <c r="AT247" s="384">
        <v>19</v>
      </c>
      <c r="AU247" s="384">
        <v>20</v>
      </c>
      <c r="AV247" s="384">
        <v>21</v>
      </c>
      <c r="AW247" s="384">
        <v>22</v>
      </c>
      <c r="AX247" s="384">
        <v>23</v>
      </c>
      <c r="AY247" s="384">
        <v>24</v>
      </c>
      <c r="AZ247" s="384">
        <v>25</v>
      </c>
      <c r="BA247" s="384">
        <v>26</v>
      </c>
      <c r="BB247" s="384">
        <v>27</v>
      </c>
      <c r="BC247" s="384">
        <v>28</v>
      </c>
      <c r="BD247" s="384">
        <v>29</v>
      </c>
      <c r="BE247" s="384">
        <v>30</v>
      </c>
      <c r="BF247" s="384">
        <v>31</v>
      </c>
      <c r="BG247" s="384">
        <v>32</v>
      </c>
      <c r="BH247" s="384">
        <v>33</v>
      </c>
      <c r="BI247" s="384">
        <v>34</v>
      </c>
      <c r="BJ247" s="384">
        <v>35</v>
      </c>
      <c r="BK247" s="384">
        <v>36</v>
      </c>
      <c r="BL247" s="384">
        <v>37</v>
      </c>
      <c r="BM247" s="384">
        <v>38</v>
      </c>
      <c r="BN247" s="384">
        <v>39</v>
      </c>
      <c r="BO247" s="384">
        <v>40</v>
      </c>
    </row>
    <row r="248" spans="1:67" x14ac:dyDescent="0.2">
      <c r="A248" s="385" t="s">
        <v>3176</v>
      </c>
      <c r="B248" s="385">
        <v>16</v>
      </c>
      <c r="C248" s="385">
        <v>18</v>
      </c>
      <c r="D248" s="385">
        <v>37</v>
      </c>
      <c r="E248" s="385">
        <v>39</v>
      </c>
      <c r="F248" s="385">
        <v>39</v>
      </c>
      <c r="G248" s="385">
        <v>31</v>
      </c>
      <c r="H248" s="385">
        <v>29</v>
      </c>
      <c r="I248" s="385">
        <v>40</v>
      </c>
      <c r="J248" s="385">
        <v>49</v>
      </c>
      <c r="K248" s="385">
        <v>53</v>
      </c>
      <c r="L248" s="385">
        <v>75</v>
      </c>
      <c r="M248" s="385">
        <v>116</v>
      </c>
      <c r="N248" s="385">
        <v>101</v>
      </c>
      <c r="O248" s="385">
        <v>111</v>
      </c>
      <c r="P248" s="385">
        <v>127</v>
      </c>
      <c r="Q248" s="385">
        <v>145</v>
      </c>
      <c r="R248" s="385">
        <v>158</v>
      </c>
      <c r="S248" s="385">
        <v>187</v>
      </c>
      <c r="T248" s="385">
        <v>176</v>
      </c>
      <c r="U248" s="385">
        <v>186</v>
      </c>
      <c r="V248" s="385">
        <v>263</v>
      </c>
      <c r="W248" s="385">
        <v>281</v>
      </c>
      <c r="X248" s="385">
        <v>327</v>
      </c>
      <c r="Y248" s="385">
        <v>327</v>
      </c>
      <c r="Z248" s="385">
        <v>379</v>
      </c>
      <c r="AA248" s="385">
        <v>331</v>
      </c>
      <c r="AB248" s="385">
        <v>405</v>
      </c>
      <c r="AC248" s="385">
        <v>386</v>
      </c>
      <c r="AD248" s="385">
        <v>335</v>
      </c>
      <c r="AE248" s="385">
        <v>316</v>
      </c>
      <c r="AF248" s="385">
        <v>358</v>
      </c>
      <c r="AG248" s="385">
        <v>381</v>
      </c>
      <c r="AH248" s="385">
        <v>387</v>
      </c>
      <c r="AI248" s="385">
        <v>336</v>
      </c>
      <c r="AJ248" s="385">
        <v>315</v>
      </c>
      <c r="AK248" s="385">
        <v>325</v>
      </c>
      <c r="AL248" s="385">
        <v>227</v>
      </c>
      <c r="AM248" s="385">
        <v>212</v>
      </c>
      <c r="AN248" s="385">
        <v>193</v>
      </c>
      <c r="AO248" s="385">
        <v>189</v>
      </c>
      <c r="AP248" s="385">
        <v>124</v>
      </c>
      <c r="AQ248" s="385">
        <v>125</v>
      </c>
      <c r="AR248" s="385">
        <v>85</v>
      </c>
      <c r="AS248" s="385">
        <v>98</v>
      </c>
      <c r="AT248" s="385">
        <v>84</v>
      </c>
      <c r="AU248" s="385">
        <v>84</v>
      </c>
      <c r="AV248" s="385">
        <v>51</v>
      </c>
      <c r="AW248" s="385">
        <v>45</v>
      </c>
      <c r="AX248" s="385">
        <v>24</v>
      </c>
      <c r="AY248" s="385">
        <v>6</v>
      </c>
      <c r="AZ248" s="385">
        <v>1</v>
      </c>
      <c r="BA248" s="385">
        <v>0</v>
      </c>
      <c r="BB248" s="385">
        <v>0</v>
      </c>
      <c r="BC248" s="385">
        <v>0</v>
      </c>
      <c r="BD248" s="385">
        <v>0</v>
      </c>
      <c r="BE248" s="385">
        <v>0</v>
      </c>
      <c r="BF248" s="385">
        <v>0</v>
      </c>
      <c r="BG248" s="385">
        <v>0</v>
      </c>
      <c r="BH248" s="385">
        <v>0</v>
      </c>
      <c r="BI248" s="385">
        <v>0</v>
      </c>
      <c r="BJ248" s="385">
        <v>0</v>
      </c>
      <c r="BK248" s="385">
        <v>0</v>
      </c>
      <c r="BL248" s="385">
        <v>0</v>
      </c>
      <c r="BM248" s="385">
        <v>0</v>
      </c>
      <c r="BN248" s="385">
        <v>0</v>
      </c>
      <c r="BO248" s="385">
        <v>0</v>
      </c>
    </row>
    <row r="249" spans="1:67" x14ac:dyDescent="0.2">
      <c r="A249" s="386" t="s">
        <v>893</v>
      </c>
      <c r="B249" s="386">
        <v>0</v>
      </c>
      <c r="C249" s="386">
        <v>0</v>
      </c>
      <c r="D249" s="386">
        <v>0</v>
      </c>
      <c r="E249" s="386">
        <v>0</v>
      </c>
      <c r="F249" s="386">
        <v>72</v>
      </c>
      <c r="G249" s="386">
        <v>0</v>
      </c>
      <c r="H249" s="386">
        <v>48</v>
      </c>
      <c r="I249" s="386">
        <v>0</v>
      </c>
      <c r="J249" s="386">
        <v>24</v>
      </c>
      <c r="K249" s="386">
        <v>96</v>
      </c>
      <c r="L249" s="386">
        <v>96</v>
      </c>
      <c r="M249" s="386">
        <v>48</v>
      </c>
      <c r="N249" s="386">
        <v>144</v>
      </c>
      <c r="O249" s="386">
        <v>120</v>
      </c>
      <c r="P249" s="386">
        <v>96</v>
      </c>
      <c r="Q249" s="386">
        <v>192</v>
      </c>
      <c r="R249" s="386">
        <v>216</v>
      </c>
      <c r="S249" s="386">
        <v>192</v>
      </c>
      <c r="T249" s="386">
        <v>96</v>
      </c>
      <c r="U249" s="386">
        <v>240</v>
      </c>
      <c r="V249" s="386">
        <v>192</v>
      </c>
      <c r="W249" s="386">
        <v>264</v>
      </c>
      <c r="X249" s="386">
        <v>192</v>
      </c>
      <c r="Y249" s="386">
        <v>504</v>
      </c>
      <c r="Z249" s="386">
        <v>456</v>
      </c>
      <c r="AA249" s="386">
        <v>456</v>
      </c>
      <c r="AB249" s="386">
        <v>360</v>
      </c>
      <c r="AC249" s="386">
        <v>240</v>
      </c>
      <c r="AD249" s="386">
        <v>216</v>
      </c>
      <c r="AE249" s="386">
        <v>408</v>
      </c>
      <c r="AF249" s="386">
        <v>384</v>
      </c>
      <c r="AG249" s="386">
        <v>456</v>
      </c>
      <c r="AH249" s="386">
        <v>360</v>
      </c>
      <c r="AI249" s="386">
        <v>480</v>
      </c>
      <c r="AJ249" s="386">
        <v>384</v>
      </c>
      <c r="AK249" s="386">
        <v>288</v>
      </c>
      <c r="AL249" s="386">
        <v>336</v>
      </c>
      <c r="AM249" s="386">
        <v>264</v>
      </c>
      <c r="AN249" s="386">
        <v>408</v>
      </c>
      <c r="AO249" s="386">
        <v>216</v>
      </c>
      <c r="AP249" s="386">
        <v>96</v>
      </c>
      <c r="AQ249" s="386">
        <v>120</v>
      </c>
      <c r="AR249" s="386">
        <v>0</v>
      </c>
      <c r="AS249" s="386">
        <v>0</v>
      </c>
      <c r="AT249" s="386">
        <v>0</v>
      </c>
      <c r="AU249" s="386">
        <v>0</v>
      </c>
      <c r="AV249" s="386">
        <v>0</v>
      </c>
      <c r="AW249" s="386">
        <v>0</v>
      </c>
      <c r="AX249" s="386">
        <v>0</v>
      </c>
      <c r="AY249" s="386">
        <v>0</v>
      </c>
      <c r="AZ249" s="386">
        <v>0</v>
      </c>
      <c r="BA249" s="386">
        <v>0</v>
      </c>
      <c r="BB249" s="386">
        <v>0</v>
      </c>
      <c r="BC249" s="386">
        <v>0</v>
      </c>
      <c r="BD249" s="386">
        <v>0</v>
      </c>
      <c r="BE249" s="386">
        <v>0</v>
      </c>
      <c r="BF249" s="386">
        <v>0</v>
      </c>
      <c r="BG249" s="386">
        <v>0</v>
      </c>
      <c r="BH249" s="386">
        <v>0</v>
      </c>
      <c r="BI249" s="386">
        <v>0</v>
      </c>
      <c r="BJ249" s="386">
        <v>0</v>
      </c>
      <c r="BK249" s="386">
        <v>0</v>
      </c>
      <c r="BL249" s="386">
        <v>0</v>
      </c>
      <c r="BM249" s="386">
        <v>0</v>
      </c>
      <c r="BN249" s="386">
        <v>0</v>
      </c>
      <c r="BO249" s="386">
        <v>0</v>
      </c>
    </row>
    <row r="250" spans="1:67" x14ac:dyDescent="0.2">
      <c r="A250" s="386" t="s">
        <v>894</v>
      </c>
      <c r="B250" s="387">
        <v>0.47899999999999998</v>
      </c>
      <c r="C250" s="387">
        <v>0</v>
      </c>
      <c r="D250" s="387">
        <v>0.26200000000000001</v>
      </c>
      <c r="E250" s="387">
        <v>1.0389999999999999</v>
      </c>
      <c r="F250" s="387">
        <v>1.099</v>
      </c>
      <c r="G250" s="387">
        <v>0.92200000000000004</v>
      </c>
      <c r="H250" s="387">
        <v>0.57699999999999996</v>
      </c>
      <c r="I250" s="387">
        <v>2.774</v>
      </c>
      <c r="J250" s="387">
        <v>1.71</v>
      </c>
      <c r="K250" s="387">
        <v>1.5529999999999999</v>
      </c>
      <c r="L250" s="387">
        <v>1.675</v>
      </c>
      <c r="M250" s="387">
        <v>4.6230000000000002</v>
      </c>
      <c r="N250" s="387">
        <v>3.9209999999999998</v>
      </c>
      <c r="O250" s="387">
        <v>3.63</v>
      </c>
      <c r="P250" s="387">
        <v>8.2959999999999994</v>
      </c>
      <c r="Q250" s="387">
        <v>5.4749999999999996</v>
      </c>
      <c r="R250" s="387">
        <v>8.5180000000000007</v>
      </c>
      <c r="S250" s="387">
        <v>11.848000000000001</v>
      </c>
      <c r="T250" s="387">
        <v>8.3469999999999995</v>
      </c>
      <c r="U250" s="387">
        <v>14.077</v>
      </c>
      <c r="V250" s="387">
        <v>16.256</v>
      </c>
      <c r="W250" s="387">
        <v>18.193000000000001</v>
      </c>
      <c r="X250" s="387">
        <v>24.597000000000001</v>
      </c>
      <c r="Y250" s="387">
        <v>20.23</v>
      </c>
      <c r="Z250" s="387">
        <v>29.481000000000002</v>
      </c>
      <c r="AA250" s="387">
        <v>25.835000000000001</v>
      </c>
      <c r="AB250" s="387">
        <v>28.437000000000001</v>
      </c>
      <c r="AC250" s="387">
        <v>43.954000000000001</v>
      </c>
      <c r="AD250" s="387">
        <v>39.674999999999997</v>
      </c>
      <c r="AE250" s="387">
        <v>29.974</v>
      </c>
      <c r="AF250" s="387">
        <v>37.93</v>
      </c>
      <c r="AG250" s="387">
        <v>53.728999999999999</v>
      </c>
      <c r="AH250" s="387">
        <v>57.314</v>
      </c>
      <c r="AI250" s="387">
        <v>52.171999999999997</v>
      </c>
      <c r="AJ250" s="387">
        <v>58.198999999999998</v>
      </c>
      <c r="AK250" s="387">
        <v>52.866</v>
      </c>
      <c r="AL250" s="387">
        <v>57.35</v>
      </c>
      <c r="AM250" s="387">
        <v>55.661999999999999</v>
      </c>
      <c r="AN250" s="387">
        <v>59.372999999999998</v>
      </c>
      <c r="AO250" s="387">
        <v>72.721999999999994</v>
      </c>
      <c r="AP250" s="387">
        <v>48.398000000000003</v>
      </c>
      <c r="AQ250" s="387">
        <v>55.093000000000004</v>
      </c>
      <c r="AR250" s="387">
        <v>38.396999999999998</v>
      </c>
      <c r="AS250" s="387">
        <v>49.741</v>
      </c>
      <c r="AT250" s="387">
        <v>47.828000000000003</v>
      </c>
      <c r="AU250" s="387">
        <v>51.493000000000002</v>
      </c>
      <c r="AV250" s="387">
        <v>31.87</v>
      </c>
      <c r="AW250" s="387">
        <v>32.284999999999997</v>
      </c>
      <c r="AX250" s="387">
        <v>18.603000000000002</v>
      </c>
      <c r="AY250" s="387">
        <v>4.8140000000000001</v>
      </c>
      <c r="AZ250" s="387">
        <v>0.745</v>
      </c>
      <c r="BA250" s="387">
        <v>0</v>
      </c>
      <c r="BB250" s="387">
        <v>0</v>
      </c>
      <c r="BC250" s="387">
        <v>0</v>
      </c>
      <c r="BD250" s="387">
        <v>0</v>
      </c>
      <c r="BE250" s="387">
        <v>0</v>
      </c>
      <c r="BF250" s="387">
        <v>0</v>
      </c>
      <c r="BG250" s="387">
        <v>0</v>
      </c>
      <c r="BH250" s="387">
        <v>0</v>
      </c>
      <c r="BI250" s="387">
        <v>0</v>
      </c>
      <c r="BJ250" s="387">
        <v>0</v>
      </c>
      <c r="BK250" s="387">
        <v>0</v>
      </c>
      <c r="BL250" s="387">
        <v>0</v>
      </c>
      <c r="BM250" s="387">
        <v>0</v>
      </c>
      <c r="BN250" s="387">
        <v>0</v>
      </c>
      <c r="BO250" s="387">
        <v>0</v>
      </c>
    </row>
    <row r="251" spans="1:67" x14ac:dyDescent="0.2">
      <c r="A251" s="386" t="s">
        <v>895</v>
      </c>
      <c r="B251" s="387">
        <v>0.69599999999999995</v>
      </c>
      <c r="C251" s="387">
        <v>0</v>
      </c>
      <c r="D251" s="387">
        <v>0.46</v>
      </c>
      <c r="E251" s="387">
        <v>1.2010000000000001</v>
      </c>
      <c r="F251" s="387">
        <v>1.8009999999999999</v>
      </c>
      <c r="G251" s="387">
        <v>1.4390000000000001</v>
      </c>
      <c r="H251" s="387">
        <v>0.98299999999999998</v>
      </c>
      <c r="I251" s="387">
        <v>3.88</v>
      </c>
      <c r="J251" s="387">
        <v>2.2090000000000001</v>
      </c>
      <c r="K251" s="387">
        <v>2.5249999999999999</v>
      </c>
      <c r="L251" s="387">
        <v>1.782</v>
      </c>
      <c r="M251" s="387">
        <v>6.6319999999999997</v>
      </c>
      <c r="N251" s="387">
        <v>5.3719999999999999</v>
      </c>
      <c r="O251" s="387">
        <v>4.3129999999999997</v>
      </c>
      <c r="P251" s="387">
        <v>9.6020000000000003</v>
      </c>
      <c r="Q251" s="387">
        <v>5.7080000000000002</v>
      </c>
      <c r="R251" s="387">
        <v>8.407</v>
      </c>
      <c r="S251" s="387">
        <v>11.51</v>
      </c>
      <c r="T251" s="387">
        <v>6.44</v>
      </c>
      <c r="U251" s="387">
        <v>15.657</v>
      </c>
      <c r="V251" s="387">
        <v>15.172000000000001</v>
      </c>
      <c r="W251" s="387">
        <v>16.035</v>
      </c>
      <c r="X251" s="387">
        <v>22.521999999999998</v>
      </c>
      <c r="Y251" s="387">
        <v>17.645</v>
      </c>
      <c r="Z251" s="387">
        <v>27.605</v>
      </c>
      <c r="AA251" s="387">
        <v>20.195</v>
      </c>
      <c r="AB251" s="387">
        <v>23.404</v>
      </c>
      <c r="AC251" s="387">
        <v>32.265000000000001</v>
      </c>
      <c r="AD251" s="387">
        <v>25.308</v>
      </c>
      <c r="AE251" s="387">
        <v>20.077999999999999</v>
      </c>
      <c r="AF251" s="387">
        <v>22.3</v>
      </c>
      <c r="AG251" s="387">
        <v>31.992000000000001</v>
      </c>
      <c r="AH251" s="387">
        <v>32.497999999999998</v>
      </c>
      <c r="AI251" s="387">
        <v>25.143999999999998</v>
      </c>
      <c r="AJ251" s="387">
        <v>27.077000000000002</v>
      </c>
      <c r="AK251" s="387">
        <v>26.55</v>
      </c>
      <c r="AL251" s="387">
        <v>27.795999999999999</v>
      </c>
      <c r="AM251" s="387">
        <v>25.556999999999999</v>
      </c>
      <c r="AN251" s="387">
        <v>24.068000000000001</v>
      </c>
      <c r="AO251" s="387">
        <v>21.457999999999998</v>
      </c>
      <c r="AP251" s="387">
        <v>16.202000000000002</v>
      </c>
      <c r="AQ251" s="387">
        <v>14.949</v>
      </c>
      <c r="AR251" s="387">
        <v>11.855</v>
      </c>
      <c r="AS251" s="387">
        <v>12.961</v>
      </c>
      <c r="AT251" s="387">
        <v>13.151999999999999</v>
      </c>
      <c r="AU251" s="387">
        <v>11.172000000000001</v>
      </c>
      <c r="AV251" s="387">
        <v>5.2160000000000002</v>
      </c>
      <c r="AW251" s="387">
        <v>3.7970000000000002</v>
      </c>
      <c r="AX251" s="387">
        <v>2.4049999999999998</v>
      </c>
      <c r="AY251" s="387">
        <v>0.20499999999999999</v>
      </c>
      <c r="AZ251" s="387">
        <v>0</v>
      </c>
      <c r="BA251" s="387">
        <v>0</v>
      </c>
      <c r="BB251" s="387">
        <v>0</v>
      </c>
      <c r="BC251" s="387">
        <v>0</v>
      </c>
      <c r="BD251" s="387">
        <v>0</v>
      </c>
      <c r="BE251" s="387">
        <v>0</v>
      </c>
      <c r="BF251" s="387">
        <v>0</v>
      </c>
      <c r="BG251" s="387">
        <v>0</v>
      </c>
      <c r="BH251" s="387">
        <v>0</v>
      </c>
      <c r="BI251" s="387">
        <v>0</v>
      </c>
      <c r="BJ251" s="387">
        <v>0</v>
      </c>
      <c r="BK251" s="387">
        <v>0</v>
      </c>
      <c r="BL251" s="387">
        <v>0</v>
      </c>
      <c r="BM251" s="387">
        <v>0</v>
      </c>
      <c r="BN251" s="387">
        <v>0</v>
      </c>
      <c r="BO251" s="387">
        <v>0</v>
      </c>
    </row>
    <row r="252" spans="1:67" x14ac:dyDescent="0.2">
      <c r="A252" s="386" t="s">
        <v>896</v>
      </c>
      <c r="B252" s="387">
        <v>0.83699999999999997</v>
      </c>
      <c r="C252" s="387">
        <v>0</v>
      </c>
      <c r="D252" s="387">
        <v>0.625</v>
      </c>
      <c r="E252" s="387">
        <v>1.849</v>
      </c>
      <c r="F252" s="387">
        <v>1.978</v>
      </c>
      <c r="G252" s="387">
        <v>2.3769999999999998</v>
      </c>
      <c r="H252" s="387">
        <v>1.2969999999999999</v>
      </c>
      <c r="I252" s="387">
        <v>6.3159999999999998</v>
      </c>
      <c r="J252" s="387">
        <v>3.9660000000000002</v>
      </c>
      <c r="K252" s="387">
        <v>3.5430000000000001</v>
      </c>
      <c r="L252" s="387">
        <v>3.43</v>
      </c>
      <c r="M252" s="387">
        <v>10.419</v>
      </c>
      <c r="N252" s="387">
        <v>9.3019999999999996</v>
      </c>
      <c r="O252" s="387">
        <v>8.8689999999999998</v>
      </c>
      <c r="P252" s="387">
        <v>18.552</v>
      </c>
      <c r="Q252" s="387">
        <v>13.523999999999999</v>
      </c>
      <c r="R252" s="387">
        <v>19.527999999999999</v>
      </c>
      <c r="S252" s="387">
        <v>25.847000000000001</v>
      </c>
      <c r="T252" s="387">
        <v>17.401</v>
      </c>
      <c r="U252" s="387">
        <v>28.989000000000001</v>
      </c>
      <c r="V252" s="387">
        <v>33.479999999999997</v>
      </c>
      <c r="W252" s="387">
        <v>36.615000000000002</v>
      </c>
      <c r="X252" s="387">
        <v>43.707000000000001</v>
      </c>
      <c r="Y252" s="387">
        <v>38.045000000000002</v>
      </c>
      <c r="Z252" s="387">
        <v>44.811</v>
      </c>
      <c r="AA252" s="387">
        <v>38.64</v>
      </c>
      <c r="AB252" s="387">
        <v>36.853999999999999</v>
      </c>
      <c r="AC252" s="387">
        <v>56.58</v>
      </c>
      <c r="AD252" s="387">
        <v>44.48</v>
      </c>
      <c r="AE252" s="387">
        <v>31.457000000000001</v>
      </c>
      <c r="AF252" s="387">
        <v>40.942</v>
      </c>
      <c r="AG252" s="387">
        <v>54.040999999999997</v>
      </c>
      <c r="AH252" s="387">
        <v>53.895000000000003</v>
      </c>
      <c r="AI252" s="387">
        <v>39.277000000000001</v>
      </c>
      <c r="AJ252" s="387">
        <v>38.305999999999997</v>
      </c>
      <c r="AK252" s="387">
        <v>31.053999999999998</v>
      </c>
      <c r="AL252" s="387">
        <v>34.515999999999998</v>
      </c>
      <c r="AM252" s="387">
        <v>35.326999999999998</v>
      </c>
      <c r="AN252" s="387">
        <v>36.606999999999999</v>
      </c>
      <c r="AO252" s="387">
        <v>40.665999999999997</v>
      </c>
      <c r="AP252" s="387">
        <v>25.262</v>
      </c>
      <c r="AQ252" s="387">
        <v>33.906999999999996</v>
      </c>
      <c r="AR252" s="387">
        <v>22.655999999999999</v>
      </c>
      <c r="AS252" s="387">
        <v>27.786000000000001</v>
      </c>
      <c r="AT252" s="387">
        <v>27.797999999999998</v>
      </c>
      <c r="AU252" s="387">
        <v>30.036999999999999</v>
      </c>
      <c r="AV252" s="387">
        <v>18.170000000000002</v>
      </c>
      <c r="AW252" s="387">
        <v>18.942</v>
      </c>
      <c r="AX252" s="387">
        <v>11.132999999999999</v>
      </c>
      <c r="AY252" s="387">
        <v>2.714</v>
      </c>
      <c r="AZ252" s="387">
        <v>0.36099999999999999</v>
      </c>
      <c r="BA252" s="387">
        <v>0</v>
      </c>
      <c r="BB252" s="387">
        <v>0</v>
      </c>
      <c r="BC252" s="387">
        <v>0</v>
      </c>
      <c r="BD252" s="387">
        <v>0</v>
      </c>
      <c r="BE252" s="387">
        <v>0</v>
      </c>
      <c r="BF252" s="387">
        <v>0</v>
      </c>
      <c r="BG252" s="387">
        <v>0</v>
      </c>
      <c r="BH252" s="387">
        <v>0</v>
      </c>
      <c r="BI252" s="387">
        <v>0</v>
      </c>
      <c r="BJ252" s="387">
        <v>0</v>
      </c>
      <c r="BK252" s="387">
        <v>0</v>
      </c>
      <c r="BL252" s="387">
        <v>0</v>
      </c>
      <c r="BM252" s="387">
        <v>0</v>
      </c>
      <c r="BN252" s="387">
        <v>0</v>
      </c>
      <c r="BO252" s="387">
        <v>0</v>
      </c>
    </row>
    <row r="253" spans="1:67" x14ac:dyDescent="0.2">
      <c r="A253" s="386" t="s">
        <v>897</v>
      </c>
      <c r="B253" s="387">
        <v>0.19600000000000001</v>
      </c>
      <c r="C253" s="387">
        <v>0</v>
      </c>
      <c r="D253" s="387">
        <v>0.17399999999999999</v>
      </c>
      <c r="E253" s="387">
        <v>0.436</v>
      </c>
      <c r="F253" s="387">
        <v>0.45300000000000001</v>
      </c>
      <c r="G253" s="387">
        <v>0.45600000000000002</v>
      </c>
      <c r="H253" s="387">
        <v>0.375</v>
      </c>
      <c r="I253" s="387">
        <v>1.5109999999999999</v>
      </c>
      <c r="J253" s="387">
        <v>1.0589999999999999</v>
      </c>
      <c r="K253" s="387">
        <v>0.98</v>
      </c>
      <c r="L253" s="387">
        <v>1.405</v>
      </c>
      <c r="M253" s="387">
        <v>2.1930000000000001</v>
      </c>
      <c r="N253" s="387">
        <v>2.556</v>
      </c>
      <c r="O253" s="387">
        <v>3.0329999999999999</v>
      </c>
      <c r="P253" s="387">
        <v>5.9969999999999999</v>
      </c>
      <c r="Q253" s="387">
        <v>4.9189999999999996</v>
      </c>
      <c r="R253" s="387">
        <v>6.7060000000000004</v>
      </c>
      <c r="S253" s="387">
        <v>10.379</v>
      </c>
      <c r="T253" s="387">
        <v>7.9710000000000001</v>
      </c>
      <c r="U253" s="387">
        <v>12.993</v>
      </c>
      <c r="V253" s="387">
        <v>14.135</v>
      </c>
      <c r="W253" s="387">
        <v>17.571999999999999</v>
      </c>
      <c r="X253" s="387">
        <v>21.827999999999999</v>
      </c>
      <c r="Y253" s="387">
        <v>19.414999999999999</v>
      </c>
      <c r="Z253" s="387">
        <v>23.962</v>
      </c>
      <c r="AA253" s="387">
        <v>19.628</v>
      </c>
      <c r="AB253" s="387">
        <v>21.297000000000001</v>
      </c>
      <c r="AC253" s="387">
        <v>29.681000000000001</v>
      </c>
      <c r="AD253" s="387">
        <v>26.756</v>
      </c>
      <c r="AE253" s="387">
        <v>15.444000000000001</v>
      </c>
      <c r="AF253" s="387">
        <v>21.681000000000001</v>
      </c>
      <c r="AG253" s="387">
        <v>34.174999999999997</v>
      </c>
      <c r="AH253" s="387">
        <v>34.363999999999997</v>
      </c>
      <c r="AI253" s="387">
        <v>25.42</v>
      </c>
      <c r="AJ253" s="387">
        <v>24.114000000000001</v>
      </c>
      <c r="AK253" s="387">
        <v>19.573</v>
      </c>
      <c r="AL253" s="387">
        <v>17.219000000000001</v>
      </c>
      <c r="AM253" s="387">
        <v>19.773</v>
      </c>
      <c r="AN253" s="387">
        <v>18.155000000000001</v>
      </c>
      <c r="AO253" s="387">
        <v>28.309000000000001</v>
      </c>
      <c r="AP253" s="387">
        <v>20.498000000000001</v>
      </c>
      <c r="AQ253" s="387">
        <v>26.370999999999999</v>
      </c>
      <c r="AR253" s="387">
        <v>15.96</v>
      </c>
      <c r="AS253" s="387">
        <v>23.649000000000001</v>
      </c>
      <c r="AT253" s="387">
        <v>19.401</v>
      </c>
      <c r="AU253" s="387">
        <v>24.13</v>
      </c>
      <c r="AV253" s="387">
        <v>15.474</v>
      </c>
      <c r="AW253" s="387">
        <v>17.934000000000001</v>
      </c>
      <c r="AX253" s="387">
        <v>8.2929999999999993</v>
      </c>
      <c r="AY253" s="387">
        <v>2.7559999999999998</v>
      </c>
      <c r="AZ253" s="387">
        <v>0.68400000000000005</v>
      </c>
      <c r="BA253" s="387">
        <v>0</v>
      </c>
      <c r="BB253" s="387">
        <v>0</v>
      </c>
      <c r="BC253" s="387">
        <v>0</v>
      </c>
      <c r="BD253" s="387">
        <v>0</v>
      </c>
      <c r="BE253" s="387">
        <v>0</v>
      </c>
      <c r="BF253" s="387">
        <v>0</v>
      </c>
      <c r="BG253" s="387">
        <v>0</v>
      </c>
      <c r="BH253" s="387">
        <v>0</v>
      </c>
      <c r="BI253" s="387">
        <v>0</v>
      </c>
      <c r="BJ253" s="387">
        <v>0</v>
      </c>
      <c r="BK253" s="387">
        <v>0</v>
      </c>
      <c r="BL253" s="387">
        <v>0</v>
      </c>
      <c r="BM253" s="387">
        <v>0</v>
      </c>
      <c r="BN253" s="387">
        <v>0</v>
      </c>
      <c r="BO253" s="387">
        <v>0</v>
      </c>
    </row>
    <row r="254" spans="1:67" x14ac:dyDescent="0.2">
      <c r="A254" s="388" t="s">
        <v>898</v>
      </c>
      <c r="B254" s="389">
        <v>0.19500000000000001</v>
      </c>
      <c r="C254" s="389">
        <v>0</v>
      </c>
      <c r="D254" s="389">
        <v>0.17199999999999999</v>
      </c>
      <c r="E254" s="389">
        <v>0.43099999999999999</v>
      </c>
      <c r="F254" s="389">
        <v>0.45</v>
      </c>
      <c r="G254" s="389">
        <v>0.45</v>
      </c>
      <c r="H254" s="389">
        <v>0.373</v>
      </c>
      <c r="I254" s="389">
        <v>1.4810000000000001</v>
      </c>
      <c r="J254" s="389">
        <v>1.038</v>
      </c>
      <c r="K254" s="389">
        <v>0.96299999999999997</v>
      </c>
      <c r="L254" s="389">
        <v>1.087</v>
      </c>
      <c r="M254" s="389">
        <v>2.1589999999999998</v>
      </c>
      <c r="N254" s="389">
        <v>2.0390000000000001</v>
      </c>
      <c r="O254" s="389">
        <v>1.9670000000000001</v>
      </c>
      <c r="P254" s="389">
        <v>4.4139999999999997</v>
      </c>
      <c r="Q254" s="389">
        <v>2.7250000000000001</v>
      </c>
      <c r="R254" s="389">
        <v>4.6509999999999998</v>
      </c>
      <c r="S254" s="389">
        <v>6.3310000000000004</v>
      </c>
      <c r="T254" s="389">
        <v>4.24</v>
      </c>
      <c r="U254" s="389">
        <v>6.35</v>
      </c>
      <c r="V254" s="389">
        <v>8.1850000000000005</v>
      </c>
      <c r="W254" s="389">
        <v>8.0359999999999996</v>
      </c>
      <c r="X254" s="389">
        <v>11.757</v>
      </c>
      <c r="Y254" s="389">
        <v>9.26</v>
      </c>
      <c r="Z254" s="389">
        <v>11.641</v>
      </c>
      <c r="AA254" s="389">
        <v>10.173</v>
      </c>
      <c r="AB254" s="389">
        <v>12.361000000000001</v>
      </c>
      <c r="AC254" s="389">
        <v>15.09</v>
      </c>
      <c r="AD254" s="389">
        <v>13.209</v>
      </c>
      <c r="AE254" s="389">
        <v>9.0280000000000005</v>
      </c>
      <c r="AF254" s="389">
        <v>8.7080000000000002</v>
      </c>
      <c r="AG254" s="389">
        <v>12.113</v>
      </c>
      <c r="AH254" s="389">
        <v>11.997</v>
      </c>
      <c r="AI254" s="389">
        <v>9.0850000000000009</v>
      </c>
      <c r="AJ254" s="389">
        <v>5.3940000000000001</v>
      </c>
      <c r="AK254" s="389">
        <v>1.984</v>
      </c>
      <c r="AL254" s="389">
        <v>3.0960000000000001</v>
      </c>
      <c r="AM254" s="389">
        <v>1.903</v>
      </c>
      <c r="AN254" s="389">
        <v>1.4470000000000001</v>
      </c>
      <c r="AO254" s="389">
        <v>4.3070000000000004</v>
      </c>
      <c r="AP254" s="389">
        <v>1.254</v>
      </c>
      <c r="AQ254" s="389">
        <v>1.4059999999999999</v>
      </c>
      <c r="AR254" s="389">
        <v>0.93100000000000005</v>
      </c>
      <c r="AS254" s="389">
        <v>0.63500000000000001</v>
      </c>
      <c r="AT254" s="389">
        <v>1.732</v>
      </c>
      <c r="AU254" s="389">
        <v>1.399</v>
      </c>
      <c r="AV254" s="389">
        <v>1.129</v>
      </c>
      <c r="AW254" s="389">
        <v>0.47799999999999998</v>
      </c>
      <c r="AX254" s="389">
        <v>0.45700000000000002</v>
      </c>
      <c r="AY254" s="389">
        <v>0</v>
      </c>
      <c r="AZ254" s="389">
        <v>0</v>
      </c>
      <c r="BA254" s="389">
        <v>0</v>
      </c>
      <c r="BB254" s="389">
        <v>0</v>
      </c>
      <c r="BC254" s="389">
        <v>0</v>
      </c>
      <c r="BD254" s="389">
        <v>0</v>
      </c>
      <c r="BE254" s="389">
        <v>0</v>
      </c>
      <c r="BF254" s="389">
        <v>0</v>
      </c>
      <c r="BG254" s="389">
        <v>0</v>
      </c>
      <c r="BH254" s="389">
        <v>0</v>
      </c>
      <c r="BI254" s="389">
        <v>0</v>
      </c>
      <c r="BJ254" s="389">
        <v>0</v>
      </c>
      <c r="BK254" s="389">
        <v>0</v>
      </c>
      <c r="BL254" s="389">
        <v>0</v>
      </c>
      <c r="BM254" s="389">
        <v>0</v>
      </c>
      <c r="BN254" s="389">
        <v>0</v>
      </c>
      <c r="BO254" s="389">
        <v>0</v>
      </c>
    </row>
    <row r="256" spans="1:67" x14ac:dyDescent="0.2">
      <c r="A256" s="380" t="s">
        <v>3173</v>
      </c>
      <c r="B256" s="381" t="s">
        <v>1613</v>
      </c>
    </row>
    <row r="257" spans="1:67" x14ac:dyDescent="0.2">
      <c r="A257" s="382" t="s">
        <v>2358</v>
      </c>
      <c r="B257" s="383"/>
    </row>
    <row r="258" spans="1:67" x14ac:dyDescent="0.2">
      <c r="A258" s="384" t="s">
        <v>3175</v>
      </c>
      <c r="B258" s="384">
        <v>-25</v>
      </c>
      <c r="C258" s="384">
        <v>-24</v>
      </c>
      <c r="D258" s="384">
        <v>-23</v>
      </c>
      <c r="E258" s="384">
        <v>-22</v>
      </c>
      <c r="F258" s="384">
        <v>-21</v>
      </c>
      <c r="G258" s="384">
        <v>-20</v>
      </c>
      <c r="H258" s="384">
        <v>-19</v>
      </c>
      <c r="I258" s="384">
        <v>-18</v>
      </c>
      <c r="J258" s="384">
        <v>-17</v>
      </c>
      <c r="K258" s="384">
        <v>-16</v>
      </c>
      <c r="L258" s="384">
        <v>-15</v>
      </c>
      <c r="M258" s="384">
        <v>-14</v>
      </c>
      <c r="N258" s="384">
        <v>-13</v>
      </c>
      <c r="O258" s="384">
        <v>-12</v>
      </c>
      <c r="P258" s="384">
        <v>-11</v>
      </c>
      <c r="Q258" s="384">
        <v>-10</v>
      </c>
      <c r="R258" s="384">
        <v>-9</v>
      </c>
      <c r="S258" s="384">
        <v>-8</v>
      </c>
      <c r="T258" s="384">
        <v>-7</v>
      </c>
      <c r="U258" s="384">
        <v>-6</v>
      </c>
      <c r="V258" s="384">
        <v>-5</v>
      </c>
      <c r="W258" s="384">
        <v>-4</v>
      </c>
      <c r="X258" s="384">
        <v>-3</v>
      </c>
      <c r="Y258" s="384">
        <v>-2</v>
      </c>
      <c r="Z258" s="384">
        <v>-1</v>
      </c>
      <c r="AA258" s="384">
        <v>0</v>
      </c>
      <c r="AB258" s="384">
        <v>1</v>
      </c>
      <c r="AC258" s="384">
        <v>2</v>
      </c>
      <c r="AD258" s="384">
        <v>3</v>
      </c>
      <c r="AE258" s="384">
        <v>4</v>
      </c>
      <c r="AF258" s="384">
        <v>5</v>
      </c>
      <c r="AG258" s="384">
        <v>6</v>
      </c>
      <c r="AH258" s="384">
        <v>7</v>
      </c>
      <c r="AI258" s="384">
        <v>8</v>
      </c>
      <c r="AJ258" s="384">
        <v>9</v>
      </c>
      <c r="AK258" s="384">
        <v>10</v>
      </c>
      <c r="AL258" s="384">
        <v>11</v>
      </c>
      <c r="AM258" s="384">
        <v>12</v>
      </c>
      <c r="AN258" s="384">
        <v>13</v>
      </c>
      <c r="AO258" s="384">
        <v>14</v>
      </c>
      <c r="AP258" s="384">
        <v>15</v>
      </c>
      <c r="AQ258" s="384">
        <v>16</v>
      </c>
      <c r="AR258" s="384">
        <v>17</v>
      </c>
      <c r="AS258" s="384">
        <v>18</v>
      </c>
      <c r="AT258" s="384">
        <v>19</v>
      </c>
      <c r="AU258" s="384">
        <v>20</v>
      </c>
      <c r="AV258" s="384">
        <v>21</v>
      </c>
      <c r="AW258" s="384">
        <v>22</v>
      </c>
      <c r="AX258" s="384">
        <v>23</v>
      </c>
      <c r="AY258" s="384">
        <v>24</v>
      </c>
      <c r="AZ258" s="384">
        <v>25</v>
      </c>
      <c r="BA258" s="384">
        <v>26</v>
      </c>
      <c r="BB258" s="384">
        <v>27</v>
      </c>
      <c r="BC258" s="384">
        <v>28</v>
      </c>
      <c r="BD258" s="384">
        <v>29</v>
      </c>
      <c r="BE258" s="384">
        <v>30</v>
      </c>
      <c r="BF258" s="384">
        <v>31</v>
      </c>
      <c r="BG258" s="384">
        <v>32</v>
      </c>
      <c r="BH258" s="384">
        <v>33</v>
      </c>
      <c r="BI258" s="384">
        <v>34</v>
      </c>
      <c r="BJ258" s="384">
        <v>35</v>
      </c>
      <c r="BK258" s="384">
        <v>36</v>
      </c>
      <c r="BL258" s="384">
        <v>37</v>
      </c>
      <c r="BM258" s="384">
        <v>38</v>
      </c>
      <c r="BN258" s="384">
        <v>39</v>
      </c>
      <c r="BO258" s="384">
        <v>40</v>
      </c>
    </row>
    <row r="259" spans="1:67" x14ac:dyDescent="0.2">
      <c r="A259" s="385" t="s">
        <v>3176</v>
      </c>
      <c r="B259" s="385">
        <v>0</v>
      </c>
      <c r="C259" s="385">
        <v>0</v>
      </c>
      <c r="D259" s="385">
        <v>0</v>
      </c>
      <c r="E259" s="385">
        <v>0</v>
      </c>
      <c r="F259" s="385">
        <v>0</v>
      </c>
      <c r="G259" s="385">
        <v>0</v>
      </c>
      <c r="H259" s="385">
        <v>0</v>
      </c>
      <c r="I259" s="385">
        <v>0</v>
      </c>
      <c r="J259" s="385">
        <v>0</v>
      </c>
      <c r="K259" s="385">
        <v>4</v>
      </c>
      <c r="L259" s="385">
        <v>10</v>
      </c>
      <c r="M259" s="385">
        <v>17</v>
      </c>
      <c r="N259" s="385">
        <v>38</v>
      </c>
      <c r="O259" s="385">
        <v>57</v>
      </c>
      <c r="P259" s="385">
        <v>71</v>
      </c>
      <c r="Q259" s="385">
        <v>90</v>
      </c>
      <c r="R259" s="385">
        <v>94</v>
      </c>
      <c r="S259" s="385">
        <v>169</v>
      </c>
      <c r="T259" s="385">
        <v>201</v>
      </c>
      <c r="U259" s="385">
        <v>239</v>
      </c>
      <c r="V259" s="385">
        <v>270</v>
      </c>
      <c r="W259" s="385">
        <v>321</v>
      </c>
      <c r="X259" s="385">
        <v>413</v>
      </c>
      <c r="Y259" s="385">
        <v>398</v>
      </c>
      <c r="Z259" s="385">
        <v>418</v>
      </c>
      <c r="AA259" s="385">
        <v>365</v>
      </c>
      <c r="AB259" s="385">
        <v>362</v>
      </c>
      <c r="AC259" s="385">
        <v>371</v>
      </c>
      <c r="AD259" s="385">
        <v>372</v>
      </c>
      <c r="AE259" s="385">
        <v>380</v>
      </c>
      <c r="AF259" s="385">
        <v>417</v>
      </c>
      <c r="AG259" s="385">
        <v>337</v>
      </c>
      <c r="AH259" s="385">
        <v>385</v>
      </c>
      <c r="AI259" s="385">
        <v>382</v>
      </c>
      <c r="AJ259" s="385">
        <v>346</v>
      </c>
      <c r="AK259" s="385">
        <v>368</v>
      </c>
      <c r="AL259" s="385">
        <v>349</v>
      </c>
      <c r="AM259" s="385">
        <v>298</v>
      </c>
      <c r="AN259" s="385">
        <v>264</v>
      </c>
      <c r="AO259" s="385">
        <v>225</v>
      </c>
      <c r="AP259" s="385">
        <v>199</v>
      </c>
      <c r="AQ259" s="385">
        <v>166</v>
      </c>
      <c r="AR259" s="385">
        <v>130</v>
      </c>
      <c r="AS259" s="385">
        <v>85</v>
      </c>
      <c r="AT259" s="385">
        <v>64</v>
      </c>
      <c r="AU259" s="385">
        <v>49</v>
      </c>
      <c r="AV259" s="385">
        <v>26</v>
      </c>
      <c r="AW259" s="385">
        <v>10</v>
      </c>
      <c r="AX259" s="385">
        <v>0</v>
      </c>
      <c r="AY259" s="385">
        <v>0</v>
      </c>
      <c r="AZ259" s="385">
        <v>0</v>
      </c>
      <c r="BA259" s="385">
        <v>0</v>
      </c>
      <c r="BB259" s="385">
        <v>0</v>
      </c>
      <c r="BC259" s="385">
        <v>0</v>
      </c>
      <c r="BD259" s="385">
        <v>0</v>
      </c>
      <c r="BE259" s="385">
        <v>0</v>
      </c>
      <c r="BF259" s="385">
        <v>0</v>
      </c>
      <c r="BG259" s="385">
        <v>0</v>
      </c>
      <c r="BH259" s="385">
        <v>0</v>
      </c>
      <c r="BI259" s="385">
        <v>0</v>
      </c>
      <c r="BJ259" s="385">
        <v>0</v>
      </c>
      <c r="BK259" s="385">
        <v>0</v>
      </c>
      <c r="BL259" s="385">
        <v>0</v>
      </c>
      <c r="BM259" s="385">
        <v>0</v>
      </c>
      <c r="BN259" s="385">
        <v>0</v>
      </c>
      <c r="BO259" s="385">
        <v>0</v>
      </c>
    </row>
    <row r="260" spans="1:67" x14ac:dyDescent="0.2">
      <c r="A260" s="386" t="s">
        <v>893</v>
      </c>
      <c r="B260" s="386">
        <v>0</v>
      </c>
      <c r="C260" s="386">
        <v>0</v>
      </c>
      <c r="D260" s="386">
        <v>0</v>
      </c>
      <c r="E260" s="386">
        <v>0</v>
      </c>
      <c r="F260" s="386">
        <v>0</v>
      </c>
      <c r="G260" s="386">
        <v>0</v>
      </c>
      <c r="H260" s="386">
        <v>0</v>
      </c>
      <c r="I260" s="386">
        <v>0</v>
      </c>
      <c r="J260" s="386">
        <v>0</v>
      </c>
      <c r="K260" s="386">
        <v>0</v>
      </c>
      <c r="L260" s="386">
        <v>0</v>
      </c>
      <c r="M260" s="386">
        <v>0</v>
      </c>
      <c r="N260" s="386">
        <v>48</v>
      </c>
      <c r="O260" s="386">
        <v>48</v>
      </c>
      <c r="P260" s="386">
        <v>48</v>
      </c>
      <c r="Q260" s="386">
        <v>24</v>
      </c>
      <c r="R260" s="386">
        <v>72</v>
      </c>
      <c r="S260" s="386">
        <v>120</v>
      </c>
      <c r="T260" s="386">
        <v>192</v>
      </c>
      <c r="U260" s="386">
        <v>288</v>
      </c>
      <c r="V260" s="386">
        <v>264</v>
      </c>
      <c r="W260" s="386">
        <v>384</v>
      </c>
      <c r="X260" s="386">
        <v>552</v>
      </c>
      <c r="Y260" s="386">
        <v>336</v>
      </c>
      <c r="Z260" s="386">
        <v>432</v>
      </c>
      <c r="AA260" s="386">
        <v>360</v>
      </c>
      <c r="AB260" s="386">
        <v>336</v>
      </c>
      <c r="AC260" s="386">
        <v>552</v>
      </c>
      <c r="AD260" s="386">
        <v>216</v>
      </c>
      <c r="AE260" s="386">
        <v>336</v>
      </c>
      <c r="AF260" s="386">
        <v>432</v>
      </c>
      <c r="AG260" s="386">
        <v>264</v>
      </c>
      <c r="AH260" s="386">
        <v>432</v>
      </c>
      <c r="AI260" s="386">
        <v>408</v>
      </c>
      <c r="AJ260" s="386">
        <v>384</v>
      </c>
      <c r="AK260" s="386">
        <v>216</v>
      </c>
      <c r="AL260" s="386">
        <v>384</v>
      </c>
      <c r="AM260" s="386">
        <v>480</v>
      </c>
      <c r="AN260" s="386">
        <v>432</v>
      </c>
      <c r="AO260" s="386">
        <v>240</v>
      </c>
      <c r="AP260" s="386">
        <v>312</v>
      </c>
      <c r="AQ260" s="386">
        <v>120</v>
      </c>
      <c r="AR260" s="386">
        <v>48</v>
      </c>
      <c r="AS260" s="386">
        <v>0</v>
      </c>
      <c r="AT260" s="386">
        <v>0</v>
      </c>
      <c r="AU260" s="386">
        <v>0</v>
      </c>
      <c r="AV260" s="386">
        <v>0</v>
      </c>
      <c r="AW260" s="386">
        <v>0</v>
      </c>
      <c r="AX260" s="386">
        <v>0</v>
      </c>
      <c r="AY260" s="386">
        <v>0</v>
      </c>
      <c r="AZ260" s="386">
        <v>0</v>
      </c>
      <c r="BA260" s="386">
        <v>0</v>
      </c>
      <c r="BB260" s="386">
        <v>0</v>
      </c>
      <c r="BC260" s="386">
        <v>0</v>
      </c>
      <c r="BD260" s="386">
        <v>0</v>
      </c>
      <c r="BE260" s="386">
        <v>0</v>
      </c>
      <c r="BF260" s="386">
        <v>0</v>
      </c>
      <c r="BG260" s="386">
        <v>0</v>
      </c>
      <c r="BH260" s="386">
        <v>0</v>
      </c>
      <c r="BI260" s="386">
        <v>0</v>
      </c>
      <c r="BJ260" s="386">
        <v>0</v>
      </c>
      <c r="BK260" s="386">
        <v>0</v>
      </c>
      <c r="BL260" s="386">
        <v>0</v>
      </c>
      <c r="BM260" s="386">
        <v>0</v>
      </c>
      <c r="BN260" s="386">
        <v>0</v>
      </c>
      <c r="BO260" s="386">
        <v>0</v>
      </c>
    </row>
    <row r="261" spans="1:67" x14ac:dyDescent="0.2">
      <c r="A261" s="386" t="s">
        <v>894</v>
      </c>
      <c r="B261" s="387">
        <v>0</v>
      </c>
      <c r="C261" s="387">
        <v>0</v>
      </c>
      <c r="D261" s="387">
        <v>0</v>
      </c>
      <c r="E261" s="387">
        <v>0</v>
      </c>
      <c r="F261" s="387">
        <v>0</v>
      </c>
      <c r="G261" s="387">
        <v>0</v>
      </c>
      <c r="H261" s="387">
        <v>0</v>
      </c>
      <c r="I261" s="387">
        <v>0</v>
      </c>
      <c r="J261" s="387">
        <v>0</v>
      </c>
      <c r="K261" s="387">
        <v>0</v>
      </c>
      <c r="L261" s="387">
        <v>0</v>
      </c>
      <c r="M261" s="387">
        <v>0</v>
      </c>
      <c r="N261" s="387">
        <v>0.623</v>
      </c>
      <c r="O261" s="387">
        <v>1.0980000000000001</v>
      </c>
      <c r="P261" s="387">
        <v>5.0190000000000001</v>
      </c>
      <c r="Q261" s="387">
        <v>5.7859999999999996</v>
      </c>
      <c r="R261" s="387">
        <v>1.0900000000000001</v>
      </c>
      <c r="S261" s="387">
        <v>6.4379999999999997</v>
      </c>
      <c r="T261" s="387">
        <v>9.8640000000000008</v>
      </c>
      <c r="U261" s="387">
        <v>10.99</v>
      </c>
      <c r="V261" s="387">
        <v>14.858000000000001</v>
      </c>
      <c r="W261" s="387">
        <v>17.315000000000001</v>
      </c>
      <c r="X261" s="387">
        <v>20.870999999999999</v>
      </c>
      <c r="Y261" s="387">
        <v>23.097000000000001</v>
      </c>
      <c r="Z261" s="387">
        <v>34.021000000000001</v>
      </c>
      <c r="AA261" s="387">
        <v>27.908000000000001</v>
      </c>
      <c r="AB261" s="387">
        <v>23.981999999999999</v>
      </c>
      <c r="AC261" s="387">
        <v>27.678999999999998</v>
      </c>
      <c r="AD261" s="387">
        <v>33.969000000000001</v>
      </c>
      <c r="AE261" s="387">
        <v>38.557000000000002</v>
      </c>
      <c r="AF261" s="387">
        <v>49.243000000000002</v>
      </c>
      <c r="AG261" s="387">
        <v>37.9</v>
      </c>
      <c r="AH261" s="387">
        <v>38.874000000000002</v>
      </c>
      <c r="AI261" s="387">
        <v>39.033000000000001</v>
      </c>
      <c r="AJ261" s="387">
        <v>38.475999999999999</v>
      </c>
      <c r="AK261" s="387">
        <v>42.588000000000001</v>
      </c>
      <c r="AL261" s="387">
        <v>47.676000000000002</v>
      </c>
      <c r="AM261" s="387">
        <v>53.921999999999997</v>
      </c>
      <c r="AN261" s="387">
        <v>56.411999999999999</v>
      </c>
      <c r="AO261" s="387">
        <v>60.670999999999999</v>
      </c>
      <c r="AP261" s="387">
        <v>69.518000000000001</v>
      </c>
      <c r="AQ261" s="387">
        <v>77.468999999999994</v>
      </c>
      <c r="AR261" s="387">
        <v>66.516999999999996</v>
      </c>
      <c r="AS261" s="387">
        <v>41.75</v>
      </c>
      <c r="AT261" s="387">
        <v>37.520000000000003</v>
      </c>
      <c r="AU261" s="387">
        <v>29.103999999999999</v>
      </c>
      <c r="AV261" s="387">
        <v>17.428000000000001</v>
      </c>
      <c r="AW261" s="387">
        <v>7.4240000000000004</v>
      </c>
      <c r="AX261" s="387">
        <v>0</v>
      </c>
      <c r="AY261" s="387">
        <v>0</v>
      </c>
      <c r="AZ261" s="387">
        <v>0</v>
      </c>
      <c r="BA261" s="387">
        <v>0</v>
      </c>
      <c r="BB261" s="387">
        <v>0</v>
      </c>
      <c r="BC261" s="387">
        <v>0</v>
      </c>
      <c r="BD261" s="387">
        <v>0</v>
      </c>
      <c r="BE261" s="387">
        <v>0</v>
      </c>
      <c r="BF261" s="387">
        <v>0</v>
      </c>
      <c r="BG261" s="387">
        <v>0</v>
      </c>
      <c r="BH261" s="387">
        <v>0</v>
      </c>
      <c r="BI261" s="387">
        <v>0</v>
      </c>
      <c r="BJ261" s="387">
        <v>0</v>
      </c>
      <c r="BK261" s="387">
        <v>0</v>
      </c>
      <c r="BL261" s="387">
        <v>0</v>
      </c>
      <c r="BM261" s="387">
        <v>0</v>
      </c>
      <c r="BN261" s="387">
        <v>0</v>
      </c>
      <c r="BO261" s="387">
        <v>0</v>
      </c>
    </row>
    <row r="262" spans="1:67" x14ac:dyDescent="0.2">
      <c r="A262" s="386" t="s">
        <v>895</v>
      </c>
      <c r="B262" s="387">
        <v>0</v>
      </c>
      <c r="C262" s="387">
        <v>0</v>
      </c>
      <c r="D262" s="387">
        <v>0</v>
      </c>
      <c r="E262" s="387">
        <v>0</v>
      </c>
      <c r="F262" s="387">
        <v>0</v>
      </c>
      <c r="G262" s="387">
        <v>0</v>
      </c>
      <c r="H262" s="387">
        <v>0</v>
      </c>
      <c r="I262" s="387">
        <v>0</v>
      </c>
      <c r="J262" s="387">
        <v>0</v>
      </c>
      <c r="K262" s="387">
        <v>0</v>
      </c>
      <c r="L262" s="387">
        <v>0</v>
      </c>
      <c r="M262" s="387">
        <v>0.501</v>
      </c>
      <c r="N262" s="387">
        <v>1.766</v>
      </c>
      <c r="O262" s="387">
        <v>2.1059999999999999</v>
      </c>
      <c r="P262" s="387">
        <v>6.0019999999999998</v>
      </c>
      <c r="Q262" s="387">
        <v>6.0650000000000004</v>
      </c>
      <c r="R262" s="387">
        <v>3.1280000000000001</v>
      </c>
      <c r="S262" s="387">
        <v>9.0310000000000006</v>
      </c>
      <c r="T262" s="387">
        <v>11.648</v>
      </c>
      <c r="U262" s="387">
        <v>12.945</v>
      </c>
      <c r="V262" s="387">
        <v>15.948</v>
      </c>
      <c r="W262" s="387">
        <v>18.449000000000002</v>
      </c>
      <c r="X262" s="387">
        <v>25.225999999999999</v>
      </c>
      <c r="Y262" s="387">
        <v>20.285</v>
      </c>
      <c r="Z262" s="387">
        <v>28.215</v>
      </c>
      <c r="AA262" s="387">
        <v>22.065000000000001</v>
      </c>
      <c r="AB262" s="387">
        <v>19.742000000000001</v>
      </c>
      <c r="AC262" s="387">
        <v>23.361000000000001</v>
      </c>
      <c r="AD262" s="387">
        <v>25.117999999999999</v>
      </c>
      <c r="AE262" s="387">
        <v>30.873999999999999</v>
      </c>
      <c r="AF262" s="387">
        <v>31.398</v>
      </c>
      <c r="AG262" s="387">
        <v>24.283000000000001</v>
      </c>
      <c r="AH262" s="387">
        <v>22.681999999999999</v>
      </c>
      <c r="AI262" s="387">
        <v>25.716999999999999</v>
      </c>
      <c r="AJ262" s="387">
        <v>24.504000000000001</v>
      </c>
      <c r="AK262" s="387">
        <v>20.655999999999999</v>
      </c>
      <c r="AL262" s="387">
        <v>23.245999999999999</v>
      </c>
      <c r="AM262" s="387">
        <v>23.03</v>
      </c>
      <c r="AN262" s="387">
        <v>24.172000000000001</v>
      </c>
      <c r="AO262" s="387">
        <v>29.221</v>
      </c>
      <c r="AP262" s="387">
        <v>29.951000000000001</v>
      </c>
      <c r="AQ262" s="387">
        <v>28.114000000000001</v>
      </c>
      <c r="AR262" s="387">
        <v>21.12</v>
      </c>
      <c r="AS262" s="387">
        <v>17.856000000000002</v>
      </c>
      <c r="AT262" s="387">
        <v>12.771000000000001</v>
      </c>
      <c r="AU262" s="387">
        <v>8.2910000000000004</v>
      </c>
      <c r="AV262" s="387">
        <v>3.5150000000000001</v>
      </c>
      <c r="AW262" s="387">
        <v>0.59399999999999997</v>
      </c>
      <c r="AX262" s="387">
        <v>0</v>
      </c>
      <c r="AY262" s="387">
        <v>0</v>
      </c>
      <c r="AZ262" s="387">
        <v>0</v>
      </c>
      <c r="BA262" s="387">
        <v>0</v>
      </c>
      <c r="BB262" s="387">
        <v>0</v>
      </c>
      <c r="BC262" s="387">
        <v>0</v>
      </c>
      <c r="BD262" s="387">
        <v>0</v>
      </c>
      <c r="BE262" s="387">
        <v>0</v>
      </c>
      <c r="BF262" s="387">
        <v>0</v>
      </c>
      <c r="BG262" s="387">
        <v>0</v>
      </c>
      <c r="BH262" s="387">
        <v>0</v>
      </c>
      <c r="BI262" s="387">
        <v>0</v>
      </c>
      <c r="BJ262" s="387">
        <v>0</v>
      </c>
      <c r="BK262" s="387">
        <v>0</v>
      </c>
      <c r="BL262" s="387">
        <v>0</v>
      </c>
      <c r="BM262" s="387">
        <v>0</v>
      </c>
      <c r="BN262" s="387">
        <v>0</v>
      </c>
      <c r="BO262" s="387">
        <v>0</v>
      </c>
    </row>
    <row r="263" spans="1:67" x14ac:dyDescent="0.2">
      <c r="A263" s="386" t="s">
        <v>896</v>
      </c>
      <c r="B263" s="387">
        <v>0</v>
      </c>
      <c r="C263" s="387">
        <v>0</v>
      </c>
      <c r="D263" s="387">
        <v>0</v>
      </c>
      <c r="E263" s="387">
        <v>0</v>
      </c>
      <c r="F263" s="387">
        <v>0</v>
      </c>
      <c r="G263" s="387">
        <v>0</v>
      </c>
      <c r="H263" s="387">
        <v>0</v>
      </c>
      <c r="I263" s="387">
        <v>0</v>
      </c>
      <c r="J263" s="387">
        <v>0</v>
      </c>
      <c r="K263" s="387">
        <v>0</v>
      </c>
      <c r="L263" s="387">
        <v>0</v>
      </c>
      <c r="M263" s="387">
        <v>0.44500000000000001</v>
      </c>
      <c r="N263" s="387">
        <v>1.712</v>
      </c>
      <c r="O263" s="387">
        <v>2.7389999999999999</v>
      </c>
      <c r="P263" s="387">
        <v>10.047000000000001</v>
      </c>
      <c r="Q263" s="387">
        <v>12.2</v>
      </c>
      <c r="R263" s="387">
        <v>2.7410000000000001</v>
      </c>
      <c r="S263" s="387">
        <v>12.971</v>
      </c>
      <c r="T263" s="387">
        <v>15.795999999999999</v>
      </c>
      <c r="U263" s="387">
        <v>19.648</v>
      </c>
      <c r="V263" s="387">
        <v>27.352</v>
      </c>
      <c r="W263" s="387">
        <v>32.26</v>
      </c>
      <c r="X263" s="387">
        <v>35.933</v>
      </c>
      <c r="Y263" s="387">
        <v>40.171999999999997</v>
      </c>
      <c r="Z263" s="387">
        <v>50.097000000000001</v>
      </c>
      <c r="AA263" s="387">
        <v>44.256999999999998</v>
      </c>
      <c r="AB263" s="387">
        <v>36.93</v>
      </c>
      <c r="AC263" s="387">
        <v>39.503</v>
      </c>
      <c r="AD263" s="387">
        <v>47.31</v>
      </c>
      <c r="AE263" s="387">
        <v>58.003999999999998</v>
      </c>
      <c r="AF263" s="387">
        <v>53.085000000000001</v>
      </c>
      <c r="AG263" s="387">
        <v>40.389000000000003</v>
      </c>
      <c r="AH263" s="387">
        <v>39.29</v>
      </c>
      <c r="AI263" s="387">
        <v>35.674999999999997</v>
      </c>
      <c r="AJ263" s="387">
        <v>32.182000000000002</v>
      </c>
      <c r="AK263" s="387">
        <v>32.656999999999996</v>
      </c>
      <c r="AL263" s="387">
        <v>28.975000000000001</v>
      </c>
      <c r="AM263" s="387">
        <v>29.32</v>
      </c>
      <c r="AN263" s="387">
        <v>37.374000000000002</v>
      </c>
      <c r="AO263" s="387">
        <v>31.196000000000002</v>
      </c>
      <c r="AP263" s="387">
        <v>36.716000000000001</v>
      </c>
      <c r="AQ263" s="387">
        <v>39.313000000000002</v>
      </c>
      <c r="AR263" s="387">
        <v>34.673999999999999</v>
      </c>
      <c r="AS263" s="387">
        <v>20.902999999999999</v>
      </c>
      <c r="AT263" s="387">
        <v>20.515999999999998</v>
      </c>
      <c r="AU263" s="387">
        <v>15.670999999999999</v>
      </c>
      <c r="AV263" s="387">
        <v>10.606</v>
      </c>
      <c r="AW263" s="387">
        <v>4.4429999999999996</v>
      </c>
      <c r="AX263" s="387">
        <v>0</v>
      </c>
      <c r="AY263" s="387">
        <v>0</v>
      </c>
      <c r="AZ263" s="387">
        <v>0</v>
      </c>
      <c r="BA263" s="387">
        <v>0</v>
      </c>
      <c r="BB263" s="387">
        <v>0</v>
      </c>
      <c r="BC263" s="387">
        <v>0</v>
      </c>
      <c r="BD263" s="387">
        <v>0</v>
      </c>
      <c r="BE263" s="387">
        <v>0</v>
      </c>
      <c r="BF263" s="387">
        <v>0</v>
      </c>
      <c r="BG263" s="387">
        <v>0</v>
      </c>
      <c r="BH263" s="387">
        <v>0</v>
      </c>
      <c r="BI263" s="387">
        <v>0</v>
      </c>
      <c r="BJ263" s="387">
        <v>0</v>
      </c>
      <c r="BK263" s="387">
        <v>0</v>
      </c>
      <c r="BL263" s="387">
        <v>0</v>
      </c>
      <c r="BM263" s="387">
        <v>0</v>
      </c>
      <c r="BN263" s="387">
        <v>0</v>
      </c>
      <c r="BO263" s="387">
        <v>0</v>
      </c>
    </row>
    <row r="264" spans="1:67" x14ac:dyDescent="0.2">
      <c r="A264" s="386" t="s">
        <v>897</v>
      </c>
      <c r="B264" s="387">
        <v>0</v>
      </c>
      <c r="C264" s="387">
        <v>0</v>
      </c>
      <c r="D264" s="387">
        <v>0</v>
      </c>
      <c r="E264" s="387">
        <v>0</v>
      </c>
      <c r="F264" s="387">
        <v>0</v>
      </c>
      <c r="G264" s="387">
        <v>0</v>
      </c>
      <c r="H264" s="387">
        <v>0</v>
      </c>
      <c r="I264" s="387">
        <v>0</v>
      </c>
      <c r="J264" s="387">
        <v>0</v>
      </c>
      <c r="K264" s="387">
        <v>0</v>
      </c>
      <c r="L264" s="387">
        <v>0</v>
      </c>
      <c r="M264" s="387">
        <v>0</v>
      </c>
      <c r="N264" s="387">
        <v>0.41599999999999998</v>
      </c>
      <c r="O264" s="387">
        <v>0.59799999999999998</v>
      </c>
      <c r="P264" s="387">
        <v>4.1280000000000001</v>
      </c>
      <c r="Q264" s="387">
        <v>5.1669999999999998</v>
      </c>
      <c r="R264" s="387">
        <v>0.61699999999999999</v>
      </c>
      <c r="S264" s="387">
        <v>4.4020000000000001</v>
      </c>
      <c r="T264" s="387">
        <v>7.3049999999999997</v>
      </c>
      <c r="U264" s="387">
        <v>9.5960000000000001</v>
      </c>
      <c r="V264" s="387">
        <v>11.388</v>
      </c>
      <c r="W264" s="387">
        <v>11.608000000000001</v>
      </c>
      <c r="X264" s="387">
        <v>13.237</v>
      </c>
      <c r="Y264" s="387">
        <v>16.585999999999999</v>
      </c>
      <c r="Z264" s="387">
        <v>23.021999999999998</v>
      </c>
      <c r="AA264" s="387">
        <v>19.266999999999999</v>
      </c>
      <c r="AB264" s="387">
        <v>15.375999999999999</v>
      </c>
      <c r="AC264" s="387">
        <v>16.553999999999998</v>
      </c>
      <c r="AD264" s="387">
        <v>21.702000000000002</v>
      </c>
      <c r="AE264" s="387">
        <v>21.568000000000001</v>
      </c>
      <c r="AF264" s="387">
        <v>22.062000000000001</v>
      </c>
      <c r="AG264" s="387">
        <v>18.489999999999998</v>
      </c>
      <c r="AH264" s="387">
        <v>13.62</v>
      </c>
      <c r="AI264" s="387">
        <v>10.055</v>
      </c>
      <c r="AJ264" s="387">
        <v>7.5670000000000002</v>
      </c>
      <c r="AK264" s="387">
        <v>13.531000000000001</v>
      </c>
      <c r="AL264" s="387">
        <v>14.973000000000001</v>
      </c>
      <c r="AM264" s="387">
        <v>15.942</v>
      </c>
      <c r="AN264" s="387">
        <v>14.093</v>
      </c>
      <c r="AO264" s="387">
        <v>15.519</v>
      </c>
      <c r="AP264" s="387">
        <v>16.105</v>
      </c>
      <c r="AQ264" s="387">
        <v>25.49</v>
      </c>
      <c r="AR264" s="387">
        <v>24.613</v>
      </c>
      <c r="AS264" s="387">
        <v>13.49</v>
      </c>
      <c r="AT264" s="387">
        <v>13.01</v>
      </c>
      <c r="AU264" s="387">
        <v>11.012</v>
      </c>
      <c r="AV264" s="387">
        <v>6.391</v>
      </c>
      <c r="AW264" s="387">
        <v>4.0940000000000003</v>
      </c>
      <c r="AX264" s="387">
        <v>0</v>
      </c>
      <c r="AY264" s="387">
        <v>0</v>
      </c>
      <c r="AZ264" s="387">
        <v>0</v>
      </c>
      <c r="BA264" s="387">
        <v>0</v>
      </c>
      <c r="BB264" s="387">
        <v>0</v>
      </c>
      <c r="BC264" s="387">
        <v>0</v>
      </c>
      <c r="BD264" s="387">
        <v>0</v>
      </c>
      <c r="BE264" s="387">
        <v>0</v>
      </c>
      <c r="BF264" s="387">
        <v>0</v>
      </c>
      <c r="BG264" s="387">
        <v>0</v>
      </c>
      <c r="BH264" s="387">
        <v>0</v>
      </c>
      <c r="BI264" s="387">
        <v>0</v>
      </c>
      <c r="BJ264" s="387">
        <v>0</v>
      </c>
      <c r="BK264" s="387">
        <v>0</v>
      </c>
      <c r="BL264" s="387">
        <v>0</v>
      </c>
      <c r="BM264" s="387">
        <v>0</v>
      </c>
      <c r="BN264" s="387">
        <v>0</v>
      </c>
      <c r="BO264" s="387">
        <v>0</v>
      </c>
    </row>
    <row r="265" spans="1:67" x14ac:dyDescent="0.2">
      <c r="A265" s="388" t="s">
        <v>898</v>
      </c>
      <c r="B265" s="389">
        <v>0</v>
      </c>
      <c r="C265" s="389">
        <v>0</v>
      </c>
      <c r="D265" s="389">
        <v>0</v>
      </c>
      <c r="E265" s="389">
        <v>0</v>
      </c>
      <c r="F265" s="389">
        <v>0</v>
      </c>
      <c r="G265" s="389">
        <v>0</v>
      </c>
      <c r="H265" s="389">
        <v>0</v>
      </c>
      <c r="I265" s="389">
        <v>0</v>
      </c>
      <c r="J265" s="389">
        <v>0</v>
      </c>
      <c r="K265" s="389">
        <v>0</v>
      </c>
      <c r="L265" s="389">
        <v>0</v>
      </c>
      <c r="M265" s="389">
        <v>0</v>
      </c>
      <c r="N265" s="389">
        <v>0.39600000000000002</v>
      </c>
      <c r="O265" s="389">
        <v>0.56999999999999995</v>
      </c>
      <c r="P265" s="389">
        <v>3.0569999999999999</v>
      </c>
      <c r="Q265" s="389">
        <v>3.363</v>
      </c>
      <c r="R265" s="389">
        <v>0.59</v>
      </c>
      <c r="S265" s="389">
        <v>3.4590000000000001</v>
      </c>
      <c r="T265" s="389">
        <v>5.3979999999999997</v>
      </c>
      <c r="U265" s="389">
        <v>6.0359999999999996</v>
      </c>
      <c r="V265" s="389">
        <v>7.6180000000000003</v>
      </c>
      <c r="W265" s="389">
        <v>7.9450000000000003</v>
      </c>
      <c r="X265" s="389">
        <v>9.5180000000000007</v>
      </c>
      <c r="Y265" s="389">
        <v>9.31</v>
      </c>
      <c r="Z265" s="389">
        <v>13.657999999999999</v>
      </c>
      <c r="AA265" s="389">
        <v>11.496</v>
      </c>
      <c r="AB265" s="389">
        <v>9.2409999999999997</v>
      </c>
      <c r="AC265" s="389">
        <v>9.3539999999999992</v>
      </c>
      <c r="AD265" s="389">
        <v>12.423999999999999</v>
      </c>
      <c r="AE265" s="389">
        <v>12.436999999999999</v>
      </c>
      <c r="AF265" s="389">
        <v>11.513999999999999</v>
      </c>
      <c r="AG265" s="389">
        <v>8.0299999999999994</v>
      </c>
      <c r="AH265" s="389">
        <v>6.6559999999999997</v>
      </c>
      <c r="AI265" s="389">
        <v>4.2510000000000003</v>
      </c>
      <c r="AJ265" s="389">
        <v>3.7959999999999998</v>
      </c>
      <c r="AK265" s="389">
        <v>3.1579999999999999</v>
      </c>
      <c r="AL265" s="389">
        <v>1.1719999999999999</v>
      </c>
      <c r="AM265" s="389">
        <v>1.52</v>
      </c>
      <c r="AN265" s="389">
        <v>2.1389999999999998</v>
      </c>
      <c r="AO265" s="389">
        <v>2.3330000000000002</v>
      </c>
      <c r="AP265" s="389">
        <v>1.732</v>
      </c>
      <c r="AQ265" s="389">
        <v>2.863</v>
      </c>
      <c r="AR265" s="389">
        <v>2.1739999999999999</v>
      </c>
      <c r="AS265" s="389">
        <v>1.4019999999999999</v>
      </c>
      <c r="AT265" s="389">
        <v>1.7130000000000001</v>
      </c>
      <c r="AU265" s="389">
        <v>1.2490000000000001</v>
      </c>
      <c r="AV265" s="389">
        <v>0.46200000000000002</v>
      </c>
      <c r="AW265" s="389">
        <v>0.318</v>
      </c>
      <c r="AX265" s="389">
        <v>0</v>
      </c>
      <c r="AY265" s="389">
        <v>0</v>
      </c>
      <c r="AZ265" s="389">
        <v>0</v>
      </c>
      <c r="BA265" s="389">
        <v>0</v>
      </c>
      <c r="BB265" s="389">
        <v>0</v>
      </c>
      <c r="BC265" s="389">
        <v>0</v>
      </c>
      <c r="BD265" s="389">
        <v>0</v>
      </c>
      <c r="BE265" s="389">
        <v>0</v>
      </c>
      <c r="BF265" s="389">
        <v>0</v>
      </c>
      <c r="BG265" s="389">
        <v>0</v>
      </c>
      <c r="BH265" s="389">
        <v>0</v>
      </c>
      <c r="BI265" s="389">
        <v>0</v>
      </c>
      <c r="BJ265" s="389">
        <v>0</v>
      </c>
      <c r="BK265" s="389">
        <v>0</v>
      </c>
      <c r="BL265" s="389">
        <v>0</v>
      </c>
      <c r="BM265" s="389">
        <v>0</v>
      </c>
      <c r="BN265" s="389">
        <v>0</v>
      </c>
      <c r="BO265" s="389">
        <v>0</v>
      </c>
    </row>
    <row r="267" spans="1:67" x14ac:dyDescent="0.2">
      <c r="A267" s="380" t="s">
        <v>3173</v>
      </c>
      <c r="B267" s="381" t="s">
        <v>194</v>
      </c>
    </row>
    <row r="268" spans="1:67" x14ac:dyDescent="0.2">
      <c r="A268" s="382" t="s">
        <v>3891</v>
      </c>
      <c r="B268" s="383"/>
    </row>
    <row r="269" spans="1:67" x14ac:dyDescent="0.2">
      <c r="A269" s="384" t="s">
        <v>3175</v>
      </c>
      <c r="B269" s="384">
        <v>-25</v>
      </c>
      <c r="C269" s="384">
        <v>-24</v>
      </c>
      <c r="D269" s="384">
        <v>-23</v>
      </c>
      <c r="E269" s="384">
        <v>-22</v>
      </c>
      <c r="F269" s="384">
        <v>-21</v>
      </c>
      <c r="G269" s="384">
        <v>-20</v>
      </c>
      <c r="H269" s="384">
        <v>-19</v>
      </c>
      <c r="I269" s="384">
        <v>-18</v>
      </c>
      <c r="J269" s="384">
        <v>-17</v>
      </c>
      <c r="K269" s="384">
        <v>-16</v>
      </c>
      <c r="L269" s="384">
        <v>-15</v>
      </c>
      <c r="M269" s="384">
        <v>-14</v>
      </c>
      <c r="N269" s="384">
        <v>-13</v>
      </c>
      <c r="O269" s="384">
        <v>-12</v>
      </c>
      <c r="P269" s="384">
        <v>-11</v>
      </c>
      <c r="Q269" s="384">
        <v>-10</v>
      </c>
      <c r="R269" s="384">
        <v>-9</v>
      </c>
      <c r="S269" s="384">
        <v>-8</v>
      </c>
      <c r="T269" s="384">
        <v>-7</v>
      </c>
      <c r="U269" s="384">
        <v>-6</v>
      </c>
      <c r="V269" s="384">
        <v>-5</v>
      </c>
      <c r="W269" s="384">
        <v>-4</v>
      </c>
      <c r="X269" s="384">
        <v>-3</v>
      </c>
      <c r="Y269" s="384">
        <v>-2</v>
      </c>
      <c r="Z269" s="384">
        <v>-1</v>
      </c>
      <c r="AA269" s="384">
        <v>0</v>
      </c>
      <c r="AB269" s="384">
        <v>1</v>
      </c>
      <c r="AC269" s="384">
        <v>2</v>
      </c>
      <c r="AD269" s="384">
        <v>3</v>
      </c>
      <c r="AE269" s="384">
        <v>4</v>
      </c>
      <c r="AF269" s="384">
        <v>5</v>
      </c>
      <c r="AG269" s="384">
        <v>6</v>
      </c>
      <c r="AH269" s="384">
        <v>7</v>
      </c>
      <c r="AI269" s="384">
        <v>8</v>
      </c>
      <c r="AJ269" s="384">
        <v>9</v>
      </c>
      <c r="AK269" s="384">
        <v>10</v>
      </c>
      <c r="AL269" s="384">
        <v>11</v>
      </c>
      <c r="AM269" s="384">
        <v>12</v>
      </c>
      <c r="AN269" s="384">
        <v>13</v>
      </c>
      <c r="AO269" s="384">
        <v>14</v>
      </c>
      <c r="AP269" s="384">
        <v>15</v>
      </c>
      <c r="AQ269" s="384">
        <v>16</v>
      </c>
      <c r="AR269" s="384">
        <v>17</v>
      </c>
      <c r="AS269" s="384">
        <v>18</v>
      </c>
      <c r="AT269" s="384">
        <v>19</v>
      </c>
      <c r="AU269" s="384">
        <v>20</v>
      </c>
      <c r="AV269" s="384">
        <v>21</v>
      </c>
      <c r="AW269" s="384">
        <v>22</v>
      </c>
      <c r="AX269" s="384">
        <v>23</v>
      </c>
      <c r="AY269" s="384">
        <v>24</v>
      </c>
      <c r="AZ269" s="384">
        <v>25</v>
      </c>
      <c r="BA269" s="384">
        <v>26</v>
      </c>
      <c r="BB269" s="384">
        <v>27</v>
      </c>
      <c r="BC269" s="384">
        <v>28</v>
      </c>
      <c r="BD269" s="384">
        <v>29</v>
      </c>
      <c r="BE269" s="384">
        <v>30</v>
      </c>
      <c r="BF269" s="384">
        <v>31</v>
      </c>
      <c r="BG269" s="384">
        <v>32</v>
      </c>
      <c r="BH269" s="384">
        <v>33</v>
      </c>
      <c r="BI269" s="384">
        <v>34</v>
      </c>
      <c r="BJ269" s="384">
        <v>35</v>
      </c>
      <c r="BK269" s="384">
        <v>36</v>
      </c>
      <c r="BL269" s="384">
        <v>37</v>
      </c>
      <c r="BM269" s="384">
        <v>38</v>
      </c>
      <c r="BN269" s="384">
        <v>39</v>
      </c>
      <c r="BO269" s="384">
        <v>40</v>
      </c>
    </row>
    <row r="270" spans="1:67" x14ac:dyDescent="0.2">
      <c r="A270" s="385" t="s">
        <v>3176</v>
      </c>
      <c r="B270" s="385">
        <v>0</v>
      </c>
      <c r="C270" s="385">
        <v>0</v>
      </c>
      <c r="D270" s="385">
        <v>0</v>
      </c>
      <c r="E270" s="385">
        <v>0</v>
      </c>
      <c r="F270" s="385">
        <v>0</v>
      </c>
      <c r="G270" s="385">
        <v>0</v>
      </c>
      <c r="H270" s="385">
        <v>0</v>
      </c>
      <c r="I270" s="385">
        <v>0</v>
      </c>
      <c r="J270" s="385">
        <v>0</v>
      </c>
      <c r="K270" s="385">
        <v>0</v>
      </c>
      <c r="L270" s="385">
        <v>0</v>
      </c>
      <c r="M270" s="385">
        <v>0</v>
      </c>
      <c r="N270" s="385">
        <v>5</v>
      </c>
      <c r="O270" s="385">
        <v>10</v>
      </c>
      <c r="P270" s="385">
        <v>31</v>
      </c>
      <c r="Q270" s="385">
        <v>25</v>
      </c>
      <c r="R270" s="385">
        <v>30</v>
      </c>
      <c r="S270" s="385">
        <v>47</v>
      </c>
      <c r="T270" s="385">
        <v>37</v>
      </c>
      <c r="U270" s="385">
        <v>46</v>
      </c>
      <c r="V270" s="385">
        <v>98</v>
      </c>
      <c r="W270" s="385">
        <v>155</v>
      </c>
      <c r="X270" s="385">
        <v>175</v>
      </c>
      <c r="Y270" s="385">
        <v>283</v>
      </c>
      <c r="Z270" s="385">
        <v>322</v>
      </c>
      <c r="AA270" s="385">
        <v>306</v>
      </c>
      <c r="AB270" s="385">
        <v>419</v>
      </c>
      <c r="AC270" s="385">
        <v>431</v>
      </c>
      <c r="AD270" s="385">
        <v>318</v>
      </c>
      <c r="AE270" s="385">
        <v>344</v>
      </c>
      <c r="AF270" s="385">
        <v>374</v>
      </c>
      <c r="AG270" s="385">
        <v>355</v>
      </c>
      <c r="AH270" s="385">
        <v>353</v>
      </c>
      <c r="AI270" s="385">
        <v>288</v>
      </c>
      <c r="AJ270" s="385">
        <v>357</v>
      </c>
      <c r="AK270" s="385">
        <v>345</v>
      </c>
      <c r="AL270" s="385">
        <v>379</v>
      </c>
      <c r="AM270" s="385">
        <v>364</v>
      </c>
      <c r="AN270" s="385">
        <v>395</v>
      </c>
      <c r="AO270" s="385">
        <v>406</v>
      </c>
      <c r="AP270" s="385">
        <v>352</v>
      </c>
      <c r="AQ270" s="385">
        <v>300</v>
      </c>
      <c r="AR270" s="385">
        <v>282</v>
      </c>
      <c r="AS270" s="385">
        <v>242</v>
      </c>
      <c r="AT270" s="385">
        <v>229</v>
      </c>
      <c r="AU270" s="385">
        <v>158</v>
      </c>
      <c r="AV270" s="385">
        <v>121</v>
      </c>
      <c r="AW270" s="385">
        <v>108</v>
      </c>
      <c r="AX270" s="385">
        <v>84</v>
      </c>
      <c r="AY270" s="385">
        <v>65</v>
      </c>
      <c r="AZ270" s="385">
        <v>46</v>
      </c>
      <c r="BA270" s="385">
        <v>34</v>
      </c>
      <c r="BB270" s="385">
        <v>15</v>
      </c>
      <c r="BC270" s="385">
        <v>17</v>
      </c>
      <c r="BD270" s="385">
        <v>3</v>
      </c>
      <c r="BE270" s="385">
        <v>6</v>
      </c>
      <c r="BF270" s="385">
        <v>0</v>
      </c>
      <c r="BG270" s="385">
        <v>0</v>
      </c>
      <c r="BH270" s="385">
        <v>0</v>
      </c>
      <c r="BI270" s="385">
        <v>0</v>
      </c>
      <c r="BJ270" s="385">
        <v>0</v>
      </c>
      <c r="BK270" s="385">
        <v>0</v>
      </c>
      <c r="BL270" s="385">
        <v>0</v>
      </c>
      <c r="BM270" s="385">
        <v>0</v>
      </c>
      <c r="BN270" s="385">
        <v>0</v>
      </c>
      <c r="BO270" s="385">
        <v>0</v>
      </c>
    </row>
    <row r="271" spans="1:67" x14ac:dyDescent="0.2">
      <c r="A271" s="386" t="s">
        <v>893</v>
      </c>
      <c r="B271" s="386">
        <v>0</v>
      </c>
      <c r="C271" s="386">
        <v>0</v>
      </c>
      <c r="D271" s="386">
        <v>0</v>
      </c>
      <c r="E271" s="386">
        <v>0</v>
      </c>
      <c r="F271" s="386">
        <v>0</v>
      </c>
      <c r="G271" s="386">
        <v>0</v>
      </c>
      <c r="H271" s="386">
        <v>0</v>
      </c>
      <c r="I271" s="386">
        <v>0</v>
      </c>
      <c r="J271" s="386">
        <v>0</v>
      </c>
      <c r="K271" s="386">
        <v>0</v>
      </c>
      <c r="L271" s="386">
        <v>0</v>
      </c>
      <c r="M271" s="386">
        <v>0</v>
      </c>
      <c r="N271" s="386">
        <v>0</v>
      </c>
      <c r="O271" s="386">
        <v>0</v>
      </c>
      <c r="P271" s="386">
        <v>48</v>
      </c>
      <c r="Q271" s="386">
        <v>0</v>
      </c>
      <c r="R271" s="386">
        <v>24</v>
      </c>
      <c r="S271" s="386">
        <v>72</v>
      </c>
      <c r="T271" s="386">
        <v>48</v>
      </c>
      <c r="U271" s="386">
        <v>24</v>
      </c>
      <c r="V271" s="386">
        <v>96</v>
      </c>
      <c r="W271" s="386">
        <v>48</v>
      </c>
      <c r="X271" s="386">
        <v>264</v>
      </c>
      <c r="Y271" s="386">
        <v>288</v>
      </c>
      <c r="Z271" s="386">
        <v>240</v>
      </c>
      <c r="AA271" s="386">
        <v>360</v>
      </c>
      <c r="AB271" s="386">
        <v>408</v>
      </c>
      <c r="AC271" s="386">
        <v>360</v>
      </c>
      <c r="AD271" s="386">
        <v>360</v>
      </c>
      <c r="AE271" s="386">
        <v>384</v>
      </c>
      <c r="AF271" s="386">
        <v>480</v>
      </c>
      <c r="AG271" s="386">
        <v>408</v>
      </c>
      <c r="AH271" s="386">
        <v>216</v>
      </c>
      <c r="AI271" s="386">
        <v>264</v>
      </c>
      <c r="AJ271" s="386">
        <v>312</v>
      </c>
      <c r="AK271" s="386">
        <v>432</v>
      </c>
      <c r="AL271" s="386">
        <v>408</v>
      </c>
      <c r="AM271" s="386">
        <v>240</v>
      </c>
      <c r="AN271" s="386">
        <v>408</v>
      </c>
      <c r="AO271" s="386">
        <v>552</v>
      </c>
      <c r="AP271" s="386">
        <v>312</v>
      </c>
      <c r="AQ271" s="386">
        <v>528</v>
      </c>
      <c r="AR271" s="386">
        <v>264</v>
      </c>
      <c r="AS271" s="386">
        <v>168</v>
      </c>
      <c r="AT271" s="386">
        <v>168</v>
      </c>
      <c r="AU271" s="386">
        <v>144</v>
      </c>
      <c r="AV271" s="386">
        <v>216</v>
      </c>
      <c r="AW271" s="386">
        <v>72</v>
      </c>
      <c r="AX271" s="386">
        <v>48</v>
      </c>
      <c r="AY271" s="386">
        <v>48</v>
      </c>
      <c r="AZ271" s="386">
        <v>24</v>
      </c>
      <c r="BA271" s="386">
        <v>24</v>
      </c>
      <c r="BB271" s="386">
        <v>0</v>
      </c>
      <c r="BC271" s="386">
        <v>0</v>
      </c>
      <c r="BD271" s="386">
        <v>0</v>
      </c>
      <c r="BE271" s="386">
        <v>0</v>
      </c>
      <c r="BF271" s="386">
        <v>0</v>
      </c>
      <c r="BG271" s="386">
        <v>0</v>
      </c>
      <c r="BH271" s="386">
        <v>0</v>
      </c>
      <c r="BI271" s="386">
        <v>0</v>
      </c>
      <c r="BJ271" s="386">
        <v>0</v>
      </c>
      <c r="BK271" s="386">
        <v>0</v>
      </c>
      <c r="BL271" s="386">
        <v>0</v>
      </c>
      <c r="BM271" s="386">
        <v>0</v>
      </c>
      <c r="BN271" s="386">
        <v>0</v>
      </c>
      <c r="BO271" s="386">
        <v>0</v>
      </c>
    </row>
    <row r="272" spans="1:67" x14ac:dyDescent="0.2">
      <c r="A272" s="386" t="s">
        <v>894</v>
      </c>
      <c r="B272" s="387">
        <v>0</v>
      </c>
      <c r="C272" s="387">
        <v>0</v>
      </c>
      <c r="D272" s="387">
        <v>0</v>
      </c>
      <c r="E272" s="387">
        <v>0</v>
      </c>
      <c r="F272" s="387">
        <v>0</v>
      </c>
      <c r="G272" s="387">
        <v>0</v>
      </c>
      <c r="H272" s="387">
        <v>0</v>
      </c>
      <c r="I272" s="387">
        <v>0</v>
      </c>
      <c r="J272" s="387">
        <v>0</v>
      </c>
      <c r="K272" s="387">
        <v>0</v>
      </c>
      <c r="L272" s="387">
        <v>0</v>
      </c>
      <c r="M272" s="387">
        <v>0</v>
      </c>
      <c r="N272" s="387">
        <v>0.248</v>
      </c>
      <c r="O272" s="387">
        <v>0.56599999999999995</v>
      </c>
      <c r="P272" s="387">
        <v>2.1110000000000002</v>
      </c>
      <c r="Q272" s="387">
        <v>1.2569999999999999</v>
      </c>
      <c r="R272" s="387">
        <v>1.512</v>
      </c>
      <c r="S272" s="387">
        <v>0.95499999999999996</v>
      </c>
      <c r="T272" s="387">
        <v>3.7549999999999999</v>
      </c>
      <c r="U272" s="387">
        <v>4.7670000000000003</v>
      </c>
      <c r="V272" s="387">
        <v>2.347</v>
      </c>
      <c r="W272" s="387">
        <v>3.3610000000000002</v>
      </c>
      <c r="X272" s="387">
        <v>4.8220000000000001</v>
      </c>
      <c r="Y272" s="387">
        <v>6.8</v>
      </c>
      <c r="Z272" s="387">
        <v>8.6720000000000006</v>
      </c>
      <c r="AA272" s="387">
        <v>10.217000000000001</v>
      </c>
      <c r="AB272" s="387">
        <v>15.9</v>
      </c>
      <c r="AC272" s="387">
        <v>15.31</v>
      </c>
      <c r="AD272" s="387">
        <v>15.401999999999999</v>
      </c>
      <c r="AE272" s="387">
        <v>22.963999999999999</v>
      </c>
      <c r="AF272" s="387">
        <v>16.495000000000001</v>
      </c>
      <c r="AG272" s="387">
        <v>23.675000000000001</v>
      </c>
      <c r="AH272" s="387">
        <v>25.05</v>
      </c>
      <c r="AI272" s="387">
        <v>25.722000000000001</v>
      </c>
      <c r="AJ272" s="387">
        <v>24.74</v>
      </c>
      <c r="AK272" s="387">
        <v>22.213999999999999</v>
      </c>
      <c r="AL272" s="387">
        <v>33.238</v>
      </c>
      <c r="AM272" s="387">
        <v>35.667000000000002</v>
      </c>
      <c r="AN272" s="387">
        <v>47.598999999999997</v>
      </c>
      <c r="AO272" s="387">
        <v>51.904000000000003</v>
      </c>
      <c r="AP272" s="387">
        <v>46.149000000000001</v>
      </c>
      <c r="AQ272" s="387">
        <v>47.292999999999999</v>
      </c>
      <c r="AR272" s="387">
        <v>61.070999999999998</v>
      </c>
      <c r="AS272" s="387">
        <v>59.911999999999999</v>
      </c>
      <c r="AT272" s="387">
        <v>62.329000000000001</v>
      </c>
      <c r="AU272" s="387">
        <v>45.795000000000002</v>
      </c>
      <c r="AV272" s="387">
        <v>47.756</v>
      </c>
      <c r="AW272" s="387">
        <v>40.231000000000002</v>
      </c>
      <c r="AX272" s="387">
        <v>33.487000000000002</v>
      </c>
      <c r="AY272" s="387">
        <v>26.77</v>
      </c>
      <c r="AZ272" s="387">
        <v>24.314</v>
      </c>
      <c r="BA272" s="387">
        <v>17.433</v>
      </c>
      <c r="BB272" s="387">
        <v>8.6920000000000002</v>
      </c>
      <c r="BC272" s="387">
        <v>9.4710000000000001</v>
      </c>
      <c r="BD272" s="387">
        <v>1.802</v>
      </c>
      <c r="BE272" s="387">
        <v>3.4020000000000001</v>
      </c>
      <c r="BF272" s="387">
        <v>0</v>
      </c>
      <c r="BG272" s="387">
        <v>0</v>
      </c>
      <c r="BH272" s="387">
        <v>0</v>
      </c>
      <c r="BI272" s="387">
        <v>0</v>
      </c>
      <c r="BJ272" s="387">
        <v>0</v>
      </c>
      <c r="BK272" s="387">
        <v>0</v>
      </c>
      <c r="BL272" s="387">
        <v>0</v>
      </c>
      <c r="BM272" s="387">
        <v>0</v>
      </c>
      <c r="BN272" s="387">
        <v>0</v>
      </c>
      <c r="BO272" s="387">
        <v>0</v>
      </c>
    </row>
    <row r="273" spans="1:67" x14ac:dyDescent="0.2">
      <c r="A273" s="386" t="s">
        <v>895</v>
      </c>
      <c r="B273" s="387">
        <v>0</v>
      </c>
      <c r="C273" s="387">
        <v>0</v>
      </c>
      <c r="D273" s="387">
        <v>0</v>
      </c>
      <c r="E273" s="387">
        <v>0</v>
      </c>
      <c r="F273" s="387">
        <v>0</v>
      </c>
      <c r="G273" s="387">
        <v>0</v>
      </c>
      <c r="H273" s="387">
        <v>0</v>
      </c>
      <c r="I273" s="387">
        <v>0</v>
      </c>
      <c r="J273" s="387">
        <v>0</v>
      </c>
      <c r="K273" s="387">
        <v>0</v>
      </c>
      <c r="L273" s="387">
        <v>0</v>
      </c>
      <c r="M273" s="387">
        <v>0</v>
      </c>
      <c r="N273" s="387">
        <v>0.45700000000000002</v>
      </c>
      <c r="O273" s="387">
        <v>0.82799999999999996</v>
      </c>
      <c r="P273" s="387">
        <v>1.3009999999999999</v>
      </c>
      <c r="Q273" s="387">
        <v>1.121</v>
      </c>
      <c r="R273" s="387">
        <v>1.609</v>
      </c>
      <c r="S273" s="387">
        <v>1.0589999999999999</v>
      </c>
      <c r="T273" s="387">
        <v>3.6549999999999998</v>
      </c>
      <c r="U273" s="387">
        <v>2.5369999999999999</v>
      </c>
      <c r="V273" s="387">
        <v>1.5249999999999999</v>
      </c>
      <c r="W273" s="387">
        <v>3.7789999999999999</v>
      </c>
      <c r="X273" s="387">
        <v>2.6920000000000002</v>
      </c>
      <c r="Y273" s="387">
        <v>4.9880000000000004</v>
      </c>
      <c r="Z273" s="387">
        <v>7.1159999999999997</v>
      </c>
      <c r="AA273" s="387">
        <v>6.36</v>
      </c>
      <c r="AB273" s="387">
        <v>11.151999999999999</v>
      </c>
      <c r="AC273" s="387">
        <v>13.601000000000001</v>
      </c>
      <c r="AD273" s="387">
        <v>8.6769999999999996</v>
      </c>
      <c r="AE273" s="387">
        <v>12.708</v>
      </c>
      <c r="AF273" s="387">
        <v>10.625999999999999</v>
      </c>
      <c r="AG273" s="387">
        <v>13.516</v>
      </c>
      <c r="AH273" s="387">
        <v>12.395</v>
      </c>
      <c r="AI273" s="387">
        <v>12.53</v>
      </c>
      <c r="AJ273" s="387">
        <v>10.159000000000001</v>
      </c>
      <c r="AK273" s="387">
        <v>14.01</v>
      </c>
      <c r="AL273" s="387">
        <v>15.625</v>
      </c>
      <c r="AM273" s="387">
        <v>17.858000000000001</v>
      </c>
      <c r="AN273" s="387">
        <v>27.045999999999999</v>
      </c>
      <c r="AO273" s="387">
        <v>28.452999999999999</v>
      </c>
      <c r="AP273" s="387">
        <v>27.43</v>
      </c>
      <c r="AQ273" s="387">
        <v>25.597000000000001</v>
      </c>
      <c r="AR273" s="387">
        <v>23.071000000000002</v>
      </c>
      <c r="AS273" s="387">
        <v>21.515999999999998</v>
      </c>
      <c r="AT273" s="387">
        <v>17.483000000000001</v>
      </c>
      <c r="AU273" s="387">
        <v>19.552</v>
      </c>
      <c r="AV273" s="387">
        <v>19.667000000000002</v>
      </c>
      <c r="AW273" s="387">
        <v>15.939</v>
      </c>
      <c r="AX273" s="387">
        <v>10.090999999999999</v>
      </c>
      <c r="AY273" s="387">
        <v>7.8449999999999998</v>
      </c>
      <c r="AZ273" s="387">
        <v>4.0970000000000004</v>
      </c>
      <c r="BA273" s="387">
        <v>4.2309999999999999</v>
      </c>
      <c r="BB273" s="387">
        <v>1.4239999999999999</v>
      </c>
      <c r="BC273" s="387">
        <v>1.508</v>
      </c>
      <c r="BD273" s="387">
        <v>0.16800000000000001</v>
      </c>
      <c r="BE273" s="387">
        <v>0.3</v>
      </c>
      <c r="BF273" s="387">
        <v>0</v>
      </c>
      <c r="BG273" s="387">
        <v>0</v>
      </c>
      <c r="BH273" s="387">
        <v>0</v>
      </c>
      <c r="BI273" s="387">
        <v>0</v>
      </c>
      <c r="BJ273" s="387">
        <v>0</v>
      </c>
      <c r="BK273" s="387">
        <v>0</v>
      </c>
      <c r="BL273" s="387">
        <v>0</v>
      </c>
      <c r="BM273" s="387">
        <v>0</v>
      </c>
      <c r="BN273" s="387">
        <v>0</v>
      </c>
      <c r="BO273" s="387">
        <v>0</v>
      </c>
    </row>
    <row r="274" spans="1:67" x14ac:dyDescent="0.2">
      <c r="A274" s="386" t="s">
        <v>896</v>
      </c>
      <c r="B274" s="387">
        <v>0</v>
      </c>
      <c r="C274" s="387">
        <v>0</v>
      </c>
      <c r="D274" s="387">
        <v>0</v>
      </c>
      <c r="E274" s="387">
        <v>0</v>
      </c>
      <c r="F274" s="387">
        <v>0</v>
      </c>
      <c r="G274" s="387">
        <v>0</v>
      </c>
      <c r="H274" s="387">
        <v>0</v>
      </c>
      <c r="I274" s="387">
        <v>0</v>
      </c>
      <c r="J274" s="387">
        <v>0</v>
      </c>
      <c r="K274" s="387">
        <v>0</v>
      </c>
      <c r="L274" s="387">
        <v>0</v>
      </c>
      <c r="M274" s="387">
        <v>0</v>
      </c>
      <c r="N274" s="387">
        <v>0.59199999999999997</v>
      </c>
      <c r="O274" s="387">
        <v>1.399</v>
      </c>
      <c r="P274" s="387">
        <v>4.4729999999999999</v>
      </c>
      <c r="Q274" s="387">
        <v>2.87</v>
      </c>
      <c r="R274" s="387">
        <v>3.5880000000000001</v>
      </c>
      <c r="S274" s="387">
        <v>2.012</v>
      </c>
      <c r="T274" s="387">
        <v>7.3040000000000003</v>
      </c>
      <c r="U274" s="387">
        <v>9.8209999999999997</v>
      </c>
      <c r="V274" s="387">
        <v>5.7750000000000004</v>
      </c>
      <c r="W274" s="387">
        <v>7.7149999999999999</v>
      </c>
      <c r="X274" s="387">
        <v>10.618</v>
      </c>
      <c r="Y274" s="387">
        <v>13.292999999999999</v>
      </c>
      <c r="Z274" s="387">
        <v>16.57</v>
      </c>
      <c r="AA274" s="387">
        <v>14.417999999999999</v>
      </c>
      <c r="AB274" s="387">
        <v>21.262</v>
      </c>
      <c r="AC274" s="387">
        <v>22.806000000000001</v>
      </c>
      <c r="AD274" s="387">
        <v>22.71</v>
      </c>
      <c r="AE274" s="387">
        <v>30.218</v>
      </c>
      <c r="AF274" s="387">
        <v>17.062999999999999</v>
      </c>
      <c r="AG274" s="387">
        <v>25.334</v>
      </c>
      <c r="AH274" s="387">
        <v>25.257999999999999</v>
      </c>
      <c r="AI274" s="387">
        <v>27.847000000000001</v>
      </c>
      <c r="AJ274" s="387">
        <v>20.059000000000001</v>
      </c>
      <c r="AK274" s="387">
        <v>15.69</v>
      </c>
      <c r="AL274" s="387">
        <v>28.74</v>
      </c>
      <c r="AM274" s="387">
        <v>22.681999999999999</v>
      </c>
      <c r="AN274" s="387">
        <v>29.908000000000001</v>
      </c>
      <c r="AO274" s="387">
        <v>32.414999999999999</v>
      </c>
      <c r="AP274" s="387">
        <v>27.783999999999999</v>
      </c>
      <c r="AQ274" s="387">
        <v>26.21</v>
      </c>
      <c r="AR274" s="387">
        <v>36.793999999999997</v>
      </c>
      <c r="AS274" s="387">
        <v>33.069000000000003</v>
      </c>
      <c r="AT274" s="387">
        <v>34.142000000000003</v>
      </c>
      <c r="AU274" s="387">
        <v>22.492999999999999</v>
      </c>
      <c r="AV274" s="387">
        <v>24.097999999999999</v>
      </c>
      <c r="AW274" s="387">
        <v>19.763000000000002</v>
      </c>
      <c r="AX274" s="387">
        <v>18.536000000000001</v>
      </c>
      <c r="AY274" s="387">
        <v>14.510999999999999</v>
      </c>
      <c r="AZ274" s="387">
        <v>13.118</v>
      </c>
      <c r="BA274" s="387">
        <v>8.4949999999999992</v>
      </c>
      <c r="BB274" s="387">
        <v>4.5670000000000002</v>
      </c>
      <c r="BC274" s="387">
        <v>4.8490000000000002</v>
      </c>
      <c r="BD274" s="387">
        <v>1.0629999999999999</v>
      </c>
      <c r="BE274" s="387">
        <v>2.1379999999999999</v>
      </c>
      <c r="BF274" s="387">
        <v>0</v>
      </c>
      <c r="BG274" s="387">
        <v>0</v>
      </c>
      <c r="BH274" s="387">
        <v>0</v>
      </c>
      <c r="BI274" s="387">
        <v>0</v>
      </c>
      <c r="BJ274" s="387">
        <v>0</v>
      </c>
      <c r="BK274" s="387">
        <v>0</v>
      </c>
      <c r="BL274" s="387">
        <v>0</v>
      </c>
      <c r="BM274" s="387">
        <v>0</v>
      </c>
      <c r="BN274" s="387">
        <v>0</v>
      </c>
      <c r="BO274" s="387">
        <v>0</v>
      </c>
    </row>
    <row r="275" spans="1:67" x14ac:dyDescent="0.2">
      <c r="A275" s="386" t="s">
        <v>897</v>
      </c>
      <c r="B275" s="387">
        <v>0</v>
      </c>
      <c r="C275" s="387">
        <v>0</v>
      </c>
      <c r="D275" s="387">
        <v>0</v>
      </c>
      <c r="E275" s="387">
        <v>0</v>
      </c>
      <c r="F275" s="387">
        <v>0</v>
      </c>
      <c r="G275" s="387">
        <v>0</v>
      </c>
      <c r="H275" s="387">
        <v>0</v>
      </c>
      <c r="I275" s="387">
        <v>0</v>
      </c>
      <c r="J275" s="387">
        <v>0</v>
      </c>
      <c r="K275" s="387">
        <v>0</v>
      </c>
      <c r="L275" s="387">
        <v>0</v>
      </c>
      <c r="M275" s="387">
        <v>0</v>
      </c>
      <c r="N275" s="387">
        <v>0</v>
      </c>
      <c r="O275" s="387">
        <v>0</v>
      </c>
      <c r="P275" s="387">
        <v>0.877</v>
      </c>
      <c r="Q275" s="387">
        <v>1.109</v>
      </c>
      <c r="R275" s="387">
        <v>1.018</v>
      </c>
      <c r="S275" s="387">
        <v>0.16900000000000001</v>
      </c>
      <c r="T275" s="387">
        <v>1.87</v>
      </c>
      <c r="U275" s="387">
        <v>4.516</v>
      </c>
      <c r="V275" s="387">
        <v>2.129</v>
      </c>
      <c r="W275" s="387">
        <v>1.08</v>
      </c>
      <c r="X275" s="387">
        <v>2.5019999999999998</v>
      </c>
      <c r="Y275" s="387">
        <v>2.9009999999999998</v>
      </c>
      <c r="Z275" s="387">
        <v>6.6180000000000003</v>
      </c>
      <c r="AA275" s="387">
        <v>5.0919999999999996</v>
      </c>
      <c r="AB275" s="387">
        <v>9.8119999999999994</v>
      </c>
      <c r="AC275" s="387">
        <v>9.4779999999999998</v>
      </c>
      <c r="AD275" s="387">
        <v>8.843</v>
      </c>
      <c r="AE275" s="387">
        <v>14.292999999999999</v>
      </c>
      <c r="AF275" s="387">
        <v>5.4509999999999996</v>
      </c>
      <c r="AG275" s="387">
        <v>9.5869999999999997</v>
      </c>
      <c r="AH275" s="387">
        <v>11.071</v>
      </c>
      <c r="AI275" s="387">
        <v>15.494</v>
      </c>
      <c r="AJ275" s="387">
        <v>15.808</v>
      </c>
      <c r="AK275" s="387">
        <v>7.4020000000000001</v>
      </c>
      <c r="AL275" s="387">
        <v>15.484999999999999</v>
      </c>
      <c r="AM275" s="387">
        <v>18.239000000000001</v>
      </c>
      <c r="AN275" s="387">
        <v>19.847000000000001</v>
      </c>
      <c r="AO275" s="387">
        <v>18.361999999999998</v>
      </c>
      <c r="AP275" s="387">
        <v>12.23</v>
      </c>
      <c r="AQ275" s="387">
        <v>14.351000000000001</v>
      </c>
      <c r="AR275" s="387">
        <v>29.286999999999999</v>
      </c>
      <c r="AS275" s="387">
        <v>30.602</v>
      </c>
      <c r="AT275" s="387">
        <v>43.674999999999997</v>
      </c>
      <c r="AU275" s="387">
        <v>27.942</v>
      </c>
      <c r="AV275" s="387">
        <v>26.513999999999999</v>
      </c>
      <c r="AW275" s="387">
        <v>25.306000000000001</v>
      </c>
      <c r="AX275" s="387">
        <v>14.71</v>
      </c>
      <c r="AY275" s="387">
        <v>14.651999999999999</v>
      </c>
      <c r="AZ275" s="387">
        <v>16.411999999999999</v>
      </c>
      <c r="BA275" s="387">
        <v>12.581</v>
      </c>
      <c r="BB275" s="387">
        <v>7.0019999999999998</v>
      </c>
      <c r="BC275" s="387">
        <v>7.5609999999999999</v>
      </c>
      <c r="BD275" s="387">
        <v>1.165</v>
      </c>
      <c r="BE275" s="387">
        <v>3.073</v>
      </c>
      <c r="BF275" s="387">
        <v>0</v>
      </c>
      <c r="BG275" s="387">
        <v>0</v>
      </c>
      <c r="BH275" s="387">
        <v>0</v>
      </c>
      <c r="BI275" s="387">
        <v>0</v>
      </c>
      <c r="BJ275" s="387">
        <v>0</v>
      </c>
      <c r="BK275" s="387">
        <v>0</v>
      </c>
      <c r="BL275" s="387">
        <v>0</v>
      </c>
      <c r="BM275" s="387">
        <v>0</v>
      </c>
      <c r="BN275" s="387">
        <v>0</v>
      </c>
      <c r="BO275" s="387">
        <v>0</v>
      </c>
    </row>
    <row r="276" spans="1:67" x14ac:dyDescent="0.2">
      <c r="A276" s="388" t="s">
        <v>898</v>
      </c>
      <c r="B276" s="389">
        <v>0</v>
      </c>
      <c r="C276" s="389">
        <v>0</v>
      </c>
      <c r="D276" s="389">
        <v>0</v>
      </c>
      <c r="E276" s="389">
        <v>0</v>
      </c>
      <c r="F276" s="389">
        <v>0</v>
      </c>
      <c r="G276" s="389">
        <v>0</v>
      </c>
      <c r="H276" s="389">
        <v>0</v>
      </c>
      <c r="I276" s="389">
        <v>0</v>
      </c>
      <c r="J276" s="389">
        <v>0</v>
      </c>
      <c r="K276" s="389">
        <v>0</v>
      </c>
      <c r="L276" s="389">
        <v>0</v>
      </c>
      <c r="M276" s="389">
        <v>0</v>
      </c>
      <c r="N276" s="389">
        <v>0</v>
      </c>
      <c r="O276" s="389">
        <v>0</v>
      </c>
      <c r="P276" s="389">
        <v>0.158</v>
      </c>
      <c r="Q276" s="389">
        <v>0</v>
      </c>
      <c r="R276" s="389">
        <v>0</v>
      </c>
      <c r="S276" s="389">
        <v>0.16400000000000001</v>
      </c>
      <c r="T276" s="389">
        <v>1.2909999999999999</v>
      </c>
      <c r="U276" s="389">
        <v>1.0840000000000001</v>
      </c>
      <c r="V276" s="389">
        <v>0.34599999999999997</v>
      </c>
      <c r="W276" s="389">
        <v>0.16400000000000001</v>
      </c>
      <c r="X276" s="389">
        <v>0.33400000000000002</v>
      </c>
      <c r="Y276" s="389">
        <v>1.0900000000000001</v>
      </c>
      <c r="Z276" s="389">
        <v>1.141</v>
      </c>
      <c r="AA276" s="389">
        <v>2.1080000000000001</v>
      </c>
      <c r="AB276" s="389">
        <v>2.4340000000000002</v>
      </c>
      <c r="AC276" s="389">
        <v>2.4489999999999998</v>
      </c>
      <c r="AD276" s="389">
        <v>2.331</v>
      </c>
      <c r="AE276" s="389">
        <v>3.823</v>
      </c>
      <c r="AF276" s="389">
        <v>2.0790000000000002</v>
      </c>
      <c r="AG276" s="389">
        <v>3.6789999999999998</v>
      </c>
      <c r="AH276" s="389">
        <v>2.8450000000000002</v>
      </c>
      <c r="AI276" s="389">
        <v>3.601</v>
      </c>
      <c r="AJ276" s="389">
        <v>2.3130000000000002</v>
      </c>
      <c r="AK276" s="389">
        <v>2.0720000000000001</v>
      </c>
      <c r="AL276" s="389">
        <v>2.4089999999999998</v>
      </c>
      <c r="AM276" s="389">
        <v>4.4249999999999998</v>
      </c>
      <c r="AN276" s="389">
        <v>3.8370000000000002</v>
      </c>
      <c r="AO276" s="389">
        <v>4.7439999999999998</v>
      </c>
      <c r="AP276" s="389">
        <v>2.7730000000000001</v>
      </c>
      <c r="AQ276" s="389">
        <v>4.83</v>
      </c>
      <c r="AR276" s="389">
        <v>4.5359999999999996</v>
      </c>
      <c r="AS276" s="389">
        <v>5.7430000000000003</v>
      </c>
      <c r="AT276" s="389">
        <v>4.3639999999999999</v>
      </c>
      <c r="AU276" s="389">
        <v>3.2789999999999999</v>
      </c>
      <c r="AV276" s="389">
        <v>2.4279999999999999</v>
      </c>
      <c r="AW276" s="389">
        <v>4.4989999999999997</v>
      </c>
      <c r="AX276" s="389">
        <v>1.579</v>
      </c>
      <c r="AY276" s="389">
        <v>1.911</v>
      </c>
      <c r="AZ276" s="389">
        <v>0.91300000000000003</v>
      </c>
      <c r="BA276" s="389">
        <v>0.16</v>
      </c>
      <c r="BB276" s="389">
        <v>0.32800000000000001</v>
      </c>
      <c r="BC276" s="389">
        <v>0</v>
      </c>
      <c r="BD276" s="389">
        <v>0.16200000000000001</v>
      </c>
      <c r="BE276" s="389">
        <v>0.30599999999999999</v>
      </c>
      <c r="BF276" s="389">
        <v>0</v>
      </c>
      <c r="BG276" s="389">
        <v>0</v>
      </c>
      <c r="BH276" s="389">
        <v>0</v>
      </c>
      <c r="BI276" s="389">
        <v>0</v>
      </c>
      <c r="BJ276" s="389">
        <v>0</v>
      </c>
      <c r="BK276" s="389">
        <v>0</v>
      </c>
      <c r="BL276" s="389">
        <v>0</v>
      </c>
      <c r="BM276" s="389">
        <v>0</v>
      </c>
      <c r="BN276" s="389">
        <v>0</v>
      </c>
      <c r="BO276" s="389">
        <v>0</v>
      </c>
    </row>
    <row r="278" spans="1:67" x14ac:dyDescent="0.2">
      <c r="A278" s="380" t="s">
        <v>3173</v>
      </c>
      <c r="B278" s="381" t="s">
        <v>195</v>
      </c>
    </row>
    <row r="279" spans="1:67" x14ac:dyDescent="0.2">
      <c r="A279" s="382" t="s">
        <v>2133</v>
      </c>
      <c r="B279" s="383"/>
    </row>
    <row r="280" spans="1:67" x14ac:dyDescent="0.2">
      <c r="A280" s="384" t="s">
        <v>3175</v>
      </c>
      <c r="B280" s="384">
        <v>-25</v>
      </c>
      <c r="C280" s="384">
        <v>-24</v>
      </c>
      <c r="D280" s="384">
        <v>-23</v>
      </c>
      <c r="E280" s="384">
        <v>-22</v>
      </c>
      <c r="F280" s="384">
        <v>-21</v>
      </c>
      <c r="G280" s="384">
        <v>-20</v>
      </c>
      <c r="H280" s="384">
        <v>-19</v>
      </c>
      <c r="I280" s="384">
        <v>-18</v>
      </c>
      <c r="J280" s="384">
        <v>-17</v>
      </c>
      <c r="K280" s="384">
        <v>-16</v>
      </c>
      <c r="L280" s="384">
        <v>-15</v>
      </c>
      <c r="M280" s="384">
        <v>-14</v>
      </c>
      <c r="N280" s="384">
        <v>-13</v>
      </c>
      <c r="O280" s="384">
        <v>-12</v>
      </c>
      <c r="P280" s="384">
        <v>-11</v>
      </c>
      <c r="Q280" s="384">
        <v>-10</v>
      </c>
      <c r="R280" s="384">
        <v>-9</v>
      </c>
      <c r="S280" s="384">
        <v>-8</v>
      </c>
      <c r="T280" s="384">
        <v>-7</v>
      </c>
      <c r="U280" s="384">
        <v>-6</v>
      </c>
      <c r="V280" s="384">
        <v>-5</v>
      </c>
      <c r="W280" s="384">
        <v>-4</v>
      </c>
      <c r="X280" s="384">
        <v>-3</v>
      </c>
      <c r="Y280" s="384">
        <v>-2</v>
      </c>
      <c r="Z280" s="384">
        <v>-1</v>
      </c>
      <c r="AA280" s="384">
        <v>0</v>
      </c>
      <c r="AB280" s="384">
        <v>1</v>
      </c>
      <c r="AC280" s="384">
        <v>2</v>
      </c>
      <c r="AD280" s="384">
        <v>3</v>
      </c>
      <c r="AE280" s="384">
        <v>4</v>
      </c>
      <c r="AF280" s="384">
        <v>5</v>
      </c>
      <c r="AG280" s="384">
        <v>6</v>
      </c>
      <c r="AH280" s="384">
        <v>7</v>
      </c>
      <c r="AI280" s="384">
        <v>8</v>
      </c>
      <c r="AJ280" s="384">
        <v>9</v>
      </c>
      <c r="AK280" s="384">
        <v>10</v>
      </c>
      <c r="AL280" s="384">
        <v>11</v>
      </c>
      <c r="AM280" s="384">
        <v>12</v>
      </c>
      <c r="AN280" s="384">
        <v>13</v>
      </c>
      <c r="AO280" s="384">
        <v>14</v>
      </c>
      <c r="AP280" s="384">
        <v>15</v>
      </c>
      <c r="AQ280" s="384">
        <v>16</v>
      </c>
      <c r="AR280" s="384">
        <v>17</v>
      </c>
      <c r="AS280" s="384">
        <v>18</v>
      </c>
      <c r="AT280" s="384">
        <v>19</v>
      </c>
      <c r="AU280" s="384">
        <v>20</v>
      </c>
      <c r="AV280" s="384">
        <v>21</v>
      </c>
      <c r="AW280" s="384">
        <v>22</v>
      </c>
      <c r="AX280" s="384">
        <v>23</v>
      </c>
      <c r="AY280" s="384">
        <v>24</v>
      </c>
      <c r="AZ280" s="384">
        <v>25</v>
      </c>
      <c r="BA280" s="384">
        <v>26</v>
      </c>
      <c r="BB280" s="384">
        <v>27</v>
      </c>
      <c r="BC280" s="384">
        <v>28</v>
      </c>
      <c r="BD280" s="384">
        <v>29</v>
      </c>
      <c r="BE280" s="384">
        <v>30</v>
      </c>
      <c r="BF280" s="384">
        <v>31</v>
      </c>
      <c r="BG280" s="384">
        <v>32</v>
      </c>
      <c r="BH280" s="384">
        <v>33</v>
      </c>
      <c r="BI280" s="384">
        <v>34</v>
      </c>
      <c r="BJ280" s="384">
        <v>35</v>
      </c>
      <c r="BK280" s="384">
        <v>36</v>
      </c>
      <c r="BL280" s="384">
        <v>37</v>
      </c>
      <c r="BM280" s="384">
        <v>38</v>
      </c>
      <c r="BN280" s="384">
        <v>39</v>
      </c>
      <c r="BO280" s="384">
        <v>40</v>
      </c>
    </row>
    <row r="281" spans="1:67" x14ac:dyDescent="0.2">
      <c r="A281" s="385" t="s">
        <v>3176</v>
      </c>
      <c r="B281" s="385">
        <v>0</v>
      </c>
      <c r="C281" s="385">
        <v>0</v>
      </c>
      <c r="D281" s="385">
        <v>0</v>
      </c>
      <c r="E281" s="385">
        <v>0</v>
      </c>
      <c r="F281" s="385">
        <v>0</v>
      </c>
      <c r="G281" s="385">
        <v>0</v>
      </c>
      <c r="H281" s="385">
        <v>0</v>
      </c>
      <c r="I281" s="385">
        <v>0</v>
      </c>
      <c r="J281" s="385">
        <v>0</v>
      </c>
      <c r="K281" s="385">
        <v>0</v>
      </c>
      <c r="L281" s="385">
        <v>0</v>
      </c>
      <c r="M281" s="385">
        <v>0</v>
      </c>
      <c r="N281" s="385">
        <v>0</v>
      </c>
      <c r="O281" s="385">
        <v>4</v>
      </c>
      <c r="P281" s="385">
        <v>14</v>
      </c>
      <c r="Q281" s="385">
        <v>15</v>
      </c>
      <c r="R281" s="385">
        <v>22</v>
      </c>
      <c r="S281" s="385">
        <v>21</v>
      </c>
      <c r="T281" s="385">
        <v>30</v>
      </c>
      <c r="U281" s="385">
        <v>64</v>
      </c>
      <c r="V281" s="385">
        <v>53</v>
      </c>
      <c r="W281" s="385">
        <v>48</v>
      </c>
      <c r="X281" s="385">
        <v>100</v>
      </c>
      <c r="Y281" s="385">
        <v>146</v>
      </c>
      <c r="Z281" s="385">
        <v>249</v>
      </c>
      <c r="AA281" s="385">
        <v>279</v>
      </c>
      <c r="AB281" s="385">
        <v>368</v>
      </c>
      <c r="AC281" s="385">
        <v>426</v>
      </c>
      <c r="AD281" s="385">
        <v>419</v>
      </c>
      <c r="AE281" s="385">
        <v>451</v>
      </c>
      <c r="AF281" s="385">
        <v>339</v>
      </c>
      <c r="AG281" s="385">
        <v>384</v>
      </c>
      <c r="AH281" s="385">
        <v>381</v>
      </c>
      <c r="AI281" s="385">
        <v>329</v>
      </c>
      <c r="AJ281" s="385">
        <v>330</v>
      </c>
      <c r="AK281" s="385">
        <v>344</v>
      </c>
      <c r="AL281" s="385">
        <v>385</v>
      </c>
      <c r="AM281" s="385">
        <v>342</v>
      </c>
      <c r="AN281" s="385">
        <v>299</v>
      </c>
      <c r="AO281" s="385">
        <v>343</v>
      </c>
      <c r="AP281" s="385">
        <v>380</v>
      </c>
      <c r="AQ281" s="385">
        <v>311</v>
      </c>
      <c r="AR281" s="385">
        <v>335</v>
      </c>
      <c r="AS281" s="385">
        <v>298</v>
      </c>
      <c r="AT281" s="385">
        <v>224</v>
      </c>
      <c r="AU281" s="385">
        <v>197</v>
      </c>
      <c r="AV281" s="385">
        <v>184</v>
      </c>
      <c r="AW281" s="385">
        <v>126</v>
      </c>
      <c r="AX281" s="385">
        <v>123</v>
      </c>
      <c r="AY281" s="385">
        <v>115</v>
      </c>
      <c r="AZ281" s="385">
        <v>84</v>
      </c>
      <c r="BA281" s="385">
        <v>63</v>
      </c>
      <c r="BB281" s="385">
        <v>42</v>
      </c>
      <c r="BC281" s="385">
        <v>22</v>
      </c>
      <c r="BD281" s="385">
        <v>21</v>
      </c>
      <c r="BE281" s="385">
        <v>10</v>
      </c>
      <c r="BF281" s="385">
        <v>19</v>
      </c>
      <c r="BG281" s="385">
        <v>13</v>
      </c>
      <c r="BH281" s="385">
        <v>3</v>
      </c>
      <c r="BI281" s="385">
        <v>4</v>
      </c>
      <c r="BJ281" s="385">
        <v>1</v>
      </c>
      <c r="BK281" s="385">
        <v>0</v>
      </c>
      <c r="BL281" s="385">
        <v>0</v>
      </c>
      <c r="BM281" s="385">
        <v>0</v>
      </c>
      <c r="BN281" s="385">
        <v>0</v>
      </c>
      <c r="BO281" s="385">
        <v>0</v>
      </c>
    </row>
    <row r="282" spans="1:67" x14ac:dyDescent="0.2">
      <c r="A282" s="386" t="s">
        <v>893</v>
      </c>
      <c r="B282" s="386">
        <v>0</v>
      </c>
      <c r="C282" s="386">
        <v>0</v>
      </c>
      <c r="D282" s="386">
        <v>0</v>
      </c>
      <c r="E282" s="386">
        <v>0</v>
      </c>
      <c r="F282" s="386">
        <v>0</v>
      </c>
      <c r="G282" s="386">
        <v>0</v>
      </c>
      <c r="H282" s="386">
        <v>0</v>
      </c>
      <c r="I282" s="386">
        <v>0</v>
      </c>
      <c r="J282" s="386">
        <v>0</v>
      </c>
      <c r="K282" s="386">
        <v>0</v>
      </c>
      <c r="L282" s="386">
        <v>0</v>
      </c>
      <c r="M282" s="386">
        <v>0</v>
      </c>
      <c r="N282" s="386">
        <v>0</v>
      </c>
      <c r="O282" s="386">
        <v>0</v>
      </c>
      <c r="P282" s="386">
        <v>0</v>
      </c>
      <c r="Q282" s="386">
        <v>0</v>
      </c>
      <c r="R282" s="386">
        <v>48</v>
      </c>
      <c r="S282" s="386">
        <v>24</v>
      </c>
      <c r="T282" s="386">
        <v>0</v>
      </c>
      <c r="U282" s="386">
        <v>96</v>
      </c>
      <c r="V282" s="386">
        <v>24</v>
      </c>
      <c r="W282" s="386">
        <v>96</v>
      </c>
      <c r="X282" s="386">
        <v>72</v>
      </c>
      <c r="Y282" s="386">
        <v>48</v>
      </c>
      <c r="Z282" s="386">
        <v>216</v>
      </c>
      <c r="AA282" s="386">
        <v>288</v>
      </c>
      <c r="AB282" s="386">
        <v>360</v>
      </c>
      <c r="AC282" s="386">
        <v>360</v>
      </c>
      <c r="AD282" s="386">
        <v>552</v>
      </c>
      <c r="AE282" s="386">
        <v>552</v>
      </c>
      <c r="AF282" s="386">
        <v>360</v>
      </c>
      <c r="AG282" s="386">
        <v>336</v>
      </c>
      <c r="AH282" s="386">
        <v>384</v>
      </c>
      <c r="AI282" s="386">
        <v>312</v>
      </c>
      <c r="AJ282" s="386">
        <v>216</v>
      </c>
      <c r="AK282" s="386">
        <v>288</v>
      </c>
      <c r="AL282" s="386">
        <v>336</v>
      </c>
      <c r="AM282" s="386">
        <v>384</v>
      </c>
      <c r="AN282" s="386">
        <v>408</v>
      </c>
      <c r="AO282" s="386">
        <v>480</v>
      </c>
      <c r="AP282" s="386">
        <v>360</v>
      </c>
      <c r="AQ282" s="386">
        <v>336</v>
      </c>
      <c r="AR282" s="386">
        <v>240</v>
      </c>
      <c r="AS282" s="386">
        <v>312</v>
      </c>
      <c r="AT282" s="386">
        <v>456</v>
      </c>
      <c r="AU282" s="386">
        <v>312</v>
      </c>
      <c r="AV282" s="386">
        <v>168</v>
      </c>
      <c r="AW282" s="386">
        <v>120</v>
      </c>
      <c r="AX282" s="386">
        <v>96</v>
      </c>
      <c r="AY282" s="386">
        <v>96</v>
      </c>
      <c r="AZ282" s="386">
        <v>0</v>
      </c>
      <c r="BA282" s="386">
        <v>24</v>
      </c>
      <c r="BB282" s="386">
        <v>0</v>
      </c>
      <c r="BC282" s="386">
        <v>0</v>
      </c>
      <c r="BD282" s="386">
        <v>0</v>
      </c>
      <c r="BE282" s="386">
        <v>0</v>
      </c>
      <c r="BF282" s="386">
        <v>0</v>
      </c>
      <c r="BG282" s="386">
        <v>0</v>
      </c>
      <c r="BH282" s="386">
        <v>0</v>
      </c>
      <c r="BI282" s="386">
        <v>0</v>
      </c>
      <c r="BJ282" s="386">
        <v>0</v>
      </c>
      <c r="BK282" s="386">
        <v>0</v>
      </c>
      <c r="BL282" s="386">
        <v>0</v>
      </c>
      <c r="BM282" s="386">
        <v>0</v>
      </c>
      <c r="BN282" s="386">
        <v>0</v>
      </c>
      <c r="BO282" s="386">
        <v>0</v>
      </c>
    </row>
    <row r="283" spans="1:67" x14ac:dyDescent="0.2">
      <c r="A283" s="386" t="s">
        <v>894</v>
      </c>
      <c r="B283" s="387">
        <v>0</v>
      </c>
      <c r="C283" s="387">
        <v>0</v>
      </c>
      <c r="D283" s="387">
        <v>0</v>
      </c>
      <c r="E283" s="387">
        <v>0</v>
      </c>
      <c r="F283" s="387">
        <v>0</v>
      </c>
      <c r="G283" s="387">
        <v>0</v>
      </c>
      <c r="H283" s="387">
        <v>0</v>
      </c>
      <c r="I283" s="387">
        <v>0</v>
      </c>
      <c r="J283" s="387">
        <v>0</v>
      </c>
      <c r="K283" s="387">
        <v>0</v>
      </c>
      <c r="L283" s="387">
        <v>0</v>
      </c>
      <c r="M283" s="387">
        <v>0</v>
      </c>
      <c r="N283" s="387">
        <v>0</v>
      </c>
      <c r="O283" s="387">
        <v>0</v>
      </c>
      <c r="P283" s="387">
        <v>0</v>
      </c>
      <c r="Q283" s="387">
        <v>0</v>
      </c>
      <c r="R283" s="387">
        <v>0</v>
      </c>
      <c r="S283" s="387">
        <v>1.0880000000000001</v>
      </c>
      <c r="T283" s="387">
        <v>1.0409999999999999</v>
      </c>
      <c r="U283" s="387">
        <v>2.8860000000000001</v>
      </c>
      <c r="V283" s="387">
        <v>1.863</v>
      </c>
      <c r="W283" s="387">
        <v>1.903</v>
      </c>
      <c r="X283" s="387">
        <v>3.2290000000000001</v>
      </c>
      <c r="Y283" s="387">
        <v>4.7930000000000001</v>
      </c>
      <c r="Z283" s="387">
        <v>3.2650000000000001</v>
      </c>
      <c r="AA283" s="387">
        <v>3.6869999999999998</v>
      </c>
      <c r="AB283" s="387">
        <v>7.7480000000000002</v>
      </c>
      <c r="AC283" s="387">
        <v>11.000999999999999</v>
      </c>
      <c r="AD283" s="387">
        <v>9.6199999999999992</v>
      </c>
      <c r="AE283" s="387">
        <v>18.350999999999999</v>
      </c>
      <c r="AF283" s="387">
        <v>17.065999999999999</v>
      </c>
      <c r="AG283" s="387">
        <v>23.023</v>
      </c>
      <c r="AH283" s="387">
        <v>23.588999999999999</v>
      </c>
      <c r="AI283" s="387">
        <v>25.085999999999999</v>
      </c>
      <c r="AJ283" s="387">
        <v>23.757999999999999</v>
      </c>
      <c r="AK283" s="387">
        <v>22.893000000000001</v>
      </c>
      <c r="AL283" s="387">
        <v>25.977</v>
      </c>
      <c r="AM283" s="387">
        <v>28.346</v>
      </c>
      <c r="AN283" s="387">
        <v>28.384</v>
      </c>
      <c r="AO283" s="387">
        <v>37.042999999999999</v>
      </c>
      <c r="AP283" s="387">
        <v>45.372999999999998</v>
      </c>
      <c r="AQ283" s="387">
        <v>47.314</v>
      </c>
      <c r="AR283" s="387">
        <v>44.01</v>
      </c>
      <c r="AS283" s="387">
        <v>49.973999999999997</v>
      </c>
      <c r="AT283" s="387">
        <v>58.847000000000001</v>
      </c>
      <c r="AU283" s="387">
        <v>57.185000000000002</v>
      </c>
      <c r="AV283" s="387">
        <v>68.88</v>
      </c>
      <c r="AW283" s="387">
        <v>49.921999999999997</v>
      </c>
      <c r="AX283" s="387">
        <v>49.451999999999998</v>
      </c>
      <c r="AY283" s="387">
        <v>54.12</v>
      </c>
      <c r="AZ283" s="387">
        <v>39.682000000000002</v>
      </c>
      <c r="BA283" s="387">
        <v>30.24</v>
      </c>
      <c r="BB283" s="387">
        <v>22.510999999999999</v>
      </c>
      <c r="BC283" s="387">
        <v>11.436</v>
      </c>
      <c r="BD283" s="387">
        <v>9.6999999999999993</v>
      </c>
      <c r="BE283" s="387">
        <v>6.1870000000000003</v>
      </c>
      <c r="BF283" s="387">
        <v>10.523</v>
      </c>
      <c r="BG283" s="387">
        <v>7.3959999999999999</v>
      </c>
      <c r="BH283" s="387">
        <v>1.3440000000000001</v>
      </c>
      <c r="BI283" s="387">
        <v>2.355</v>
      </c>
      <c r="BJ283" s="387">
        <v>0.64800000000000002</v>
      </c>
      <c r="BK283" s="387">
        <v>0</v>
      </c>
      <c r="BL283" s="387">
        <v>0</v>
      </c>
      <c r="BM283" s="387">
        <v>0</v>
      </c>
      <c r="BN283" s="387">
        <v>0</v>
      </c>
      <c r="BO283" s="387">
        <v>0</v>
      </c>
    </row>
    <row r="284" spans="1:67" x14ac:dyDescent="0.2">
      <c r="A284" s="386" t="s">
        <v>895</v>
      </c>
      <c r="B284" s="387">
        <v>0</v>
      </c>
      <c r="C284" s="387">
        <v>0</v>
      </c>
      <c r="D284" s="387">
        <v>0</v>
      </c>
      <c r="E284" s="387">
        <v>0</v>
      </c>
      <c r="F284" s="387">
        <v>0</v>
      </c>
      <c r="G284" s="387">
        <v>0</v>
      </c>
      <c r="H284" s="387">
        <v>0</v>
      </c>
      <c r="I284" s="387">
        <v>0</v>
      </c>
      <c r="J284" s="387">
        <v>0</v>
      </c>
      <c r="K284" s="387">
        <v>0</v>
      </c>
      <c r="L284" s="387">
        <v>0</v>
      </c>
      <c r="M284" s="387">
        <v>0</v>
      </c>
      <c r="N284" s="387">
        <v>0</v>
      </c>
      <c r="O284" s="387">
        <v>0</v>
      </c>
      <c r="P284" s="387">
        <v>0</v>
      </c>
      <c r="Q284" s="387">
        <v>0.39200000000000002</v>
      </c>
      <c r="R284" s="387">
        <v>0</v>
      </c>
      <c r="S284" s="387">
        <v>1.242</v>
      </c>
      <c r="T284" s="387">
        <v>0.79</v>
      </c>
      <c r="U284" s="387">
        <v>2.5219999999999998</v>
      </c>
      <c r="V284" s="387">
        <v>1.472</v>
      </c>
      <c r="W284" s="387">
        <v>2.3570000000000002</v>
      </c>
      <c r="X284" s="387">
        <v>3.9369999999999998</v>
      </c>
      <c r="Y284" s="387">
        <v>3.01</v>
      </c>
      <c r="Z284" s="387">
        <v>2.7330000000000001</v>
      </c>
      <c r="AA284" s="387">
        <v>4.3719999999999999</v>
      </c>
      <c r="AB284" s="387">
        <v>5.9240000000000004</v>
      </c>
      <c r="AC284" s="387">
        <v>9.8529999999999998</v>
      </c>
      <c r="AD284" s="387">
        <v>6.806</v>
      </c>
      <c r="AE284" s="387">
        <v>10.749000000000001</v>
      </c>
      <c r="AF284" s="387">
        <v>8.282</v>
      </c>
      <c r="AG284" s="387">
        <v>11.725</v>
      </c>
      <c r="AH284" s="387">
        <v>13.569000000000001</v>
      </c>
      <c r="AI284" s="387">
        <v>14.337999999999999</v>
      </c>
      <c r="AJ284" s="387">
        <v>13.179</v>
      </c>
      <c r="AK284" s="387">
        <v>16.062000000000001</v>
      </c>
      <c r="AL284" s="387">
        <v>15.798999999999999</v>
      </c>
      <c r="AM284" s="387">
        <v>20.033999999999999</v>
      </c>
      <c r="AN284" s="387">
        <v>21.55</v>
      </c>
      <c r="AO284" s="387">
        <v>26.163</v>
      </c>
      <c r="AP284" s="387">
        <v>23.137</v>
      </c>
      <c r="AQ284" s="387">
        <v>25.835999999999999</v>
      </c>
      <c r="AR284" s="387">
        <v>25.245000000000001</v>
      </c>
      <c r="AS284" s="387">
        <v>25.334</v>
      </c>
      <c r="AT284" s="387">
        <v>28.751000000000001</v>
      </c>
      <c r="AU284" s="387">
        <v>26.161000000000001</v>
      </c>
      <c r="AV284" s="387">
        <v>24.454000000000001</v>
      </c>
      <c r="AW284" s="387">
        <v>16.986999999999998</v>
      </c>
      <c r="AX284" s="387">
        <v>18.53</v>
      </c>
      <c r="AY284" s="387">
        <v>11.689</v>
      </c>
      <c r="AZ284" s="387">
        <v>8.3510000000000009</v>
      </c>
      <c r="BA284" s="387">
        <v>6.3890000000000002</v>
      </c>
      <c r="BB284" s="387">
        <v>4.1660000000000004</v>
      </c>
      <c r="BC284" s="387">
        <v>1.87</v>
      </c>
      <c r="BD284" s="387">
        <v>1.5369999999999999</v>
      </c>
      <c r="BE284" s="387">
        <v>0.99099999999999999</v>
      </c>
      <c r="BF284" s="387">
        <v>1.383</v>
      </c>
      <c r="BG284" s="387">
        <v>0.89</v>
      </c>
      <c r="BH284" s="387">
        <v>0</v>
      </c>
      <c r="BI284" s="387">
        <v>0.156</v>
      </c>
      <c r="BJ284" s="387">
        <v>0</v>
      </c>
      <c r="BK284" s="387">
        <v>0</v>
      </c>
      <c r="BL284" s="387">
        <v>0</v>
      </c>
      <c r="BM284" s="387">
        <v>0</v>
      </c>
      <c r="BN284" s="387">
        <v>0</v>
      </c>
      <c r="BO284" s="387">
        <v>0</v>
      </c>
    </row>
    <row r="285" spans="1:67" x14ac:dyDescent="0.2">
      <c r="A285" s="386" t="s">
        <v>896</v>
      </c>
      <c r="B285" s="387">
        <v>0</v>
      </c>
      <c r="C285" s="387">
        <v>0</v>
      </c>
      <c r="D285" s="387">
        <v>0</v>
      </c>
      <c r="E285" s="387">
        <v>0</v>
      </c>
      <c r="F285" s="387">
        <v>0</v>
      </c>
      <c r="G285" s="387">
        <v>0</v>
      </c>
      <c r="H285" s="387">
        <v>0</v>
      </c>
      <c r="I285" s="387">
        <v>0</v>
      </c>
      <c r="J285" s="387">
        <v>0</v>
      </c>
      <c r="K285" s="387">
        <v>0</v>
      </c>
      <c r="L285" s="387">
        <v>0</v>
      </c>
      <c r="M285" s="387">
        <v>0</v>
      </c>
      <c r="N285" s="387">
        <v>0</v>
      </c>
      <c r="O285" s="387">
        <v>0</v>
      </c>
      <c r="P285" s="387">
        <v>0</v>
      </c>
      <c r="Q285" s="387">
        <v>0.34399999999999997</v>
      </c>
      <c r="R285" s="387">
        <v>0</v>
      </c>
      <c r="S285" s="387">
        <v>1.6859999999999999</v>
      </c>
      <c r="T285" s="387">
        <v>2.39</v>
      </c>
      <c r="U285" s="387">
        <v>6.6139999999999999</v>
      </c>
      <c r="V285" s="387">
        <v>4.3949999999999996</v>
      </c>
      <c r="W285" s="387">
        <v>3.871</v>
      </c>
      <c r="X285" s="387">
        <v>5.8789999999999996</v>
      </c>
      <c r="Y285" s="387">
        <v>9.0990000000000002</v>
      </c>
      <c r="Z285" s="387">
        <v>6.0259999999999998</v>
      </c>
      <c r="AA285" s="387">
        <v>5.4560000000000004</v>
      </c>
      <c r="AB285" s="387">
        <v>9.8580000000000005</v>
      </c>
      <c r="AC285" s="387">
        <v>16.603999999999999</v>
      </c>
      <c r="AD285" s="387">
        <v>12.753</v>
      </c>
      <c r="AE285" s="387">
        <v>21.274000000000001</v>
      </c>
      <c r="AF285" s="387">
        <v>18.28</v>
      </c>
      <c r="AG285" s="387">
        <v>23.975000000000001</v>
      </c>
      <c r="AH285" s="387">
        <v>22.152999999999999</v>
      </c>
      <c r="AI285" s="387">
        <v>22.969000000000001</v>
      </c>
      <c r="AJ285" s="387">
        <v>22.526</v>
      </c>
      <c r="AK285" s="387">
        <v>23.23</v>
      </c>
      <c r="AL285" s="387">
        <v>19.675999999999998</v>
      </c>
      <c r="AM285" s="387">
        <v>17.189</v>
      </c>
      <c r="AN285" s="387">
        <v>18.43</v>
      </c>
      <c r="AO285" s="387">
        <v>21.344999999999999</v>
      </c>
      <c r="AP285" s="387">
        <v>27.248999999999999</v>
      </c>
      <c r="AQ285" s="387">
        <v>30.31</v>
      </c>
      <c r="AR285" s="387">
        <v>27.998999999999999</v>
      </c>
      <c r="AS285" s="387">
        <v>29.100999999999999</v>
      </c>
      <c r="AT285" s="387">
        <v>34.692</v>
      </c>
      <c r="AU285" s="387">
        <v>32.573</v>
      </c>
      <c r="AV285" s="387">
        <v>41.225999999999999</v>
      </c>
      <c r="AW285" s="387">
        <v>30.187000000000001</v>
      </c>
      <c r="AX285" s="387">
        <v>30.445</v>
      </c>
      <c r="AY285" s="387">
        <v>31.09</v>
      </c>
      <c r="AZ285" s="387">
        <v>22.481999999999999</v>
      </c>
      <c r="BA285" s="387">
        <v>16.384</v>
      </c>
      <c r="BB285" s="387">
        <v>13.544</v>
      </c>
      <c r="BC285" s="387">
        <v>6.3239999999999998</v>
      </c>
      <c r="BD285" s="387">
        <v>5.4459999999999997</v>
      </c>
      <c r="BE285" s="387">
        <v>3.4889999999999999</v>
      </c>
      <c r="BF285" s="387">
        <v>5.2729999999999997</v>
      </c>
      <c r="BG285" s="387">
        <v>3.79</v>
      </c>
      <c r="BH285" s="387">
        <v>0.68100000000000005</v>
      </c>
      <c r="BI285" s="387">
        <v>1.175</v>
      </c>
      <c r="BJ285" s="387">
        <v>0.34399999999999997</v>
      </c>
      <c r="BK285" s="387">
        <v>0</v>
      </c>
      <c r="BL285" s="387">
        <v>0</v>
      </c>
      <c r="BM285" s="387">
        <v>0</v>
      </c>
      <c r="BN285" s="387">
        <v>0</v>
      </c>
      <c r="BO285" s="387">
        <v>0</v>
      </c>
    </row>
    <row r="286" spans="1:67" x14ac:dyDescent="0.2">
      <c r="A286" s="386" t="s">
        <v>897</v>
      </c>
      <c r="B286" s="387">
        <v>0</v>
      </c>
      <c r="C286" s="387">
        <v>0</v>
      </c>
      <c r="D286" s="387">
        <v>0</v>
      </c>
      <c r="E286" s="387">
        <v>0</v>
      </c>
      <c r="F286" s="387">
        <v>0</v>
      </c>
      <c r="G286" s="387">
        <v>0</v>
      </c>
      <c r="H286" s="387">
        <v>0</v>
      </c>
      <c r="I286" s="387">
        <v>0</v>
      </c>
      <c r="J286" s="387">
        <v>0</v>
      </c>
      <c r="K286" s="387">
        <v>0</v>
      </c>
      <c r="L286" s="387">
        <v>0</v>
      </c>
      <c r="M286" s="387">
        <v>0</v>
      </c>
      <c r="N286" s="387">
        <v>0</v>
      </c>
      <c r="O286" s="387">
        <v>0</v>
      </c>
      <c r="P286" s="387">
        <v>0</v>
      </c>
      <c r="Q286" s="387">
        <v>0</v>
      </c>
      <c r="R286" s="387">
        <v>0</v>
      </c>
      <c r="S286" s="387">
        <v>0</v>
      </c>
      <c r="T286" s="387">
        <v>0.376</v>
      </c>
      <c r="U286" s="387">
        <v>1.7130000000000001</v>
      </c>
      <c r="V286" s="387">
        <v>1.802</v>
      </c>
      <c r="W286" s="387">
        <v>0.22</v>
      </c>
      <c r="X286" s="387">
        <v>0.76500000000000001</v>
      </c>
      <c r="Y286" s="387">
        <v>3.4950000000000001</v>
      </c>
      <c r="Z286" s="387">
        <v>1.1120000000000001</v>
      </c>
      <c r="AA286" s="387">
        <v>0.69799999999999995</v>
      </c>
      <c r="AB286" s="387">
        <v>2.56</v>
      </c>
      <c r="AC286" s="387">
        <v>2.68</v>
      </c>
      <c r="AD286" s="387">
        <v>2.9209999999999998</v>
      </c>
      <c r="AE286" s="387">
        <v>4.3570000000000002</v>
      </c>
      <c r="AF286" s="387">
        <v>7.2789999999999999</v>
      </c>
      <c r="AG286" s="387">
        <v>7.984</v>
      </c>
      <c r="AH286" s="387">
        <v>6.4390000000000001</v>
      </c>
      <c r="AI286" s="387">
        <v>7.7939999999999996</v>
      </c>
      <c r="AJ286" s="387">
        <v>9.5079999999999991</v>
      </c>
      <c r="AK286" s="387">
        <v>7.4870000000000001</v>
      </c>
      <c r="AL286" s="387">
        <v>8.327</v>
      </c>
      <c r="AM286" s="387">
        <v>9.9329999999999998</v>
      </c>
      <c r="AN286" s="387">
        <v>5.1029999999999998</v>
      </c>
      <c r="AO286" s="387">
        <v>4.3970000000000002</v>
      </c>
      <c r="AP286" s="387">
        <v>11.359</v>
      </c>
      <c r="AQ286" s="387">
        <v>15.587</v>
      </c>
      <c r="AR286" s="387">
        <v>11.922000000000001</v>
      </c>
      <c r="AS286" s="387">
        <v>16.263000000000002</v>
      </c>
      <c r="AT286" s="387">
        <v>20.091000000000001</v>
      </c>
      <c r="AU286" s="387">
        <v>22.550999999999998</v>
      </c>
      <c r="AV286" s="387">
        <v>36.673000000000002</v>
      </c>
      <c r="AW286" s="387">
        <v>25.106000000000002</v>
      </c>
      <c r="AX286" s="387">
        <v>19.536999999999999</v>
      </c>
      <c r="AY286" s="387">
        <v>32.350999999999999</v>
      </c>
      <c r="AZ286" s="387">
        <v>23.175999999999998</v>
      </c>
      <c r="BA286" s="387">
        <v>17.189</v>
      </c>
      <c r="BB286" s="387">
        <v>14.555999999999999</v>
      </c>
      <c r="BC286" s="387">
        <v>5.4550000000000001</v>
      </c>
      <c r="BD286" s="387">
        <v>5.6769999999999996</v>
      </c>
      <c r="BE286" s="387">
        <v>3.6819999999999999</v>
      </c>
      <c r="BF286" s="387">
        <v>7.2910000000000004</v>
      </c>
      <c r="BG286" s="387">
        <v>5.375</v>
      </c>
      <c r="BH286" s="387">
        <v>1.7410000000000001</v>
      </c>
      <c r="BI286" s="387">
        <v>1.6020000000000001</v>
      </c>
      <c r="BJ286" s="387">
        <v>0.54800000000000004</v>
      </c>
      <c r="BK286" s="387">
        <v>0</v>
      </c>
      <c r="BL286" s="387">
        <v>0</v>
      </c>
      <c r="BM286" s="387">
        <v>0</v>
      </c>
      <c r="BN286" s="387">
        <v>0</v>
      </c>
      <c r="BO286" s="387">
        <v>0</v>
      </c>
    </row>
    <row r="287" spans="1:67" x14ac:dyDescent="0.2">
      <c r="A287" s="388" t="s">
        <v>898</v>
      </c>
      <c r="B287" s="389">
        <v>0</v>
      </c>
      <c r="C287" s="389">
        <v>0</v>
      </c>
      <c r="D287" s="389">
        <v>0</v>
      </c>
      <c r="E287" s="389">
        <v>0</v>
      </c>
      <c r="F287" s="389">
        <v>0</v>
      </c>
      <c r="G287" s="389">
        <v>0</v>
      </c>
      <c r="H287" s="389">
        <v>0</v>
      </c>
      <c r="I287" s="389">
        <v>0</v>
      </c>
      <c r="J287" s="389">
        <v>0</v>
      </c>
      <c r="K287" s="389">
        <v>0</v>
      </c>
      <c r="L287" s="389">
        <v>0</v>
      </c>
      <c r="M287" s="389">
        <v>0</v>
      </c>
      <c r="N287" s="389">
        <v>0</v>
      </c>
      <c r="O287" s="389">
        <v>0</v>
      </c>
      <c r="P287" s="389">
        <v>0</v>
      </c>
      <c r="Q287" s="389">
        <v>0</v>
      </c>
      <c r="R287" s="389">
        <v>0</v>
      </c>
      <c r="S287" s="389">
        <v>0</v>
      </c>
      <c r="T287" s="389">
        <v>0</v>
      </c>
      <c r="U287" s="389">
        <v>0</v>
      </c>
      <c r="V287" s="389">
        <v>0</v>
      </c>
      <c r="W287" s="389">
        <v>0.20399999999999999</v>
      </c>
      <c r="X287" s="389">
        <v>0.25800000000000001</v>
      </c>
      <c r="Y287" s="389">
        <v>0</v>
      </c>
      <c r="Z287" s="389">
        <v>0</v>
      </c>
      <c r="AA287" s="389">
        <v>0</v>
      </c>
      <c r="AB287" s="389">
        <v>0.52400000000000002</v>
      </c>
      <c r="AC287" s="389">
        <v>0</v>
      </c>
      <c r="AD287" s="389">
        <v>0</v>
      </c>
      <c r="AE287" s="389">
        <v>0</v>
      </c>
      <c r="AF287" s="389">
        <v>0.47099999999999997</v>
      </c>
      <c r="AG287" s="389">
        <v>0.48199999999999998</v>
      </c>
      <c r="AH287" s="389">
        <v>1.327</v>
      </c>
      <c r="AI287" s="389">
        <v>0.30399999999999999</v>
      </c>
      <c r="AJ287" s="389">
        <v>0.47499999999999998</v>
      </c>
      <c r="AK287" s="389">
        <v>0.629</v>
      </c>
      <c r="AL287" s="389">
        <v>1.7509999999999999</v>
      </c>
      <c r="AM287" s="389">
        <v>1.1970000000000001</v>
      </c>
      <c r="AN287" s="389">
        <v>0.97299999999999998</v>
      </c>
      <c r="AO287" s="389">
        <v>1.784</v>
      </c>
      <c r="AP287" s="389">
        <v>2.8919999999999999</v>
      </c>
      <c r="AQ287" s="389">
        <v>2.4590000000000001</v>
      </c>
      <c r="AR287" s="389">
        <v>3.7570000000000001</v>
      </c>
      <c r="AS287" s="389">
        <v>2.097</v>
      </c>
      <c r="AT287" s="389">
        <v>4.766</v>
      </c>
      <c r="AU287" s="389">
        <v>4.851</v>
      </c>
      <c r="AV287" s="389">
        <v>5.4340000000000002</v>
      </c>
      <c r="AW287" s="389">
        <v>2.5750000000000002</v>
      </c>
      <c r="AX287" s="389">
        <v>4.7009999999999996</v>
      </c>
      <c r="AY287" s="389">
        <v>3.399</v>
      </c>
      <c r="AZ287" s="389">
        <v>2.8519999999999999</v>
      </c>
      <c r="BA287" s="389">
        <v>3.1520000000000001</v>
      </c>
      <c r="BB287" s="389">
        <v>0.94599999999999995</v>
      </c>
      <c r="BC287" s="389">
        <v>0.97</v>
      </c>
      <c r="BD287" s="389">
        <v>0.65700000000000003</v>
      </c>
      <c r="BE287" s="389">
        <v>0.157</v>
      </c>
      <c r="BF287" s="389">
        <v>0.997</v>
      </c>
      <c r="BG287" s="389">
        <v>0.64800000000000002</v>
      </c>
      <c r="BH287" s="389">
        <v>0</v>
      </c>
      <c r="BI287" s="389">
        <v>0.155</v>
      </c>
      <c r="BJ287" s="389">
        <v>0</v>
      </c>
      <c r="BK287" s="389">
        <v>0</v>
      </c>
      <c r="BL287" s="389">
        <v>0</v>
      </c>
      <c r="BM287" s="389">
        <v>0</v>
      </c>
      <c r="BN287" s="389">
        <v>0</v>
      </c>
      <c r="BO287" s="389">
        <v>0</v>
      </c>
    </row>
    <row r="289" spans="1:67" x14ac:dyDescent="0.2">
      <c r="A289" s="380" t="s">
        <v>3173</v>
      </c>
      <c r="B289" s="381" t="s">
        <v>196</v>
      </c>
    </row>
    <row r="290" spans="1:67" x14ac:dyDescent="0.2">
      <c r="A290" s="382" t="s">
        <v>197</v>
      </c>
      <c r="B290" s="383"/>
    </row>
    <row r="291" spans="1:67" x14ac:dyDescent="0.2">
      <c r="A291" s="384" t="s">
        <v>3175</v>
      </c>
      <c r="B291" s="384">
        <v>-25</v>
      </c>
      <c r="C291" s="384">
        <v>-24</v>
      </c>
      <c r="D291" s="384">
        <v>-23</v>
      </c>
      <c r="E291" s="384">
        <v>-22</v>
      </c>
      <c r="F291" s="384">
        <v>-21</v>
      </c>
      <c r="G291" s="384">
        <v>-20</v>
      </c>
      <c r="H291" s="384">
        <v>-19</v>
      </c>
      <c r="I291" s="384">
        <v>-18</v>
      </c>
      <c r="J291" s="384">
        <v>-17</v>
      </c>
      <c r="K291" s="384">
        <v>-16</v>
      </c>
      <c r="L291" s="384">
        <v>-15</v>
      </c>
      <c r="M291" s="384">
        <v>-14</v>
      </c>
      <c r="N291" s="384">
        <v>-13</v>
      </c>
      <c r="O291" s="384">
        <v>-12</v>
      </c>
      <c r="P291" s="384">
        <v>-11</v>
      </c>
      <c r="Q291" s="384">
        <v>-10</v>
      </c>
      <c r="R291" s="384">
        <v>-9</v>
      </c>
      <c r="S291" s="384">
        <v>-8</v>
      </c>
      <c r="T291" s="384">
        <v>-7</v>
      </c>
      <c r="U291" s="384">
        <v>-6</v>
      </c>
      <c r="V291" s="384">
        <v>-5</v>
      </c>
      <c r="W291" s="384">
        <v>-4</v>
      </c>
      <c r="X291" s="384">
        <v>-3</v>
      </c>
      <c r="Y291" s="384">
        <v>-2</v>
      </c>
      <c r="Z291" s="384">
        <v>-1</v>
      </c>
      <c r="AA291" s="384">
        <v>0</v>
      </c>
      <c r="AB291" s="384">
        <v>1</v>
      </c>
      <c r="AC291" s="384">
        <v>2</v>
      </c>
      <c r="AD291" s="384">
        <v>3</v>
      </c>
      <c r="AE291" s="384">
        <v>4</v>
      </c>
      <c r="AF291" s="384">
        <v>5</v>
      </c>
      <c r="AG291" s="384">
        <v>6</v>
      </c>
      <c r="AH291" s="384">
        <v>7</v>
      </c>
      <c r="AI291" s="384">
        <v>8</v>
      </c>
      <c r="AJ291" s="384">
        <v>9</v>
      </c>
      <c r="AK291" s="384">
        <v>10</v>
      </c>
      <c r="AL291" s="384">
        <v>11</v>
      </c>
      <c r="AM291" s="384">
        <v>12</v>
      </c>
      <c r="AN291" s="384">
        <v>13</v>
      </c>
      <c r="AO291" s="384">
        <v>14</v>
      </c>
      <c r="AP291" s="384">
        <v>15</v>
      </c>
      <c r="AQ291" s="384">
        <v>16</v>
      </c>
      <c r="AR291" s="384">
        <v>17</v>
      </c>
      <c r="AS291" s="384">
        <v>18</v>
      </c>
      <c r="AT291" s="384">
        <v>19</v>
      </c>
      <c r="AU291" s="384">
        <v>20</v>
      </c>
      <c r="AV291" s="384">
        <v>21</v>
      </c>
      <c r="AW291" s="384">
        <v>22</v>
      </c>
      <c r="AX291" s="384">
        <v>23</v>
      </c>
      <c r="AY291" s="384">
        <v>24</v>
      </c>
      <c r="AZ291" s="384">
        <v>25</v>
      </c>
      <c r="BA291" s="384">
        <v>26</v>
      </c>
      <c r="BB291" s="384">
        <v>27</v>
      </c>
      <c r="BC291" s="384">
        <v>28</v>
      </c>
      <c r="BD291" s="384">
        <v>29</v>
      </c>
      <c r="BE291" s="384">
        <v>30</v>
      </c>
      <c r="BF291" s="384">
        <v>31</v>
      </c>
      <c r="BG291" s="384">
        <v>32</v>
      </c>
      <c r="BH291" s="384">
        <v>33</v>
      </c>
      <c r="BI291" s="384">
        <v>34</v>
      </c>
      <c r="BJ291" s="384">
        <v>35</v>
      </c>
      <c r="BK291" s="384">
        <v>36</v>
      </c>
      <c r="BL291" s="384">
        <v>37</v>
      </c>
      <c r="BM291" s="384">
        <v>38</v>
      </c>
      <c r="BN291" s="384">
        <v>39</v>
      </c>
      <c r="BO291" s="384">
        <v>40</v>
      </c>
    </row>
    <row r="292" spans="1:67" x14ac:dyDescent="0.2">
      <c r="A292" s="385" t="s">
        <v>3176</v>
      </c>
      <c r="B292" s="385">
        <v>0</v>
      </c>
      <c r="C292" s="385">
        <v>0</v>
      </c>
      <c r="D292" s="385">
        <v>0</v>
      </c>
      <c r="E292" s="385">
        <v>0</v>
      </c>
      <c r="F292" s="385">
        <v>0</v>
      </c>
      <c r="G292" s="385">
        <v>0</v>
      </c>
      <c r="H292" s="385">
        <v>0</v>
      </c>
      <c r="I292" s="385">
        <v>0</v>
      </c>
      <c r="J292" s="385">
        <v>4</v>
      </c>
      <c r="K292" s="385">
        <v>13</v>
      </c>
      <c r="L292" s="385">
        <v>21</v>
      </c>
      <c r="M292" s="385">
        <v>45</v>
      </c>
      <c r="N292" s="385">
        <v>35</v>
      </c>
      <c r="O292" s="385">
        <v>38</v>
      </c>
      <c r="P292" s="385">
        <v>63</v>
      </c>
      <c r="Q292" s="385">
        <v>70</v>
      </c>
      <c r="R292" s="385">
        <v>100</v>
      </c>
      <c r="S292" s="385">
        <v>122</v>
      </c>
      <c r="T292" s="385">
        <v>128</v>
      </c>
      <c r="U292" s="385">
        <v>150</v>
      </c>
      <c r="V292" s="385">
        <v>279</v>
      </c>
      <c r="W292" s="385">
        <v>262</v>
      </c>
      <c r="X292" s="385">
        <v>265</v>
      </c>
      <c r="Y292" s="385">
        <v>312</v>
      </c>
      <c r="Z292" s="385">
        <v>347</v>
      </c>
      <c r="AA292" s="385">
        <v>402</v>
      </c>
      <c r="AB292" s="385">
        <v>449</v>
      </c>
      <c r="AC292" s="385">
        <v>345</v>
      </c>
      <c r="AD292" s="385">
        <v>315</v>
      </c>
      <c r="AE292" s="385">
        <v>317</v>
      </c>
      <c r="AF292" s="385">
        <v>288</v>
      </c>
      <c r="AG292" s="385">
        <v>348</v>
      </c>
      <c r="AH292" s="385">
        <v>374</v>
      </c>
      <c r="AI292" s="385">
        <v>336</v>
      </c>
      <c r="AJ292" s="385">
        <v>346</v>
      </c>
      <c r="AK292" s="385">
        <v>377</v>
      </c>
      <c r="AL292" s="385">
        <v>374</v>
      </c>
      <c r="AM292" s="385">
        <v>365</v>
      </c>
      <c r="AN292" s="385">
        <v>309</v>
      </c>
      <c r="AO292" s="385">
        <v>251</v>
      </c>
      <c r="AP292" s="385">
        <v>221</v>
      </c>
      <c r="AQ292" s="385">
        <v>191</v>
      </c>
      <c r="AR292" s="385">
        <v>139</v>
      </c>
      <c r="AS292" s="385">
        <v>148</v>
      </c>
      <c r="AT292" s="385">
        <v>110</v>
      </c>
      <c r="AU292" s="385">
        <v>92</v>
      </c>
      <c r="AV292" s="385">
        <v>71</v>
      </c>
      <c r="AW292" s="385">
        <v>72</v>
      </c>
      <c r="AX292" s="385">
        <v>71</v>
      </c>
      <c r="AY292" s="385">
        <v>55</v>
      </c>
      <c r="AZ292" s="385">
        <v>51</v>
      </c>
      <c r="BA292" s="385">
        <v>40</v>
      </c>
      <c r="BB292" s="385">
        <v>28</v>
      </c>
      <c r="BC292" s="385">
        <v>19</v>
      </c>
      <c r="BD292" s="385">
        <v>2</v>
      </c>
      <c r="BE292" s="385">
        <v>0</v>
      </c>
      <c r="BF292" s="385">
        <v>0</v>
      </c>
      <c r="BG292" s="385">
        <v>0</v>
      </c>
      <c r="BH292" s="385">
        <v>0</v>
      </c>
      <c r="BI292" s="385">
        <v>0</v>
      </c>
      <c r="BJ292" s="385">
        <v>0</v>
      </c>
      <c r="BK292" s="385">
        <v>0</v>
      </c>
      <c r="BL292" s="385">
        <v>0</v>
      </c>
      <c r="BM292" s="385">
        <v>0</v>
      </c>
      <c r="BN292" s="385">
        <v>0</v>
      </c>
      <c r="BO292" s="385">
        <v>0</v>
      </c>
    </row>
    <row r="293" spans="1:67" x14ac:dyDescent="0.2">
      <c r="A293" s="386" t="s">
        <v>893</v>
      </c>
      <c r="B293" s="386">
        <v>0</v>
      </c>
      <c r="C293" s="386">
        <v>0</v>
      </c>
      <c r="D293" s="386">
        <v>0</v>
      </c>
      <c r="E293" s="386">
        <v>0</v>
      </c>
      <c r="F293" s="386">
        <v>0</v>
      </c>
      <c r="G293" s="386">
        <v>0</v>
      </c>
      <c r="H293" s="386">
        <v>0</v>
      </c>
      <c r="I293" s="386">
        <v>0</v>
      </c>
      <c r="J293" s="386">
        <v>0</v>
      </c>
      <c r="K293" s="386">
        <v>0</v>
      </c>
      <c r="L293" s="386">
        <v>0</v>
      </c>
      <c r="M293" s="386">
        <v>24</v>
      </c>
      <c r="N293" s="386">
        <v>24</v>
      </c>
      <c r="O293" s="386">
        <v>48</v>
      </c>
      <c r="P293" s="386">
        <v>48</v>
      </c>
      <c r="Q293" s="386">
        <v>0</v>
      </c>
      <c r="R293" s="386">
        <v>264</v>
      </c>
      <c r="S293" s="386">
        <v>48</v>
      </c>
      <c r="T293" s="386">
        <v>120</v>
      </c>
      <c r="U293" s="386">
        <v>144</v>
      </c>
      <c r="V293" s="386">
        <v>240</v>
      </c>
      <c r="W293" s="386">
        <v>240</v>
      </c>
      <c r="X293" s="386">
        <v>360</v>
      </c>
      <c r="Y293" s="386">
        <v>240</v>
      </c>
      <c r="Z293" s="386">
        <v>168</v>
      </c>
      <c r="AA293" s="386">
        <v>600</v>
      </c>
      <c r="AB293" s="386">
        <v>384</v>
      </c>
      <c r="AC293" s="386">
        <v>360</v>
      </c>
      <c r="AD293" s="386">
        <v>336</v>
      </c>
      <c r="AE293" s="386">
        <v>192</v>
      </c>
      <c r="AF293" s="386">
        <v>312</v>
      </c>
      <c r="AG293" s="386">
        <v>408</v>
      </c>
      <c r="AH293" s="386">
        <v>264</v>
      </c>
      <c r="AI293" s="386">
        <v>552</v>
      </c>
      <c r="AJ293" s="386">
        <v>336</v>
      </c>
      <c r="AK293" s="386">
        <v>360</v>
      </c>
      <c r="AL293" s="386">
        <v>288</v>
      </c>
      <c r="AM293" s="386">
        <v>504</v>
      </c>
      <c r="AN293" s="386">
        <v>384</v>
      </c>
      <c r="AO293" s="386">
        <v>192</v>
      </c>
      <c r="AP293" s="386">
        <v>480</v>
      </c>
      <c r="AQ293" s="386">
        <v>120</v>
      </c>
      <c r="AR293" s="386">
        <v>264</v>
      </c>
      <c r="AS293" s="386">
        <v>312</v>
      </c>
      <c r="AT293" s="386">
        <v>96</v>
      </c>
      <c r="AU293" s="386">
        <v>48</v>
      </c>
      <c r="AV293" s="386">
        <v>0</v>
      </c>
      <c r="AW293" s="386">
        <v>0</v>
      </c>
      <c r="AX293" s="386">
        <v>0</v>
      </c>
      <c r="AY293" s="386">
        <v>0</v>
      </c>
      <c r="AZ293" s="386">
        <v>0</v>
      </c>
      <c r="BA293" s="386">
        <v>0</v>
      </c>
      <c r="BB293" s="386">
        <v>0</v>
      </c>
      <c r="BC293" s="386">
        <v>0</v>
      </c>
      <c r="BD293" s="386">
        <v>0</v>
      </c>
      <c r="BE293" s="386">
        <v>0</v>
      </c>
      <c r="BF293" s="386">
        <v>0</v>
      </c>
      <c r="BG293" s="386">
        <v>0</v>
      </c>
      <c r="BH293" s="386">
        <v>0</v>
      </c>
      <c r="BI293" s="386">
        <v>0</v>
      </c>
      <c r="BJ293" s="386">
        <v>0</v>
      </c>
      <c r="BK293" s="386">
        <v>0</v>
      </c>
      <c r="BL293" s="386">
        <v>0</v>
      </c>
      <c r="BM293" s="386">
        <v>0</v>
      </c>
      <c r="BN293" s="386">
        <v>0</v>
      </c>
      <c r="BO293" s="386">
        <v>0</v>
      </c>
    </row>
    <row r="294" spans="1:67" x14ac:dyDescent="0.2">
      <c r="A294" s="386" t="s">
        <v>894</v>
      </c>
      <c r="B294" s="387">
        <v>0</v>
      </c>
      <c r="C294" s="387">
        <v>0</v>
      </c>
      <c r="D294" s="387">
        <v>0</v>
      </c>
      <c r="E294" s="387">
        <v>0</v>
      </c>
      <c r="F294" s="387">
        <v>0</v>
      </c>
      <c r="G294" s="387">
        <v>0</v>
      </c>
      <c r="H294" s="387">
        <v>0</v>
      </c>
      <c r="I294" s="387">
        <v>0</v>
      </c>
      <c r="J294" s="387">
        <v>0</v>
      </c>
      <c r="K294" s="387">
        <v>0.18</v>
      </c>
      <c r="L294" s="387">
        <v>0</v>
      </c>
      <c r="M294" s="387">
        <v>0.81100000000000005</v>
      </c>
      <c r="N294" s="387">
        <v>0.59499999999999997</v>
      </c>
      <c r="O294" s="387">
        <v>1.621</v>
      </c>
      <c r="P294" s="387">
        <v>2.3889999999999998</v>
      </c>
      <c r="Q294" s="387">
        <v>3.3050000000000002</v>
      </c>
      <c r="R294" s="387">
        <v>2.6840000000000002</v>
      </c>
      <c r="S294" s="387">
        <v>6.4870000000000001</v>
      </c>
      <c r="T294" s="387">
        <v>5.7919999999999998</v>
      </c>
      <c r="U294" s="387">
        <v>5.2460000000000004</v>
      </c>
      <c r="V294" s="387">
        <v>13.137</v>
      </c>
      <c r="W294" s="387">
        <v>7.6390000000000002</v>
      </c>
      <c r="X294" s="387">
        <v>15.093</v>
      </c>
      <c r="Y294" s="387">
        <v>12.782</v>
      </c>
      <c r="Z294" s="387">
        <v>18.731999999999999</v>
      </c>
      <c r="AA294" s="387">
        <v>16.850000000000001</v>
      </c>
      <c r="AB294" s="387">
        <v>25.164000000000001</v>
      </c>
      <c r="AC294" s="387">
        <v>21.184000000000001</v>
      </c>
      <c r="AD294" s="387">
        <v>31.911999999999999</v>
      </c>
      <c r="AE294" s="387">
        <v>27.652000000000001</v>
      </c>
      <c r="AF294" s="387">
        <v>33.209000000000003</v>
      </c>
      <c r="AG294" s="387">
        <v>25.931999999999999</v>
      </c>
      <c r="AH294" s="387">
        <v>31.681999999999999</v>
      </c>
      <c r="AI294" s="387">
        <v>40.603999999999999</v>
      </c>
      <c r="AJ294" s="387">
        <v>40.640999999999998</v>
      </c>
      <c r="AK294" s="387">
        <v>45.878</v>
      </c>
      <c r="AL294" s="387">
        <v>47.104999999999997</v>
      </c>
      <c r="AM294" s="387">
        <v>64.558000000000007</v>
      </c>
      <c r="AN294" s="387">
        <v>53.139000000000003</v>
      </c>
      <c r="AO294" s="387">
        <v>60.027000000000001</v>
      </c>
      <c r="AP294" s="387">
        <v>58.640999999999998</v>
      </c>
      <c r="AQ294" s="387">
        <v>49.515999999999998</v>
      </c>
      <c r="AR294" s="387">
        <v>49.616999999999997</v>
      </c>
      <c r="AS294" s="387">
        <v>53.103000000000002</v>
      </c>
      <c r="AT294" s="387">
        <v>52.186</v>
      </c>
      <c r="AU294" s="387">
        <v>38.368000000000002</v>
      </c>
      <c r="AV294" s="387">
        <v>37.284999999999997</v>
      </c>
      <c r="AW294" s="387">
        <v>38.738999999999997</v>
      </c>
      <c r="AX294" s="387">
        <v>37.945</v>
      </c>
      <c r="AY294" s="387">
        <v>32.110999999999997</v>
      </c>
      <c r="AZ294" s="387">
        <v>33.182000000000002</v>
      </c>
      <c r="BA294" s="387">
        <v>26.132000000000001</v>
      </c>
      <c r="BB294" s="387">
        <v>17.733000000000001</v>
      </c>
      <c r="BC294" s="387">
        <v>14.012</v>
      </c>
      <c r="BD294" s="387">
        <v>1.099</v>
      </c>
      <c r="BE294" s="387">
        <v>0</v>
      </c>
      <c r="BF294" s="387">
        <v>0</v>
      </c>
      <c r="BG294" s="387">
        <v>0</v>
      </c>
      <c r="BH294" s="387">
        <v>0</v>
      </c>
      <c r="BI294" s="387">
        <v>0</v>
      </c>
      <c r="BJ294" s="387">
        <v>0</v>
      </c>
      <c r="BK294" s="387">
        <v>0</v>
      </c>
      <c r="BL294" s="387">
        <v>0</v>
      </c>
      <c r="BM294" s="387">
        <v>0</v>
      </c>
      <c r="BN294" s="387">
        <v>0</v>
      </c>
      <c r="BO294" s="387">
        <v>0</v>
      </c>
    </row>
    <row r="295" spans="1:67" x14ac:dyDescent="0.2">
      <c r="A295" s="386" t="s">
        <v>895</v>
      </c>
      <c r="B295" s="387">
        <v>0</v>
      </c>
      <c r="C295" s="387">
        <v>0</v>
      </c>
      <c r="D295" s="387">
        <v>0</v>
      </c>
      <c r="E295" s="387">
        <v>0</v>
      </c>
      <c r="F295" s="387">
        <v>0</v>
      </c>
      <c r="G295" s="387">
        <v>0</v>
      </c>
      <c r="H295" s="387">
        <v>0</v>
      </c>
      <c r="I295" s="387">
        <v>0</v>
      </c>
      <c r="J295" s="387">
        <v>0</v>
      </c>
      <c r="K295" s="387">
        <v>0.29499999999999998</v>
      </c>
      <c r="L295" s="387">
        <v>0</v>
      </c>
      <c r="M295" s="387">
        <v>1.3380000000000001</v>
      </c>
      <c r="N295" s="387">
        <v>0.73699999999999999</v>
      </c>
      <c r="O295" s="387">
        <v>2.4790000000000001</v>
      </c>
      <c r="P295" s="387">
        <v>2.3690000000000002</v>
      </c>
      <c r="Q295" s="387">
        <v>2.673</v>
      </c>
      <c r="R295" s="387">
        <v>3.1539999999999999</v>
      </c>
      <c r="S295" s="387">
        <v>5.577</v>
      </c>
      <c r="T295" s="387">
        <v>4.3760000000000003</v>
      </c>
      <c r="U295" s="387">
        <v>3.2429999999999999</v>
      </c>
      <c r="V295" s="387">
        <v>9.7490000000000006</v>
      </c>
      <c r="W295" s="387">
        <v>5.5309999999999997</v>
      </c>
      <c r="X295" s="387">
        <v>11.316000000000001</v>
      </c>
      <c r="Y295" s="387">
        <v>9.0419999999999998</v>
      </c>
      <c r="Z295" s="387">
        <v>15.545999999999999</v>
      </c>
      <c r="AA295" s="387">
        <v>10.209</v>
      </c>
      <c r="AB295" s="387">
        <v>18.751999999999999</v>
      </c>
      <c r="AC295" s="387">
        <v>14.94</v>
      </c>
      <c r="AD295" s="387">
        <v>21.879000000000001</v>
      </c>
      <c r="AE295" s="387">
        <v>14.555</v>
      </c>
      <c r="AF295" s="387">
        <v>20.783999999999999</v>
      </c>
      <c r="AG295" s="387">
        <v>20.094999999999999</v>
      </c>
      <c r="AH295" s="387">
        <v>19.637</v>
      </c>
      <c r="AI295" s="387">
        <v>27.006</v>
      </c>
      <c r="AJ295" s="387">
        <v>28.704999999999998</v>
      </c>
      <c r="AK295" s="387">
        <v>30.548999999999999</v>
      </c>
      <c r="AL295" s="387">
        <v>26.937999999999999</v>
      </c>
      <c r="AM295" s="387">
        <v>34.999000000000002</v>
      </c>
      <c r="AN295" s="387">
        <v>27.126999999999999</v>
      </c>
      <c r="AO295" s="387">
        <v>26.492000000000001</v>
      </c>
      <c r="AP295" s="387">
        <v>30.366</v>
      </c>
      <c r="AQ295" s="387">
        <v>21.786999999999999</v>
      </c>
      <c r="AR295" s="387">
        <v>20.196999999999999</v>
      </c>
      <c r="AS295" s="387">
        <v>18.782</v>
      </c>
      <c r="AT295" s="387">
        <v>17.030999999999999</v>
      </c>
      <c r="AU295" s="387">
        <v>13.241</v>
      </c>
      <c r="AV295" s="387">
        <v>10.743</v>
      </c>
      <c r="AW295" s="387">
        <v>9.5609999999999999</v>
      </c>
      <c r="AX295" s="387">
        <v>7.8029999999999999</v>
      </c>
      <c r="AY295" s="387">
        <v>5.5579999999999998</v>
      </c>
      <c r="AZ295" s="387">
        <v>5.532</v>
      </c>
      <c r="BA295" s="387">
        <v>2.7839999999999998</v>
      </c>
      <c r="BB295" s="387">
        <v>0.91300000000000003</v>
      </c>
      <c r="BC295" s="387">
        <v>0.67200000000000004</v>
      </c>
      <c r="BD295" s="387">
        <v>0</v>
      </c>
      <c r="BE295" s="387">
        <v>0</v>
      </c>
      <c r="BF295" s="387">
        <v>0</v>
      </c>
      <c r="BG295" s="387">
        <v>0</v>
      </c>
      <c r="BH295" s="387">
        <v>0</v>
      </c>
      <c r="BI295" s="387">
        <v>0</v>
      </c>
      <c r="BJ295" s="387">
        <v>0</v>
      </c>
      <c r="BK295" s="387">
        <v>0</v>
      </c>
      <c r="BL295" s="387">
        <v>0</v>
      </c>
      <c r="BM295" s="387">
        <v>0</v>
      </c>
      <c r="BN295" s="387">
        <v>0</v>
      </c>
      <c r="BO295" s="387">
        <v>0</v>
      </c>
    </row>
    <row r="296" spans="1:67" x14ac:dyDescent="0.2">
      <c r="A296" s="386" t="s">
        <v>896</v>
      </c>
      <c r="B296" s="387">
        <v>0</v>
      </c>
      <c r="C296" s="387">
        <v>0</v>
      </c>
      <c r="D296" s="387">
        <v>0</v>
      </c>
      <c r="E296" s="387">
        <v>0</v>
      </c>
      <c r="F296" s="387">
        <v>0</v>
      </c>
      <c r="G296" s="387">
        <v>0</v>
      </c>
      <c r="H296" s="387">
        <v>0</v>
      </c>
      <c r="I296" s="387">
        <v>0</v>
      </c>
      <c r="J296" s="387">
        <v>0</v>
      </c>
      <c r="K296" s="387">
        <v>0.38900000000000001</v>
      </c>
      <c r="L296" s="387">
        <v>0</v>
      </c>
      <c r="M296" s="387">
        <v>1.796</v>
      </c>
      <c r="N296" s="387">
        <v>0.90600000000000003</v>
      </c>
      <c r="O296" s="387">
        <v>4.298</v>
      </c>
      <c r="P296" s="387">
        <v>4.8719999999999999</v>
      </c>
      <c r="Q296" s="387">
        <v>8.2129999999999992</v>
      </c>
      <c r="R296" s="387">
        <v>6.2610000000000001</v>
      </c>
      <c r="S296" s="387">
        <v>13.305</v>
      </c>
      <c r="T296" s="387">
        <v>12.353</v>
      </c>
      <c r="U296" s="387">
        <v>10.898</v>
      </c>
      <c r="V296" s="387">
        <v>26.795000000000002</v>
      </c>
      <c r="W296" s="387">
        <v>13.76</v>
      </c>
      <c r="X296" s="387">
        <v>27.687999999999999</v>
      </c>
      <c r="Y296" s="387">
        <v>21.151</v>
      </c>
      <c r="Z296" s="387">
        <v>30.17</v>
      </c>
      <c r="AA296" s="387">
        <v>26.713000000000001</v>
      </c>
      <c r="AB296" s="387">
        <v>39.878999999999998</v>
      </c>
      <c r="AC296" s="387">
        <v>30.631</v>
      </c>
      <c r="AD296" s="387">
        <v>42.993000000000002</v>
      </c>
      <c r="AE296" s="387">
        <v>35.078000000000003</v>
      </c>
      <c r="AF296" s="387">
        <v>34.130000000000003</v>
      </c>
      <c r="AG296" s="387">
        <v>26.492999999999999</v>
      </c>
      <c r="AH296" s="387">
        <v>28.881</v>
      </c>
      <c r="AI296" s="387">
        <v>39.040999999999997</v>
      </c>
      <c r="AJ296" s="387">
        <v>29.812000000000001</v>
      </c>
      <c r="AK296" s="387">
        <v>31.46</v>
      </c>
      <c r="AL296" s="387">
        <v>29.812000000000001</v>
      </c>
      <c r="AM296" s="387">
        <v>42.715000000000003</v>
      </c>
      <c r="AN296" s="387">
        <v>30.241</v>
      </c>
      <c r="AO296" s="387">
        <v>37.340000000000003</v>
      </c>
      <c r="AP296" s="387">
        <v>33.405999999999999</v>
      </c>
      <c r="AQ296" s="387">
        <v>24.475999999999999</v>
      </c>
      <c r="AR296" s="387">
        <v>26.695</v>
      </c>
      <c r="AS296" s="387">
        <v>31.463000000000001</v>
      </c>
      <c r="AT296" s="387">
        <v>29.815999999999999</v>
      </c>
      <c r="AU296" s="387">
        <v>24.297999999999998</v>
      </c>
      <c r="AV296" s="387">
        <v>20.282</v>
      </c>
      <c r="AW296" s="387">
        <v>21.782</v>
      </c>
      <c r="AX296" s="387">
        <v>21.074000000000002</v>
      </c>
      <c r="AY296" s="387">
        <v>18.966999999999999</v>
      </c>
      <c r="AZ296" s="387">
        <v>18.795000000000002</v>
      </c>
      <c r="BA296" s="387">
        <v>14.298999999999999</v>
      </c>
      <c r="BB296" s="387">
        <v>9.7050000000000001</v>
      </c>
      <c r="BC296" s="387">
        <v>8.7420000000000009</v>
      </c>
      <c r="BD296" s="387">
        <v>0.70299999999999996</v>
      </c>
      <c r="BE296" s="387">
        <v>0</v>
      </c>
      <c r="BF296" s="387">
        <v>0</v>
      </c>
      <c r="BG296" s="387">
        <v>0</v>
      </c>
      <c r="BH296" s="387">
        <v>0</v>
      </c>
      <c r="BI296" s="387">
        <v>0</v>
      </c>
      <c r="BJ296" s="387">
        <v>0</v>
      </c>
      <c r="BK296" s="387">
        <v>0</v>
      </c>
      <c r="BL296" s="387">
        <v>0</v>
      </c>
      <c r="BM296" s="387">
        <v>0</v>
      </c>
      <c r="BN296" s="387">
        <v>0</v>
      </c>
      <c r="BO296" s="387">
        <v>0</v>
      </c>
    </row>
    <row r="297" spans="1:67" x14ac:dyDescent="0.2">
      <c r="A297" s="386" t="s">
        <v>897</v>
      </c>
      <c r="B297" s="387">
        <v>0</v>
      </c>
      <c r="C297" s="387">
        <v>0</v>
      </c>
      <c r="D297" s="387">
        <v>0</v>
      </c>
      <c r="E297" s="387">
        <v>0</v>
      </c>
      <c r="F297" s="387">
        <v>0</v>
      </c>
      <c r="G297" s="387">
        <v>0</v>
      </c>
      <c r="H297" s="387">
        <v>0</v>
      </c>
      <c r="I297" s="387">
        <v>0</v>
      </c>
      <c r="J297" s="387">
        <v>0</v>
      </c>
      <c r="K297" s="387">
        <v>0</v>
      </c>
      <c r="L297" s="387">
        <v>0</v>
      </c>
      <c r="M297" s="387">
        <v>0.22800000000000001</v>
      </c>
      <c r="N297" s="387">
        <v>0</v>
      </c>
      <c r="O297" s="387">
        <v>0.87</v>
      </c>
      <c r="P297" s="387">
        <v>0.83899999999999997</v>
      </c>
      <c r="Q297" s="387">
        <v>3.1829999999999998</v>
      </c>
      <c r="R297" s="387">
        <v>1.3939999999999999</v>
      </c>
      <c r="S297" s="387">
        <v>3.4249999999999998</v>
      </c>
      <c r="T297" s="387">
        <v>3.2690000000000001</v>
      </c>
      <c r="U297" s="387">
        <v>3.605</v>
      </c>
      <c r="V297" s="387">
        <v>10.176</v>
      </c>
      <c r="W297" s="387">
        <v>3.7090000000000001</v>
      </c>
      <c r="X297" s="387">
        <v>9.5</v>
      </c>
      <c r="Y297" s="387">
        <v>5.2910000000000004</v>
      </c>
      <c r="Z297" s="387">
        <v>8.1050000000000004</v>
      </c>
      <c r="AA297" s="387">
        <v>9.3949999999999996</v>
      </c>
      <c r="AB297" s="387">
        <v>12.366</v>
      </c>
      <c r="AC297" s="387">
        <v>11.984</v>
      </c>
      <c r="AD297" s="387">
        <v>16.864000000000001</v>
      </c>
      <c r="AE297" s="387">
        <v>16.132000000000001</v>
      </c>
      <c r="AF297" s="387">
        <v>15.781000000000001</v>
      </c>
      <c r="AG297" s="387">
        <v>11.794</v>
      </c>
      <c r="AH297" s="387">
        <v>13.704000000000001</v>
      </c>
      <c r="AI297" s="387">
        <v>18.355</v>
      </c>
      <c r="AJ297" s="387">
        <v>13.005000000000001</v>
      </c>
      <c r="AK297" s="387">
        <v>10.617000000000001</v>
      </c>
      <c r="AL297" s="387">
        <v>14.654</v>
      </c>
      <c r="AM297" s="387">
        <v>18.759</v>
      </c>
      <c r="AN297" s="387">
        <v>19.992999999999999</v>
      </c>
      <c r="AO297" s="387">
        <v>24.030999999999999</v>
      </c>
      <c r="AP297" s="387">
        <v>17.274999999999999</v>
      </c>
      <c r="AQ297" s="387">
        <v>17.579000000000001</v>
      </c>
      <c r="AR297" s="387">
        <v>15.398999999999999</v>
      </c>
      <c r="AS297" s="387">
        <v>18.468</v>
      </c>
      <c r="AT297" s="387">
        <v>22.355</v>
      </c>
      <c r="AU297" s="387">
        <v>18.866</v>
      </c>
      <c r="AV297" s="387">
        <v>14.375</v>
      </c>
      <c r="AW297" s="387">
        <v>17.302</v>
      </c>
      <c r="AX297" s="387">
        <v>18.963000000000001</v>
      </c>
      <c r="AY297" s="387">
        <v>15.824999999999999</v>
      </c>
      <c r="AZ297" s="387">
        <v>14.965999999999999</v>
      </c>
      <c r="BA297" s="387">
        <v>14.385999999999999</v>
      </c>
      <c r="BB297" s="387">
        <v>12.877000000000001</v>
      </c>
      <c r="BC297" s="387">
        <v>8.7560000000000002</v>
      </c>
      <c r="BD297" s="387">
        <v>1.363</v>
      </c>
      <c r="BE297" s="387">
        <v>0</v>
      </c>
      <c r="BF297" s="387">
        <v>0</v>
      </c>
      <c r="BG297" s="387">
        <v>0</v>
      </c>
      <c r="BH297" s="387">
        <v>0</v>
      </c>
      <c r="BI297" s="387">
        <v>0</v>
      </c>
      <c r="BJ297" s="387">
        <v>0</v>
      </c>
      <c r="BK297" s="387">
        <v>0</v>
      </c>
      <c r="BL297" s="387">
        <v>0</v>
      </c>
      <c r="BM297" s="387">
        <v>0</v>
      </c>
      <c r="BN297" s="387">
        <v>0</v>
      </c>
      <c r="BO297" s="387">
        <v>0</v>
      </c>
    </row>
    <row r="298" spans="1:67" x14ac:dyDescent="0.2">
      <c r="A298" s="388" t="s">
        <v>898</v>
      </c>
      <c r="B298" s="389">
        <v>0</v>
      </c>
      <c r="C298" s="389">
        <v>0</v>
      </c>
      <c r="D298" s="389">
        <v>0</v>
      </c>
      <c r="E298" s="389">
        <v>0</v>
      </c>
      <c r="F298" s="389">
        <v>0</v>
      </c>
      <c r="G298" s="389">
        <v>0</v>
      </c>
      <c r="H298" s="389">
        <v>0</v>
      </c>
      <c r="I298" s="389">
        <v>0</v>
      </c>
      <c r="J298" s="389">
        <v>0</v>
      </c>
      <c r="K298" s="389">
        <v>0</v>
      </c>
      <c r="L298" s="389">
        <v>0</v>
      </c>
      <c r="M298" s="389">
        <v>0.23100000000000001</v>
      </c>
      <c r="N298" s="389">
        <v>0</v>
      </c>
      <c r="O298" s="389">
        <v>0.875</v>
      </c>
      <c r="P298" s="389">
        <v>0.68799999999999994</v>
      </c>
      <c r="Q298" s="389">
        <v>1.538</v>
      </c>
      <c r="R298" s="389">
        <v>1.1220000000000001</v>
      </c>
      <c r="S298" s="389">
        <v>1.7330000000000001</v>
      </c>
      <c r="T298" s="389">
        <v>1.2509999999999999</v>
      </c>
      <c r="U298" s="389">
        <v>1.6759999999999999</v>
      </c>
      <c r="V298" s="389">
        <v>3.5169999999999999</v>
      </c>
      <c r="W298" s="389">
        <v>1.103</v>
      </c>
      <c r="X298" s="389">
        <v>3.33</v>
      </c>
      <c r="Y298" s="389">
        <v>2.427</v>
      </c>
      <c r="Z298" s="389">
        <v>2.944</v>
      </c>
      <c r="AA298" s="389">
        <v>2.8780000000000001</v>
      </c>
      <c r="AB298" s="389">
        <v>6.1840000000000002</v>
      </c>
      <c r="AC298" s="389">
        <v>3.09</v>
      </c>
      <c r="AD298" s="389">
        <v>6.5510000000000002</v>
      </c>
      <c r="AE298" s="389">
        <v>4.6239999999999997</v>
      </c>
      <c r="AF298" s="389">
        <v>5.6859999999999999</v>
      </c>
      <c r="AG298" s="389">
        <v>4.4240000000000004</v>
      </c>
      <c r="AH298" s="389">
        <v>3.68</v>
      </c>
      <c r="AI298" s="389">
        <v>4.5880000000000001</v>
      </c>
      <c r="AJ298" s="389">
        <v>2.7930000000000001</v>
      </c>
      <c r="AK298" s="389">
        <v>3.94</v>
      </c>
      <c r="AL298" s="389">
        <v>3.0409999999999999</v>
      </c>
      <c r="AM298" s="389">
        <v>2.7210000000000001</v>
      </c>
      <c r="AN298" s="389">
        <v>3.4049999999999998</v>
      </c>
      <c r="AO298" s="389">
        <v>1.5860000000000001</v>
      </c>
      <c r="AP298" s="389">
        <v>1.6319999999999999</v>
      </c>
      <c r="AQ298" s="389">
        <v>1.147</v>
      </c>
      <c r="AR298" s="389">
        <v>1.6579999999999999</v>
      </c>
      <c r="AS298" s="389">
        <v>0.63</v>
      </c>
      <c r="AT298" s="389">
        <v>0.95099999999999996</v>
      </c>
      <c r="AU298" s="389">
        <v>1.0720000000000001</v>
      </c>
      <c r="AV298" s="389">
        <v>0.31</v>
      </c>
      <c r="AW298" s="389">
        <v>0.78500000000000003</v>
      </c>
      <c r="AX298" s="389">
        <v>0.626</v>
      </c>
      <c r="AY298" s="389">
        <v>0.92700000000000005</v>
      </c>
      <c r="AZ298" s="389">
        <v>1.2430000000000001</v>
      </c>
      <c r="BA298" s="389">
        <v>0.47699999999999998</v>
      </c>
      <c r="BB298" s="389">
        <v>0.30499999999999999</v>
      </c>
      <c r="BC298" s="389">
        <v>0</v>
      </c>
      <c r="BD298" s="389">
        <v>0</v>
      </c>
      <c r="BE298" s="389">
        <v>0</v>
      </c>
      <c r="BF298" s="389">
        <v>0</v>
      </c>
      <c r="BG298" s="389">
        <v>0</v>
      </c>
      <c r="BH298" s="389">
        <v>0</v>
      </c>
      <c r="BI298" s="389">
        <v>0</v>
      </c>
      <c r="BJ298" s="389">
        <v>0</v>
      </c>
      <c r="BK298" s="389">
        <v>0</v>
      </c>
      <c r="BL298" s="389">
        <v>0</v>
      </c>
      <c r="BM298" s="389">
        <v>0</v>
      </c>
      <c r="BN298" s="389">
        <v>0</v>
      </c>
      <c r="BO298" s="389">
        <v>0</v>
      </c>
    </row>
    <row r="300" spans="1:67" x14ac:dyDescent="0.2">
      <c r="A300" s="380" t="s">
        <v>3173</v>
      </c>
      <c r="B300" s="381" t="s">
        <v>198</v>
      </c>
    </row>
    <row r="301" spans="1:67" x14ac:dyDescent="0.2">
      <c r="A301" s="382" t="s">
        <v>2134</v>
      </c>
      <c r="B301" s="383"/>
    </row>
    <row r="302" spans="1:67" x14ac:dyDescent="0.2">
      <c r="A302" s="384" t="s">
        <v>3175</v>
      </c>
      <c r="B302" s="384">
        <v>-25</v>
      </c>
      <c r="C302" s="384">
        <v>-24</v>
      </c>
      <c r="D302" s="384">
        <v>-23</v>
      </c>
      <c r="E302" s="384">
        <v>-22</v>
      </c>
      <c r="F302" s="384">
        <v>-21</v>
      </c>
      <c r="G302" s="384">
        <v>-20</v>
      </c>
      <c r="H302" s="384">
        <v>-19</v>
      </c>
      <c r="I302" s="384">
        <v>-18</v>
      </c>
      <c r="J302" s="384">
        <v>-17</v>
      </c>
      <c r="K302" s="384">
        <v>-16</v>
      </c>
      <c r="L302" s="384">
        <v>-15</v>
      </c>
      <c r="M302" s="384">
        <v>-14</v>
      </c>
      <c r="N302" s="384">
        <v>-13</v>
      </c>
      <c r="O302" s="384">
        <v>-12</v>
      </c>
      <c r="P302" s="384">
        <v>-11</v>
      </c>
      <c r="Q302" s="384">
        <v>-10</v>
      </c>
      <c r="R302" s="384">
        <v>-9</v>
      </c>
      <c r="S302" s="384">
        <v>-8</v>
      </c>
      <c r="T302" s="384">
        <v>-7</v>
      </c>
      <c r="U302" s="384">
        <v>-6</v>
      </c>
      <c r="V302" s="384">
        <v>-5</v>
      </c>
      <c r="W302" s="384">
        <v>-4</v>
      </c>
      <c r="X302" s="384">
        <v>-3</v>
      </c>
      <c r="Y302" s="384">
        <v>-2</v>
      </c>
      <c r="Z302" s="384">
        <v>-1</v>
      </c>
      <c r="AA302" s="384">
        <v>0</v>
      </c>
      <c r="AB302" s="384">
        <v>1</v>
      </c>
      <c r="AC302" s="384">
        <v>2</v>
      </c>
      <c r="AD302" s="384">
        <v>3</v>
      </c>
      <c r="AE302" s="384">
        <v>4</v>
      </c>
      <c r="AF302" s="384">
        <v>5</v>
      </c>
      <c r="AG302" s="384">
        <v>6</v>
      </c>
      <c r="AH302" s="384">
        <v>7</v>
      </c>
      <c r="AI302" s="384">
        <v>8</v>
      </c>
      <c r="AJ302" s="384">
        <v>9</v>
      </c>
      <c r="AK302" s="384">
        <v>10</v>
      </c>
      <c r="AL302" s="384">
        <v>11</v>
      </c>
      <c r="AM302" s="384">
        <v>12</v>
      </c>
      <c r="AN302" s="384">
        <v>13</v>
      </c>
      <c r="AO302" s="384">
        <v>14</v>
      </c>
      <c r="AP302" s="384">
        <v>15</v>
      </c>
      <c r="AQ302" s="384">
        <v>16</v>
      </c>
      <c r="AR302" s="384">
        <v>17</v>
      </c>
      <c r="AS302" s="384">
        <v>18</v>
      </c>
      <c r="AT302" s="384">
        <v>19</v>
      </c>
      <c r="AU302" s="384">
        <v>20</v>
      </c>
      <c r="AV302" s="384">
        <v>21</v>
      </c>
      <c r="AW302" s="384">
        <v>22</v>
      </c>
      <c r="AX302" s="384">
        <v>23</v>
      </c>
      <c r="AY302" s="384">
        <v>24</v>
      </c>
      <c r="AZ302" s="384">
        <v>25</v>
      </c>
      <c r="BA302" s="384">
        <v>26</v>
      </c>
      <c r="BB302" s="384">
        <v>27</v>
      </c>
      <c r="BC302" s="384">
        <v>28</v>
      </c>
      <c r="BD302" s="384">
        <v>29</v>
      </c>
      <c r="BE302" s="384">
        <v>30</v>
      </c>
      <c r="BF302" s="384">
        <v>31</v>
      </c>
      <c r="BG302" s="384">
        <v>32</v>
      </c>
      <c r="BH302" s="384">
        <v>33</v>
      </c>
      <c r="BI302" s="384">
        <v>34</v>
      </c>
      <c r="BJ302" s="384">
        <v>35</v>
      </c>
      <c r="BK302" s="384">
        <v>36</v>
      </c>
      <c r="BL302" s="384">
        <v>37</v>
      </c>
      <c r="BM302" s="384">
        <v>38</v>
      </c>
      <c r="BN302" s="384">
        <v>39</v>
      </c>
      <c r="BO302" s="384">
        <v>40</v>
      </c>
    </row>
    <row r="303" spans="1:67" x14ac:dyDescent="0.2">
      <c r="A303" s="385" t="s">
        <v>3176</v>
      </c>
      <c r="B303" s="385">
        <v>0</v>
      </c>
      <c r="C303" s="385">
        <v>0</v>
      </c>
      <c r="D303" s="385">
        <v>0</v>
      </c>
      <c r="E303" s="385">
        <v>0</v>
      </c>
      <c r="F303" s="385">
        <v>0</v>
      </c>
      <c r="G303" s="385">
        <v>0</v>
      </c>
      <c r="H303" s="385">
        <v>0</v>
      </c>
      <c r="I303" s="385">
        <v>0</v>
      </c>
      <c r="J303" s="385">
        <v>0</v>
      </c>
      <c r="K303" s="385">
        <v>0</v>
      </c>
      <c r="L303" s="385">
        <v>0</v>
      </c>
      <c r="M303" s="385">
        <v>0</v>
      </c>
      <c r="N303" s="385">
        <v>0</v>
      </c>
      <c r="O303" s="385">
        <v>0</v>
      </c>
      <c r="P303" s="385">
        <v>0</v>
      </c>
      <c r="Q303" s="385">
        <v>4</v>
      </c>
      <c r="R303" s="385">
        <v>18</v>
      </c>
      <c r="S303" s="385">
        <v>34</v>
      </c>
      <c r="T303" s="385">
        <v>65</v>
      </c>
      <c r="U303" s="385">
        <v>56</v>
      </c>
      <c r="V303" s="385">
        <v>72</v>
      </c>
      <c r="W303" s="385">
        <v>93</v>
      </c>
      <c r="X303" s="385">
        <v>123</v>
      </c>
      <c r="Y303" s="385">
        <v>184</v>
      </c>
      <c r="Z303" s="385">
        <v>228</v>
      </c>
      <c r="AA303" s="385">
        <v>309</v>
      </c>
      <c r="AB303" s="385">
        <v>338</v>
      </c>
      <c r="AC303" s="385">
        <v>330</v>
      </c>
      <c r="AD303" s="385">
        <v>369</v>
      </c>
      <c r="AE303" s="385">
        <v>352</v>
      </c>
      <c r="AF303" s="385">
        <v>335</v>
      </c>
      <c r="AG303" s="385">
        <v>341</v>
      </c>
      <c r="AH303" s="385">
        <v>335</v>
      </c>
      <c r="AI303" s="385">
        <v>289</v>
      </c>
      <c r="AJ303" s="385">
        <v>279</v>
      </c>
      <c r="AK303" s="385">
        <v>322</v>
      </c>
      <c r="AL303" s="385">
        <v>325</v>
      </c>
      <c r="AM303" s="385">
        <v>350</v>
      </c>
      <c r="AN303" s="385">
        <v>349</v>
      </c>
      <c r="AO303" s="385">
        <v>391</v>
      </c>
      <c r="AP303" s="385">
        <v>336</v>
      </c>
      <c r="AQ303" s="385">
        <v>330</v>
      </c>
      <c r="AR303" s="385">
        <v>301</v>
      </c>
      <c r="AS303" s="385">
        <v>284</v>
      </c>
      <c r="AT303" s="385">
        <v>256</v>
      </c>
      <c r="AU303" s="385">
        <v>233</v>
      </c>
      <c r="AV303" s="385">
        <v>200</v>
      </c>
      <c r="AW303" s="385">
        <v>168</v>
      </c>
      <c r="AX303" s="385">
        <v>144</v>
      </c>
      <c r="AY303" s="385">
        <v>138</v>
      </c>
      <c r="AZ303" s="385">
        <v>127</v>
      </c>
      <c r="BA303" s="385">
        <v>118</v>
      </c>
      <c r="BB303" s="385">
        <v>92</v>
      </c>
      <c r="BC303" s="385">
        <v>51</v>
      </c>
      <c r="BD303" s="385">
        <v>38</v>
      </c>
      <c r="BE303" s="385">
        <v>29</v>
      </c>
      <c r="BF303" s="385">
        <v>12</v>
      </c>
      <c r="BG303" s="385">
        <v>8</v>
      </c>
      <c r="BH303" s="385">
        <v>2</v>
      </c>
      <c r="BI303" s="385">
        <v>2</v>
      </c>
      <c r="BJ303" s="385">
        <v>0</v>
      </c>
      <c r="BK303" s="385">
        <v>0</v>
      </c>
      <c r="BL303" s="385">
        <v>0</v>
      </c>
      <c r="BM303" s="385">
        <v>0</v>
      </c>
      <c r="BN303" s="385">
        <v>0</v>
      </c>
      <c r="BO303" s="385">
        <v>0</v>
      </c>
    </row>
    <row r="304" spans="1:67" x14ac:dyDescent="0.2">
      <c r="A304" s="386" t="s">
        <v>893</v>
      </c>
      <c r="B304" s="386">
        <v>0</v>
      </c>
      <c r="C304" s="386">
        <v>0</v>
      </c>
      <c r="D304" s="386">
        <v>0</v>
      </c>
      <c r="E304" s="386">
        <v>0</v>
      </c>
      <c r="F304" s="386">
        <v>0</v>
      </c>
      <c r="G304" s="386">
        <v>0</v>
      </c>
      <c r="H304" s="386">
        <v>0</v>
      </c>
      <c r="I304" s="386">
        <v>0</v>
      </c>
      <c r="J304" s="386">
        <v>0</v>
      </c>
      <c r="K304" s="386">
        <v>0</v>
      </c>
      <c r="L304" s="386">
        <v>0</v>
      </c>
      <c r="M304" s="386">
        <v>0</v>
      </c>
      <c r="N304" s="386">
        <v>0</v>
      </c>
      <c r="O304" s="386">
        <v>0</v>
      </c>
      <c r="P304" s="386">
        <v>0</v>
      </c>
      <c r="Q304" s="386">
        <v>0</v>
      </c>
      <c r="R304" s="386">
        <v>0</v>
      </c>
      <c r="S304" s="386">
        <v>24</v>
      </c>
      <c r="T304" s="386">
        <v>0</v>
      </c>
      <c r="U304" s="386">
        <v>48</v>
      </c>
      <c r="V304" s="386">
        <v>120</v>
      </c>
      <c r="W304" s="386">
        <v>96</v>
      </c>
      <c r="X304" s="386">
        <v>96</v>
      </c>
      <c r="Y304" s="386">
        <v>144</v>
      </c>
      <c r="Z304" s="386">
        <v>192</v>
      </c>
      <c r="AA304" s="386">
        <v>288</v>
      </c>
      <c r="AB304" s="386">
        <v>360</v>
      </c>
      <c r="AC304" s="386">
        <v>288</v>
      </c>
      <c r="AD304" s="386">
        <v>432</v>
      </c>
      <c r="AE304" s="386">
        <v>336</v>
      </c>
      <c r="AF304" s="386">
        <v>360</v>
      </c>
      <c r="AG304" s="386">
        <v>288</v>
      </c>
      <c r="AH304" s="386">
        <v>312</v>
      </c>
      <c r="AI304" s="386">
        <v>360</v>
      </c>
      <c r="AJ304" s="386">
        <v>360</v>
      </c>
      <c r="AK304" s="386">
        <v>336</v>
      </c>
      <c r="AL304" s="386">
        <v>312</v>
      </c>
      <c r="AM304" s="386">
        <v>192</v>
      </c>
      <c r="AN304" s="386">
        <v>360</v>
      </c>
      <c r="AO304" s="386">
        <v>552</v>
      </c>
      <c r="AP304" s="386">
        <v>312</v>
      </c>
      <c r="AQ304" s="386">
        <v>384</v>
      </c>
      <c r="AR304" s="386">
        <v>408</v>
      </c>
      <c r="AS304" s="386">
        <v>336</v>
      </c>
      <c r="AT304" s="386">
        <v>192</v>
      </c>
      <c r="AU304" s="386">
        <v>288</v>
      </c>
      <c r="AV304" s="386">
        <v>480</v>
      </c>
      <c r="AW304" s="386">
        <v>216</v>
      </c>
      <c r="AX304" s="386">
        <v>96</v>
      </c>
      <c r="AY304" s="386">
        <v>168</v>
      </c>
      <c r="AZ304" s="386">
        <v>24</v>
      </c>
      <c r="BA304" s="386">
        <v>0</v>
      </c>
      <c r="BB304" s="386">
        <v>0</v>
      </c>
      <c r="BC304" s="386">
        <v>0</v>
      </c>
      <c r="BD304" s="386">
        <v>0</v>
      </c>
      <c r="BE304" s="386">
        <v>0</v>
      </c>
      <c r="BF304" s="386">
        <v>0</v>
      </c>
      <c r="BG304" s="386">
        <v>0</v>
      </c>
      <c r="BH304" s="386">
        <v>0</v>
      </c>
      <c r="BI304" s="386">
        <v>0</v>
      </c>
      <c r="BJ304" s="386">
        <v>0</v>
      </c>
      <c r="BK304" s="386">
        <v>0</v>
      </c>
      <c r="BL304" s="386">
        <v>0</v>
      </c>
      <c r="BM304" s="386">
        <v>0</v>
      </c>
      <c r="BN304" s="386">
        <v>0</v>
      </c>
      <c r="BO304" s="386">
        <v>0</v>
      </c>
    </row>
    <row r="305" spans="1:67" x14ac:dyDescent="0.2">
      <c r="A305" s="386" t="s">
        <v>894</v>
      </c>
      <c r="B305" s="387">
        <v>0</v>
      </c>
      <c r="C305" s="387">
        <v>0</v>
      </c>
      <c r="D305" s="387">
        <v>0</v>
      </c>
      <c r="E305" s="387">
        <v>0</v>
      </c>
      <c r="F305" s="387">
        <v>0</v>
      </c>
      <c r="G305" s="387">
        <v>0</v>
      </c>
      <c r="H305" s="387">
        <v>0</v>
      </c>
      <c r="I305" s="387">
        <v>0</v>
      </c>
      <c r="J305" s="387">
        <v>0</v>
      </c>
      <c r="K305" s="387">
        <v>0</v>
      </c>
      <c r="L305" s="387">
        <v>0</v>
      </c>
      <c r="M305" s="387">
        <v>0</v>
      </c>
      <c r="N305" s="387">
        <v>0</v>
      </c>
      <c r="O305" s="387">
        <v>0</v>
      </c>
      <c r="P305" s="387">
        <v>0</v>
      </c>
      <c r="Q305" s="387">
        <v>0</v>
      </c>
      <c r="R305" s="387">
        <v>0</v>
      </c>
      <c r="S305" s="387">
        <v>0</v>
      </c>
      <c r="T305" s="387">
        <v>0.16900000000000001</v>
      </c>
      <c r="U305" s="387">
        <v>0.70799999999999996</v>
      </c>
      <c r="V305" s="387">
        <v>0.32900000000000001</v>
      </c>
      <c r="W305" s="387">
        <v>2.5750000000000002</v>
      </c>
      <c r="X305" s="387">
        <v>4.157</v>
      </c>
      <c r="Y305" s="387">
        <v>5.4210000000000003</v>
      </c>
      <c r="Z305" s="387">
        <v>5.5179999999999998</v>
      </c>
      <c r="AA305" s="387">
        <v>6.2569999999999997</v>
      </c>
      <c r="AB305" s="387">
        <v>9.8070000000000004</v>
      </c>
      <c r="AC305" s="387">
        <v>12.304</v>
      </c>
      <c r="AD305" s="387">
        <v>10.3</v>
      </c>
      <c r="AE305" s="387">
        <v>14.417999999999999</v>
      </c>
      <c r="AF305" s="387">
        <v>17.956</v>
      </c>
      <c r="AG305" s="387">
        <v>19.77</v>
      </c>
      <c r="AH305" s="387">
        <v>29.69</v>
      </c>
      <c r="AI305" s="387">
        <v>26.824000000000002</v>
      </c>
      <c r="AJ305" s="387">
        <v>29.44</v>
      </c>
      <c r="AK305" s="387">
        <v>34.57</v>
      </c>
      <c r="AL305" s="387">
        <v>33.076000000000001</v>
      </c>
      <c r="AM305" s="387">
        <v>46.189</v>
      </c>
      <c r="AN305" s="387">
        <v>39.951000000000001</v>
      </c>
      <c r="AO305" s="387">
        <v>49.69</v>
      </c>
      <c r="AP305" s="387">
        <v>53.079000000000001</v>
      </c>
      <c r="AQ305" s="387">
        <v>53.165999999999997</v>
      </c>
      <c r="AR305" s="387">
        <v>61.725000000000001</v>
      </c>
      <c r="AS305" s="387">
        <v>55.22</v>
      </c>
      <c r="AT305" s="387">
        <v>66.349999999999994</v>
      </c>
      <c r="AU305" s="387">
        <v>65.893000000000001</v>
      </c>
      <c r="AV305" s="387">
        <v>65.156000000000006</v>
      </c>
      <c r="AW305" s="387">
        <v>59.414999999999999</v>
      </c>
      <c r="AX305" s="387">
        <v>62.895000000000003</v>
      </c>
      <c r="AY305" s="387">
        <v>66.424999999999997</v>
      </c>
      <c r="AZ305" s="387">
        <v>62.686</v>
      </c>
      <c r="BA305" s="387">
        <v>62.823</v>
      </c>
      <c r="BB305" s="387">
        <v>51.453000000000003</v>
      </c>
      <c r="BC305" s="387">
        <v>24.984999999999999</v>
      </c>
      <c r="BD305" s="387">
        <v>23.576000000000001</v>
      </c>
      <c r="BE305" s="387">
        <v>19.033000000000001</v>
      </c>
      <c r="BF305" s="387">
        <v>6.2859999999999996</v>
      </c>
      <c r="BG305" s="387">
        <v>5.0190000000000001</v>
      </c>
      <c r="BH305" s="387">
        <v>1.4910000000000001</v>
      </c>
      <c r="BI305" s="387">
        <v>1.141</v>
      </c>
      <c r="BJ305" s="387">
        <v>0</v>
      </c>
      <c r="BK305" s="387">
        <v>0</v>
      </c>
      <c r="BL305" s="387">
        <v>0</v>
      </c>
      <c r="BM305" s="387">
        <v>0</v>
      </c>
      <c r="BN305" s="387">
        <v>0</v>
      </c>
      <c r="BO305" s="387">
        <v>0</v>
      </c>
    </row>
    <row r="306" spans="1:67" x14ac:dyDescent="0.2">
      <c r="A306" s="386" t="s">
        <v>895</v>
      </c>
      <c r="B306" s="387">
        <v>0</v>
      </c>
      <c r="C306" s="387">
        <v>0</v>
      </c>
      <c r="D306" s="387">
        <v>0</v>
      </c>
      <c r="E306" s="387">
        <v>0</v>
      </c>
      <c r="F306" s="387">
        <v>0</v>
      </c>
      <c r="G306" s="387">
        <v>0</v>
      </c>
      <c r="H306" s="387">
        <v>0</v>
      </c>
      <c r="I306" s="387">
        <v>0</v>
      </c>
      <c r="J306" s="387">
        <v>0</v>
      </c>
      <c r="K306" s="387">
        <v>0</v>
      </c>
      <c r="L306" s="387">
        <v>0</v>
      </c>
      <c r="M306" s="387">
        <v>0</v>
      </c>
      <c r="N306" s="387">
        <v>0</v>
      </c>
      <c r="O306" s="387">
        <v>0</v>
      </c>
      <c r="P306" s="387">
        <v>0</v>
      </c>
      <c r="Q306" s="387">
        <v>0</v>
      </c>
      <c r="R306" s="387">
        <v>0</v>
      </c>
      <c r="S306" s="387">
        <v>0</v>
      </c>
      <c r="T306" s="387">
        <v>0</v>
      </c>
      <c r="U306" s="387">
        <v>0.16700000000000001</v>
      </c>
      <c r="V306" s="387">
        <v>0.33100000000000002</v>
      </c>
      <c r="W306" s="387">
        <v>1.5920000000000001</v>
      </c>
      <c r="X306" s="387">
        <v>2.0529999999999999</v>
      </c>
      <c r="Y306" s="387">
        <v>1.8160000000000001</v>
      </c>
      <c r="Z306" s="387">
        <v>2.6480000000000001</v>
      </c>
      <c r="AA306" s="387">
        <v>2.5739999999999998</v>
      </c>
      <c r="AB306" s="387">
        <v>5.0730000000000004</v>
      </c>
      <c r="AC306" s="387">
        <v>4.1109999999999998</v>
      </c>
      <c r="AD306" s="387">
        <v>7.2350000000000003</v>
      </c>
      <c r="AE306" s="387">
        <v>11.09</v>
      </c>
      <c r="AF306" s="387">
        <v>9.8369999999999997</v>
      </c>
      <c r="AG306" s="387">
        <v>8.1110000000000007</v>
      </c>
      <c r="AH306" s="387">
        <v>17.507000000000001</v>
      </c>
      <c r="AI306" s="387">
        <v>13.247</v>
      </c>
      <c r="AJ306" s="387">
        <v>17.763999999999999</v>
      </c>
      <c r="AK306" s="387">
        <v>22.370999999999999</v>
      </c>
      <c r="AL306" s="387">
        <v>20.803000000000001</v>
      </c>
      <c r="AM306" s="387">
        <v>27.076000000000001</v>
      </c>
      <c r="AN306" s="387">
        <v>20.581</v>
      </c>
      <c r="AO306" s="387">
        <v>30.608000000000001</v>
      </c>
      <c r="AP306" s="387">
        <v>27.234999999999999</v>
      </c>
      <c r="AQ306" s="387">
        <v>28.132999999999999</v>
      </c>
      <c r="AR306" s="387">
        <v>33.518000000000001</v>
      </c>
      <c r="AS306" s="387">
        <v>30.056000000000001</v>
      </c>
      <c r="AT306" s="387">
        <v>31.073</v>
      </c>
      <c r="AU306" s="387">
        <v>30.564</v>
      </c>
      <c r="AV306" s="387">
        <v>28.047000000000001</v>
      </c>
      <c r="AW306" s="387">
        <v>26.481999999999999</v>
      </c>
      <c r="AX306" s="387">
        <v>22.599</v>
      </c>
      <c r="AY306" s="387">
        <v>18.741</v>
      </c>
      <c r="AZ306" s="387">
        <v>12.086</v>
      </c>
      <c r="BA306" s="387">
        <v>10.577</v>
      </c>
      <c r="BB306" s="387">
        <v>5.8719999999999999</v>
      </c>
      <c r="BC306" s="387">
        <v>2.6309999999999998</v>
      </c>
      <c r="BD306" s="387">
        <v>2.16</v>
      </c>
      <c r="BE306" s="387">
        <v>1.4970000000000001</v>
      </c>
      <c r="BF306" s="387">
        <v>0.36099999999999999</v>
      </c>
      <c r="BG306" s="387">
        <v>0.25700000000000001</v>
      </c>
      <c r="BH306" s="387">
        <v>0.17399999999999999</v>
      </c>
      <c r="BI306" s="387">
        <v>0</v>
      </c>
      <c r="BJ306" s="387">
        <v>0</v>
      </c>
      <c r="BK306" s="387">
        <v>0</v>
      </c>
      <c r="BL306" s="387">
        <v>0</v>
      </c>
      <c r="BM306" s="387">
        <v>0</v>
      </c>
      <c r="BN306" s="387">
        <v>0</v>
      </c>
      <c r="BO306" s="387">
        <v>0</v>
      </c>
    </row>
    <row r="307" spans="1:67" x14ac:dyDescent="0.2">
      <c r="A307" s="386" t="s">
        <v>896</v>
      </c>
      <c r="B307" s="387">
        <v>0</v>
      </c>
      <c r="C307" s="387">
        <v>0</v>
      </c>
      <c r="D307" s="387">
        <v>0</v>
      </c>
      <c r="E307" s="387">
        <v>0</v>
      </c>
      <c r="F307" s="387">
        <v>0</v>
      </c>
      <c r="G307" s="387">
        <v>0</v>
      </c>
      <c r="H307" s="387">
        <v>0</v>
      </c>
      <c r="I307" s="387">
        <v>0</v>
      </c>
      <c r="J307" s="387">
        <v>0</v>
      </c>
      <c r="K307" s="387">
        <v>0</v>
      </c>
      <c r="L307" s="387">
        <v>0</v>
      </c>
      <c r="M307" s="387">
        <v>0</v>
      </c>
      <c r="N307" s="387">
        <v>0</v>
      </c>
      <c r="O307" s="387">
        <v>0</v>
      </c>
      <c r="P307" s="387">
        <v>0</v>
      </c>
      <c r="Q307" s="387">
        <v>0</v>
      </c>
      <c r="R307" s="387">
        <v>0</v>
      </c>
      <c r="S307" s="387">
        <v>0</v>
      </c>
      <c r="T307" s="387">
        <v>0</v>
      </c>
      <c r="U307" s="387">
        <v>0.78900000000000003</v>
      </c>
      <c r="V307" s="387">
        <v>0.24399999999999999</v>
      </c>
      <c r="W307" s="387">
        <v>4.0010000000000003</v>
      </c>
      <c r="X307" s="387">
        <v>8.4659999999999993</v>
      </c>
      <c r="Y307" s="387">
        <v>11.276999999999999</v>
      </c>
      <c r="Z307" s="387">
        <v>10.318</v>
      </c>
      <c r="AA307" s="387">
        <v>11.743</v>
      </c>
      <c r="AB307" s="387">
        <v>16.544</v>
      </c>
      <c r="AC307" s="387">
        <v>19.442</v>
      </c>
      <c r="AD307" s="387">
        <v>16.100999999999999</v>
      </c>
      <c r="AE307" s="387">
        <v>20.513999999999999</v>
      </c>
      <c r="AF307" s="387">
        <v>27.123000000000001</v>
      </c>
      <c r="AG307" s="387">
        <v>29.210999999999999</v>
      </c>
      <c r="AH307" s="387">
        <v>35.268000000000001</v>
      </c>
      <c r="AI307" s="387">
        <v>27.663</v>
      </c>
      <c r="AJ307" s="387">
        <v>29.215</v>
      </c>
      <c r="AK307" s="387">
        <v>30.696000000000002</v>
      </c>
      <c r="AL307" s="387">
        <v>31.381</v>
      </c>
      <c r="AM307" s="387">
        <v>40.820999999999998</v>
      </c>
      <c r="AN307" s="387">
        <v>34.357999999999997</v>
      </c>
      <c r="AO307" s="387">
        <v>37.030999999999999</v>
      </c>
      <c r="AP307" s="387">
        <v>41.01</v>
      </c>
      <c r="AQ307" s="387">
        <v>36.723999999999997</v>
      </c>
      <c r="AR307" s="387">
        <v>41.415999999999997</v>
      </c>
      <c r="AS307" s="387">
        <v>33.106999999999999</v>
      </c>
      <c r="AT307" s="387">
        <v>39.262</v>
      </c>
      <c r="AU307" s="387">
        <v>38.932000000000002</v>
      </c>
      <c r="AV307" s="387">
        <v>37.442</v>
      </c>
      <c r="AW307" s="387">
        <v>31.966999999999999</v>
      </c>
      <c r="AX307" s="387">
        <v>34.715000000000003</v>
      </c>
      <c r="AY307" s="387">
        <v>36.679000000000002</v>
      </c>
      <c r="AZ307" s="387">
        <v>34.805999999999997</v>
      </c>
      <c r="BA307" s="387">
        <v>34.475000000000001</v>
      </c>
      <c r="BB307" s="387">
        <v>28.663</v>
      </c>
      <c r="BC307" s="387">
        <v>12.488</v>
      </c>
      <c r="BD307" s="387">
        <v>11.260999999999999</v>
      </c>
      <c r="BE307" s="387">
        <v>9.4789999999999992</v>
      </c>
      <c r="BF307" s="387">
        <v>2.9390000000000001</v>
      </c>
      <c r="BG307" s="387">
        <v>2.5870000000000002</v>
      </c>
      <c r="BH307" s="387">
        <v>0.96</v>
      </c>
      <c r="BI307" s="387">
        <v>0.71899999999999997</v>
      </c>
      <c r="BJ307" s="387">
        <v>0</v>
      </c>
      <c r="BK307" s="387">
        <v>0</v>
      </c>
      <c r="BL307" s="387">
        <v>0</v>
      </c>
      <c r="BM307" s="387">
        <v>0</v>
      </c>
      <c r="BN307" s="387">
        <v>0</v>
      </c>
      <c r="BO307" s="387">
        <v>0</v>
      </c>
    </row>
    <row r="308" spans="1:67" x14ac:dyDescent="0.2">
      <c r="A308" s="386" t="s">
        <v>897</v>
      </c>
      <c r="B308" s="387">
        <v>0</v>
      </c>
      <c r="C308" s="387">
        <v>0</v>
      </c>
      <c r="D308" s="387">
        <v>0</v>
      </c>
      <c r="E308" s="387">
        <v>0</v>
      </c>
      <c r="F308" s="387">
        <v>0</v>
      </c>
      <c r="G308" s="387">
        <v>0</v>
      </c>
      <c r="H308" s="387">
        <v>0</v>
      </c>
      <c r="I308" s="387">
        <v>0</v>
      </c>
      <c r="J308" s="387">
        <v>0</v>
      </c>
      <c r="K308" s="387">
        <v>0</v>
      </c>
      <c r="L308" s="387">
        <v>0</v>
      </c>
      <c r="M308" s="387">
        <v>0</v>
      </c>
      <c r="N308" s="387">
        <v>0</v>
      </c>
      <c r="O308" s="387">
        <v>0</v>
      </c>
      <c r="P308" s="387">
        <v>0</v>
      </c>
      <c r="Q308" s="387">
        <v>0</v>
      </c>
      <c r="R308" s="387">
        <v>0</v>
      </c>
      <c r="S308" s="387">
        <v>0</v>
      </c>
      <c r="T308" s="387">
        <v>0</v>
      </c>
      <c r="U308" s="387">
        <v>0</v>
      </c>
      <c r="V308" s="387">
        <v>0</v>
      </c>
      <c r="W308" s="387">
        <v>0.19400000000000001</v>
      </c>
      <c r="X308" s="387">
        <v>1.5</v>
      </c>
      <c r="Y308" s="387">
        <v>3.125</v>
      </c>
      <c r="Z308" s="387">
        <v>2.7149999999999999</v>
      </c>
      <c r="AA308" s="387">
        <v>2.903</v>
      </c>
      <c r="AB308" s="387">
        <v>5.298</v>
      </c>
      <c r="AC308" s="387">
        <v>6.96</v>
      </c>
      <c r="AD308" s="387">
        <v>2.2229999999999999</v>
      </c>
      <c r="AE308" s="387">
        <v>3.161</v>
      </c>
      <c r="AF308" s="387">
        <v>6.1130000000000004</v>
      </c>
      <c r="AG308" s="387">
        <v>9.2110000000000003</v>
      </c>
      <c r="AH308" s="387">
        <v>11.932</v>
      </c>
      <c r="AI308" s="387">
        <v>8.49</v>
      </c>
      <c r="AJ308" s="387">
        <v>9.3640000000000008</v>
      </c>
      <c r="AK308" s="387">
        <v>8.6869999999999994</v>
      </c>
      <c r="AL308" s="387">
        <v>13.734</v>
      </c>
      <c r="AM308" s="387">
        <v>16.902999999999999</v>
      </c>
      <c r="AN308" s="387">
        <v>18.829000000000001</v>
      </c>
      <c r="AO308" s="387">
        <v>15.531000000000001</v>
      </c>
      <c r="AP308" s="387">
        <v>20.538</v>
      </c>
      <c r="AQ308" s="387">
        <v>18.027000000000001</v>
      </c>
      <c r="AR308" s="387">
        <v>17.943999999999999</v>
      </c>
      <c r="AS308" s="387">
        <v>16.850999999999999</v>
      </c>
      <c r="AT308" s="387">
        <v>25.42</v>
      </c>
      <c r="AU308" s="387">
        <v>24.824999999999999</v>
      </c>
      <c r="AV308" s="387">
        <v>26.503</v>
      </c>
      <c r="AW308" s="387">
        <v>22.036000000000001</v>
      </c>
      <c r="AX308" s="387">
        <v>25.222999999999999</v>
      </c>
      <c r="AY308" s="387">
        <v>30.614999999999998</v>
      </c>
      <c r="AZ308" s="387">
        <v>32.933</v>
      </c>
      <c r="BA308" s="387">
        <v>37.375</v>
      </c>
      <c r="BB308" s="387">
        <v>30.597000000000001</v>
      </c>
      <c r="BC308" s="387">
        <v>16.526</v>
      </c>
      <c r="BD308" s="387">
        <v>14.936999999999999</v>
      </c>
      <c r="BE308" s="387">
        <v>12.363</v>
      </c>
      <c r="BF308" s="387">
        <v>4.9909999999999997</v>
      </c>
      <c r="BG308" s="387">
        <v>3.7490000000000001</v>
      </c>
      <c r="BH308" s="387">
        <v>0.71899999999999997</v>
      </c>
      <c r="BI308" s="387">
        <v>1.3160000000000001</v>
      </c>
      <c r="BJ308" s="387">
        <v>0</v>
      </c>
      <c r="BK308" s="387">
        <v>0</v>
      </c>
      <c r="BL308" s="387">
        <v>0</v>
      </c>
      <c r="BM308" s="387">
        <v>0</v>
      </c>
      <c r="BN308" s="387">
        <v>0</v>
      </c>
      <c r="BO308" s="387">
        <v>0</v>
      </c>
    </row>
    <row r="309" spans="1:67" x14ac:dyDescent="0.2">
      <c r="A309" s="388" t="s">
        <v>898</v>
      </c>
      <c r="B309" s="389">
        <v>0</v>
      </c>
      <c r="C309" s="389">
        <v>0</v>
      </c>
      <c r="D309" s="389">
        <v>0</v>
      </c>
      <c r="E309" s="389">
        <v>0</v>
      </c>
      <c r="F309" s="389">
        <v>0</v>
      </c>
      <c r="G309" s="389">
        <v>0</v>
      </c>
      <c r="H309" s="389">
        <v>0</v>
      </c>
      <c r="I309" s="389">
        <v>0</v>
      </c>
      <c r="J309" s="389">
        <v>0</v>
      </c>
      <c r="K309" s="389">
        <v>0</v>
      </c>
      <c r="L309" s="389">
        <v>0</v>
      </c>
      <c r="M309" s="389">
        <v>0</v>
      </c>
      <c r="N309" s="389">
        <v>0</v>
      </c>
      <c r="O309" s="389">
        <v>0</v>
      </c>
      <c r="P309" s="389">
        <v>0</v>
      </c>
      <c r="Q309" s="389">
        <v>0</v>
      </c>
      <c r="R309" s="389">
        <v>0</v>
      </c>
      <c r="S309" s="389">
        <v>0</v>
      </c>
      <c r="T309" s="389">
        <v>0</v>
      </c>
      <c r="U309" s="389">
        <v>0</v>
      </c>
      <c r="V309" s="389">
        <v>0</v>
      </c>
      <c r="W309" s="389">
        <v>0</v>
      </c>
      <c r="X309" s="389">
        <v>0</v>
      </c>
      <c r="Y309" s="389">
        <v>0</v>
      </c>
      <c r="Z309" s="389">
        <v>0.158</v>
      </c>
      <c r="AA309" s="389">
        <v>0</v>
      </c>
      <c r="AB309" s="389">
        <v>0.158</v>
      </c>
      <c r="AC309" s="389">
        <v>0.67700000000000005</v>
      </c>
      <c r="AD309" s="389">
        <v>0.32100000000000001</v>
      </c>
      <c r="AE309" s="389">
        <v>0</v>
      </c>
      <c r="AF309" s="389">
        <v>0.158</v>
      </c>
      <c r="AG309" s="389">
        <v>0</v>
      </c>
      <c r="AH309" s="389">
        <v>0.36099999999999999</v>
      </c>
      <c r="AI309" s="389">
        <v>0</v>
      </c>
      <c r="AJ309" s="389">
        <v>0.36799999999999999</v>
      </c>
      <c r="AK309" s="389">
        <v>0.311</v>
      </c>
      <c r="AL309" s="389">
        <v>0.85299999999999998</v>
      </c>
      <c r="AM309" s="389">
        <v>1.2050000000000001</v>
      </c>
      <c r="AN309" s="389">
        <v>1.335</v>
      </c>
      <c r="AO309" s="389">
        <v>1.6379999999999999</v>
      </c>
      <c r="AP309" s="389">
        <v>1.175</v>
      </c>
      <c r="AQ309" s="389">
        <v>2.1280000000000001</v>
      </c>
      <c r="AR309" s="389">
        <v>1.6379999999999999</v>
      </c>
      <c r="AS309" s="389">
        <v>1.9690000000000001</v>
      </c>
      <c r="AT309" s="389">
        <v>1.3180000000000001</v>
      </c>
      <c r="AU309" s="389">
        <v>1.732</v>
      </c>
      <c r="AV309" s="389">
        <v>1.4239999999999999</v>
      </c>
      <c r="AW309" s="389">
        <v>2.5790000000000002</v>
      </c>
      <c r="AX309" s="389">
        <v>3.1930000000000001</v>
      </c>
      <c r="AY309" s="389">
        <v>2.2080000000000002</v>
      </c>
      <c r="AZ309" s="389">
        <v>1.4750000000000001</v>
      </c>
      <c r="BA309" s="389">
        <v>1.9630000000000001</v>
      </c>
      <c r="BB309" s="389">
        <v>1.534</v>
      </c>
      <c r="BC309" s="389">
        <v>0.47699999999999998</v>
      </c>
      <c r="BD309" s="389">
        <v>0.32</v>
      </c>
      <c r="BE309" s="389">
        <v>0.63800000000000001</v>
      </c>
      <c r="BF309" s="389">
        <v>0.46400000000000002</v>
      </c>
      <c r="BG309" s="389">
        <v>0.307</v>
      </c>
      <c r="BH309" s="389">
        <v>0.16400000000000001</v>
      </c>
      <c r="BI309" s="389">
        <v>0</v>
      </c>
      <c r="BJ309" s="389">
        <v>0</v>
      </c>
      <c r="BK309" s="389">
        <v>0</v>
      </c>
      <c r="BL309" s="389">
        <v>0</v>
      </c>
      <c r="BM309" s="389">
        <v>0</v>
      </c>
      <c r="BN309" s="389">
        <v>0</v>
      </c>
      <c r="BO309" s="389">
        <v>0</v>
      </c>
    </row>
    <row r="311" spans="1:67" x14ac:dyDescent="0.2">
      <c r="A311" s="380" t="s">
        <v>3173</v>
      </c>
      <c r="B311" s="381" t="s">
        <v>199</v>
      </c>
    </row>
    <row r="312" spans="1:67" x14ac:dyDescent="0.2">
      <c r="A312" s="382" t="s">
        <v>2359</v>
      </c>
      <c r="B312" s="383"/>
    </row>
    <row r="313" spans="1:67" x14ac:dyDescent="0.2">
      <c r="A313" s="384" t="s">
        <v>3175</v>
      </c>
      <c r="B313" s="384">
        <v>-25</v>
      </c>
      <c r="C313" s="384">
        <v>-24</v>
      </c>
      <c r="D313" s="384">
        <v>-23</v>
      </c>
      <c r="E313" s="384">
        <v>-22</v>
      </c>
      <c r="F313" s="384">
        <v>-21</v>
      </c>
      <c r="G313" s="384">
        <v>-20</v>
      </c>
      <c r="H313" s="384">
        <v>-19</v>
      </c>
      <c r="I313" s="384">
        <v>-18</v>
      </c>
      <c r="J313" s="384">
        <v>-17</v>
      </c>
      <c r="K313" s="384">
        <v>-16</v>
      </c>
      <c r="L313" s="384">
        <v>-15</v>
      </c>
      <c r="M313" s="384">
        <v>-14</v>
      </c>
      <c r="N313" s="384">
        <v>-13</v>
      </c>
      <c r="O313" s="384">
        <v>-12</v>
      </c>
      <c r="P313" s="384">
        <v>-11</v>
      </c>
      <c r="Q313" s="384">
        <v>-10</v>
      </c>
      <c r="R313" s="384">
        <v>-9</v>
      </c>
      <c r="S313" s="384">
        <v>-8</v>
      </c>
      <c r="T313" s="384">
        <v>-7</v>
      </c>
      <c r="U313" s="384">
        <v>-6</v>
      </c>
      <c r="V313" s="384">
        <v>-5</v>
      </c>
      <c r="W313" s="384">
        <v>-4</v>
      </c>
      <c r="X313" s="384">
        <v>-3</v>
      </c>
      <c r="Y313" s="384">
        <v>-2</v>
      </c>
      <c r="Z313" s="384">
        <v>-1</v>
      </c>
      <c r="AA313" s="384">
        <v>0</v>
      </c>
      <c r="AB313" s="384">
        <v>1</v>
      </c>
      <c r="AC313" s="384">
        <v>2</v>
      </c>
      <c r="AD313" s="384">
        <v>3</v>
      </c>
      <c r="AE313" s="384">
        <v>4</v>
      </c>
      <c r="AF313" s="384">
        <v>5</v>
      </c>
      <c r="AG313" s="384">
        <v>6</v>
      </c>
      <c r="AH313" s="384">
        <v>7</v>
      </c>
      <c r="AI313" s="384">
        <v>8</v>
      </c>
      <c r="AJ313" s="384">
        <v>9</v>
      </c>
      <c r="AK313" s="384">
        <v>10</v>
      </c>
      <c r="AL313" s="384">
        <v>11</v>
      </c>
      <c r="AM313" s="384">
        <v>12</v>
      </c>
      <c r="AN313" s="384">
        <v>13</v>
      </c>
      <c r="AO313" s="384">
        <v>14</v>
      </c>
      <c r="AP313" s="384">
        <v>15</v>
      </c>
      <c r="AQ313" s="384">
        <v>16</v>
      </c>
      <c r="AR313" s="384">
        <v>17</v>
      </c>
      <c r="AS313" s="384">
        <v>18</v>
      </c>
      <c r="AT313" s="384">
        <v>19</v>
      </c>
      <c r="AU313" s="384">
        <v>20</v>
      </c>
      <c r="AV313" s="384">
        <v>21</v>
      </c>
      <c r="AW313" s="384">
        <v>22</v>
      </c>
      <c r="AX313" s="384">
        <v>23</v>
      </c>
      <c r="AY313" s="384">
        <v>24</v>
      </c>
      <c r="AZ313" s="384">
        <v>25</v>
      </c>
      <c r="BA313" s="384">
        <v>26</v>
      </c>
      <c r="BB313" s="384">
        <v>27</v>
      </c>
      <c r="BC313" s="384">
        <v>28</v>
      </c>
      <c r="BD313" s="384">
        <v>29</v>
      </c>
      <c r="BE313" s="384">
        <v>30</v>
      </c>
      <c r="BF313" s="384">
        <v>31</v>
      </c>
      <c r="BG313" s="384">
        <v>32</v>
      </c>
      <c r="BH313" s="384">
        <v>33</v>
      </c>
      <c r="BI313" s="384">
        <v>34</v>
      </c>
      <c r="BJ313" s="384">
        <v>35</v>
      </c>
      <c r="BK313" s="384">
        <v>36</v>
      </c>
      <c r="BL313" s="384">
        <v>37</v>
      </c>
      <c r="BM313" s="384">
        <v>38</v>
      </c>
      <c r="BN313" s="384">
        <v>39</v>
      </c>
      <c r="BO313" s="384">
        <v>40</v>
      </c>
    </row>
    <row r="314" spans="1:67" x14ac:dyDescent="0.2">
      <c r="A314" s="385" t="s">
        <v>3176</v>
      </c>
      <c r="B314" s="385">
        <v>0</v>
      </c>
      <c r="C314" s="385">
        <v>0</v>
      </c>
      <c r="D314" s="385">
        <v>0</v>
      </c>
      <c r="E314" s="385">
        <v>0</v>
      </c>
      <c r="F314" s="385">
        <v>0</v>
      </c>
      <c r="G314" s="385">
        <v>0</v>
      </c>
      <c r="H314" s="385">
        <v>0</v>
      </c>
      <c r="I314" s="385">
        <v>0</v>
      </c>
      <c r="J314" s="385">
        <v>0</v>
      </c>
      <c r="K314" s="385">
        <v>0</v>
      </c>
      <c r="L314" s="385">
        <v>0</v>
      </c>
      <c r="M314" s="385">
        <v>0</v>
      </c>
      <c r="N314" s="385">
        <v>4</v>
      </c>
      <c r="O314" s="385">
        <v>4</v>
      </c>
      <c r="P314" s="385">
        <v>11</v>
      </c>
      <c r="Q314" s="385">
        <v>23</v>
      </c>
      <c r="R314" s="385">
        <v>30</v>
      </c>
      <c r="S314" s="385">
        <v>35</v>
      </c>
      <c r="T314" s="385">
        <v>59</v>
      </c>
      <c r="U314" s="385">
        <v>64</v>
      </c>
      <c r="V314" s="385">
        <v>64</v>
      </c>
      <c r="W314" s="385">
        <v>144</v>
      </c>
      <c r="X314" s="385">
        <v>129</v>
      </c>
      <c r="Y314" s="385">
        <v>155</v>
      </c>
      <c r="Z314" s="385">
        <v>199</v>
      </c>
      <c r="AA314" s="385">
        <v>197</v>
      </c>
      <c r="AB314" s="385">
        <v>342</v>
      </c>
      <c r="AC314" s="385">
        <v>352</v>
      </c>
      <c r="AD314" s="385">
        <v>373</v>
      </c>
      <c r="AE314" s="385">
        <v>408</v>
      </c>
      <c r="AF314" s="385">
        <v>359</v>
      </c>
      <c r="AG314" s="385">
        <v>349</v>
      </c>
      <c r="AH314" s="385">
        <v>373</v>
      </c>
      <c r="AI314" s="385">
        <v>386</v>
      </c>
      <c r="AJ314" s="385">
        <v>369</v>
      </c>
      <c r="AK314" s="385">
        <v>324</v>
      </c>
      <c r="AL314" s="385">
        <v>366</v>
      </c>
      <c r="AM314" s="385">
        <v>356</v>
      </c>
      <c r="AN314" s="385">
        <v>307</v>
      </c>
      <c r="AO314" s="385">
        <v>305</v>
      </c>
      <c r="AP314" s="385">
        <v>325</v>
      </c>
      <c r="AQ314" s="385">
        <v>335</v>
      </c>
      <c r="AR314" s="385">
        <v>306</v>
      </c>
      <c r="AS314" s="385">
        <v>290</v>
      </c>
      <c r="AT314" s="385">
        <v>253</v>
      </c>
      <c r="AU314" s="385">
        <v>223</v>
      </c>
      <c r="AV314" s="385">
        <v>187</v>
      </c>
      <c r="AW314" s="385">
        <v>155</v>
      </c>
      <c r="AX314" s="385">
        <v>119</v>
      </c>
      <c r="AY314" s="385">
        <v>119</v>
      </c>
      <c r="AZ314" s="385">
        <v>83</v>
      </c>
      <c r="BA314" s="385">
        <v>85</v>
      </c>
      <c r="BB314" s="385">
        <v>74</v>
      </c>
      <c r="BC314" s="385">
        <v>51</v>
      </c>
      <c r="BD314" s="385">
        <v>28</v>
      </c>
      <c r="BE314" s="385">
        <v>19</v>
      </c>
      <c r="BF314" s="385">
        <v>15</v>
      </c>
      <c r="BG314" s="385">
        <v>6</v>
      </c>
      <c r="BH314" s="385">
        <v>0</v>
      </c>
      <c r="BI314" s="385">
        <v>0</v>
      </c>
      <c r="BJ314" s="385">
        <v>0</v>
      </c>
      <c r="BK314" s="385">
        <v>0</v>
      </c>
      <c r="BL314" s="385">
        <v>0</v>
      </c>
      <c r="BM314" s="385">
        <v>0</v>
      </c>
      <c r="BN314" s="385">
        <v>0</v>
      </c>
      <c r="BO314" s="385">
        <v>0</v>
      </c>
    </row>
    <row r="315" spans="1:67" x14ac:dyDescent="0.2">
      <c r="A315" s="386" t="s">
        <v>893</v>
      </c>
      <c r="B315" s="386">
        <v>0</v>
      </c>
      <c r="C315" s="386">
        <v>0</v>
      </c>
      <c r="D315" s="386">
        <v>0</v>
      </c>
      <c r="E315" s="386">
        <v>0</v>
      </c>
      <c r="F315" s="386">
        <v>0</v>
      </c>
      <c r="G315" s="386">
        <v>0</v>
      </c>
      <c r="H315" s="386">
        <v>0</v>
      </c>
      <c r="I315" s="386">
        <v>0</v>
      </c>
      <c r="J315" s="386">
        <v>0</v>
      </c>
      <c r="K315" s="386">
        <v>0</v>
      </c>
      <c r="L315" s="386">
        <v>0</v>
      </c>
      <c r="M315" s="386">
        <v>0</v>
      </c>
      <c r="N315" s="386">
        <v>0</v>
      </c>
      <c r="O315" s="386">
        <v>0</v>
      </c>
      <c r="P315" s="386">
        <v>0</v>
      </c>
      <c r="Q315" s="386">
        <v>24</v>
      </c>
      <c r="R315" s="386">
        <v>0</v>
      </c>
      <c r="S315" s="386">
        <v>0</v>
      </c>
      <c r="T315" s="386">
        <v>48</v>
      </c>
      <c r="U315" s="386">
        <v>120</v>
      </c>
      <c r="V315" s="386">
        <v>96</v>
      </c>
      <c r="W315" s="386">
        <v>96</v>
      </c>
      <c r="X315" s="386">
        <v>216</v>
      </c>
      <c r="Y315" s="386">
        <v>120</v>
      </c>
      <c r="Z315" s="386">
        <v>192</v>
      </c>
      <c r="AA315" s="386">
        <v>144</v>
      </c>
      <c r="AB315" s="386">
        <v>192</v>
      </c>
      <c r="AC315" s="386">
        <v>432</v>
      </c>
      <c r="AD315" s="386">
        <v>456</v>
      </c>
      <c r="AE315" s="386">
        <v>336</v>
      </c>
      <c r="AF315" s="386">
        <v>360</v>
      </c>
      <c r="AG315" s="386">
        <v>408</v>
      </c>
      <c r="AH315" s="386">
        <v>528</v>
      </c>
      <c r="AI315" s="386">
        <v>312</v>
      </c>
      <c r="AJ315" s="386">
        <v>288</v>
      </c>
      <c r="AK315" s="386">
        <v>336</v>
      </c>
      <c r="AL315" s="386">
        <v>456</v>
      </c>
      <c r="AM315" s="386">
        <v>288</v>
      </c>
      <c r="AN315" s="386">
        <v>336</v>
      </c>
      <c r="AO315" s="386">
        <v>336</v>
      </c>
      <c r="AP315" s="386">
        <v>168</v>
      </c>
      <c r="AQ315" s="386">
        <v>432</v>
      </c>
      <c r="AR315" s="386">
        <v>360</v>
      </c>
      <c r="AS315" s="386">
        <v>288</v>
      </c>
      <c r="AT315" s="386">
        <v>408</v>
      </c>
      <c r="AU315" s="386">
        <v>168</v>
      </c>
      <c r="AV315" s="386">
        <v>288</v>
      </c>
      <c r="AW315" s="386">
        <v>168</v>
      </c>
      <c r="AX315" s="386">
        <v>120</v>
      </c>
      <c r="AY315" s="386">
        <v>48</v>
      </c>
      <c r="AZ315" s="386">
        <v>96</v>
      </c>
      <c r="BA315" s="386">
        <v>72</v>
      </c>
      <c r="BB315" s="386">
        <v>0</v>
      </c>
      <c r="BC315" s="386">
        <v>24</v>
      </c>
      <c r="BD315" s="386">
        <v>0</v>
      </c>
      <c r="BE315" s="386">
        <v>0</v>
      </c>
      <c r="BF315" s="386">
        <v>0</v>
      </c>
      <c r="BG315" s="386">
        <v>0</v>
      </c>
      <c r="BH315" s="386">
        <v>0</v>
      </c>
      <c r="BI315" s="386">
        <v>0</v>
      </c>
      <c r="BJ315" s="386">
        <v>0</v>
      </c>
      <c r="BK315" s="386">
        <v>0</v>
      </c>
      <c r="BL315" s="386">
        <v>0</v>
      </c>
      <c r="BM315" s="386">
        <v>0</v>
      </c>
      <c r="BN315" s="386">
        <v>0</v>
      </c>
      <c r="BO315" s="386">
        <v>0</v>
      </c>
    </row>
    <row r="316" spans="1:67" x14ac:dyDescent="0.2">
      <c r="A316" s="386" t="s">
        <v>894</v>
      </c>
      <c r="B316" s="387">
        <v>0</v>
      </c>
      <c r="C316" s="387">
        <v>0</v>
      </c>
      <c r="D316" s="387">
        <v>0</v>
      </c>
      <c r="E316" s="387">
        <v>0</v>
      </c>
      <c r="F316" s="387">
        <v>0</v>
      </c>
      <c r="G316" s="387">
        <v>0</v>
      </c>
      <c r="H316" s="387">
        <v>0</v>
      </c>
      <c r="I316" s="387">
        <v>0</v>
      </c>
      <c r="J316" s="387">
        <v>0</v>
      </c>
      <c r="K316" s="387">
        <v>0</v>
      </c>
      <c r="L316" s="387">
        <v>0</v>
      </c>
      <c r="M316" s="387">
        <v>0</v>
      </c>
      <c r="N316" s="387">
        <v>0</v>
      </c>
      <c r="O316" s="387">
        <v>0</v>
      </c>
      <c r="P316" s="387">
        <v>0</v>
      </c>
      <c r="Q316" s="387">
        <v>0.32800000000000001</v>
      </c>
      <c r="R316" s="387">
        <v>0.315</v>
      </c>
      <c r="S316" s="387">
        <v>0.47899999999999998</v>
      </c>
      <c r="T316" s="387">
        <v>2.7850000000000001</v>
      </c>
      <c r="U316" s="387">
        <v>2.8330000000000002</v>
      </c>
      <c r="V316" s="387">
        <v>3.4260000000000002</v>
      </c>
      <c r="W316" s="387">
        <v>4.2640000000000002</v>
      </c>
      <c r="X316" s="387">
        <v>5.0510000000000002</v>
      </c>
      <c r="Y316" s="387">
        <v>7.66</v>
      </c>
      <c r="Z316" s="387">
        <v>6.83</v>
      </c>
      <c r="AA316" s="387">
        <v>4.9089999999999998</v>
      </c>
      <c r="AB316" s="387">
        <v>5.8109999999999999</v>
      </c>
      <c r="AC316" s="387">
        <v>7.7969999999999997</v>
      </c>
      <c r="AD316" s="387">
        <v>9.7759999999999998</v>
      </c>
      <c r="AE316" s="387">
        <v>12.596</v>
      </c>
      <c r="AF316" s="387">
        <v>16.646999999999998</v>
      </c>
      <c r="AG316" s="387">
        <v>20.475000000000001</v>
      </c>
      <c r="AH316" s="387">
        <v>21.771999999999998</v>
      </c>
      <c r="AI316" s="387">
        <v>24.93</v>
      </c>
      <c r="AJ316" s="387">
        <v>28.812000000000001</v>
      </c>
      <c r="AK316" s="387">
        <v>25.946999999999999</v>
      </c>
      <c r="AL316" s="387">
        <v>34.454000000000001</v>
      </c>
      <c r="AM316" s="387">
        <v>26.527999999999999</v>
      </c>
      <c r="AN316" s="387">
        <v>33.442999999999998</v>
      </c>
      <c r="AO316" s="387">
        <v>30.797000000000001</v>
      </c>
      <c r="AP316" s="387">
        <v>39.691000000000003</v>
      </c>
      <c r="AQ316" s="387">
        <v>35.061</v>
      </c>
      <c r="AR316" s="387">
        <v>49.046999999999997</v>
      </c>
      <c r="AS316" s="387">
        <v>50.834000000000003</v>
      </c>
      <c r="AT316" s="387">
        <v>53.454000000000001</v>
      </c>
      <c r="AU316" s="387">
        <v>52.487000000000002</v>
      </c>
      <c r="AV316" s="387">
        <v>50.247999999999998</v>
      </c>
      <c r="AW316" s="387">
        <v>57.917999999999999</v>
      </c>
      <c r="AX316" s="387">
        <v>39.134</v>
      </c>
      <c r="AY316" s="387">
        <v>46.969000000000001</v>
      </c>
      <c r="AZ316" s="387">
        <v>37.465000000000003</v>
      </c>
      <c r="BA316" s="387">
        <v>42.597999999999999</v>
      </c>
      <c r="BB316" s="387">
        <v>36.143000000000001</v>
      </c>
      <c r="BC316" s="387">
        <v>24.635999999999999</v>
      </c>
      <c r="BD316" s="387">
        <v>13.1</v>
      </c>
      <c r="BE316" s="387">
        <v>9.51</v>
      </c>
      <c r="BF316" s="387">
        <v>8.843</v>
      </c>
      <c r="BG316" s="387">
        <v>3.988</v>
      </c>
      <c r="BH316" s="387">
        <v>0</v>
      </c>
      <c r="BI316" s="387">
        <v>0</v>
      </c>
      <c r="BJ316" s="387">
        <v>0</v>
      </c>
      <c r="BK316" s="387">
        <v>0</v>
      </c>
      <c r="BL316" s="387">
        <v>0</v>
      </c>
      <c r="BM316" s="387">
        <v>0</v>
      </c>
      <c r="BN316" s="387">
        <v>0</v>
      </c>
      <c r="BO316" s="387">
        <v>0</v>
      </c>
    </row>
    <row r="317" spans="1:67" x14ac:dyDescent="0.2">
      <c r="A317" s="386" t="s">
        <v>895</v>
      </c>
      <c r="B317" s="387">
        <v>0</v>
      </c>
      <c r="C317" s="387">
        <v>0</v>
      </c>
      <c r="D317" s="387">
        <v>0</v>
      </c>
      <c r="E317" s="387">
        <v>0</v>
      </c>
      <c r="F317" s="387">
        <v>0</v>
      </c>
      <c r="G317" s="387">
        <v>0</v>
      </c>
      <c r="H317" s="387">
        <v>0</v>
      </c>
      <c r="I317" s="387">
        <v>0</v>
      </c>
      <c r="J317" s="387">
        <v>0</v>
      </c>
      <c r="K317" s="387">
        <v>0</v>
      </c>
      <c r="L317" s="387">
        <v>0</v>
      </c>
      <c r="M317" s="387">
        <v>0</v>
      </c>
      <c r="N317" s="387">
        <v>0</v>
      </c>
      <c r="O317" s="387">
        <v>0</v>
      </c>
      <c r="P317" s="387">
        <v>0</v>
      </c>
      <c r="Q317" s="387">
        <v>0.57899999999999996</v>
      </c>
      <c r="R317" s="387">
        <v>0.45500000000000002</v>
      </c>
      <c r="S317" s="387">
        <v>0.77800000000000002</v>
      </c>
      <c r="T317" s="387">
        <v>3.1339999999999999</v>
      </c>
      <c r="U317" s="387">
        <v>2.9</v>
      </c>
      <c r="V317" s="387">
        <v>3.8889999999999998</v>
      </c>
      <c r="W317" s="387">
        <v>3.589</v>
      </c>
      <c r="X317" s="387">
        <v>4.391</v>
      </c>
      <c r="Y317" s="387">
        <v>5.1470000000000002</v>
      </c>
      <c r="Z317" s="387">
        <v>4.5149999999999997</v>
      </c>
      <c r="AA317" s="387">
        <v>2.0329999999999999</v>
      </c>
      <c r="AB317" s="387">
        <v>3.1930000000000001</v>
      </c>
      <c r="AC317" s="387">
        <v>3.1520000000000001</v>
      </c>
      <c r="AD317" s="387">
        <v>5.4470000000000001</v>
      </c>
      <c r="AE317" s="387">
        <v>4.5919999999999996</v>
      </c>
      <c r="AF317" s="387">
        <v>6.9089999999999998</v>
      </c>
      <c r="AG317" s="387">
        <v>8.0980000000000008</v>
      </c>
      <c r="AH317" s="387">
        <v>9.4480000000000004</v>
      </c>
      <c r="AI317" s="387">
        <v>8.3970000000000002</v>
      </c>
      <c r="AJ317" s="387">
        <v>14.356</v>
      </c>
      <c r="AK317" s="387">
        <v>11.598000000000001</v>
      </c>
      <c r="AL317" s="387">
        <v>15.154999999999999</v>
      </c>
      <c r="AM317" s="387">
        <v>9.4339999999999993</v>
      </c>
      <c r="AN317" s="387">
        <v>13.749000000000001</v>
      </c>
      <c r="AO317" s="387">
        <v>13.834</v>
      </c>
      <c r="AP317" s="387">
        <v>17.238</v>
      </c>
      <c r="AQ317" s="387">
        <v>15.199</v>
      </c>
      <c r="AR317" s="387">
        <v>19.367000000000001</v>
      </c>
      <c r="AS317" s="387">
        <v>19.791</v>
      </c>
      <c r="AT317" s="387">
        <v>18.100000000000001</v>
      </c>
      <c r="AU317" s="387">
        <v>22.334</v>
      </c>
      <c r="AV317" s="387">
        <v>14.593999999999999</v>
      </c>
      <c r="AW317" s="387">
        <v>18.425999999999998</v>
      </c>
      <c r="AX317" s="387">
        <v>14.869</v>
      </c>
      <c r="AY317" s="387">
        <v>14.624000000000001</v>
      </c>
      <c r="AZ317" s="387">
        <v>7.1779999999999999</v>
      </c>
      <c r="BA317" s="387">
        <v>9.3130000000000006</v>
      </c>
      <c r="BB317" s="387">
        <v>5.1849999999999996</v>
      </c>
      <c r="BC317" s="387">
        <v>3.0219999999999998</v>
      </c>
      <c r="BD317" s="387">
        <v>2.2370000000000001</v>
      </c>
      <c r="BE317" s="387">
        <v>1.262</v>
      </c>
      <c r="BF317" s="387">
        <v>0.97</v>
      </c>
      <c r="BG317" s="387">
        <v>0</v>
      </c>
      <c r="BH317" s="387">
        <v>0</v>
      </c>
      <c r="BI317" s="387">
        <v>0</v>
      </c>
      <c r="BJ317" s="387">
        <v>0</v>
      </c>
      <c r="BK317" s="387">
        <v>0</v>
      </c>
      <c r="BL317" s="387">
        <v>0</v>
      </c>
      <c r="BM317" s="387">
        <v>0</v>
      </c>
      <c r="BN317" s="387">
        <v>0</v>
      </c>
      <c r="BO317" s="387">
        <v>0</v>
      </c>
    </row>
    <row r="318" spans="1:67" x14ac:dyDescent="0.2">
      <c r="A318" s="386" t="s">
        <v>896</v>
      </c>
      <c r="B318" s="387">
        <v>0</v>
      </c>
      <c r="C318" s="387">
        <v>0</v>
      </c>
      <c r="D318" s="387">
        <v>0</v>
      </c>
      <c r="E318" s="387">
        <v>0</v>
      </c>
      <c r="F318" s="387">
        <v>0</v>
      </c>
      <c r="G318" s="387">
        <v>0</v>
      </c>
      <c r="H318" s="387">
        <v>0</v>
      </c>
      <c r="I318" s="387">
        <v>0</v>
      </c>
      <c r="J318" s="387">
        <v>0</v>
      </c>
      <c r="K318" s="387">
        <v>0</v>
      </c>
      <c r="L318" s="387">
        <v>0</v>
      </c>
      <c r="M318" s="387">
        <v>0</v>
      </c>
      <c r="N318" s="387">
        <v>0</v>
      </c>
      <c r="O318" s="387">
        <v>0</v>
      </c>
      <c r="P318" s="387">
        <v>0</v>
      </c>
      <c r="Q318" s="387">
        <v>0.59699999999999998</v>
      </c>
      <c r="R318" s="387">
        <v>0.85599999999999998</v>
      </c>
      <c r="S318" s="387">
        <v>1.1910000000000001</v>
      </c>
      <c r="T318" s="387">
        <v>7.6210000000000004</v>
      </c>
      <c r="U318" s="387">
        <v>7.5670000000000002</v>
      </c>
      <c r="V318" s="387">
        <v>7.8079999999999998</v>
      </c>
      <c r="W318" s="387">
        <v>10.324</v>
      </c>
      <c r="X318" s="387">
        <v>11.295999999999999</v>
      </c>
      <c r="Y318" s="387">
        <v>15.477</v>
      </c>
      <c r="Z318" s="387">
        <v>13.002000000000001</v>
      </c>
      <c r="AA318" s="387">
        <v>9.3650000000000002</v>
      </c>
      <c r="AB318" s="387">
        <v>9.2140000000000004</v>
      </c>
      <c r="AC318" s="387">
        <v>11.071</v>
      </c>
      <c r="AD318" s="387">
        <v>11.127000000000001</v>
      </c>
      <c r="AE318" s="387">
        <v>15.292999999999999</v>
      </c>
      <c r="AF318" s="387">
        <v>19.359000000000002</v>
      </c>
      <c r="AG318" s="387">
        <v>23.67</v>
      </c>
      <c r="AH318" s="387">
        <v>22.741</v>
      </c>
      <c r="AI318" s="387">
        <v>23.536999999999999</v>
      </c>
      <c r="AJ318" s="387">
        <v>27.856000000000002</v>
      </c>
      <c r="AK318" s="387">
        <v>25.594999999999999</v>
      </c>
      <c r="AL318" s="387">
        <v>30.041</v>
      </c>
      <c r="AM318" s="387">
        <v>24.742999999999999</v>
      </c>
      <c r="AN318" s="387">
        <v>25.654</v>
      </c>
      <c r="AO318" s="387">
        <v>22.356000000000002</v>
      </c>
      <c r="AP318" s="387">
        <v>30.515999999999998</v>
      </c>
      <c r="AQ318" s="387">
        <v>22.786000000000001</v>
      </c>
      <c r="AR318" s="387">
        <v>30.532</v>
      </c>
      <c r="AS318" s="387">
        <v>29.556000000000001</v>
      </c>
      <c r="AT318" s="387">
        <v>33.514000000000003</v>
      </c>
      <c r="AU318" s="387">
        <v>28.631</v>
      </c>
      <c r="AV318" s="387">
        <v>26.949000000000002</v>
      </c>
      <c r="AW318" s="387">
        <v>33.250999999999998</v>
      </c>
      <c r="AX318" s="387">
        <v>21.364999999999998</v>
      </c>
      <c r="AY318" s="387">
        <v>25.221</v>
      </c>
      <c r="AZ318" s="387">
        <v>19.725999999999999</v>
      </c>
      <c r="BA318" s="387">
        <v>22.686</v>
      </c>
      <c r="BB318" s="387">
        <v>18.646000000000001</v>
      </c>
      <c r="BC318" s="387">
        <v>12.791</v>
      </c>
      <c r="BD318" s="387">
        <v>6.9390000000000001</v>
      </c>
      <c r="BE318" s="387">
        <v>4.8689999999999998</v>
      </c>
      <c r="BF318" s="387">
        <v>4.5190000000000001</v>
      </c>
      <c r="BG318" s="387">
        <v>2.54</v>
      </c>
      <c r="BH318" s="387">
        <v>0</v>
      </c>
      <c r="BI318" s="387">
        <v>0</v>
      </c>
      <c r="BJ318" s="387">
        <v>0</v>
      </c>
      <c r="BK318" s="387">
        <v>0</v>
      </c>
      <c r="BL318" s="387">
        <v>0</v>
      </c>
      <c r="BM318" s="387">
        <v>0</v>
      </c>
      <c r="BN318" s="387">
        <v>0</v>
      </c>
      <c r="BO318" s="387">
        <v>0</v>
      </c>
    </row>
    <row r="319" spans="1:67" x14ac:dyDescent="0.2">
      <c r="A319" s="386" t="s">
        <v>897</v>
      </c>
      <c r="B319" s="387">
        <v>0</v>
      </c>
      <c r="C319" s="387">
        <v>0</v>
      </c>
      <c r="D319" s="387">
        <v>0</v>
      </c>
      <c r="E319" s="387">
        <v>0</v>
      </c>
      <c r="F319" s="387">
        <v>0</v>
      </c>
      <c r="G319" s="387">
        <v>0</v>
      </c>
      <c r="H319" s="387">
        <v>0</v>
      </c>
      <c r="I319" s="387">
        <v>0</v>
      </c>
      <c r="J319" s="387">
        <v>0</v>
      </c>
      <c r="K319" s="387">
        <v>0</v>
      </c>
      <c r="L319" s="387">
        <v>0</v>
      </c>
      <c r="M319" s="387">
        <v>0</v>
      </c>
      <c r="N319" s="387">
        <v>0</v>
      </c>
      <c r="O319" s="387">
        <v>0</v>
      </c>
      <c r="P319" s="387">
        <v>0</v>
      </c>
      <c r="Q319" s="387">
        <v>0</v>
      </c>
      <c r="R319" s="387">
        <v>0.193</v>
      </c>
      <c r="S319" s="387">
        <v>0</v>
      </c>
      <c r="T319" s="387">
        <v>2.5779999999999998</v>
      </c>
      <c r="U319" s="387">
        <v>2.544</v>
      </c>
      <c r="V319" s="387">
        <v>2.0369999999999999</v>
      </c>
      <c r="W319" s="387">
        <v>3.4990000000000001</v>
      </c>
      <c r="X319" s="387">
        <v>3.7570000000000001</v>
      </c>
      <c r="Y319" s="387">
        <v>6.774</v>
      </c>
      <c r="Z319" s="387">
        <v>4.7590000000000003</v>
      </c>
      <c r="AA319" s="387">
        <v>2.7429999999999999</v>
      </c>
      <c r="AB319" s="387">
        <v>3.9449999999999998</v>
      </c>
      <c r="AC319" s="387">
        <v>4.8929999999999998</v>
      </c>
      <c r="AD319" s="387">
        <v>2.2170000000000001</v>
      </c>
      <c r="AE319" s="387">
        <v>4.0570000000000004</v>
      </c>
      <c r="AF319" s="387">
        <v>6.758</v>
      </c>
      <c r="AG319" s="387">
        <v>8.1289999999999996</v>
      </c>
      <c r="AH319" s="387">
        <v>7.9660000000000002</v>
      </c>
      <c r="AI319" s="387">
        <v>8.9359999999999999</v>
      </c>
      <c r="AJ319" s="387">
        <v>8.7140000000000004</v>
      </c>
      <c r="AK319" s="387">
        <v>5.8680000000000003</v>
      </c>
      <c r="AL319" s="387">
        <v>9.4640000000000004</v>
      </c>
      <c r="AM319" s="387">
        <v>8.66</v>
      </c>
      <c r="AN319" s="387">
        <v>12.907</v>
      </c>
      <c r="AO319" s="387">
        <v>8.6739999999999995</v>
      </c>
      <c r="AP319" s="387">
        <v>11.411</v>
      </c>
      <c r="AQ319" s="387">
        <v>7.8140000000000001</v>
      </c>
      <c r="AR319" s="387">
        <v>17.492999999999999</v>
      </c>
      <c r="AS319" s="387">
        <v>13.864000000000001</v>
      </c>
      <c r="AT319" s="387">
        <v>19.863</v>
      </c>
      <c r="AU319" s="387">
        <v>18.965</v>
      </c>
      <c r="AV319" s="387">
        <v>20.997</v>
      </c>
      <c r="AW319" s="387">
        <v>26.035</v>
      </c>
      <c r="AX319" s="387">
        <v>15.693</v>
      </c>
      <c r="AY319" s="387">
        <v>20.45</v>
      </c>
      <c r="AZ319" s="387">
        <v>19.088999999999999</v>
      </c>
      <c r="BA319" s="387">
        <v>23.193000000000001</v>
      </c>
      <c r="BB319" s="387">
        <v>20.533999999999999</v>
      </c>
      <c r="BC319" s="387">
        <v>14.148</v>
      </c>
      <c r="BD319" s="387">
        <v>7.37</v>
      </c>
      <c r="BE319" s="387">
        <v>6.4219999999999997</v>
      </c>
      <c r="BF319" s="387">
        <v>5.194</v>
      </c>
      <c r="BG319" s="387">
        <v>2.8540000000000001</v>
      </c>
      <c r="BH319" s="387">
        <v>0</v>
      </c>
      <c r="BI319" s="387">
        <v>0</v>
      </c>
      <c r="BJ319" s="387">
        <v>0</v>
      </c>
      <c r="BK319" s="387">
        <v>0</v>
      </c>
      <c r="BL319" s="387">
        <v>0</v>
      </c>
      <c r="BM319" s="387">
        <v>0</v>
      </c>
      <c r="BN319" s="387">
        <v>0</v>
      </c>
      <c r="BO319" s="387">
        <v>0</v>
      </c>
    </row>
    <row r="320" spans="1:67" x14ac:dyDescent="0.2">
      <c r="A320" s="388" t="s">
        <v>898</v>
      </c>
      <c r="B320" s="389">
        <v>0</v>
      </c>
      <c r="C320" s="389">
        <v>0</v>
      </c>
      <c r="D320" s="389">
        <v>0</v>
      </c>
      <c r="E320" s="389">
        <v>0</v>
      </c>
      <c r="F320" s="389">
        <v>0</v>
      </c>
      <c r="G320" s="389">
        <v>0</v>
      </c>
      <c r="H320" s="389">
        <v>0</v>
      </c>
      <c r="I320" s="389">
        <v>0</v>
      </c>
      <c r="J320" s="389">
        <v>0</v>
      </c>
      <c r="K320" s="389">
        <v>0</v>
      </c>
      <c r="L320" s="389">
        <v>0</v>
      </c>
      <c r="M320" s="389">
        <v>0</v>
      </c>
      <c r="N320" s="389">
        <v>0</v>
      </c>
      <c r="O320" s="389">
        <v>0</v>
      </c>
      <c r="P320" s="389">
        <v>0</v>
      </c>
      <c r="Q320" s="389">
        <v>0</v>
      </c>
      <c r="R320" s="389">
        <v>0.193</v>
      </c>
      <c r="S320" s="389">
        <v>0</v>
      </c>
      <c r="T320" s="389">
        <v>1.585</v>
      </c>
      <c r="U320" s="389">
        <v>1.4079999999999999</v>
      </c>
      <c r="V320" s="389">
        <v>1.7090000000000001</v>
      </c>
      <c r="W320" s="389">
        <v>1.732</v>
      </c>
      <c r="X320" s="389">
        <v>1.8959999999999999</v>
      </c>
      <c r="Y320" s="389">
        <v>3.133</v>
      </c>
      <c r="Z320" s="389">
        <v>2.1539999999999999</v>
      </c>
      <c r="AA320" s="389">
        <v>0.60699999999999998</v>
      </c>
      <c r="AB320" s="389">
        <v>0.97599999999999998</v>
      </c>
      <c r="AC320" s="389">
        <v>1.2210000000000001</v>
      </c>
      <c r="AD320" s="389">
        <v>0.69</v>
      </c>
      <c r="AE320" s="389">
        <v>1.258</v>
      </c>
      <c r="AF320" s="389">
        <v>1.02</v>
      </c>
      <c r="AG320" s="389">
        <v>0.67500000000000004</v>
      </c>
      <c r="AH320" s="389">
        <v>0.83399999999999996</v>
      </c>
      <c r="AI320" s="389">
        <v>0</v>
      </c>
      <c r="AJ320" s="389">
        <v>0.871</v>
      </c>
      <c r="AK320" s="389">
        <v>0.39200000000000002</v>
      </c>
      <c r="AL320" s="389">
        <v>0.151</v>
      </c>
      <c r="AM320" s="389">
        <v>0.47099999999999997</v>
      </c>
      <c r="AN320" s="389">
        <v>0.30399999999999999</v>
      </c>
      <c r="AO320" s="389">
        <v>0.16500000000000001</v>
      </c>
      <c r="AP320" s="389">
        <v>0.8</v>
      </c>
      <c r="AQ320" s="389">
        <v>0.48599999999999999</v>
      </c>
      <c r="AR320" s="389">
        <v>1.0660000000000001</v>
      </c>
      <c r="AS320" s="389">
        <v>0.79</v>
      </c>
      <c r="AT320" s="389">
        <v>1.109</v>
      </c>
      <c r="AU320" s="389">
        <v>1.0680000000000001</v>
      </c>
      <c r="AV320" s="389">
        <v>2.1269999999999998</v>
      </c>
      <c r="AW320" s="389">
        <v>1.778</v>
      </c>
      <c r="AX320" s="389">
        <v>1.9330000000000001</v>
      </c>
      <c r="AY320" s="389">
        <v>1.083</v>
      </c>
      <c r="AZ320" s="389">
        <v>1.6040000000000001</v>
      </c>
      <c r="BA320" s="389">
        <v>1.448</v>
      </c>
      <c r="BB320" s="389">
        <v>1.256</v>
      </c>
      <c r="BC320" s="389">
        <v>0.78900000000000003</v>
      </c>
      <c r="BD320" s="389">
        <v>0.16300000000000001</v>
      </c>
      <c r="BE320" s="389">
        <v>0.153</v>
      </c>
      <c r="BF320" s="389">
        <v>0.496</v>
      </c>
      <c r="BG320" s="389">
        <v>0</v>
      </c>
      <c r="BH320" s="389">
        <v>0</v>
      </c>
      <c r="BI320" s="389">
        <v>0</v>
      </c>
      <c r="BJ320" s="389">
        <v>0</v>
      </c>
      <c r="BK320" s="389">
        <v>0</v>
      </c>
      <c r="BL320" s="389">
        <v>0</v>
      </c>
      <c r="BM320" s="389">
        <v>0</v>
      </c>
      <c r="BN320" s="389">
        <v>0</v>
      </c>
      <c r="BO320" s="389">
        <v>0</v>
      </c>
    </row>
    <row r="322" spans="1:67" x14ac:dyDescent="0.2">
      <c r="A322" s="380" t="s">
        <v>3173</v>
      </c>
      <c r="B322" s="381" t="s">
        <v>200</v>
      </c>
    </row>
    <row r="323" spans="1:67" x14ac:dyDescent="0.2">
      <c r="A323" s="382" t="s">
        <v>2360</v>
      </c>
      <c r="B323" s="383"/>
    </row>
    <row r="324" spans="1:67" x14ac:dyDescent="0.2">
      <c r="A324" s="384" t="s">
        <v>3175</v>
      </c>
      <c r="B324" s="384">
        <v>-25</v>
      </c>
      <c r="C324" s="384">
        <v>-24</v>
      </c>
      <c r="D324" s="384">
        <v>-23</v>
      </c>
      <c r="E324" s="384">
        <v>-22</v>
      </c>
      <c r="F324" s="384">
        <v>-21</v>
      </c>
      <c r="G324" s="384">
        <v>-20</v>
      </c>
      <c r="H324" s="384">
        <v>-19</v>
      </c>
      <c r="I324" s="384">
        <v>-18</v>
      </c>
      <c r="J324" s="384">
        <v>-17</v>
      </c>
      <c r="K324" s="384">
        <v>-16</v>
      </c>
      <c r="L324" s="384">
        <v>-15</v>
      </c>
      <c r="M324" s="384">
        <v>-14</v>
      </c>
      <c r="N324" s="384">
        <v>-13</v>
      </c>
      <c r="O324" s="384">
        <v>-12</v>
      </c>
      <c r="P324" s="384">
        <v>-11</v>
      </c>
      <c r="Q324" s="384">
        <v>-10</v>
      </c>
      <c r="R324" s="384">
        <v>-9</v>
      </c>
      <c r="S324" s="384">
        <v>-8</v>
      </c>
      <c r="T324" s="384">
        <v>-7</v>
      </c>
      <c r="U324" s="384">
        <v>-6</v>
      </c>
      <c r="V324" s="384">
        <v>-5</v>
      </c>
      <c r="W324" s="384">
        <v>-4</v>
      </c>
      <c r="X324" s="384">
        <v>-3</v>
      </c>
      <c r="Y324" s="384">
        <v>-2</v>
      </c>
      <c r="Z324" s="384">
        <v>-1</v>
      </c>
      <c r="AA324" s="384">
        <v>0</v>
      </c>
      <c r="AB324" s="384">
        <v>1</v>
      </c>
      <c r="AC324" s="384">
        <v>2</v>
      </c>
      <c r="AD324" s="384">
        <v>3</v>
      </c>
      <c r="AE324" s="384">
        <v>4</v>
      </c>
      <c r="AF324" s="384">
        <v>5</v>
      </c>
      <c r="AG324" s="384">
        <v>6</v>
      </c>
      <c r="AH324" s="384">
        <v>7</v>
      </c>
      <c r="AI324" s="384">
        <v>8</v>
      </c>
      <c r="AJ324" s="384">
        <v>9</v>
      </c>
      <c r="AK324" s="384">
        <v>10</v>
      </c>
      <c r="AL324" s="384">
        <v>11</v>
      </c>
      <c r="AM324" s="384">
        <v>12</v>
      </c>
      <c r="AN324" s="384">
        <v>13</v>
      </c>
      <c r="AO324" s="384">
        <v>14</v>
      </c>
      <c r="AP324" s="384">
        <v>15</v>
      </c>
      <c r="AQ324" s="384">
        <v>16</v>
      </c>
      <c r="AR324" s="384">
        <v>17</v>
      </c>
      <c r="AS324" s="384">
        <v>18</v>
      </c>
      <c r="AT324" s="384">
        <v>19</v>
      </c>
      <c r="AU324" s="384">
        <v>20</v>
      </c>
      <c r="AV324" s="384">
        <v>21</v>
      </c>
      <c r="AW324" s="384">
        <v>22</v>
      </c>
      <c r="AX324" s="384">
        <v>23</v>
      </c>
      <c r="AY324" s="384">
        <v>24</v>
      </c>
      <c r="AZ324" s="384">
        <v>25</v>
      </c>
      <c r="BA324" s="384">
        <v>26</v>
      </c>
      <c r="BB324" s="384">
        <v>27</v>
      </c>
      <c r="BC324" s="384">
        <v>28</v>
      </c>
      <c r="BD324" s="384">
        <v>29</v>
      </c>
      <c r="BE324" s="384">
        <v>30</v>
      </c>
      <c r="BF324" s="384">
        <v>31</v>
      </c>
      <c r="BG324" s="384">
        <v>32</v>
      </c>
      <c r="BH324" s="384">
        <v>33</v>
      </c>
      <c r="BI324" s="384">
        <v>34</v>
      </c>
      <c r="BJ324" s="384">
        <v>35</v>
      </c>
      <c r="BK324" s="384">
        <v>36</v>
      </c>
      <c r="BL324" s="384">
        <v>37</v>
      </c>
      <c r="BM324" s="384">
        <v>38</v>
      </c>
      <c r="BN324" s="384">
        <v>39</v>
      </c>
      <c r="BO324" s="384">
        <v>40</v>
      </c>
    </row>
    <row r="325" spans="1:67" x14ac:dyDescent="0.2">
      <c r="A325" s="385" t="s">
        <v>3176</v>
      </c>
      <c r="B325" s="385">
        <v>0</v>
      </c>
      <c r="C325" s="385">
        <v>0</v>
      </c>
      <c r="D325" s="385">
        <v>0</v>
      </c>
      <c r="E325" s="385">
        <v>0</v>
      </c>
      <c r="F325" s="385">
        <v>0</v>
      </c>
      <c r="G325" s="385">
        <v>0</v>
      </c>
      <c r="H325" s="385">
        <v>0</v>
      </c>
      <c r="I325" s="385">
        <v>0</v>
      </c>
      <c r="J325" s="385">
        <v>0</v>
      </c>
      <c r="K325" s="385">
        <v>0</v>
      </c>
      <c r="L325" s="385">
        <v>0</v>
      </c>
      <c r="M325" s="385">
        <v>4</v>
      </c>
      <c r="N325" s="385">
        <v>9</v>
      </c>
      <c r="O325" s="385">
        <v>11</v>
      </c>
      <c r="P325" s="385">
        <v>11</v>
      </c>
      <c r="Q325" s="385">
        <v>15</v>
      </c>
      <c r="R325" s="385">
        <v>23</v>
      </c>
      <c r="S325" s="385">
        <v>26</v>
      </c>
      <c r="T325" s="385">
        <v>29</v>
      </c>
      <c r="U325" s="385">
        <v>34</v>
      </c>
      <c r="V325" s="385">
        <v>56</v>
      </c>
      <c r="W325" s="385">
        <v>83</v>
      </c>
      <c r="X325" s="385">
        <v>129</v>
      </c>
      <c r="Y325" s="385">
        <v>230</v>
      </c>
      <c r="Z325" s="385">
        <v>234</v>
      </c>
      <c r="AA325" s="385">
        <v>315</v>
      </c>
      <c r="AB325" s="385">
        <v>357</v>
      </c>
      <c r="AC325" s="385">
        <v>414</v>
      </c>
      <c r="AD325" s="385">
        <v>431</v>
      </c>
      <c r="AE325" s="385">
        <v>494</v>
      </c>
      <c r="AF325" s="385">
        <v>399</v>
      </c>
      <c r="AG325" s="385">
        <v>315</v>
      </c>
      <c r="AH325" s="385">
        <v>317</v>
      </c>
      <c r="AI325" s="385">
        <v>256</v>
      </c>
      <c r="AJ325" s="385">
        <v>327</v>
      </c>
      <c r="AK325" s="385">
        <v>369</v>
      </c>
      <c r="AL325" s="385">
        <v>371</v>
      </c>
      <c r="AM325" s="385">
        <v>367</v>
      </c>
      <c r="AN325" s="385">
        <v>361</v>
      </c>
      <c r="AO325" s="385">
        <v>374</v>
      </c>
      <c r="AP325" s="385">
        <v>328</v>
      </c>
      <c r="AQ325" s="385">
        <v>322</v>
      </c>
      <c r="AR325" s="385">
        <v>331</v>
      </c>
      <c r="AS325" s="385">
        <v>256</v>
      </c>
      <c r="AT325" s="385">
        <v>209</v>
      </c>
      <c r="AU325" s="385">
        <v>187</v>
      </c>
      <c r="AV325" s="385">
        <v>144</v>
      </c>
      <c r="AW325" s="385">
        <v>111</v>
      </c>
      <c r="AX325" s="385">
        <v>121</v>
      </c>
      <c r="AY325" s="385">
        <v>111</v>
      </c>
      <c r="AZ325" s="385">
        <v>104</v>
      </c>
      <c r="BA325" s="385">
        <v>65</v>
      </c>
      <c r="BB325" s="385">
        <v>34</v>
      </c>
      <c r="BC325" s="385">
        <v>23</v>
      </c>
      <c r="BD325" s="385">
        <v>21</v>
      </c>
      <c r="BE325" s="385">
        <v>13</v>
      </c>
      <c r="BF325" s="385">
        <v>11</v>
      </c>
      <c r="BG325" s="385">
        <v>5</v>
      </c>
      <c r="BH325" s="385">
        <v>1</v>
      </c>
      <c r="BI325" s="385">
        <v>2</v>
      </c>
      <c r="BJ325" s="385">
        <v>0</v>
      </c>
      <c r="BK325" s="385">
        <v>0</v>
      </c>
      <c r="BL325" s="385">
        <v>0</v>
      </c>
      <c r="BM325" s="385">
        <v>0</v>
      </c>
      <c r="BN325" s="385">
        <v>0</v>
      </c>
      <c r="BO325" s="385">
        <v>0</v>
      </c>
    </row>
    <row r="326" spans="1:67" x14ac:dyDescent="0.2">
      <c r="A326" s="386" t="s">
        <v>893</v>
      </c>
      <c r="B326" s="386">
        <v>0</v>
      </c>
      <c r="C326" s="386">
        <v>0</v>
      </c>
      <c r="D326" s="386">
        <v>0</v>
      </c>
      <c r="E326" s="386">
        <v>0</v>
      </c>
      <c r="F326" s="386">
        <v>0</v>
      </c>
      <c r="G326" s="386">
        <v>0</v>
      </c>
      <c r="H326" s="386">
        <v>0</v>
      </c>
      <c r="I326" s="386">
        <v>0</v>
      </c>
      <c r="J326" s="386">
        <v>0</v>
      </c>
      <c r="K326" s="386">
        <v>0</v>
      </c>
      <c r="L326" s="386">
        <v>0</v>
      </c>
      <c r="M326" s="386">
        <v>0</v>
      </c>
      <c r="N326" s="386">
        <v>0</v>
      </c>
      <c r="O326" s="386">
        <v>0</v>
      </c>
      <c r="P326" s="386">
        <v>0</v>
      </c>
      <c r="Q326" s="386">
        <v>24</v>
      </c>
      <c r="R326" s="386">
        <v>48</v>
      </c>
      <c r="S326" s="386">
        <v>24</v>
      </c>
      <c r="T326" s="386">
        <v>0</v>
      </c>
      <c r="U326" s="386">
        <v>72</v>
      </c>
      <c r="V326" s="386">
        <v>48</v>
      </c>
      <c r="W326" s="386">
        <v>24</v>
      </c>
      <c r="X326" s="386">
        <v>96</v>
      </c>
      <c r="Y326" s="386">
        <v>144</v>
      </c>
      <c r="Z326" s="386">
        <v>264</v>
      </c>
      <c r="AA326" s="386">
        <v>288</v>
      </c>
      <c r="AB326" s="386">
        <v>360</v>
      </c>
      <c r="AC326" s="386">
        <v>552</v>
      </c>
      <c r="AD326" s="386">
        <v>408</v>
      </c>
      <c r="AE326" s="386">
        <v>528</v>
      </c>
      <c r="AF326" s="386">
        <v>336</v>
      </c>
      <c r="AG326" s="386">
        <v>336</v>
      </c>
      <c r="AH326" s="386">
        <v>312</v>
      </c>
      <c r="AI326" s="386">
        <v>240</v>
      </c>
      <c r="AJ326" s="386">
        <v>264</v>
      </c>
      <c r="AK326" s="386">
        <v>480</v>
      </c>
      <c r="AL326" s="386">
        <v>264</v>
      </c>
      <c r="AM326" s="386">
        <v>528</v>
      </c>
      <c r="AN326" s="386">
        <v>240</v>
      </c>
      <c r="AO326" s="386">
        <v>384</v>
      </c>
      <c r="AP326" s="386">
        <v>264</v>
      </c>
      <c r="AQ326" s="386">
        <v>456</v>
      </c>
      <c r="AR326" s="386">
        <v>312</v>
      </c>
      <c r="AS326" s="386">
        <v>360</v>
      </c>
      <c r="AT326" s="386">
        <v>432</v>
      </c>
      <c r="AU326" s="386">
        <v>312</v>
      </c>
      <c r="AV326" s="386">
        <v>168</v>
      </c>
      <c r="AW326" s="386">
        <v>144</v>
      </c>
      <c r="AX326" s="386">
        <v>24</v>
      </c>
      <c r="AY326" s="386">
        <v>0</v>
      </c>
      <c r="AZ326" s="386">
        <v>24</v>
      </c>
      <c r="BA326" s="386">
        <v>0</v>
      </c>
      <c r="BB326" s="386">
        <v>0</v>
      </c>
      <c r="BC326" s="386">
        <v>0</v>
      </c>
      <c r="BD326" s="386">
        <v>0</v>
      </c>
      <c r="BE326" s="386">
        <v>0</v>
      </c>
      <c r="BF326" s="386">
        <v>0</v>
      </c>
      <c r="BG326" s="386">
        <v>0</v>
      </c>
      <c r="BH326" s="386">
        <v>0</v>
      </c>
      <c r="BI326" s="386">
        <v>0</v>
      </c>
      <c r="BJ326" s="386">
        <v>0</v>
      </c>
      <c r="BK326" s="386">
        <v>0</v>
      </c>
      <c r="BL326" s="386">
        <v>0</v>
      </c>
      <c r="BM326" s="386">
        <v>0</v>
      </c>
      <c r="BN326" s="386">
        <v>0</v>
      </c>
      <c r="BO326" s="386">
        <v>0</v>
      </c>
    </row>
    <row r="327" spans="1:67" x14ac:dyDescent="0.2">
      <c r="A327" s="386" t="s">
        <v>894</v>
      </c>
      <c r="B327" s="387">
        <v>0</v>
      </c>
      <c r="C327" s="387">
        <v>0</v>
      </c>
      <c r="D327" s="387">
        <v>0</v>
      </c>
      <c r="E327" s="387">
        <v>0</v>
      </c>
      <c r="F327" s="387">
        <v>0</v>
      </c>
      <c r="G327" s="387">
        <v>0</v>
      </c>
      <c r="H327" s="387">
        <v>0</v>
      </c>
      <c r="I327" s="387">
        <v>0</v>
      </c>
      <c r="J327" s="387">
        <v>0</v>
      </c>
      <c r="K327" s="387">
        <v>0</v>
      </c>
      <c r="L327" s="387">
        <v>0</v>
      </c>
      <c r="M327" s="387">
        <v>0</v>
      </c>
      <c r="N327" s="387">
        <v>0</v>
      </c>
      <c r="O327" s="387">
        <v>0.16200000000000001</v>
      </c>
      <c r="P327" s="387">
        <v>0.249</v>
      </c>
      <c r="Q327" s="387">
        <v>0.48499999999999999</v>
      </c>
      <c r="R327" s="387">
        <v>0</v>
      </c>
      <c r="S327" s="387">
        <v>1.5940000000000001</v>
      </c>
      <c r="T327" s="387">
        <v>1.109</v>
      </c>
      <c r="U327" s="387">
        <v>0.871</v>
      </c>
      <c r="V327" s="387">
        <v>2.6640000000000001</v>
      </c>
      <c r="W327" s="387">
        <v>2.2869999999999999</v>
      </c>
      <c r="X327" s="387">
        <v>4.6529999999999996</v>
      </c>
      <c r="Y327" s="387">
        <v>3.2109999999999999</v>
      </c>
      <c r="Z327" s="387">
        <v>5.0490000000000004</v>
      </c>
      <c r="AA327" s="387">
        <v>3.806</v>
      </c>
      <c r="AB327" s="387">
        <v>7.0919999999999996</v>
      </c>
      <c r="AC327" s="387">
        <v>8.4019999999999992</v>
      </c>
      <c r="AD327" s="387">
        <v>9.782</v>
      </c>
      <c r="AE327" s="387">
        <v>12.814</v>
      </c>
      <c r="AF327" s="387">
        <v>14.853999999999999</v>
      </c>
      <c r="AG327" s="387">
        <v>14.702999999999999</v>
      </c>
      <c r="AH327" s="387">
        <v>23.536000000000001</v>
      </c>
      <c r="AI327" s="387">
        <v>21.884</v>
      </c>
      <c r="AJ327" s="387">
        <v>21.704000000000001</v>
      </c>
      <c r="AK327" s="387">
        <v>32.027000000000001</v>
      </c>
      <c r="AL327" s="387">
        <v>25.361000000000001</v>
      </c>
      <c r="AM327" s="387">
        <v>31.751999999999999</v>
      </c>
      <c r="AN327" s="387">
        <v>41.34</v>
      </c>
      <c r="AO327" s="387">
        <v>36.923000000000002</v>
      </c>
      <c r="AP327" s="387">
        <v>46.149000000000001</v>
      </c>
      <c r="AQ327" s="387">
        <v>42.292000000000002</v>
      </c>
      <c r="AR327" s="387">
        <v>45.396999999999998</v>
      </c>
      <c r="AS327" s="387">
        <v>54.097000000000001</v>
      </c>
      <c r="AT327" s="387">
        <v>50.508000000000003</v>
      </c>
      <c r="AU327" s="387">
        <v>58.207999999999998</v>
      </c>
      <c r="AV327" s="387">
        <v>57.137999999999998</v>
      </c>
      <c r="AW327" s="387">
        <v>46.107999999999997</v>
      </c>
      <c r="AX327" s="387">
        <v>50.817999999999998</v>
      </c>
      <c r="AY327" s="387">
        <v>55.387</v>
      </c>
      <c r="AZ327" s="387">
        <v>50.119</v>
      </c>
      <c r="BA327" s="387">
        <v>34.561999999999998</v>
      </c>
      <c r="BB327" s="387">
        <v>20.702000000000002</v>
      </c>
      <c r="BC327" s="387">
        <v>11.067</v>
      </c>
      <c r="BD327" s="387">
        <v>12.513</v>
      </c>
      <c r="BE327" s="387">
        <v>7.9669999999999996</v>
      </c>
      <c r="BF327" s="387">
        <v>6.1920000000000002</v>
      </c>
      <c r="BG327" s="387">
        <v>2.8210000000000002</v>
      </c>
      <c r="BH327" s="387">
        <v>0.746</v>
      </c>
      <c r="BI327" s="387">
        <v>1.0669999999999999</v>
      </c>
      <c r="BJ327" s="387">
        <v>0</v>
      </c>
      <c r="BK327" s="387">
        <v>0</v>
      </c>
      <c r="BL327" s="387">
        <v>0</v>
      </c>
      <c r="BM327" s="387">
        <v>0</v>
      </c>
      <c r="BN327" s="387">
        <v>0</v>
      </c>
      <c r="BO327" s="387">
        <v>0</v>
      </c>
    </row>
    <row r="328" spans="1:67" x14ac:dyDescent="0.2">
      <c r="A328" s="386" t="s">
        <v>895</v>
      </c>
      <c r="B328" s="387">
        <v>0</v>
      </c>
      <c r="C328" s="387">
        <v>0</v>
      </c>
      <c r="D328" s="387">
        <v>0</v>
      </c>
      <c r="E328" s="387">
        <v>0</v>
      </c>
      <c r="F328" s="387">
        <v>0</v>
      </c>
      <c r="G328" s="387">
        <v>0</v>
      </c>
      <c r="H328" s="387">
        <v>0</v>
      </c>
      <c r="I328" s="387">
        <v>0</v>
      </c>
      <c r="J328" s="387">
        <v>0</v>
      </c>
      <c r="K328" s="387">
        <v>0</v>
      </c>
      <c r="L328" s="387">
        <v>0</v>
      </c>
      <c r="M328" s="387">
        <v>0</v>
      </c>
      <c r="N328" s="387">
        <v>0</v>
      </c>
      <c r="O328" s="387">
        <v>0.32300000000000001</v>
      </c>
      <c r="P328" s="387">
        <v>0.315</v>
      </c>
      <c r="Q328" s="387">
        <v>0.59899999999999998</v>
      </c>
      <c r="R328" s="387">
        <v>0</v>
      </c>
      <c r="S328" s="387">
        <v>1.855</v>
      </c>
      <c r="T328" s="387">
        <v>0.56599999999999995</v>
      </c>
      <c r="U328" s="387">
        <v>1.56</v>
      </c>
      <c r="V328" s="387">
        <v>2.7930000000000001</v>
      </c>
      <c r="W328" s="387">
        <v>2.645</v>
      </c>
      <c r="X328" s="387">
        <v>4.0469999999999997</v>
      </c>
      <c r="Y328" s="387">
        <v>1.6539999999999999</v>
      </c>
      <c r="Z328" s="387">
        <v>4.0090000000000003</v>
      </c>
      <c r="AA328" s="387">
        <v>2.681</v>
      </c>
      <c r="AB328" s="387">
        <v>6.6950000000000003</v>
      </c>
      <c r="AC328" s="387">
        <v>2.2080000000000002</v>
      </c>
      <c r="AD328" s="387">
        <v>6.4619999999999997</v>
      </c>
      <c r="AE328" s="387">
        <v>9.1120000000000001</v>
      </c>
      <c r="AF328" s="387">
        <v>7.7640000000000002</v>
      </c>
      <c r="AG328" s="387">
        <v>8.1150000000000002</v>
      </c>
      <c r="AH328" s="387">
        <v>13.712999999999999</v>
      </c>
      <c r="AI328" s="387">
        <v>11.242000000000001</v>
      </c>
      <c r="AJ328" s="387">
        <v>10.787000000000001</v>
      </c>
      <c r="AK328" s="387">
        <v>20.701000000000001</v>
      </c>
      <c r="AL328" s="387">
        <v>13.356999999999999</v>
      </c>
      <c r="AM328" s="387">
        <v>17.245000000000001</v>
      </c>
      <c r="AN328" s="387">
        <v>26.024000000000001</v>
      </c>
      <c r="AO328" s="387">
        <v>19.385000000000002</v>
      </c>
      <c r="AP328" s="387">
        <v>25.96</v>
      </c>
      <c r="AQ328" s="387">
        <v>21.513000000000002</v>
      </c>
      <c r="AR328" s="387">
        <v>23.349</v>
      </c>
      <c r="AS328" s="387">
        <v>23.684000000000001</v>
      </c>
      <c r="AT328" s="387">
        <v>24.847000000000001</v>
      </c>
      <c r="AU328" s="387">
        <v>23.542000000000002</v>
      </c>
      <c r="AV328" s="387">
        <v>23.4</v>
      </c>
      <c r="AW328" s="387">
        <v>17.826000000000001</v>
      </c>
      <c r="AX328" s="387">
        <v>15.566000000000001</v>
      </c>
      <c r="AY328" s="387">
        <v>12.584</v>
      </c>
      <c r="AZ328" s="387">
        <v>7.9219999999999997</v>
      </c>
      <c r="BA328" s="387">
        <v>4.8920000000000003</v>
      </c>
      <c r="BB328" s="387">
        <v>2.9540000000000002</v>
      </c>
      <c r="BC328" s="387">
        <v>1.5149999999999999</v>
      </c>
      <c r="BD328" s="387">
        <v>1.321</v>
      </c>
      <c r="BE328" s="387">
        <v>0.89100000000000001</v>
      </c>
      <c r="BF328" s="387">
        <v>0.25900000000000001</v>
      </c>
      <c r="BG328" s="387">
        <v>0.17100000000000001</v>
      </c>
      <c r="BH328" s="387">
        <v>0.152</v>
      </c>
      <c r="BI328" s="387">
        <v>0</v>
      </c>
      <c r="BJ328" s="387">
        <v>0</v>
      </c>
      <c r="BK328" s="387">
        <v>0</v>
      </c>
      <c r="BL328" s="387">
        <v>0</v>
      </c>
      <c r="BM328" s="387">
        <v>0</v>
      </c>
      <c r="BN328" s="387">
        <v>0</v>
      </c>
      <c r="BO328" s="387">
        <v>0</v>
      </c>
    </row>
    <row r="329" spans="1:67" x14ac:dyDescent="0.2">
      <c r="A329" s="386" t="s">
        <v>896</v>
      </c>
      <c r="B329" s="387">
        <v>0</v>
      </c>
      <c r="C329" s="387">
        <v>0</v>
      </c>
      <c r="D329" s="387">
        <v>0</v>
      </c>
      <c r="E329" s="387">
        <v>0</v>
      </c>
      <c r="F329" s="387">
        <v>0</v>
      </c>
      <c r="G329" s="387">
        <v>0</v>
      </c>
      <c r="H329" s="387">
        <v>0</v>
      </c>
      <c r="I329" s="387">
        <v>0</v>
      </c>
      <c r="J329" s="387">
        <v>0</v>
      </c>
      <c r="K329" s="387">
        <v>0</v>
      </c>
      <c r="L329" s="387">
        <v>0</v>
      </c>
      <c r="M329" s="387">
        <v>0</v>
      </c>
      <c r="N329" s="387">
        <v>0</v>
      </c>
      <c r="O329" s="387">
        <v>0.46400000000000002</v>
      </c>
      <c r="P329" s="387">
        <v>0.71099999999999997</v>
      </c>
      <c r="Q329" s="387">
        <v>1.1100000000000001</v>
      </c>
      <c r="R329" s="387">
        <v>0</v>
      </c>
      <c r="S329" s="387">
        <v>3.6240000000000001</v>
      </c>
      <c r="T329" s="387">
        <v>3.2280000000000002</v>
      </c>
      <c r="U329" s="387">
        <v>2.1789999999999998</v>
      </c>
      <c r="V329" s="387">
        <v>5.8970000000000002</v>
      </c>
      <c r="W329" s="387">
        <v>4.8470000000000004</v>
      </c>
      <c r="X329" s="387">
        <v>9.0419999999999998</v>
      </c>
      <c r="Y329" s="387">
        <v>5.1829999999999998</v>
      </c>
      <c r="Z329" s="387">
        <v>7.8369999999999997</v>
      </c>
      <c r="AA329" s="387">
        <v>6.3440000000000003</v>
      </c>
      <c r="AB329" s="387">
        <v>10.093</v>
      </c>
      <c r="AC329" s="387">
        <v>14.53</v>
      </c>
      <c r="AD329" s="387">
        <v>12.635</v>
      </c>
      <c r="AE329" s="387">
        <v>15.667999999999999</v>
      </c>
      <c r="AF329" s="387">
        <v>18.021999999999998</v>
      </c>
      <c r="AG329" s="387">
        <v>14.725</v>
      </c>
      <c r="AH329" s="387">
        <v>21.114999999999998</v>
      </c>
      <c r="AI329" s="387">
        <v>18.943999999999999</v>
      </c>
      <c r="AJ329" s="387">
        <v>19.699000000000002</v>
      </c>
      <c r="AK329" s="387">
        <v>28.716000000000001</v>
      </c>
      <c r="AL329" s="387">
        <v>20.367000000000001</v>
      </c>
      <c r="AM329" s="387">
        <v>26.138000000000002</v>
      </c>
      <c r="AN329" s="387">
        <v>29.096</v>
      </c>
      <c r="AO329" s="387">
        <v>25.422000000000001</v>
      </c>
      <c r="AP329" s="387">
        <v>30.135000000000002</v>
      </c>
      <c r="AQ329" s="387">
        <v>26.620999999999999</v>
      </c>
      <c r="AR329" s="387">
        <v>25.321999999999999</v>
      </c>
      <c r="AS329" s="387">
        <v>29.440999999999999</v>
      </c>
      <c r="AT329" s="387">
        <v>26.780999999999999</v>
      </c>
      <c r="AU329" s="387">
        <v>30.146999999999998</v>
      </c>
      <c r="AV329" s="387">
        <v>33.268000000000001</v>
      </c>
      <c r="AW329" s="387">
        <v>27.228999999999999</v>
      </c>
      <c r="AX329" s="387">
        <v>29.094999999999999</v>
      </c>
      <c r="AY329" s="387">
        <v>31.286999999999999</v>
      </c>
      <c r="AZ329" s="387">
        <v>27.939</v>
      </c>
      <c r="BA329" s="387">
        <v>17.936</v>
      </c>
      <c r="BB329" s="387">
        <v>11.407999999999999</v>
      </c>
      <c r="BC329" s="387">
        <v>5.5839999999999996</v>
      </c>
      <c r="BD329" s="387">
        <v>7.06</v>
      </c>
      <c r="BE329" s="387">
        <v>4.0010000000000003</v>
      </c>
      <c r="BF329" s="387">
        <v>2.649</v>
      </c>
      <c r="BG329" s="387">
        <v>1.407</v>
      </c>
      <c r="BH329" s="387">
        <v>0.434</v>
      </c>
      <c r="BI329" s="387">
        <v>0.53400000000000003</v>
      </c>
      <c r="BJ329" s="387">
        <v>0</v>
      </c>
      <c r="BK329" s="387">
        <v>0</v>
      </c>
      <c r="BL329" s="387">
        <v>0</v>
      </c>
      <c r="BM329" s="387">
        <v>0</v>
      </c>
      <c r="BN329" s="387">
        <v>0</v>
      </c>
      <c r="BO329" s="387">
        <v>0</v>
      </c>
    </row>
    <row r="330" spans="1:67" x14ac:dyDescent="0.2">
      <c r="A330" s="386" t="s">
        <v>897</v>
      </c>
      <c r="B330" s="387">
        <v>0</v>
      </c>
      <c r="C330" s="387">
        <v>0</v>
      </c>
      <c r="D330" s="387">
        <v>0</v>
      </c>
      <c r="E330" s="387">
        <v>0</v>
      </c>
      <c r="F330" s="387">
        <v>0</v>
      </c>
      <c r="G330" s="387">
        <v>0</v>
      </c>
      <c r="H330" s="387">
        <v>0</v>
      </c>
      <c r="I330" s="387">
        <v>0</v>
      </c>
      <c r="J330" s="387">
        <v>0</v>
      </c>
      <c r="K330" s="387">
        <v>0</v>
      </c>
      <c r="L330" s="387">
        <v>0</v>
      </c>
      <c r="M330" s="387">
        <v>0</v>
      </c>
      <c r="N330" s="387">
        <v>0</v>
      </c>
      <c r="O330" s="387">
        <v>0</v>
      </c>
      <c r="P330" s="387">
        <v>0</v>
      </c>
      <c r="Q330" s="387">
        <v>0</v>
      </c>
      <c r="R330" s="387">
        <v>0</v>
      </c>
      <c r="S330" s="387">
        <v>1.093</v>
      </c>
      <c r="T330" s="387">
        <v>2.2389999999999999</v>
      </c>
      <c r="U330" s="387">
        <v>0.48199999999999998</v>
      </c>
      <c r="V330" s="387">
        <v>1.92</v>
      </c>
      <c r="W330" s="387">
        <v>1.25</v>
      </c>
      <c r="X330" s="387">
        <v>2.5590000000000002</v>
      </c>
      <c r="Y330" s="387">
        <v>3.1429999999999998</v>
      </c>
      <c r="Z330" s="387">
        <v>1.7070000000000001</v>
      </c>
      <c r="AA330" s="387">
        <v>1.266</v>
      </c>
      <c r="AB330" s="387">
        <v>1.38</v>
      </c>
      <c r="AC330" s="387">
        <v>5.8780000000000001</v>
      </c>
      <c r="AD330" s="387">
        <v>4.1790000000000003</v>
      </c>
      <c r="AE330" s="387">
        <v>4.4560000000000004</v>
      </c>
      <c r="AF330" s="387">
        <v>6.423</v>
      </c>
      <c r="AG330" s="387">
        <v>4.6820000000000004</v>
      </c>
      <c r="AH330" s="387">
        <v>6.8150000000000004</v>
      </c>
      <c r="AI330" s="387">
        <v>8.9239999999999995</v>
      </c>
      <c r="AJ330" s="387">
        <v>8.0399999999999991</v>
      </c>
      <c r="AK330" s="387">
        <v>13.705</v>
      </c>
      <c r="AL330" s="387">
        <v>12.436999999999999</v>
      </c>
      <c r="AM330" s="387">
        <v>11.087999999999999</v>
      </c>
      <c r="AN330" s="387">
        <v>13.993</v>
      </c>
      <c r="AO330" s="387">
        <v>14.124000000000001</v>
      </c>
      <c r="AP330" s="387">
        <v>18.067</v>
      </c>
      <c r="AQ330" s="387">
        <v>16.512</v>
      </c>
      <c r="AR330" s="387">
        <v>18.231999999999999</v>
      </c>
      <c r="AS330" s="387">
        <v>20.917000000000002</v>
      </c>
      <c r="AT330" s="387">
        <v>21.817</v>
      </c>
      <c r="AU330" s="387">
        <v>22.111999999999998</v>
      </c>
      <c r="AV330" s="387">
        <v>27.853999999999999</v>
      </c>
      <c r="AW330" s="387">
        <v>19.332999999999998</v>
      </c>
      <c r="AX330" s="387">
        <v>27.963999999999999</v>
      </c>
      <c r="AY330" s="387">
        <v>31.523</v>
      </c>
      <c r="AZ330" s="387">
        <v>36.902000000000001</v>
      </c>
      <c r="BA330" s="387">
        <v>23.175000000000001</v>
      </c>
      <c r="BB330" s="387">
        <v>13.217000000000001</v>
      </c>
      <c r="BC330" s="387">
        <v>8.7409999999999997</v>
      </c>
      <c r="BD330" s="387">
        <v>9.1929999999999996</v>
      </c>
      <c r="BE330" s="387">
        <v>6.19</v>
      </c>
      <c r="BF330" s="387">
        <v>5.7320000000000002</v>
      </c>
      <c r="BG330" s="387">
        <v>2.8340000000000001</v>
      </c>
      <c r="BH330" s="387">
        <v>0.42399999999999999</v>
      </c>
      <c r="BI330" s="387">
        <v>0.96499999999999997</v>
      </c>
      <c r="BJ330" s="387">
        <v>0</v>
      </c>
      <c r="BK330" s="387">
        <v>0</v>
      </c>
      <c r="BL330" s="387">
        <v>0</v>
      </c>
      <c r="BM330" s="387">
        <v>0</v>
      </c>
      <c r="BN330" s="387">
        <v>0</v>
      </c>
      <c r="BO330" s="387">
        <v>0</v>
      </c>
    </row>
    <row r="331" spans="1:67" x14ac:dyDescent="0.2">
      <c r="A331" s="388" t="s">
        <v>898</v>
      </c>
      <c r="B331" s="389">
        <v>0</v>
      </c>
      <c r="C331" s="389">
        <v>0</v>
      </c>
      <c r="D331" s="389">
        <v>0</v>
      </c>
      <c r="E331" s="389">
        <v>0</v>
      </c>
      <c r="F331" s="389">
        <v>0</v>
      </c>
      <c r="G331" s="389">
        <v>0</v>
      </c>
      <c r="H331" s="389">
        <v>0</v>
      </c>
      <c r="I331" s="389">
        <v>0</v>
      </c>
      <c r="J331" s="389">
        <v>0</v>
      </c>
      <c r="K331" s="389">
        <v>0</v>
      </c>
      <c r="L331" s="389">
        <v>0</v>
      </c>
      <c r="M331" s="389">
        <v>0</v>
      </c>
      <c r="N331" s="389">
        <v>0</v>
      </c>
      <c r="O331" s="389">
        <v>0</v>
      </c>
      <c r="P331" s="389">
        <v>0</v>
      </c>
      <c r="Q331" s="389">
        <v>0</v>
      </c>
      <c r="R331" s="389">
        <v>0</v>
      </c>
      <c r="S331" s="389">
        <v>0.50600000000000001</v>
      </c>
      <c r="T331" s="389">
        <v>0.54600000000000004</v>
      </c>
      <c r="U331" s="389">
        <v>0</v>
      </c>
      <c r="V331" s="389">
        <v>0.75600000000000001</v>
      </c>
      <c r="W331" s="389">
        <v>0.37</v>
      </c>
      <c r="X331" s="389">
        <v>0.93600000000000005</v>
      </c>
      <c r="Y331" s="389">
        <v>0.17299999999999999</v>
      </c>
      <c r="Z331" s="389">
        <v>0</v>
      </c>
      <c r="AA331" s="389">
        <v>0.16</v>
      </c>
      <c r="AB331" s="389">
        <v>0.17199999999999999</v>
      </c>
      <c r="AC331" s="389">
        <v>0</v>
      </c>
      <c r="AD331" s="389">
        <v>0.19400000000000001</v>
      </c>
      <c r="AE331" s="389">
        <v>0</v>
      </c>
      <c r="AF331" s="389">
        <v>0.49099999999999999</v>
      </c>
      <c r="AG331" s="389">
        <v>0.315</v>
      </c>
      <c r="AH331" s="389">
        <v>0.45700000000000002</v>
      </c>
      <c r="AI331" s="389">
        <v>0.64700000000000002</v>
      </c>
      <c r="AJ331" s="389">
        <v>0.49199999999999999</v>
      </c>
      <c r="AK331" s="389">
        <v>1.425</v>
      </c>
      <c r="AL331" s="389">
        <v>0.89800000000000002</v>
      </c>
      <c r="AM331" s="389">
        <v>1.38</v>
      </c>
      <c r="AN331" s="389">
        <v>2.2650000000000001</v>
      </c>
      <c r="AO331" s="389">
        <v>2.532</v>
      </c>
      <c r="AP331" s="389">
        <v>2.8149999999999999</v>
      </c>
      <c r="AQ331" s="389">
        <v>3.76</v>
      </c>
      <c r="AR331" s="389">
        <v>2.415</v>
      </c>
      <c r="AS331" s="389">
        <v>3.9350000000000001</v>
      </c>
      <c r="AT331" s="389">
        <v>4.4169999999999998</v>
      </c>
      <c r="AU331" s="389">
        <v>4.5410000000000004</v>
      </c>
      <c r="AV331" s="389">
        <v>4.0350000000000001</v>
      </c>
      <c r="AW331" s="389">
        <v>4.5810000000000004</v>
      </c>
      <c r="AX331" s="389">
        <v>4.5910000000000002</v>
      </c>
      <c r="AY331" s="389">
        <v>4.7089999999999996</v>
      </c>
      <c r="AZ331" s="389">
        <v>4.8689999999999998</v>
      </c>
      <c r="BA331" s="389">
        <v>2</v>
      </c>
      <c r="BB331" s="389">
        <v>1.754</v>
      </c>
      <c r="BC331" s="389">
        <v>1.173</v>
      </c>
      <c r="BD331" s="389">
        <v>0.79500000000000004</v>
      </c>
      <c r="BE331" s="389">
        <v>0.97099999999999997</v>
      </c>
      <c r="BF331" s="389">
        <v>0.49099999999999999</v>
      </c>
      <c r="BG331" s="389">
        <v>0.161</v>
      </c>
      <c r="BH331" s="389">
        <v>0.153</v>
      </c>
      <c r="BI331" s="389">
        <v>0</v>
      </c>
      <c r="BJ331" s="389">
        <v>0</v>
      </c>
      <c r="BK331" s="389">
        <v>0</v>
      </c>
      <c r="BL331" s="389">
        <v>0</v>
      </c>
      <c r="BM331" s="389">
        <v>0</v>
      </c>
      <c r="BN331" s="389">
        <v>0</v>
      </c>
      <c r="BO331" s="389">
        <v>0</v>
      </c>
    </row>
    <row r="333" spans="1:67" x14ac:dyDescent="0.2">
      <c r="A333" s="380" t="s">
        <v>3173</v>
      </c>
      <c r="B333" s="381" t="s">
        <v>201</v>
      </c>
    </row>
    <row r="334" spans="1:67" x14ac:dyDescent="0.2">
      <c r="A334" s="382" t="s">
        <v>3892</v>
      </c>
      <c r="B334" s="383"/>
    </row>
    <row r="335" spans="1:67" x14ac:dyDescent="0.2">
      <c r="A335" s="384" t="s">
        <v>3175</v>
      </c>
      <c r="B335" s="384">
        <v>-25</v>
      </c>
      <c r="C335" s="384">
        <v>-24</v>
      </c>
      <c r="D335" s="384">
        <v>-23</v>
      </c>
      <c r="E335" s="384">
        <v>-22</v>
      </c>
      <c r="F335" s="384">
        <v>-21</v>
      </c>
      <c r="G335" s="384">
        <v>-20</v>
      </c>
      <c r="H335" s="384">
        <v>-19</v>
      </c>
      <c r="I335" s="384">
        <v>-18</v>
      </c>
      <c r="J335" s="384">
        <v>-17</v>
      </c>
      <c r="K335" s="384">
        <v>-16</v>
      </c>
      <c r="L335" s="384">
        <v>-15</v>
      </c>
      <c r="M335" s="384">
        <v>-14</v>
      </c>
      <c r="N335" s="384">
        <v>-13</v>
      </c>
      <c r="O335" s="384">
        <v>-12</v>
      </c>
      <c r="P335" s="384">
        <v>-11</v>
      </c>
      <c r="Q335" s="384">
        <v>-10</v>
      </c>
      <c r="R335" s="384">
        <v>-9</v>
      </c>
      <c r="S335" s="384">
        <v>-8</v>
      </c>
      <c r="T335" s="384">
        <v>-7</v>
      </c>
      <c r="U335" s="384">
        <v>-6</v>
      </c>
      <c r="V335" s="384">
        <v>-5</v>
      </c>
      <c r="W335" s="384">
        <v>-4</v>
      </c>
      <c r="X335" s="384">
        <v>-3</v>
      </c>
      <c r="Y335" s="384">
        <v>-2</v>
      </c>
      <c r="Z335" s="384">
        <v>-1</v>
      </c>
      <c r="AA335" s="384">
        <v>0</v>
      </c>
      <c r="AB335" s="384">
        <v>1</v>
      </c>
      <c r="AC335" s="384">
        <v>2</v>
      </c>
      <c r="AD335" s="384">
        <v>3</v>
      </c>
      <c r="AE335" s="384">
        <v>4</v>
      </c>
      <c r="AF335" s="384">
        <v>5</v>
      </c>
      <c r="AG335" s="384">
        <v>6</v>
      </c>
      <c r="AH335" s="384">
        <v>7</v>
      </c>
      <c r="AI335" s="384">
        <v>8</v>
      </c>
      <c r="AJ335" s="384">
        <v>9</v>
      </c>
      <c r="AK335" s="384">
        <v>10</v>
      </c>
      <c r="AL335" s="384">
        <v>11</v>
      </c>
      <c r="AM335" s="384">
        <v>12</v>
      </c>
      <c r="AN335" s="384">
        <v>13</v>
      </c>
      <c r="AO335" s="384">
        <v>14</v>
      </c>
      <c r="AP335" s="384">
        <v>15</v>
      </c>
      <c r="AQ335" s="384">
        <v>16</v>
      </c>
      <c r="AR335" s="384">
        <v>17</v>
      </c>
      <c r="AS335" s="384">
        <v>18</v>
      </c>
      <c r="AT335" s="384">
        <v>19</v>
      </c>
      <c r="AU335" s="384">
        <v>20</v>
      </c>
      <c r="AV335" s="384">
        <v>21</v>
      </c>
      <c r="AW335" s="384">
        <v>22</v>
      </c>
      <c r="AX335" s="384">
        <v>23</v>
      </c>
      <c r="AY335" s="384">
        <v>24</v>
      </c>
      <c r="AZ335" s="384">
        <v>25</v>
      </c>
      <c r="BA335" s="384">
        <v>26</v>
      </c>
      <c r="BB335" s="384">
        <v>27</v>
      </c>
      <c r="BC335" s="384">
        <v>28</v>
      </c>
      <c r="BD335" s="384">
        <v>29</v>
      </c>
      <c r="BE335" s="384">
        <v>30</v>
      </c>
      <c r="BF335" s="384">
        <v>31</v>
      </c>
      <c r="BG335" s="384">
        <v>32</v>
      </c>
      <c r="BH335" s="384">
        <v>33</v>
      </c>
      <c r="BI335" s="384">
        <v>34</v>
      </c>
      <c r="BJ335" s="384">
        <v>35</v>
      </c>
      <c r="BK335" s="384">
        <v>36</v>
      </c>
      <c r="BL335" s="384">
        <v>37</v>
      </c>
      <c r="BM335" s="384">
        <v>38</v>
      </c>
      <c r="BN335" s="384">
        <v>39</v>
      </c>
      <c r="BO335" s="384">
        <v>40</v>
      </c>
    </row>
    <row r="336" spans="1:67" x14ac:dyDescent="0.2">
      <c r="A336" s="385" t="s">
        <v>3176</v>
      </c>
      <c r="B336" s="385">
        <v>0</v>
      </c>
      <c r="C336" s="385">
        <v>0</v>
      </c>
      <c r="D336" s="385">
        <v>0</v>
      </c>
      <c r="E336" s="385">
        <v>0</v>
      </c>
      <c r="F336" s="385">
        <v>0</v>
      </c>
      <c r="G336" s="385">
        <v>0</v>
      </c>
      <c r="H336" s="385">
        <v>0</v>
      </c>
      <c r="I336" s="385">
        <v>1</v>
      </c>
      <c r="J336" s="385">
        <v>10</v>
      </c>
      <c r="K336" s="385">
        <v>9</v>
      </c>
      <c r="L336" s="385">
        <v>26</v>
      </c>
      <c r="M336" s="385">
        <v>24</v>
      </c>
      <c r="N336" s="385">
        <v>36</v>
      </c>
      <c r="O336" s="385">
        <v>64</v>
      </c>
      <c r="P336" s="385">
        <v>51</v>
      </c>
      <c r="Q336" s="385">
        <v>82</v>
      </c>
      <c r="R336" s="385">
        <v>92</v>
      </c>
      <c r="S336" s="385">
        <v>106</v>
      </c>
      <c r="T336" s="385">
        <v>129</v>
      </c>
      <c r="U336" s="385">
        <v>210</v>
      </c>
      <c r="V336" s="385">
        <v>268</v>
      </c>
      <c r="W336" s="385">
        <v>304</v>
      </c>
      <c r="X336" s="385">
        <v>368</v>
      </c>
      <c r="Y336" s="385">
        <v>392</v>
      </c>
      <c r="Z336" s="385">
        <v>520</v>
      </c>
      <c r="AA336" s="385">
        <v>399</v>
      </c>
      <c r="AB336" s="385">
        <v>416</v>
      </c>
      <c r="AC336" s="385">
        <v>388</v>
      </c>
      <c r="AD336" s="385">
        <v>361</v>
      </c>
      <c r="AE336" s="385">
        <v>358</v>
      </c>
      <c r="AF336" s="385">
        <v>345</v>
      </c>
      <c r="AG336" s="385">
        <v>331</v>
      </c>
      <c r="AH336" s="385">
        <v>346</v>
      </c>
      <c r="AI336" s="385">
        <v>353</v>
      </c>
      <c r="AJ336" s="385">
        <v>396</v>
      </c>
      <c r="AK336" s="385">
        <v>337</v>
      </c>
      <c r="AL336" s="385">
        <v>308</v>
      </c>
      <c r="AM336" s="385">
        <v>281</v>
      </c>
      <c r="AN336" s="385">
        <v>248</v>
      </c>
      <c r="AO336" s="385">
        <v>212</v>
      </c>
      <c r="AP336" s="385">
        <v>194</v>
      </c>
      <c r="AQ336" s="385">
        <v>159</v>
      </c>
      <c r="AR336" s="385">
        <v>151</v>
      </c>
      <c r="AS336" s="385">
        <v>117</v>
      </c>
      <c r="AT336" s="385">
        <v>92</v>
      </c>
      <c r="AU336" s="385">
        <v>104</v>
      </c>
      <c r="AV336" s="385">
        <v>60</v>
      </c>
      <c r="AW336" s="385">
        <v>54</v>
      </c>
      <c r="AX336" s="385">
        <v>23</v>
      </c>
      <c r="AY336" s="385">
        <v>23</v>
      </c>
      <c r="AZ336" s="385">
        <v>8</v>
      </c>
      <c r="BA336" s="385">
        <v>1</v>
      </c>
      <c r="BB336" s="385">
        <v>2</v>
      </c>
      <c r="BC336" s="385">
        <v>1</v>
      </c>
      <c r="BD336" s="385">
        <v>0</v>
      </c>
      <c r="BE336" s="385">
        <v>0</v>
      </c>
      <c r="BF336" s="385">
        <v>0</v>
      </c>
      <c r="BG336" s="385">
        <v>0</v>
      </c>
      <c r="BH336" s="385">
        <v>0</v>
      </c>
      <c r="BI336" s="385">
        <v>0</v>
      </c>
      <c r="BJ336" s="385">
        <v>0</v>
      </c>
      <c r="BK336" s="385">
        <v>0</v>
      </c>
      <c r="BL336" s="385">
        <v>0</v>
      </c>
      <c r="BM336" s="385">
        <v>0</v>
      </c>
      <c r="BN336" s="385">
        <v>0</v>
      </c>
      <c r="BO336" s="385">
        <v>0</v>
      </c>
    </row>
    <row r="337" spans="1:67" x14ac:dyDescent="0.2">
      <c r="A337" s="386" t="s">
        <v>893</v>
      </c>
      <c r="B337" s="386">
        <v>0</v>
      </c>
      <c r="C337" s="386">
        <v>0</v>
      </c>
      <c r="D337" s="386">
        <v>0</v>
      </c>
      <c r="E337" s="386">
        <v>0</v>
      </c>
      <c r="F337" s="386">
        <v>0</v>
      </c>
      <c r="G337" s="386">
        <v>0</v>
      </c>
      <c r="H337" s="386">
        <v>0</v>
      </c>
      <c r="I337" s="386">
        <v>0</v>
      </c>
      <c r="J337" s="386">
        <v>0</v>
      </c>
      <c r="K337" s="386">
        <v>0</v>
      </c>
      <c r="L337" s="386">
        <v>0</v>
      </c>
      <c r="M337" s="386">
        <v>24</v>
      </c>
      <c r="N337" s="386">
        <v>48</v>
      </c>
      <c r="O337" s="386">
        <v>0</v>
      </c>
      <c r="P337" s="386">
        <v>120</v>
      </c>
      <c r="Q337" s="386">
        <v>96</v>
      </c>
      <c r="R337" s="386">
        <v>96</v>
      </c>
      <c r="S337" s="386">
        <v>96</v>
      </c>
      <c r="T337" s="386">
        <v>48</v>
      </c>
      <c r="U337" s="386">
        <v>120</v>
      </c>
      <c r="V337" s="386">
        <v>360</v>
      </c>
      <c r="W337" s="386">
        <v>168</v>
      </c>
      <c r="X337" s="386">
        <v>360</v>
      </c>
      <c r="Y337" s="386">
        <v>528</v>
      </c>
      <c r="Z337" s="386">
        <v>312</v>
      </c>
      <c r="AA337" s="386">
        <v>576</v>
      </c>
      <c r="AB337" s="386">
        <v>504</v>
      </c>
      <c r="AC337" s="386">
        <v>432</v>
      </c>
      <c r="AD337" s="386">
        <v>360</v>
      </c>
      <c r="AE337" s="386">
        <v>384</v>
      </c>
      <c r="AF337" s="386">
        <v>264</v>
      </c>
      <c r="AG337" s="386">
        <v>312</v>
      </c>
      <c r="AH337" s="386">
        <v>384</v>
      </c>
      <c r="AI337" s="386">
        <v>192</v>
      </c>
      <c r="AJ337" s="386">
        <v>312</v>
      </c>
      <c r="AK337" s="386">
        <v>432</v>
      </c>
      <c r="AL337" s="386">
        <v>552</v>
      </c>
      <c r="AM337" s="386">
        <v>456</v>
      </c>
      <c r="AN337" s="386">
        <v>240</v>
      </c>
      <c r="AO337" s="386">
        <v>264</v>
      </c>
      <c r="AP337" s="386">
        <v>312</v>
      </c>
      <c r="AQ337" s="386">
        <v>144</v>
      </c>
      <c r="AR337" s="386">
        <v>168</v>
      </c>
      <c r="AS337" s="386">
        <v>48</v>
      </c>
      <c r="AT337" s="386">
        <v>24</v>
      </c>
      <c r="AU337" s="386">
        <v>24</v>
      </c>
      <c r="AV337" s="386">
        <v>0</v>
      </c>
      <c r="AW337" s="386">
        <v>0</v>
      </c>
      <c r="AX337" s="386">
        <v>0</v>
      </c>
      <c r="AY337" s="386">
        <v>0</v>
      </c>
      <c r="AZ337" s="386">
        <v>0</v>
      </c>
      <c r="BA337" s="386">
        <v>0</v>
      </c>
      <c r="BB337" s="386">
        <v>0</v>
      </c>
      <c r="BC337" s="386">
        <v>0</v>
      </c>
      <c r="BD337" s="386">
        <v>0</v>
      </c>
      <c r="BE337" s="386">
        <v>0</v>
      </c>
      <c r="BF337" s="386">
        <v>0</v>
      </c>
      <c r="BG337" s="386">
        <v>0</v>
      </c>
      <c r="BH337" s="386">
        <v>0</v>
      </c>
      <c r="BI337" s="386">
        <v>0</v>
      </c>
      <c r="BJ337" s="386">
        <v>0</v>
      </c>
      <c r="BK337" s="386">
        <v>0</v>
      </c>
      <c r="BL337" s="386">
        <v>0</v>
      </c>
      <c r="BM337" s="386">
        <v>0</v>
      </c>
      <c r="BN337" s="386">
        <v>0</v>
      </c>
      <c r="BO337" s="386">
        <v>0</v>
      </c>
    </row>
    <row r="338" spans="1:67" x14ac:dyDescent="0.2">
      <c r="A338" s="386" t="s">
        <v>894</v>
      </c>
      <c r="B338" s="387">
        <v>0</v>
      </c>
      <c r="C338" s="387">
        <v>0</v>
      </c>
      <c r="D338" s="387">
        <v>0</v>
      </c>
      <c r="E338" s="387">
        <v>0</v>
      </c>
      <c r="F338" s="387">
        <v>0</v>
      </c>
      <c r="G338" s="387">
        <v>0</v>
      </c>
      <c r="H338" s="387">
        <v>0</v>
      </c>
      <c r="I338" s="387">
        <v>0</v>
      </c>
      <c r="J338" s="387">
        <v>0</v>
      </c>
      <c r="K338" s="387">
        <v>0</v>
      </c>
      <c r="L338" s="387">
        <v>0</v>
      </c>
      <c r="M338" s="387">
        <v>0</v>
      </c>
      <c r="N338" s="387">
        <v>0.32200000000000001</v>
      </c>
      <c r="O338" s="387">
        <v>1.1279999999999999</v>
      </c>
      <c r="P338" s="387">
        <v>0.47</v>
      </c>
      <c r="Q338" s="387">
        <v>3.944</v>
      </c>
      <c r="R338" s="387">
        <v>4.157</v>
      </c>
      <c r="S338" s="387">
        <v>6.1840000000000002</v>
      </c>
      <c r="T338" s="387">
        <v>6.7969999999999997</v>
      </c>
      <c r="U338" s="387">
        <v>7.782</v>
      </c>
      <c r="V338" s="387">
        <v>10.587999999999999</v>
      </c>
      <c r="W338" s="387">
        <v>12.233000000000001</v>
      </c>
      <c r="X338" s="387">
        <v>14.481</v>
      </c>
      <c r="Y338" s="387">
        <v>18.992000000000001</v>
      </c>
      <c r="Z338" s="387">
        <v>23.356999999999999</v>
      </c>
      <c r="AA338" s="387">
        <v>24.257999999999999</v>
      </c>
      <c r="AB338" s="387">
        <v>32.677</v>
      </c>
      <c r="AC338" s="387">
        <v>32.375999999999998</v>
      </c>
      <c r="AD338" s="387">
        <v>38.290999999999997</v>
      </c>
      <c r="AE338" s="387">
        <v>45.396000000000001</v>
      </c>
      <c r="AF338" s="387">
        <v>38.133000000000003</v>
      </c>
      <c r="AG338" s="387">
        <v>41.469000000000001</v>
      </c>
      <c r="AH338" s="387">
        <v>40.243000000000002</v>
      </c>
      <c r="AI338" s="387">
        <v>58.576999999999998</v>
      </c>
      <c r="AJ338" s="387">
        <v>55.679000000000002</v>
      </c>
      <c r="AK338" s="387">
        <v>42.978999999999999</v>
      </c>
      <c r="AL338" s="387">
        <v>58.878</v>
      </c>
      <c r="AM338" s="387">
        <v>54.396000000000001</v>
      </c>
      <c r="AN338" s="387">
        <v>55.161999999999999</v>
      </c>
      <c r="AO338" s="387">
        <v>61.8</v>
      </c>
      <c r="AP338" s="387">
        <v>70.328000000000003</v>
      </c>
      <c r="AQ338" s="387">
        <v>58.323999999999998</v>
      </c>
      <c r="AR338" s="387">
        <v>70.733000000000004</v>
      </c>
      <c r="AS338" s="387">
        <v>51.640999999999998</v>
      </c>
      <c r="AT338" s="387">
        <v>47.326999999999998</v>
      </c>
      <c r="AU338" s="387">
        <v>47.783999999999999</v>
      </c>
      <c r="AV338" s="387">
        <v>30.451000000000001</v>
      </c>
      <c r="AW338" s="387">
        <v>31.068000000000001</v>
      </c>
      <c r="AX338" s="387">
        <v>12.53</v>
      </c>
      <c r="AY338" s="387">
        <v>15.71</v>
      </c>
      <c r="AZ338" s="387">
        <v>5.9379999999999997</v>
      </c>
      <c r="BA338" s="387">
        <v>0.38500000000000001</v>
      </c>
      <c r="BB338" s="387">
        <v>1.593</v>
      </c>
      <c r="BC338" s="387">
        <v>0.83299999999999996</v>
      </c>
      <c r="BD338" s="387">
        <v>0</v>
      </c>
      <c r="BE338" s="387">
        <v>0</v>
      </c>
      <c r="BF338" s="387">
        <v>0</v>
      </c>
      <c r="BG338" s="387">
        <v>0</v>
      </c>
      <c r="BH338" s="387">
        <v>0</v>
      </c>
      <c r="BI338" s="387">
        <v>0</v>
      </c>
      <c r="BJ338" s="387">
        <v>0</v>
      </c>
      <c r="BK338" s="387">
        <v>0</v>
      </c>
      <c r="BL338" s="387">
        <v>0</v>
      </c>
      <c r="BM338" s="387">
        <v>0</v>
      </c>
      <c r="BN338" s="387">
        <v>0</v>
      </c>
      <c r="BO338" s="387">
        <v>0</v>
      </c>
    </row>
    <row r="339" spans="1:67" x14ac:dyDescent="0.2">
      <c r="A339" s="386" t="s">
        <v>895</v>
      </c>
      <c r="B339" s="387">
        <v>0</v>
      </c>
      <c r="C339" s="387">
        <v>0</v>
      </c>
      <c r="D339" s="387">
        <v>0</v>
      </c>
      <c r="E339" s="387">
        <v>0</v>
      </c>
      <c r="F339" s="387">
        <v>0</v>
      </c>
      <c r="G339" s="387">
        <v>0</v>
      </c>
      <c r="H339" s="387">
        <v>0</v>
      </c>
      <c r="I339" s="387">
        <v>0</v>
      </c>
      <c r="J339" s="387">
        <v>0</v>
      </c>
      <c r="K339" s="387">
        <v>0</v>
      </c>
      <c r="L339" s="387">
        <v>0</v>
      </c>
      <c r="M339" s="387">
        <v>0</v>
      </c>
      <c r="N339" s="387">
        <v>0.43099999999999999</v>
      </c>
      <c r="O339" s="387">
        <v>1.4670000000000001</v>
      </c>
      <c r="P339" s="387">
        <v>0.80800000000000005</v>
      </c>
      <c r="Q339" s="387">
        <v>3.988</v>
      </c>
      <c r="R339" s="387">
        <v>3.7749999999999999</v>
      </c>
      <c r="S339" s="387">
        <v>6.3680000000000003</v>
      </c>
      <c r="T339" s="387">
        <v>6.2149999999999999</v>
      </c>
      <c r="U339" s="387">
        <v>5.6950000000000003</v>
      </c>
      <c r="V339" s="387">
        <v>9.702</v>
      </c>
      <c r="W339" s="387">
        <v>12.148</v>
      </c>
      <c r="X339" s="387">
        <v>14.919</v>
      </c>
      <c r="Y339" s="387">
        <v>17.039000000000001</v>
      </c>
      <c r="Z339" s="387">
        <v>21.568000000000001</v>
      </c>
      <c r="AA339" s="387">
        <v>19.146000000000001</v>
      </c>
      <c r="AB339" s="387">
        <v>26.969000000000001</v>
      </c>
      <c r="AC339" s="387">
        <v>21.959</v>
      </c>
      <c r="AD339" s="387">
        <v>23.968</v>
      </c>
      <c r="AE339" s="387">
        <v>30.481999999999999</v>
      </c>
      <c r="AF339" s="387">
        <v>26.669</v>
      </c>
      <c r="AG339" s="387">
        <v>27.06</v>
      </c>
      <c r="AH339" s="387">
        <v>20.751999999999999</v>
      </c>
      <c r="AI339" s="387">
        <v>29.326000000000001</v>
      </c>
      <c r="AJ339" s="387">
        <v>30.873999999999999</v>
      </c>
      <c r="AK339" s="387">
        <v>16.919</v>
      </c>
      <c r="AL339" s="387">
        <v>32.710999999999999</v>
      </c>
      <c r="AM339" s="387">
        <v>28.501000000000001</v>
      </c>
      <c r="AN339" s="387">
        <v>28.576000000000001</v>
      </c>
      <c r="AO339" s="387">
        <v>27.164000000000001</v>
      </c>
      <c r="AP339" s="387">
        <v>27.847000000000001</v>
      </c>
      <c r="AQ339" s="387">
        <v>18.73</v>
      </c>
      <c r="AR339" s="387">
        <v>26.686</v>
      </c>
      <c r="AS339" s="387">
        <v>15.847</v>
      </c>
      <c r="AT339" s="387">
        <v>11.465</v>
      </c>
      <c r="AU339" s="387">
        <v>11.893000000000001</v>
      </c>
      <c r="AV339" s="387">
        <v>4.7770000000000001</v>
      </c>
      <c r="AW339" s="387">
        <v>4.8810000000000002</v>
      </c>
      <c r="AX339" s="387">
        <v>1.262</v>
      </c>
      <c r="AY339" s="387">
        <v>0.92900000000000005</v>
      </c>
      <c r="AZ339" s="387">
        <v>0.22900000000000001</v>
      </c>
      <c r="BA339" s="387">
        <v>0</v>
      </c>
      <c r="BB339" s="387">
        <v>0.245</v>
      </c>
      <c r="BC339" s="387">
        <v>0.16800000000000001</v>
      </c>
      <c r="BD339" s="387">
        <v>0</v>
      </c>
      <c r="BE339" s="387">
        <v>0</v>
      </c>
      <c r="BF339" s="387">
        <v>0</v>
      </c>
      <c r="BG339" s="387">
        <v>0</v>
      </c>
      <c r="BH339" s="387">
        <v>0</v>
      </c>
      <c r="BI339" s="387">
        <v>0</v>
      </c>
      <c r="BJ339" s="387">
        <v>0</v>
      </c>
      <c r="BK339" s="387">
        <v>0</v>
      </c>
      <c r="BL339" s="387">
        <v>0</v>
      </c>
      <c r="BM339" s="387">
        <v>0</v>
      </c>
      <c r="BN339" s="387">
        <v>0</v>
      </c>
      <c r="BO339" s="387">
        <v>0</v>
      </c>
    </row>
    <row r="340" spans="1:67" x14ac:dyDescent="0.2">
      <c r="A340" s="386" t="s">
        <v>896</v>
      </c>
      <c r="B340" s="387">
        <v>0</v>
      </c>
      <c r="C340" s="387">
        <v>0</v>
      </c>
      <c r="D340" s="387">
        <v>0</v>
      </c>
      <c r="E340" s="387">
        <v>0</v>
      </c>
      <c r="F340" s="387">
        <v>0</v>
      </c>
      <c r="G340" s="387">
        <v>0</v>
      </c>
      <c r="H340" s="387">
        <v>0</v>
      </c>
      <c r="I340" s="387">
        <v>0</v>
      </c>
      <c r="J340" s="387">
        <v>0</v>
      </c>
      <c r="K340" s="387">
        <v>0</v>
      </c>
      <c r="L340" s="387">
        <v>0</v>
      </c>
      <c r="M340" s="387">
        <v>0</v>
      </c>
      <c r="N340" s="387">
        <v>0.77700000000000002</v>
      </c>
      <c r="O340" s="387">
        <v>2.476</v>
      </c>
      <c r="P340" s="387">
        <v>0.84599999999999997</v>
      </c>
      <c r="Q340" s="387">
        <v>9.516</v>
      </c>
      <c r="R340" s="387">
        <v>9.641</v>
      </c>
      <c r="S340" s="387">
        <v>13.762</v>
      </c>
      <c r="T340" s="387">
        <v>15.084</v>
      </c>
      <c r="U340" s="387">
        <v>17.696000000000002</v>
      </c>
      <c r="V340" s="387">
        <v>21.285</v>
      </c>
      <c r="W340" s="387">
        <v>24.137</v>
      </c>
      <c r="X340" s="387">
        <v>25.843</v>
      </c>
      <c r="Y340" s="387">
        <v>33.112000000000002</v>
      </c>
      <c r="Z340" s="387">
        <v>36.68</v>
      </c>
      <c r="AA340" s="387">
        <v>35.753999999999998</v>
      </c>
      <c r="AB340" s="387">
        <v>43.290999999999997</v>
      </c>
      <c r="AC340" s="387">
        <v>43.28</v>
      </c>
      <c r="AD340" s="387">
        <v>48.905999999999999</v>
      </c>
      <c r="AE340" s="387">
        <v>58.091000000000001</v>
      </c>
      <c r="AF340" s="387">
        <v>49.337000000000003</v>
      </c>
      <c r="AG340" s="387">
        <v>48.084000000000003</v>
      </c>
      <c r="AH340" s="387">
        <v>40.536000000000001</v>
      </c>
      <c r="AI340" s="387">
        <v>55.286999999999999</v>
      </c>
      <c r="AJ340" s="387">
        <v>44.347999999999999</v>
      </c>
      <c r="AK340" s="387">
        <v>30.225000000000001</v>
      </c>
      <c r="AL340" s="387">
        <v>40.756999999999998</v>
      </c>
      <c r="AM340" s="387">
        <v>33.972000000000001</v>
      </c>
      <c r="AN340" s="387">
        <v>34.250999999999998</v>
      </c>
      <c r="AO340" s="387">
        <v>38.311999999999998</v>
      </c>
      <c r="AP340" s="387">
        <v>44.15</v>
      </c>
      <c r="AQ340" s="387">
        <v>36.436999999999998</v>
      </c>
      <c r="AR340" s="387">
        <v>42.478999999999999</v>
      </c>
      <c r="AS340" s="387">
        <v>30.911999999999999</v>
      </c>
      <c r="AT340" s="387">
        <v>27.834</v>
      </c>
      <c r="AU340" s="387">
        <v>27.193999999999999</v>
      </c>
      <c r="AV340" s="387">
        <v>17.073</v>
      </c>
      <c r="AW340" s="387">
        <v>16.233000000000001</v>
      </c>
      <c r="AX340" s="387">
        <v>6.6449999999999996</v>
      </c>
      <c r="AY340" s="387">
        <v>7.923</v>
      </c>
      <c r="AZ340" s="387">
        <v>3.7890000000000001</v>
      </c>
      <c r="BA340" s="387">
        <v>0.16500000000000001</v>
      </c>
      <c r="BB340" s="387">
        <v>0.91300000000000003</v>
      </c>
      <c r="BC340" s="387">
        <v>0.48199999999999998</v>
      </c>
      <c r="BD340" s="387">
        <v>0</v>
      </c>
      <c r="BE340" s="387">
        <v>0</v>
      </c>
      <c r="BF340" s="387">
        <v>0</v>
      </c>
      <c r="BG340" s="387">
        <v>0</v>
      </c>
      <c r="BH340" s="387">
        <v>0</v>
      </c>
      <c r="BI340" s="387">
        <v>0</v>
      </c>
      <c r="BJ340" s="387">
        <v>0</v>
      </c>
      <c r="BK340" s="387">
        <v>0</v>
      </c>
      <c r="BL340" s="387">
        <v>0</v>
      </c>
      <c r="BM340" s="387">
        <v>0</v>
      </c>
      <c r="BN340" s="387">
        <v>0</v>
      </c>
      <c r="BO340" s="387">
        <v>0</v>
      </c>
    </row>
    <row r="341" spans="1:67" x14ac:dyDescent="0.2">
      <c r="A341" s="386" t="s">
        <v>897</v>
      </c>
      <c r="B341" s="387">
        <v>0</v>
      </c>
      <c r="C341" s="387">
        <v>0</v>
      </c>
      <c r="D341" s="387">
        <v>0</v>
      </c>
      <c r="E341" s="387">
        <v>0</v>
      </c>
      <c r="F341" s="387">
        <v>0</v>
      </c>
      <c r="G341" s="387">
        <v>0</v>
      </c>
      <c r="H341" s="387">
        <v>0</v>
      </c>
      <c r="I341" s="387">
        <v>0</v>
      </c>
      <c r="J341" s="387">
        <v>0</v>
      </c>
      <c r="K341" s="387">
        <v>0</v>
      </c>
      <c r="L341" s="387">
        <v>0</v>
      </c>
      <c r="M341" s="387">
        <v>0</v>
      </c>
      <c r="N341" s="387">
        <v>0.23400000000000001</v>
      </c>
      <c r="O341" s="387">
        <v>0.69599999999999995</v>
      </c>
      <c r="P341" s="387">
        <v>0.33300000000000002</v>
      </c>
      <c r="Q341" s="387">
        <v>3.6179999999999999</v>
      </c>
      <c r="R341" s="387">
        <v>4.1870000000000003</v>
      </c>
      <c r="S341" s="387">
        <v>5.649</v>
      </c>
      <c r="T341" s="387">
        <v>6.2359999999999998</v>
      </c>
      <c r="U341" s="387">
        <v>9.3480000000000008</v>
      </c>
      <c r="V341" s="387">
        <v>10.194000000000001</v>
      </c>
      <c r="W341" s="387">
        <v>10.260999999999999</v>
      </c>
      <c r="X341" s="387">
        <v>9.9619999999999997</v>
      </c>
      <c r="Y341" s="387">
        <v>16.677</v>
      </c>
      <c r="Z341" s="387">
        <v>15.436</v>
      </c>
      <c r="AA341" s="387">
        <v>17.544</v>
      </c>
      <c r="AB341" s="387">
        <v>20.32</v>
      </c>
      <c r="AC341" s="387">
        <v>18.919</v>
      </c>
      <c r="AD341" s="387">
        <v>22.413</v>
      </c>
      <c r="AE341" s="387">
        <v>26.373000000000001</v>
      </c>
      <c r="AF341" s="387">
        <v>21.106000000000002</v>
      </c>
      <c r="AG341" s="387">
        <v>21.605</v>
      </c>
      <c r="AH341" s="387">
        <v>20.242000000000001</v>
      </c>
      <c r="AI341" s="387">
        <v>27.013999999999999</v>
      </c>
      <c r="AJ341" s="387">
        <v>21.536999999999999</v>
      </c>
      <c r="AK341" s="387">
        <v>16.04</v>
      </c>
      <c r="AL341" s="387">
        <v>16.207000000000001</v>
      </c>
      <c r="AM341" s="387">
        <v>12.881</v>
      </c>
      <c r="AN341" s="387">
        <v>8.6170000000000009</v>
      </c>
      <c r="AO341" s="387">
        <v>12.696999999999999</v>
      </c>
      <c r="AP341" s="387">
        <v>16.641999999999999</v>
      </c>
      <c r="AQ341" s="387">
        <v>17.768000000000001</v>
      </c>
      <c r="AR341" s="387">
        <v>22.585000000000001</v>
      </c>
      <c r="AS341" s="387">
        <v>17.454999999999998</v>
      </c>
      <c r="AT341" s="387">
        <v>15.092000000000001</v>
      </c>
      <c r="AU341" s="387">
        <v>15.083</v>
      </c>
      <c r="AV341" s="387">
        <v>12.831</v>
      </c>
      <c r="AW341" s="387">
        <v>12.096</v>
      </c>
      <c r="AX341" s="387">
        <v>5.4039999999999999</v>
      </c>
      <c r="AY341" s="387">
        <v>8.8650000000000002</v>
      </c>
      <c r="AZ341" s="387">
        <v>3.0630000000000002</v>
      </c>
      <c r="BA341" s="387">
        <v>0.192</v>
      </c>
      <c r="BB341" s="387">
        <v>0.53700000000000003</v>
      </c>
      <c r="BC341" s="387">
        <v>0.27200000000000002</v>
      </c>
      <c r="BD341" s="387">
        <v>0</v>
      </c>
      <c r="BE341" s="387">
        <v>0</v>
      </c>
      <c r="BF341" s="387">
        <v>0</v>
      </c>
      <c r="BG341" s="387">
        <v>0</v>
      </c>
      <c r="BH341" s="387">
        <v>0</v>
      </c>
      <c r="BI341" s="387">
        <v>0</v>
      </c>
      <c r="BJ341" s="387">
        <v>0</v>
      </c>
      <c r="BK341" s="387">
        <v>0</v>
      </c>
      <c r="BL341" s="387">
        <v>0</v>
      </c>
      <c r="BM341" s="387">
        <v>0</v>
      </c>
      <c r="BN341" s="387">
        <v>0</v>
      </c>
      <c r="BO341" s="387">
        <v>0</v>
      </c>
    </row>
    <row r="342" spans="1:67" x14ac:dyDescent="0.2">
      <c r="A342" s="388" t="s">
        <v>898</v>
      </c>
      <c r="B342" s="389">
        <v>0</v>
      </c>
      <c r="C342" s="389">
        <v>0</v>
      </c>
      <c r="D342" s="389">
        <v>0</v>
      </c>
      <c r="E342" s="389">
        <v>0</v>
      </c>
      <c r="F342" s="389">
        <v>0</v>
      </c>
      <c r="G342" s="389">
        <v>0</v>
      </c>
      <c r="H342" s="389">
        <v>0</v>
      </c>
      <c r="I342" s="389">
        <v>0</v>
      </c>
      <c r="J342" s="389">
        <v>0</v>
      </c>
      <c r="K342" s="389">
        <v>0</v>
      </c>
      <c r="L342" s="389">
        <v>0</v>
      </c>
      <c r="M342" s="389">
        <v>0</v>
      </c>
      <c r="N342" s="389">
        <v>0.22600000000000001</v>
      </c>
      <c r="O342" s="389">
        <v>0.67</v>
      </c>
      <c r="P342" s="389">
        <v>0.32</v>
      </c>
      <c r="Q342" s="389">
        <v>2.6070000000000002</v>
      </c>
      <c r="R342" s="389">
        <v>2.7029999999999998</v>
      </c>
      <c r="S342" s="389">
        <v>4.03</v>
      </c>
      <c r="T342" s="389">
        <v>4.4630000000000001</v>
      </c>
      <c r="U342" s="389">
        <v>4.6509999999999998</v>
      </c>
      <c r="V342" s="389">
        <v>6.4450000000000003</v>
      </c>
      <c r="W342" s="389">
        <v>6.976</v>
      </c>
      <c r="X342" s="389">
        <v>7.702</v>
      </c>
      <c r="Y342" s="389">
        <v>10.590999999999999</v>
      </c>
      <c r="Z342" s="389">
        <v>10.239000000000001</v>
      </c>
      <c r="AA342" s="389">
        <v>10.682</v>
      </c>
      <c r="AB342" s="389">
        <v>13.755000000000001</v>
      </c>
      <c r="AC342" s="389">
        <v>11.098000000000001</v>
      </c>
      <c r="AD342" s="389">
        <v>11.999000000000001</v>
      </c>
      <c r="AE342" s="389">
        <v>14.14</v>
      </c>
      <c r="AF342" s="389">
        <v>11.599</v>
      </c>
      <c r="AG342" s="389">
        <v>10.465999999999999</v>
      </c>
      <c r="AH342" s="389">
        <v>8.0790000000000006</v>
      </c>
      <c r="AI342" s="389">
        <v>10.346</v>
      </c>
      <c r="AJ342" s="389">
        <v>7.3650000000000002</v>
      </c>
      <c r="AK342" s="389">
        <v>4.8250000000000002</v>
      </c>
      <c r="AL342" s="389">
        <v>4.2350000000000003</v>
      </c>
      <c r="AM342" s="389">
        <v>1.381</v>
      </c>
      <c r="AN342" s="389">
        <v>0.57599999999999996</v>
      </c>
      <c r="AO342" s="389">
        <v>0.49399999999999999</v>
      </c>
      <c r="AP342" s="389">
        <v>0.61499999999999999</v>
      </c>
      <c r="AQ342" s="389">
        <v>0.61299999999999999</v>
      </c>
      <c r="AR342" s="389">
        <v>0.46</v>
      </c>
      <c r="AS342" s="389">
        <v>0.45400000000000001</v>
      </c>
      <c r="AT342" s="389">
        <v>0.309</v>
      </c>
      <c r="AU342" s="389">
        <v>0.47699999999999998</v>
      </c>
      <c r="AV342" s="389">
        <v>0.45600000000000002</v>
      </c>
      <c r="AW342" s="389">
        <v>0.61399999999999999</v>
      </c>
      <c r="AX342" s="389">
        <v>0.308</v>
      </c>
      <c r="AY342" s="389">
        <v>0.15</v>
      </c>
      <c r="AZ342" s="389">
        <v>0</v>
      </c>
      <c r="BA342" s="389">
        <v>0</v>
      </c>
      <c r="BB342" s="389">
        <v>0</v>
      </c>
      <c r="BC342" s="389">
        <v>0.155</v>
      </c>
      <c r="BD342" s="389">
        <v>0</v>
      </c>
      <c r="BE342" s="389">
        <v>0</v>
      </c>
      <c r="BF342" s="389">
        <v>0</v>
      </c>
      <c r="BG342" s="389">
        <v>0</v>
      </c>
      <c r="BH342" s="389">
        <v>0</v>
      </c>
      <c r="BI342" s="389">
        <v>0</v>
      </c>
      <c r="BJ342" s="389">
        <v>0</v>
      </c>
      <c r="BK342" s="389">
        <v>0</v>
      </c>
      <c r="BL342" s="389">
        <v>0</v>
      </c>
      <c r="BM342" s="389">
        <v>0</v>
      </c>
      <c r="BN342" s="389">
        <v>0</v>
      </c>
      <c r="BO342" s="389">
        <v>0</v>
      </c>
    </row>
    <row r="344" spans="1:67" x14ac:dyDescent="0.2">
      <c r="A344" s="380" t="s">
        <v>3173</v>
      </c>
      <c r="B344" s="381" t="s">
        <v>202</v>
      </c>
    </row>
    <row r="345" spans="1:67" x14ac:dyDescent="0.2">
      <c r="A345" s="382" t="s">
        <v>3893</v>
      </c>
      <c r="B345" s="383"/>
    </row>
    <row r="346" spans="1:67" x14ac:dyDescent="0.2">
      <c r="A346" s="384" t="s">
        <v>3175</v>
      </c>
      <c r="B346" s="384">
        <v>-25</v>
      </c>
      <c r="C346" s="384">
        <v>-24</v>
      </c>
      <c r="D346" s="384">
        <v>-23</v>
      </c>
      <c r="E346" s="384">
        <v>-22</v>
      </c>
      <c r="F346" s="384">
        <v>-21</v>
      </c>
      <c r="G346" s="384">
        <v>-20</v>
      </c>
      <c r="H346" s="384">
        <v>-19</v>
      </c>
      <c r="I346" s="384">
        <v>-18</v>
      </c>
      <c r="J346" s="384">
        <v>-17</v>
      </c>
      <c r="K346" s="384">
        <v>-16</v>
      </c>
      <c r="L346" s="384">
        <v>-15</v>
      </c>
      <c r="M346" s="384">
        <v>-14</v>
      </c>
      <c r="N346" s="384">
        <v>-13</v>
      </c>
      <c r="O346" s="384">
        <v>-12</v>
      </c>
      <c r="P346" s="384">
        <v>-11</v>
      </c>
      <c r="Q346" s="384">
        <v>-10</v>
      </c>
      <c r="R346" s="384">
        <v>-9</v>
      </c>
      <c r="S346" s="384">
        <v>-8</v>
      </c>
      <c r="T346" s="384">
        <v>-7</v>
      </c>
      <c r="U346" s="384">
        <v>-6</v>
      </c>
      <c r="V346" s="384">
        <v>-5</v>
      </c>
      <c r="W346" s="384">
        <v>-4</v>
      </c>
      <c r="X346" s="384">
        <v>-3</v>
      </c>
      <c r="Y346" s="384">
        <v>-2</v>
      </c>
      <c r="Z346" s="384">
        <v>-1</v>
      </c>
      <c r="AA346" s="384">
        <v>0</v>
      </c>
      <c r="AB346" s="384">
        <v>1</v>
      </c>
      <c r="AC346" s="384">
        <v>2</v>
      </c>
      <c r="AD346" s="384">
        <v>3</v>
      </c>
      <c r="AE346" s="384">
        <v>4</v>
      </c>
      <c r="AF346" s="384">
        <v>5</v>
      </c>
      <c r="AG346" s="384">
        <v>6</v>
      </c>
      <c r="AH346" s="384">
        <v>7</v>
      </c>
      <c r="AI346" s="384">
        <v>8</v>
      </c>
      <c r="AJ346" s="384">
        <v>9</v>
      </c>
      <c r="AK346" s="384">
        <v>10</v>
      </c>
      <c r="AL346" s="384">
        <v>11</v>
      </c>
      <c r="AM346" s="384">
        <v>12</v>
      </c>
      <c r="AN346" s="384">
        <v>13</v>
      </c>
      <c r="AO346" s="384">
        <v>14</v>
      </c>
      <c r="AP346" s="384">
        <v>15</v>
      </c>
      <c r="AQ346" s="384">
        <v>16</v>
      </c>
      <c r="AR346" s="384">
        <v>17</v>
      </c>
      <c r="AS346" s="384">
        <v>18</v>
      </c>
      <c r="AT346" s="384">
        <v>19</v>
      </c>
      <c r="AU346" s="384">
        <v>20</v>
      </c>
      <c r="AV346" s="384">
        <v>21</v>
      </c>
      <c r="AW346" s="384">
        <v>22</v>
      </c>
      <c r="AX346" s="384">
        <v>23</v>
      </c>
      <c r="AY346" s="384">
        <v>24</v>
      </c>
      <c r="AZ346" s="384">
        <v>25</v>
      </c>
      <c r="BA346" s="384">
        <v>26</v>
      </c>
      <c r="BB346" s="384">
        <v>27</v>
      </c>
      <c r="BC346" s="384">
        <v>28</v>
      </c>
      <c r="BD346" s="384">
        <v>29</v>
      </c>
      <c r="BE346" s="384">
        <v>30</v>
      </c>
      <c r="BF346" s="384">
        <v>31</v>
      </c>
      <c r="BG346" s="384">
        <v>32</v>
      </c>
      <c r="BH346" s="384">
        <v>33</v>
      </c>
      <c r="BI346" s="384">
        <v>34</v>
      </c>
      <c r="BJ346" s="384">
        <v>35</v>
      </c>
      <c r="BK346" s="384">
        <v>36</v>
      </c>
      <c r="BL346" s="384">
        <v>37</v>
      </c>
      <c r="BM346" s="384">
        <v>38</v>
      </c>
      <c r="BN346" s="384">
        <v>39</v>
      </c>
      <c r="BO346" s="384">
        <v>40</v>
      </c>
    </row>
    <row r="347" spans="1:67" x14ac:dyDescent="0.2">
      <c r="A347" s="385" t="s">
        <v>3176</v>
      </c>
      <c r="B347" s="385">
        <v>0</v>
      </c>
      <c r="C347" s="385">
        <v>0</v>
      </c>
      <c r="D347" s="385">
        <v>0</v>
      </c>
      <c r="E347" s="385">
        <v>0</v>
      </c>
      <c r="F347" s="385">
        <v>0</v>
      </c>
      <c r="G347" s="385">
        <v>0</v>
      </c>
      <c r="H347" s="385">
        <v>0</v>
      </c>
      <c r="I347" s="385">
        <v>0</v>
      </c>
      <c r="J347" s="385">
        <v>0</v>
      </c>
      <c r="K347" s="385">
        <v>0</v>
      </c>
      <c r="L347" s="385">
        <v>0</v>
      </c>
      <c r="M347" s="385">
        <v>0</v>
      </c>
      <c r="N347" s="385">
        <v>0</v>
      </c>
      <c r="O347" s="385">
        <v>0</v>
      </c>
      <c r="P347" s="385">
        <v>0</v>
      </c>
      <c r="Q347" s="385">
        <v>6</v>
      </c>
      <c r="R347" s="385">
        <v>45</v>
      </c>
      <c r="S347" s="385">
        <v>48</v>
      </c>
      <c r="T347" s="385">
        <v>68</v>
      </c>
      <c r="U347" s="385">
        <v>45</v>
      </c>
      <c r="V347" s="385">
        <v>57</v>
      </c>
      <c r="W347" s="385">
        <v>56</v>
      </c>
      <c r="X347" s="385">
        <v>128</v>
      </c>
      <c r="Y347" s="385">
        <v>180</v>
      </c>
      <c r="Z347" s="385">
        <v>197</v>
      </c>
      <c r="AA347" s="385">
        <v>249</v>
      </c>
      <c r="AB347" s="385">
        <v>332</v>
      </c>
      <c r="AC347" s="385">
        <v>381</v>
      </c>
      <c r="AD347" s="385">
        <v>451</v>
      </c>
      <c r="AE347" s="385">
        <v>459</v>
      </c>
      <c r="AF347" s="385">
        <v>335</v>
      </c>
      <c r="AG347" s="385">
        <v>417</v>
      </c>
      <c r="AH347" s="385">
        <v>406</v>
      </c>
      <c r="AI347" s="385">
        <v>336</v>
      </c>
      <c r="AJ347" s="385">
        <v>339</v>
      </c>
      <c r="AK347" s="385">
        <v>318</v>
      </c>
      <c r="AL347" s="385">
        <v>368</v>
      </c>
      <c r="AM347" s="385">
        <v>321</v>
      </c>
      <c r="AN347" s="385">
        <v>350</v>
      </c>
      <c r="AO347" s="385">
        <v>378</v>
      </c>
      <c r="AP347" s="385">
        <v>330</v>
      </c>
      <c r="AQ347" s="385">
        <v>390</v>
      </c>
      <c r="AR347" s="385">
        <v>365</v>
      </c>
      <c r="AS347" s="385">
        <v>295</v>
      </c>
      <c r="AT347" s="385">
        <v>238</v>
      </c>
      <c r="AU347" s="385">
        <v>188</v>
      </c>
      <c r="AV347" s="385">
        <v>146</v>
      </c>
      <c r="AW347" s="385">
        <v>134</v>
      </c>
      <c r="AX347" s="385">
        <v>114</v>
      </c>
      <c r="AY347" s="385">
        <v>103</v>
      </c>
      <c r="AZ347" s="385">
        <v>46</v>
      </c>
      <c r="BA347" s="385">
        <v>47</v>
      </c>
      <c r="BB347" s="385">
        <v>29</v>
      </c>
      <c r="BC347" s="385">
        <v>24</v>
      </c>
      <c r="BD347" s="385">
        <v>14</v>
      </c>
      <c r="BE347" s="385">
        <v>16</v>
      </c>
      <c r="BF347" s="385">
        <v>6</v>
      </c>
      <c r="BG347" s="385">
        <v>2</v>
      </c>
      <c r="BH347" s="385">
        <v>3</v>
      </c>
      <c r="BI347" s="385">
        <v>0</v>
      </c>
      <c r="BJ347" s="385">
        <v>0</v>
      </c>
      <c r="BK347" s="385">
        <v>0</v>
      </c>
      <c r="BL347" s="385">
        <v>0</v>
      </c>
      <c r="BM347" s="385">
        <v>0</v>
      </c>
      <c r="BN347" s="385">
        <v>0</v>
      </c>
      <c r="BO347" s="385">
        <v>0</v>
      </c>
    </row>
    <row r="348" spans="1:67" x14ac:dyDescent="0.2">
      <c r="A348" s="386" t="s">
        <v>893</v>
      </c>
      <c r="B348" s="386">
        <v>0</v>
      </c>
      <c r="C348" s="386">
        <v>0</v>
      </c>
      <c r="D348" s="386">
        <v>0</v>
      </c>
      <c r="E348" s="386">
        <v>0</v>
      </c>
      <c r="F348" s="386">
        <v>0</v>
      </c>
      <c r="G348" s="386">
        <v>0</v>
      </c>
      <c r="H348" s="386">
        <v>0</v>
      </c>
      <c r="I348" s="386">
        <v>0</v>
      </c>
      <c r="J348" s="386">
        <v>0</v>
      </c>
      <c r="K348" s="386">
        <v>0</v>
      </c>
      <c r="L348" s="386">
        <v>0</v>
      </c>
      <c r="M348" s="386">
        <v>0</v>
      </c>
      <c r="N348" s="386">
        <v>0</v>
      </c>
      <c r="O348" s="386">
        <v>0</v>
      </c>
      <c r="P348" s="386">
        <v>0</v>
      </c>
      <c r="Q348" s="386">
        <v>0</v>
      </c>
      <c r="R348" s="386">
        <v>0</v>
      </c>
      <c r="S348" s="386">
        <v>48</v>
      </c>
      <c r="T348" s="386">
        <v>72</v>
      </c>
      <c r="U348" s="386">
        <v>96</v>
      </c>
      <c r="V348" s="386">
        <v>48</v>
      </c>
      <c r="W348" s="386">
        <v>72</v>
      </c>
      <c r="X348" s="386">
        <v>72</v>
      </c>
      <c r="Y348" s="386">
        <v>72</v>
      </c>
      <c r="Z348" s="386">
        <v>264</v>
      </c>
      <c r="AA348" s="386">
        <v>312</v>
      </c>
      <c r="AB348" s="386">
        <v>240</v>
      </c>
      <c r="AC348" s="386">
        <v>432</v>
      </c>
      <c r="AD348" s="386">
        <v>504</v>
      </c>
      <c r="AE348" s="386">
        <v>360</v>
      </c>
      <c r="AF348" s="386">
        <v>504</v>
      </c>
      <c r="AG348" s="386">
        <v>312</v>
      </c>
      <c r="AH348" s="386">
        <v>432</v>
      </c>
      <c r="AI348" s="386">
        <v>288</v>
      </c>
      <c r="AJ348" s="386">
        <v>288</v>
      </c>
      <c r="AK348" s="386">
        <v>312</v>
      </c>
      <c r="AL348" s="386">
        <v>360</v>
      </c>
      <c r="AM348" s="386">
        <v>456</v>
      </c>
      <c r="AN348" s="386">
        <v>264</v>
      </c>
      <c r="AO348" s="386">
        <v>456</v>
      </c>
      <c r="AP348" s="386">
        <v>384</v>
      </c>
      <c r="AQ348" s="386">
        <v>336</v>
      </c>
      <c r="AR348" s="386">
        <v>312</v>
      </c>
      <c r="AS348" s="386">
        <v>288</v>
      </c>
      <c r="AT348" s="386">
        <v>552</v>
      </c>
      <c r="AU348" s="386">
        <v>240</v>
      </c>
      <c r="AV348" s="386">
        <v>120</v>
      </c>
      <c r="AW348" s="386">
        <v>72</v>
      </c>
      <c r="AX348" s="386">
        <v>96</v>
      </c>
      <c r="AY348" s="386">
        <v>72</v>
      </c>
      <c r="AZ348" s="386">
        <v>0</v>
      </c>
      <c r="BA348" s="386">
        <v>24</v>
      </c>
      <c r="BB348" s="386">
        <v>0</v>
      </c>
      <c r="BC348" s="386">
        <v>0</v>
      </c>
      <c r="BD348" s="386">
        <v>0</v>
      </c>
      <c r="BE348" s="386">
        <v>0</v>
      </c>
      <c r="BF348" s="386">
        <v>0</v>
      </c>
      <c r="BG348" s="386">
        <v>0</v>
      </c>
      <c r="BH348" s="386">
        <v>0</v>
      </c>
      <c r="BI348" s="386">
        <v>0</v>
      </c>
      <c r="BJ348" s="386">
        <v>0</v>
      </c>
      <c r="BK348" s="386">
        <v>0</v>
      </c>
      <c r="BL348" s="386">
        <v>0</v>
      </c>
      <c r="BM348" s="386">
        <v>0</v>
      </c>
      <c r="BN348" s="386">
        <v>0</v>
      </c>
      <c r="BO348" s="386">
        <v>0</v>
      </c>
    </row>
    <row r="349" spans="1:67" x14ac:dyDescent="0.2">
      <c r="A349" s="386" t="s">
        <v>894</v>
      </c>
      <c r="B349" s="387">
        <v>0</v>
      </c>
      <c r="C349" s="387">
        <v>0</v>
      </c>
      <c r="D349" s="387">
        <v>0</v>
      </c>
      <c r="E349" s="387">
        <v>0</v>
      </c>
      <c r="F349" s="387">
        <v>0</v>
      </c>
      <c r="G349" s="387">
        <v>0</v>
      </c>
      <c r="H349" s="387">
        <v>0</v>
      </c>
      <c r="I349" s="387">
        <v>0</v>
      </c>
      <c r="J349" s="387">
        <v>0</v>
      </c>
      <c r="K349" s="387">
        <v>0</v>
      </c>
      <c r="L349" s="387">
        <v>0</v>
      </c>
      <c r="M349" s="387">
        <v>0</v>
      </c>
      <c r="N349" s="387">
        <v>0</v>
      </c>
      <c r="O349" s="387">
        <v>0</v>
      </c>
      <c r="P349" s="387">
        <v>0</v>
      </c>
      <c r="Q349" s="387">
        <v>0</v>
      </c>
      <c r="R349" s="387">
        <v>0</v>
      </c>
      <c r="S349" s="387">
        <v>0.51900000000000002</v>
      </c>
      <c r="T349" s="387">
        <v>0.92</v>
      </c>
      <c r="U349" s="387">
        <v>1.4019999999999999</v>
      </c>
      <c r="V349" s="387">
        <v>2.218</v>
      </c>
      <c r="W349" s="387">
        <v>2.609</v>
      </c>
      <c r="X349" s="387">
        <v>4.202</v>
      </c>
      <c r="Y349" s="387">
        <v>3.4009999999999998</v>
      </c>
      <c r="Z349" s="387">
        <v>3.734</v>
      </c>
      <c r="AA349" s="387">
        <v>4.7880000000000003</v>
      </c>
      <c r="AB349" s="387">
        <v>9.0570000000000004</v>
      </c>
      <c r="AC349" s="387">
        <v>11.237</v>
      </c>
      <c r="AD349" s="387">
        <v>11.771000000000001</v>
      </c>
      <c r="AE349" s="387">
        <v>13.599</v>
      </c>
      <c r="AF349" s="387">
        <v>22.385999999999999</v>
      </c>
      <c r="AG349" s="387">
        <v>18.648</v>
      </c>
      <c r="AH349" s="387">
        <v>25.920999999999999</v>
      </c>
      <c r="AI349" s="387">
        <v>21.696000000000002</v>
      </c>
      <c r="AJ349" s="387">
        <v>24.731999999999999</v>
      </c>
      <c r="AK349" s="387">
        <v>22.933</v>
      </c>
      <c r="AL349" s="387">
        <v>26.439</v>
      </c>
      <c r="AM349" s="387">
        <v>34.174999999999997</v>
      </c>
      <c r="AN349" s="387">
        <v>35.82</v>
      </c>
      <c r="AO349" s="387">
        <v>44.706000000000003</v>
      </c>
      <c r="AP349" s="387">
        <v>40.366999999999997</v>
      </c>
      <c r="AQ349" s="387">
        <v>49.290999999999997</v>
      </c>
      <c r="AR349" s="387">
        <v>50.588999999999999</v>
      </c>
      <c r="AS349" s="387">
        <v>58.008000000000003</v>
      </c>
      <c r="AT349" s="387">
        <v>53.2</v>
      </c>
      <c r="AU349" s="387">
        <v>61.252000000000002</v>
      </c>
      <c r="AV349" s="387">
        <v>55.19</v>
      </c>
      <c r="AW349" s="387">
        <v>48.173000000000002</v>
      </c>
      <c r="AX349" s="387">
        <v>47.759</v>
      </c>
      <c r="AY349" s="387">
        <v>51.540999999999997</v>
      </c>
      <c r="AZ349" s="387">
        <v>22.728000000000002</v>
      </c>
      <c r="BA349" s="387">
        <v>25.074999999999999</v>
      </c>
      <c r="BB349" s="387">
        <v>15.276</v>
      </c>
      <c r="BC349" s="387">
        <v>11.869</v>
      </c>
      <c r="BD349" s="387">
        <v>9.016</v>
      </c>
      <c r="BE349" s="387">
        <v>8.7720000000000002</v>
      </c>
      <c r="BF349" s="387">
        <v>3.798</v>
      </c>
      <c r="BG349" s="387">
        <v>1.149</v>
      </c>
      <c r="BH349" s="387">
        <v>1.9870000000000001</v>
      </c>
      <c r="BI349" s="387">
        <v>0</v>
      </c>
      <c r="BJ349" s="387">
        <v>0</v>
      </c>
      <c r="BK349" s="387">
        <v>0</v>
      </c>
      <c r="BL349" s="387">
        <v>0</v>
      </c>
      <c r="BM349" s="387">
        <v>0</v>
      </c>
      <c r="BN349" s="387">
        <v>0</v>
      </c>
      <c r="BO349" s="387">
        <v>0</v>
      </c>
    </row>
    <row r="350" spans="1:67" x14ac:dyDescent="0.2">
      <c r="A350" s="386" t="s">
        <v>895</v>
      </c>
      <c r="B350" s="387">
        <v>0</v>
      </c>
      <c r="C350" s="387">
        <v>0</v>
      </c>
      <c r="D350" s="387">
        <v>0</v>
      </c>
      <c r="E350" s="387">
        <v>0</v>
      </c>
      <c r="F350" s="387">
        <v>0</v>
      </c>
      <c r="G350" s="387">
        <v>0</v>
      </c>
      <c r="H350" s="387">
        <v>0</v>
      </c>
      <c r="I350" s="387">
        <v>0</v>
      </c>
      <c r="J350" s="387">
        <v>0</v>
      </c>
      <c r="K350" s="387">
        <v>0</v>
      </c>
      <c r="L350" s="387">
        <v>0</v>
      </c>
      <c r="M350" s="387">
        <v>0</v>
      </c>
      <c r="N350" s="387">
        <v>0</v>
      </c>
      <c r="O350" s="387">
        <v>0</v>
      </c>
      <c r="P350" s="387">
        <v>0</v>
      </c>
      <c r="Q350" s="387">
        <v>0</v>
      </c>
      <c r="R350" s="387">
        <v>0.23799999999999999</v>
      </c>
      <c r="S350" s="387">
        <v>0.97</v>
      </c>
      <c r="T350" s="387">
        <v>1.2390000000000001</v>
      </c>
      <c r="U350" s="387">
        <v>1.601</v>
      </c>
      <c r="V350" s="387">
        <v>2.6349999999999998</v>
      </c>
      <c r="W350" s="387">
        <v>2.8340000000000001</v>
      </c>
      <c r="X350" s="387">
        <v>3.47</v>
      </c>
      <c r="Y350" s="387">
        <v>4.1440000000000001</v>
      </c>
      <c r="Z350" s="387">
        <v>4.6630000000000003</v>
      </c>
      <c r="AA350" s="387">
        <v>2.9660000000000002</v>
      </c>
      <c r="AB350" s="387">
        <v>5.4630000000000001</v>
      </c>
      <c r="AC350" s="387">
        <v>5.2160000000000002</v>
      </c>
      <c r="AD350" s="387">
        <v>8.07</v>
      </c>
      <c r="AE350" s="387">
        <v>6.5030000000000001</v>
      </c>
      <c r="AF350" s="387">
        <v>12.395</v>
      </c>
      <c r="AG350" s="387">
        <v>11.949</v>
      </c>
      <c r="AH350" s="387">
        <v>12.577999999999999</v>
      </c>
      <c r="AI350" s="387">
        <v>12.058</v>
      </c>
      <c r="AJ350" s="387">
        <v>15.105</v>
      </c>
      <c r="AK350" s="387">
        <v>11.874000000000001</v>
      </c>
      <c r="AL350" s="387">
        <v>15.532999999999999</v>
      </c>
      <c r="AM350" s="387">
        <v>17.2</v>
      </c>
      <c r="AN350" s="387">
        <v>20.2</v>
      </c>
      <c r="AO350" s="387">
        <v>21.742000000000001</v>
      </c>
      <c r="AP350" s="387">
        <v>18.712</v>
      </c>
      <c r="AQ350" s="387">
        <v>24.712</v>
      </c>
      <c r="AR350" s="387">
        <v>25.029</v>
      </c>
      <c r="AS350" s="387">
        <v>24.966000000000001</v>
      </c>
      <c r="AT350" s="387">
        <v>26.431999999999999</v>
      </c>
      <c r="AU350" s="387">
        <v>18.885999999999999</v>
      </c>
      <c r="AV350" s="387">
        <v>23.411000000000001</v>
      </c>
      <c r="AW350" s="387">
        <v>14.957000000000001</v>
      </c>
      <c r="AX350" s="387">
        <v>12.458</v>
      </c>
      <c r="AY350" s="387">
        <v>9.9329999999999998</v>
      </c>
      <c r="AZ350" s="387">
        <v>5.3040000000000003</v>
      </c>
      <c r="BA350" s="387">
        <v>3.2389999999999999</v>
      </c>
      <c r="BB350" s="387">
        <v>2.1869999999999998</v>
      </c>
      <c r="BC350" s="387">
        <v>1.613</v>
      </c>
      <c r="BD350" s="387">
        <v>0.98699999999999999</v>
      </c>
      <c r="BE350" s="387">
        <v>0.79100000000000004</v>
      </c>
      <c r="BF350" s="387">
        <v>0.224</v>
      </c>
      <c r="BG350" s="387">
        <v>0</v>
      </c>
      <c r="BH350" s="387">
        <v>0</v>
      </c>
      <c r="BI350" s="387">
        <v>0</v>
      </c>
      <c r="BJ350" s="387">
        <v>0</v>
      </c>
      <c r="BK350" s="387">
        <v>0</v>
      </c>
      <c r="BL350" s="387">
        <v>0</v>
      </c>
      <c r="BM350" s="387">
        <v>0</v>
      </c>
      <c r="BN350" s="387">
        <v>0</v>
      </c>
      <c r="BO350" s="387">
        <v>0</v>
      </c>
    </row>
    <row r="351" spans="1:67" x14ac:dyDescent="0.2">
      <c r="A351" s="386" t="s">
        <v>896</v>
      </c>
      <c r="B351" s="387">
        <v>0</v>
      </c>
      <c r="C351" s="387">
        <v>0</v>
      </c>
      <c r="D351" s="387">
        <v>0</v>
      </c>
      <c r="E351" s="387">
        <v>0</v>
      </c>
      <c r="F351" s="387">
        <v>0</v>
      </c>
      <c r="G351" s="387">
        <v>0</v>
      </c>
      <c r="H351" s="387">
        <v>0</v>
      </c>
      <c r="I351" s="387">
        <v>0</v>
      </c>
      <c r="J351" s="387">
        <v>0</v>
      </c>
      <c r="K351" s="387">
        <v>0</v>
      </c>
      <c r="L351" s="387">
        <v>0</v>
      </c>
      <c r="M351" s="387">
        <v>0</v>
      </c>
      <c r="N351" s="387">
        <v>0</v>
      </c>
      <c r="O351" s="387">
        <v>0</v>
      </c>
      <c r="P351" s="387">
        <v>0</v>
      </c>
      <c r="Q351" s="387">
        <v>0</v>
      </c>
      <c r="R351" s="387">
        <v>0</v>
      </c>
      <c r="S351" s="387">
        <v>1.246</v>
      </c>
      <c r="T351" s="387">
        <v>2.0659999999999998</v>
      </c>
      <c r="U351" s="387">
        <v>4.0309999999999997</v>
      </c>
      <c r="V351" s="387">
        <v>5.0579999999999998</v>
      </c>
      <c r="W351" s="387">
        <v>6.4130000000000003</v>
      </c>
      <c r="X351" s="387">
        <v>8.4979999999999993</v>
      </c>
      <c r="Y351" s="387">
        <v>6.423</v>
      </c>
      <c r="Z351" s="387">
        <v>5.7210000000000001</v>
      </c>
      <c r="AA351" s="387">
        <v>6.5960000000000001</v>
      </c>
      <c r="AB351" s="387">
        <v>15.255000000000001</v>
      </c>
      <c r="AC351" s="387">
        <v>19.457000000000001</v>
      </c>
      <c r="AD351" s="387">
        <v>15.433999999999999</v>
      </c>
      <c r="AE351" s="387">
        <v>17.277999999999999</v>
      </c>
      <c r="AF351" s="387">
        <v>24.138000000000002</v>
      </c>
      <c r="AG351" s="387">
        <v>21.007999999999999</v>
      </c>
      <c r="AH351" s="387">
        <v>27.888000000000002</v>
      </c>
      <c r="AI351" s="387">
        <v>21.068999999999999</v>
      </c>
      <c r="AJ351" s="387">
        <v>25.847000000000001</v>
      </c>
      <c r="AK351" s="387">
        <v>22.443999999999999</v>
      </c>
      <c r="AL351" s="387">
        <v>20.253</v>
      </c>
      <c r="AM351" s="387">
        <v>25.649000000000001</v>
      </c>
      <c r="AN351" s="387">
        <v>25.548999999999999</v>
      </c>
      <c r="AO351" s="387">
        <v>30.751000000000001</v>
      </c>
      <c r="AP351" s="387">
        <v>25.388999999999999</v>
      </c>
      <c r="AQ351" s="387">
        <v>32.024999999999999</v>
      </c>
      <c r="AR351" s="387">
        <v>31.948</v>
      </c>
      <c r="AS351" s="387">
        <v>32.863</v>
      </c>
      <c r="AT351" s="387">
        <v>31.253</v>
      </c>
      <c r="AU351" s="387">
        <v>37.341999999999999</v>
      </c>
      <c r="AV351" s="387">
        <v>31.521000000000001</v>
      </c>
      <c r="AW351" s="387">
        <v>30.524999999999999</v>
      </c>
      <c r="AX351" s="387">
        <v>25.965</v>
      </c>
      <c r="AY351" s="387">
        <v>27.239000000000001</v>
      </c>
      <c r="AZ351" s="387">
        <v>12.663</v>
      </c>
      <c r="BA351" s="387">
        <v>13.913</v>
      </c>
      <c r="BB351" s="387">
        <v>8.2739999999999991</v>
      </c>
      <c r="BC351" s="387">
        <v>5.9630000000000001</v>
      </c>
      <c r="BD351" s="387">
        <v>4.7869999999999999</v>
      </c>
      <c r="BE351" s="387">
        <v>3.835</v>
      </c>
      <c r="BF351" s="387">
        <v>1.8380000000000001</v>
      </c>
      <c r="BG351" s="387">
        <v>0.51400000000000001</v>
      </c>
      <c r="BH351" s="387">
        <v>1.046</v>
      </c>
      <c r="BI351" s="387">
        <v>0</v>
      </c>
      <c r="BJ351" s="387">
        <v>0</v>
      </c>
      <c r="BK351" s="387">
        <v>0</v>
      </c>
      <c r="BL351" s="387">
        <v>0</v>
      </c>
      <c r="BM351" s="387">
        <v>0</v>
      </c>
      <c r="BN351" s="387">
        <v>0</v>
      </c>
      <c r="BO351" s="387">
        <v>0</v>
      </c>
    </row>
    <row r="352" spans="1:67" x14ac:dyDescent="0.2">
      <c r="A352" s="386" t="s">
        <v>897</v>
      </c>
      <c r="B352" s="387">
        <v>0</v>
      </c>
      <c r="C352" s="387">
        <v>0</v>
      </c>
      <c r="D352" s="387">
        <v>0</v>
      </c>
      <c r="E352" s="387">
        <v>0</v>
      </c>
      <c r="F352" s="387">
        <v>0</v>
      </c>
      <c r="G352" s="387">
        <v>0</v>
      </c>
      <c r="H352" s="387">
        <v>0</v>
      </c>
      <c r="I352" s="387">
        <v>0</v>
      </c>
      <c r="J352" s="387">
        <v>0</v>
      </c>
      <c r="K352" s="387">
        <v>0</v>
      </c>
      <c r="L352" s="387">
        <v>0</v>
      </c>
      <c r="M352" s="387">
        <v>0</v>
      </c>
      <c r="N352" s="387">
        <v>0</v>
      </c>
      <c r="O352" s="387">
        <v>0</v>
      </c>
      <c r="P352" s="387">
        <v>0</v>
      </c>
      <c r="Q352" s="387">
        <v>0</v>
      </c>
      <c r="R352" s="387">
        <v>0</v>
      </c>
      <c r="S352" s="387">
        <v>0.20200000000000001</v>
      </c>
      <c r="T352" s="387">
        <v>0.48399999999999999</v>
      </c>
      <c r="U352" s="387">
        <v>1.8240000000000001</v>
      </c>
      <c r="V352" s="387">
        <v>0.86099999999999999</v>
      </c>
      <c r="W352" s="387">
        <v>1.669</v>
      </c>
      <c r="X352" s="387">
        <v>4.34</v>
      </c>
      <c r="Y352" s="387">
        <v>2.4489999999999998</v>
      </c>
      <c r="Z352" s="387">
        <v>0.91900000000000004</v>
      </c>
      <c r="AA352" s="387">
        <v>1.117</v>
      </c>
      <c r="AB352" s="387">
        <v>6.1639999999999997</v>
      </c>
      <c r="AC352" s="387">
        <v>9.1769999999999996</v>
      </c>
      <c r="AD352" s="387">
        <v>5.8769999999999998</v>
      </c>
      <c r="AE352" s="387">
        <v>10.097</v>
      </c>
      <c r="AF352" s="387">
        <v>6.359</v>
      </c>
      <c r="AG352" s="387">
        <v>7.3019999999999996</v>
      </c>
      <c r="AH352" s="387">
        <v>11.996</v>
      </c>
      <c r="AI352" s="387">
        <v>6.8010000000000002</v>
      </c>
      <c r="AJ352" s="387">
        <v>9.4600000000000009</v>
      </c>
      <c r="AK352" s="387">
        <v>9.3330000000000002</v>
      </c>
      <c r="AL352" s="387">
        <v>9.06</v>
      </c>
      <c r="AM352" s="387">
        <v>10.319000000000001</v>
      </c>
      <c r="AN352" s="387">
        <v>12.041</v>
      </c>
      <c r="AO352" s="387">
        <v>16.119</v>
      </c>
      <c r="AP352" s="387">
        <v>18.978000000000002</v>
      </c>
      <c r="AQ352" s="387">
        <v>19.808</v>
      </c>
      <c r="AR352" s="387">
        <v>19.131</v>
      </c>
      <c r="AS352" s="387">
        <v>27.73</v>
      </c>
      <c r="AT352" s="387">
        <v>20.375</v>
      </c>
      <c r="AU352" s="387">
        <v>38.261000000000003</v>
      </c>
      <c r="AV352" s="387">
        <v>25.09</v>
      </c>
      <c r="AW352" s="387">
        <v>25.808</v>
      </c>
      <c r="AX352" s="387">
        <v>28.027000000000001</v>
      </c>
      <c r="AY352" s="387">
        <v>34.817</v>
      </c>
      <c r="AZ352" s="387">
        <v>12.246</v>
      </c>
      <c r="BA352" s="387">
        <v>17.3</v>
      </c>
      <c r="BB352" s="387">
        <v>9.42</v>
      </c>
      <c r="BC352" s="387">
        <v>8.3569999999999993</v>
      </c>
      <c r="BD352" s="387">
        <v>5.5830000000000002</v>
      </c>
      <c r="BE352" s="387">
        <v>8.3559999999999999</v>
      </c>
      <c r="BF352" s="387">
        <v>3.238</v>
      </c>
      <c r="BG352" s="387">
        <v>0.68400000000000005</v>
      </c>
      <c r="BH352" s="387">
        <v>1.66</v>
      </c>
      <c r="BI352" s="387">
        <v>0</v>
      </c>
      <c r="BJ352" s="387">
        <v>0</v>
      </c>
      <c r="BK352" s="387">
        <v>0</v>
      </c>
      <c r="BL352" s="387">
        <v>0</v>
      </c>
      <c r="BM352" s="387">
        <v>0</v>
      </c>
      <c r="BN352" s="387">
        <v>0</v>
      </c>
      <c r="BO352" s="387">
        <v>0</v>
      </c>
    </row>
    <row r="353" spans="1:67" x14ac:dyDescent="0.2">
      <c r="A353" s="388" t="s">
        <v>898</v>
      </c>
      <c r="B353" s="389">
        <v>0</v>
      </c>
      <c r="C353" s="389">
        <v>0</v>
      </c>
      <c r="D353" s="389">
        <v>0</v>
      </c>
      <c r="E353" s="389">
        <v>0</v>
      </c>
      <c r="F353" s="389">
        <v>0</v>
      </c>
      <c r="G353" s="389">
        <v>0</v>
      </c>
      <c r="H353" s="389">
        <v>0</v>
      </c>
      <c r="I353" s="389">
        <v>0</v>
      </c>
      <c r="J353" s="389">
        <v>0</v>
      </c>
      <c r="K353" s="389">
        <v>0</v>
      </c>
      <c r="L353" s="389">
        <v>0</v>
      </c>
      <c r="M353" s="389">
        <v>0</v>
      </c>
      <c r="N353" s="389">
        <v>0</v>
      </c>
      <c r="O353" s="389">
        <v>0</v>
      </c>
      <c r="P353" s="389">
        <v>0</v>
      </c>
      <c r="Q353" s="389">
        <v>0</v>
      </c>
      <c r="R353" s="389">
        <v>0</v>
      </c>
      <c r="S353" s="389">
        <v>0.20300000000000001</v>
      </c>
      <c r="T353" s="389">
        <v>0.376</v>
      </c>
      <c r="U353" s="389">
        <v>0.51100000000000001</v>
      </c>
      <c r="V353" s="389">
        <v>0.51300000000000001</v>
      </c>
      <c r="W353" s="389">
        <v>0.68200000000000005</v>
      </c>
      <c r="X353" s="389">
        <v>1.571</v>
      </c>
      <c r="Y353" s="389">
        <v>1.1739999999999999</v>
      </c>
      <c r="Z353" s="389">
        <v>0.54600000000000004</v>
      </c>
      <c r="AA353" s="389">
        <v>0.69599999999999995</v>
      </c>
      <c r="AB353" s="389">
        <v>0.51500000000000001</v>
      </c>
      <c r="AC353" s="389">
        <v>1.3680000000000001</v>
      </c>
      <c r="AD353" s="389">
        <v>0.16200000000000001</v>
      </c>
      <c r="AE353" s="389">
        <v>0.77600000000000002</v>
      </c>
      <c r="AF353" s="389">
        <v>0.157</v>
      </c>
      <c r="AG353" s="389">
        <v>0</v>
      </c>
      <c r="AH353" s="389">
        <v>0.161</v>
      </c>
      <c r="AI353" s="389">
        <v>0.46800000000000003</v>
      </c>
      <c r="AJ353" s="389">
        <v>0.623</v>
      </c>
      <c r="AK353" s="389">
        <v>0.46600000000000003</v>
      </c>
      <c r="AL353" s="389">
        <v>0.15</v>
      </c>
      <c r="AM353" s="389">
        <v>0.85099999999999998</v>
      </c>
      <c r="AN353" s="389">
        <v>1.004</v>
      </c>
      <c r="AO353" s="389">
        <v>2.0209999999999999</v>
      </c>
      <c r="AP353" s="389">
        <v>1.66</v>
      </c>
      <c r="AQ353" s="389">
        <v>2.1040000000000001</v>
      </c>
      <c r="AR353" s="389">
        <v>3.738</v>
      </c>
      <c r="AS353" s="389">
        <v>4.5659999999999998</v>
      </c>
      <c r="AT353" s="389">
        <v>3.2749999999999999</v>
      </c>
      <c r="AU353" s="389">
        <v>3.0579999999999998</v>
      </c>
      <c r="AV353" s="389">
        <v>3.2589999999999999</v>
      </c>
      <c r="AW353" s="389">
        <v>4.9189999999999996</v>
      </c>
      <c r="AX353" s="389">
        <v>3.8919999999999999</v>
      </c>
      <c r="AY353" s="389">
        <v>3.5219999999999998</v>
      </c>
      <c r="AZ353" s="389">
        <v>1.3460000000000001</v>
      </c>
      <c r="BA353" s="389">
        <v>0.66800000000000004</v>
      </c>
      <c r="BB353" s="389">
        <v>0.63700000000000001</v>
      </c>
      <c r="BC353" s="389">
        <v>0.69799999999999995</v>
      </c>
      <c r="BD353" s="389">
        <v>0.32800000000000001</v>
      </c>
      <c r="BE353" s="389">
        <v>1.109</v>
      </c>
      <c r="BF353" s="389">
        <v>0</v>
      </c>
      <c r="BG353" s="389">
        <v>0</v>
      </c>
      <c r="BH353" s="389">
        <v>0</v>
      </c>
      <c r="BI353" s="389">
        <v>0</v>
      </c>
      <c r="BJ353" s="389">
        <v>0</v>
      </c>
      <c r="BK353" s="389">
        <v>0</v>
      </c>
      <c r="BL353" s="389">
        <v>0</v>
      </c>
      <c r="BM353" s="389">
        <v>0</v>
      </c>
      <c r="BN353" s="389">
        <v>0</v>
      </c>
      <c r="BO353" s="389">
        <v>0</v>
      </c>
    </row>
    <row r="354" spans="1:67" x14ac:dyDescent="0.2">
      <c r="A354" s="1039" t="s">
        <v>1491</v>
      </c>
    </row>
    <row r="355" spans="1:67" x14ac:dyDescent="0.2">
      <c r="A355" s="380" t="s">
        <v>3173</v>
      </c>
      <c r="B355" s="381" t="s">
        <v>1195</v>
      </c>
    </row>
    <row r="356" spans="1:67" x14ac:dyDescent="0.2">
      <c r="A356" s="382" t="s">
        <v>1196</v>
      </c>
      <c r="B356" s="383"/>
    </row>
    <row r="357" spans="1:67" x14ac:dyDescent="0.2">
      <c r="A357" s="384" t="s">
        <v>3175</v>
      </c>
      <c r="B357" s="384">
        <v>-25</v>
      </c>
      <c r="C357" s="384">
        <v>-24</v>
      </c>
      <c r="D357" s="384">
        <v>-23</v>
      </c>
      <c r="E357" s="384">
        <v>-22</v>
      </c>
      <c r="F357" s="384">
        <v>-21</v>
      </c>
      <c r="G357" s="384">
        <v>-20</v>
      </c>
      <c r="H357" s="384">
        <v>-19</v>
      </c>
      <c r="I357" s="384">
        <v>-18</v>
      </c>
      <c r="J357" s="384">
        <v>-17</v>
      </c>
      <c r="K357" s="384">
        <v>-16</v>
      </c>
      <c r="L357" s="384">
        <v>-15</v>
      </c>
      <c r="M357" s="384">
        <v>-14</v>
      </c>
      <c r="N357" s="384">
        <v>-13</v>
      </c>
      <c r="O357" s="384">
        <v>-12</v>
      </c>
      <c r="P357" s="384">
        <v>-11</v>
      </c>
      <c r="Q357" s="384">
        <v>-10</v>
      </c>
      <c r="R357" s="384">
        <v>-9</v>
      </c>
      <c r="S357" s="384">
        <v>-8</v>
      </c>
      <c r="T357" s="384">
        <v>-7</v>
      </c>
      <c r="U357" s="384">
        <v>-6</v>
      </c>
      <c r="V357" s="384">
        <v>-5</v>
      </c>
      <c r="W357" s="384">
        <v>-4</v>
      </c>
      <c r="X357" s="384">
        <v>-3</v>
      </c>
      <c r="Y357" s="384">
        <v>-2</v>
      </c>
      <c r="Z357" s="384">
        <v>-1</v>
      </c>
      <c r="AA357" s="384">
        <v>0</v>
      </c>
      <c r="AB357" s="384">
        <v>1</v>
      </c>
      <c r="AC357" s="384">
        <v>2</v>
      </c>
      <c r="AD357" s="384">
        <v>3</v>
      </c>
      <c r="AE357" s="384">
        <v>4</v>
      </c>
      <c r="AF357" s="384">
        <v>5</v>
      </c>
      <c r="AG357" s="384">
        <v>6</v>
      </c>
      <c r="AH357" s="384">
        <v>7</v>
      </c>
      <c r="AI357" s="384">
        <v>8</v>
      </c>
      <c r="AJ357" s="384">
        <v>9</v>
      </c>
      <c r="AK357" s="384">
        <v>10</v>
      </c>
      <c r="AL357" s="384">
        <v>11</v>
      </c>
      <c r="AM357" s="384">
        <v>12</v>
      </c>
      <c r="AN357" s="384">
        <v>13</v>
      </c>
      <c r="AO357" s="384">
        <v>14</v>
      </c>
      <c r="AP357" s="384">
        <v>15</v>
      </c>
      <c r="AQ357" s="384">
        <v>16</v>
      </c>
      <c r="AR357" s="384">
        <v>17</v>
      </c>
      <c r="AS357" s="384">
        <v>18</v>
      </c>
      <c r="AT357" s="384">
        <v>19</v>
      </c>
      <c r="AU357" s="384">
        <v>20</v>
      </c>
      <c r="AV357" s="384">
        <v>21</v>
      </c>
      <c r="AW357" s="384">
        <v>22</v>
      </c>
      <c r="AX357" s="384">
        <v>23</v>
      </c>
      <c r="AY357" s="384">
        <v>24</v>
      </c>
      <c r="AZ357" s="384">
        <v>25</v>
      </c>
      <c r="BA357" s="384">
        <v>26</v>
      </c>
      <c r="BB357" s="384">
        <v>27</v>
      </c>
      <c r="BC357" s="384">
        <v>28</v>
      </c>
      <c r="BD357" s="384">
        <v>29</v>
      </c>
      <c r="BE357" s="384">
        <v>30</v>
      </c>
      <c r="BF357" s="384">
        <v>31</v>
      </c>
      <c r="BG357" s="384">
        <v>32</v>
      </c>
      <c r="BH357" s="384">
        <v>33</v>
      </c>
      <c r="BI357" s="384">
        <v>34</v>
      </c>
      <c r="BJ357" s="384">
        <v>35</v>
      </c>
      <c r="BK357" s="384">
        <v>36</v>
      </c>
      <c r="BL357" s="384">
        <v>37</v>
      </c>
      <c r="BM357" s="384">
        <v>38</v>
      </c>
      <c r="BN357" s="384">
        <v>39</v>
      </c>
      <c r="BO357" s="384">
        <v>40</v>
      </c>
    </row>
    <row r="358" spans="1:67" x14ac:dyDescent="0.2">
      <c r="A358" s="385" t="s">
        <v>3176</v>
      </c>
      <c r="B358" s="385" t="e">
        <f ca="1">B380</f>
        <v>#N/A</v>
      </c>
      <c r="C358" s="385" t="e">
        <f t="shared" ref="C358:BN358" ca="1" si="0">C380</f>
        <v>#N/A</v>
      </c>
      <c r="D358" s="385" t="e">
        <f t="shared" ca="1" si="0"/>
        <v>#N/A</v>
      </c>
      <c r="E358" s="385" t="e">
        <f t="shared" ca="1" si="0"/>
        <v>#N/A</v>
      </c>
      <c r="F358" s="385" t="e">
        <f t="shared" ca="1" si="0"/>
        <v>#N/A</v>
      </c>
      <c r="G358" s="385" t="e">
        <f t="shared" ca="1" si="0"/>
        <v>#N/A</v>
      </c>
      <c r="H358" s="385" t="e">
        <f t="shared" ca="1" si="0"/>
        <v>#N/A</v>
      </c>
      <c r="I358" s="385" t="e">
        <f t="shared" ca="1" si="0"/>
        <v>#N/A</v>
      </c>
      <c r="J358" s="385" t="e">
        <f t="shared" ca="1" si="0"/>
        <v>#N/A</v>
      </c>
      <c r="K358" s="385" t="e">
        <f t="shared" ca="1" si="0"/>
        <v>#N/A</v>
      </c>
      <c r="L358" s="385" t="e">
        <f t="shared" ca="1" si="0"/>
        <v>#N/A</v>
      </c>
      <c r="M358" s="385" t="e">
        <f t="shared" ca="1" si="0"/>
        <v>#N/A</v>
      </c>
      <c r="N358" s="385" t="e">
        <f t="shared" ca="1" si="0"/>
        <v>#N/A</v>
      </c>
      <c r="O358" s="385" t="e">
        <f t="shared" ca="1" si="0"/>
        <v>#N/A</v>
      </c>
      <c r="P358" s="385" t="e">
        <f t="shared" ca="1" si="0"/>
        <v>#N/A</v>
      </c>
      <c r="Q358" s="385" t="e">
        <f t="shared" ca="1" si="0"/>
        <v>#N/A</v>
      </c>
      <c r="R358" s="385" t="e">
        <f t="shared" ca="1" si="0"/>
        <v>#N/A</v>
      </c>
      <c r="S358" s="385" t="e">
        <f t="shared" ca="1" si="0"/>
        <v>#N/A</v>
      </c>
      <c r="T358" s="385" t="e">
        <f t="shared" ca="1" si="0"/>
        <v>#N/A</v>
      </c>
      <c r="U358" s="385" t="e">
        <f t="shared" ca="1" si="0"/>
        <v>#N/A</v>
      </c>
      <c r="V358" s="385" t="e">
        <f t="shared" ca="1" si="0"/>
        <v>#N/A</v>
      </c>
      <c r="W358" s="385" t="e">
        <f t="shared" ca="1" si="0"/>
        <v>#N/A</v>
      </c>
      <c r="X358" s="385" t="e">
        <f t="shared" ca="1" si="0"/>
        <v>#N/A</v>
      </c>
      <c r="Y358" s="385" t="e">
        <f t="shared" ca="1" si="0"/>
        <v>#N/A</v>
      </c>
      <c r="Z358" s="385" t="e">
        <f t="shared" ca="1" si="0"/>
        <v>#N/A</v>
      </c>
      <c r="AA358" s="385" t="e">
        <f t="shared" ca="1" si="0"/>
        <v>#N/A</v>
      </c>
      <c r="AB358" s="385" t="e">
        <f t="shared" ca="1" si="0"/>
        <v>#N/A</v>
      </c>
      <c r="AC358" s="385" t="e">
        <f t="shared" ca="1" si="0"/>
        <v>#N/A</v>
      </c>
      <c r="AD358" s="385" t="e">
        <f t="shared" ca="1" si="0"/>
        <v>#N/A</v>
      </c>
      <c r="AE358" s="385" t="e">
        <f t="shared" ca="1" si="0"/>
        <v>#N/A</v>
      </c>
      <c r="AF358" s="385" t="e">
        <f t="shared" ca="1" si="0"/>
        <v>#N/A</v>
      </c>
      <c r="AG358" s="385" t="e">
        <f t="shared" ca="1" si="0"/>
        <v>#N/A</v>
      </c>
      <c r="AH358" s="385" t="e">
        <f t="shared" ca="1" si="0"/>
        <v>#N/A</v>
      </c>
      <c r="AI358" s="385" t="e">
        <f t="shared" ca="1" si="0"/>
        <v>#N/A</v>
      </c>
      <c r="AJ358" s="385" t="e">
        <f t="shared" ca="1" si="0"/>
        <v>#N/A</v>
      </c>
      <c r="AK358" s="385" t="e">
        <f t="shared" ca="1" si="0"/>
        <v>#N/A</v>
      </c>
      <c r="AL358" s="385" t="e">
        <f t="shared" ca="1" si="0"/>
        <v>#N/A</v>
      </c>
      <c r="AM358" s="385" t="e">
        <f t="shared" ca="1" si="0"/>
        <v>#N/A</v>
      </c>
      <c r="AN358" s="385" t="e">
        <f t="shared" ca="1" si="0"/>
        <v>#N/A</v>
      </c>
      <c r="AO358" s="385" t="e">
        <f t="shared" ca="1" si="0"/>
        <v>#N/A</v>
      </c>
      <c r="AP358" s="385" t="e">
        <f t="shared" ca="1" si="0"/>
        <v>#N/A</v>
      </c>
      <c r="AQ358" s="385" t="e">
        <f t="shared" ca="1" si="0"/>
        <v>#N/A</v>
      </c>
      <c r="AR358" s="385" t="e">
        <f t="shared" ca="1" si="0"/>
        <v>#N/A</v>
      </c>
      <c r="AS358" s="385" t="e">
        <f t="shared" ca="1" si="0"/>
        <v>#N/A</v>
      </c>
      <c r="AT358" s="385" t="e">
        <f t="shared" ca="1" si="0"/>
        <v>#N/A</v>
      </c>
      <c r="AU358" s="385" t="e">
        <f t="shared" ca="1" si="0"/>
        <v>#N/A</v>
      </c>
      <c r="AV358" s="385" t="e">
        <f t="shared" ca="1" si="0"/>
        <v>#N/A</v>
      </c>
      <c r="AW358" s="385" t="e">
        <f t="shared" ca="1" si="0"/>
        <v>#N/A</v>
      </c>
      <c r="AX358" s="385" t="e">
        <f t="shared" ca="1" si="0"/>
        <v>#N/A</v>
      </c>
      <c r="AY358" s="385" t="e">
        <f t="shared" ca="1" si="0"/>
        <v>#N/A</v>
      </c>
      <c r="AZ358" s="385" t="e">
        <f t="shared" ca="1" si="0"/>
        <v>#N/A</v>
      </c>
      <c r="BA358" s="385" t="e">
        <f t="shared" ca="1" si="0"/>
        <v>#N/A</v>
      </c>
      <c r="BB358" s="385" t="e">
        <f t="shared" ca="1" si="0"/>
        <v>#N/A</v>
      </c>
      <c r="BC358" s="385" t="e">
        <f t="shared" ca="1" si="0"/>
        <v>#N/A</v>
      </c>
      <c r="BD358" s="385" t="e">
        <f t="shared" ca="1" si="0"/>
        <v>#N/A</v>
      </c>
      <c r="BE358" s="385" t="e">
        <f t="shared" ca="1" si="0"/>
        <v>#N/A</v>
      </c>
      <c r="BF358" s="385" t="e">
        <f t="shared" ca="1" si="0"/>
        <v>#N/A</v>
      </c>
      <c r="BG358" s="385" t="e">
        <f t="shared" ca="1" si="0"/>
        <v>#N/A</v>
      </c>
      <c r="BH358" s="385" t="e">
        <f t="shared" ca="1" si="0"/>
        <v>#N/A</v>
      </c>
      <c r="BI358" s="385" t="e">
        <f t="shared" ca="1" si="0"/>
        <v>#N/A</v>
      </c>
      <c r="BJ358" s="385" t="e">
        <f t="shared" ca="1" si="0"/>
        <v>#N/A</v>
      </c>
      <c r="BK358" s="385" t="e">
        <f t="shared" ca="1" si="0"/>
        <v>#N/A</v>
      </c>
      <c r="BL358" s="385" t="e">
        <f t="shared" ca="1" si="0"/>
        <v>#N/A</v>
      </c>
      <c r="BM358" s="385" t="e">
        <f t="shared" ca="1" si="0"/>
        <v>#N/A</v>
      </c>
      <c r="BN358" s="385" t="e">
        <f t="shared" ca="1" si="0"/>
        <v>#N/A</v>
      </c>
      <c r="BO358" s="385" t="e">
        <f ca="1">BO380</f>
        <v>#N/A</v>
      </c>
    </row>
    <row r="359" spans="1:67" x14ac:dyDescent="0.2">
      <c r="A359" s="386" t="s">
        <v>893</v>
      </c>
      <c r="B359" s="386"/>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386"/>
      <c r="BK359" s="386"/>
      <c r="BL359" s="386"/>
      <c r="BM359" s="386"/>
      <c r="BN359" s="386"/>
      <c r="BO359" s="386"/>
    </row>
    <row r="360" spans="1:67" x14ac:dyDescent="0.2">
      <c r="A360" s="386" t="s">
        <v>894</v>
      </c>
      <c r="B360" s="387"/>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row>
    <row r="361" spans="1:67" x14ac:dyDescent="0.2">
      <c r="A361" s="386" t="s">
        <v>895</v>
      </c>
      <c r="B361" s="387"/>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row>
    <row r="362" spans="1:67" x14ac:dyDescent="0.2">
      <c r="A362" s="386" t="s">
        <v>896</v>
      </c>
      <c r="B362" s="387"/>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row>
    <row r="363" spans="1:67" x14ac:dyDescent="0.2">
      <c r="A363" s="386" t="s">
        <v>897</v>
      </c>
      <c r="B363" s="387"/>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row>
    <row r="364" spans="1:67" x14ac:dyDescent="0.2">
      <c r="A364" s="388" t="s">
        <v>898</v>
      </c>
      <c r="B364" s="389"/>
      <c r="C364" s="389"/>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row>
    <row r="366" spans="1:67" x14ac:dyDescent="0.2">
      <c r="A366" s="1039" t="s">
        <v>1490</v>
      </c>
      <c r="B366" s="554"/>
      <c r="C366" s="554"/>
      <c r="D366" s="554"/>
      <c r="E366" s="554"/>
      <c r="F366" s="554"/>
    </row>
    <row r="369" spans="1:125" x14ac:dyDescent="0.2">
      <c r="A369" s="1023" t="s">
        <v>1475</v>
      </c>
      <c r="B369" s="381" t="s">
        <v>202</v>
      </c>
    </row>
    <row r="370" spans="1:125" x14ac:dyDescent="0.2">
      <c r="A370" s="382" t="s">
        <v>3893</v>
      </c>
      <c r="B370" s="383"/>
    </row>
    <row r="371" spans="1:125" x14ac:dyDescent="0.2">
      <c r="A371" s="384" t="s">
        <v>3175</v>
      </c>
      <c r="AE371" s="384">
        <v>-25</v>
      </c>
      <c r="AF371" s="384">
        <v>-24</v>
      </c>
      <c r="AG371" s="384">
        <v>-23</v>
      </c>
      <c r="AH371" s="384">
        <v>-22</v>
      </c>
      <c r="AI371" s="384">
        <v>-21</v>
      </c>
      <c r="AJ371" s="384">
        <v>-20</v>
      </c>
      <c r="AK371" s="384">
        <v>-19</v>
      </c>
      <c r="AL371" s="384">
        <v>-18</v>
      </c>
      <c r="AM371" s="384">
        <v>-17</v>
      </c>
      <c r="AN371" s="384">
        <v>-16</v>
      </c>
      <c r="AO371" s="384">
        <v>-15</v>
      </c>
      <c r="AP371" s="384">
        <v>-14</v>
      </c>
      <c r="AQ371" s="384">
        <v>-13</v>
      </c>
      <c r="AR371" s="384">
        <v>-12</v>
      </c>
      <c r="AS371" s="384">
        <v>-11</v>
      </c>
      <c r="AT371" s="384">
        <v>-10</v>
      </c>
      <c r="AU371" s="384">
        <v>-9</v>
      </c>
      <c r="AV371" s="384">
        <v>-8</v>
      </c>
      <c r="AW371" s="384">
        <v>-7</v>
      </c>
      <c r="AX371" s="384">
        <v>-6</v>
      </c>
      <c r="AY371" s="384">
        <v>-5</v>
      </c>
      <c r="AZ371" s="384">
        <v>-4</v>
      </c>
      <c r="BA371" s="384">
        <v>-3</v>
      </c>
      <c r="BB371" s="384">
        <v>-2</v>
      </c>
      <c r="BC371" s="384">
        <v>-1</v>
      </c>
      <c r="BD371" s="384">
        <v>0</v>
      </c>
      <c r="BE371" s="384">
        <v>1</v>
      </c>
      <c r="BF371" s="384">
        <v>2</v>
      </c>
      <c r="BG371" s="384">
        <v>3</v>
      </c>
      <c r="BH371" s="384">
        <v>4</v>
      </c>
      <c r="BI371" s="384">
        <v>5</v>
      </c>
      <c r="BJ371" s="384">
        <v>6</v>
      </c>
      <c r="BK371" s="384">
        <v>7</v>
      </c>
      <c r="BL371" s="384">
        <v>8</v>
      </c>
      <c r="BM371" s="384">
        <v>9</v>
      </c>
      <c r="BN371" s="384">
        <v>10</v>
      </c>
      <c r="BO371" s="384">
        <v>11</v>
      </c>
      <c r="BP371" s="384">
        <v>12</v>
      </c>
      <c r="BQ371" s="384">
        <v>13</v>
      </c>
      <c r="BR371" s="384">
        <v>14</v>
      </c>
      <c r="BS371" s="384">
        <v>15</v>
      </c>
      <c r="BT371" s="384">
        <v>16</v>
      </c>
      <c r="BU371" s="384">
        <v>17</v>
      </c>
      <c r="BV371" s="384">
        <v>18</v>
      </c>
      <c r="BW371" s="384">
        <v>19</v>
      </c>
      <c r="BX371" s="384">
        <v>20</v>
      </c>
      <c r="BY371" s="384">
        <v>21</v>
      </c>
      <c r="BZ371" s="384">
        <v>22</v>
      </c>
      <c r="CA371" s="384">
        <v>23</v>
      </c>
      <c r="CB371" s="384">
        <v>24</v>
      </c>
      <c r="CC371" s="384">
        <v>25</v>
      </c>
      <c r="CD371" s="384">
        <v>26</v>
      </c>
      <c r="CE371" s="384">
        <v>27</v>
      </c>
      <c r="CF371" s="384">
        <v>28</v>
      </c>
      <c r="CG371" s="384">
        <v>29</v>
      </c>
      <c r="CH371" s="384">
        <v>30</v>
      </c>
      <c r="CI371" s="384">
        <v>31</v>
      </c>
      <c r="CJ371" s="384">
        <v>32</v>
      </c>
      <c r="CK371" s="384">
        <v>33</v>
      </c>
      <c r="CL371" s="384">
        <v>34</v>
      </c>
      <c r="CM371" s="384">
        <v>35</v>
      </c>
      <c r="CN371" s="384">
        <v>36</v>
      </c>
      <c r="CO371" s="384">
        <v>37</v>
      </c>
      <c r="CP371" s="384">
        <v>38</v>
      </c>
      <c r="CQ371" s="384">
        <v>39</v>
      </c>
      <c r="CR371" s="384">
        <v>40</v>
      </c>
    </row>
    <row r="372" spans="1:125" x14ac:dyDescent="0.2">
      <c r="A372" s="385" t="s">
        <v>3176</v>
      </c>
      <c r="AE372" s="385">
        <v>0</v>
      </c>
      <c r="AF372" s="385">
        <v>0</v>
      </c>
      <c r="AG372" s="385">
        <v>0</v>
      </c>
      <c r="AH372" s="385">
        <v>0</v>
      </c>
      <c r="AI372" s="385">
        <v>0</v>
      </c>
      <c r="AJ372" s="385">
        <v>0</v>
      </c>
      <c r="AK372" s="385">
        <v>0</v>
      </c>
      <c r="AL372" s="385">
        <v>0</v>
      </c>
      <c r="AM372" s="385">
        <v>0</v>
      </c>
      <c r="AN372" s="385">
        <v>0</v>
      </c>
      <c r="AO372" s="385">
        <v>0</v>
      </c>
      <c r="AP372" s="385">
        <v>0</v>
      </c>
      <c r="AQ372" s="385">
        <v>0</v>
      </c>
      <c r="AR372" s="385">
        <v>0</v>
      </c>
      <c r="AS372" s="385">
        <v>0</v>
      </c>
      <c r="AT372" s="385">
        <v>6</v>
      </c>
      <c r="AU372" s="385">
        <v>45</v>
      </c>
      <c r="AV372" s="385">
        <v>48</v>
      </c>
      <c r="AW372" s="385">
        <v>68</v>
      </c>
      <c r="AX372" s="385">
        <v>45</v>
      </c>
      <c r="AY372" s="385">
        <v>57</v>
      </c>
      <c r="AZ372" s="385">
        <v>56</v>
      </c>
      <c r="BA372" s="385">
        <v>128</v>
      </c>
      <c r="BB372" s="385">
        <v>180</v>
      </c>
      <c r="BC372" s="385">
        <v>197</v>
      </c>
      <c r="BD372" s="385">
        <v>249</v>
      </c>
      <c r="BE372" s="385">
        <v>332</v>
      </c>
      <c r="BF372" s="385">
        <v>381</v>
      </c>
      <c r="BG372" s="385">
        <v>451</v>
      </c>
      <c r="BH372" s="385">
        <v>459</v>
      </c>
      <c r="BI372" s="385">
        <v>335</v>
      </c>
      <c r="BJ372" s="385">
        <v>417</v>
      </c>
      <c r="BK372" s="385">
        <v>406</v>
      </c>
      <c r="BL372" s="385">
        <v>336</v>
      </c>
      <c r="BM372" s="385">
        <v>339</v>
      </c>
      <c r="BN372" s="385">
        <v>318</v>
      </c>
      <c r="BO372" s="385">
        <v>368</v>
      </c>
      <c r="BP372" s="385">
        <v>321</v>
      </c>
      <c r="BQ372" s="385">
        <v>350</v>
      </c>
      <c r="BR372" s="385">
        <v>378</v>
      </c>
      <c r="BS372" s="385">
        <v>330</v>
      </c>
      <c r="BT372" s="385">
        <v>390</v>
      </c>
      <c r="BU372" s="385">
        <v>365</v>
      </c>
      <c r="BV372" s="385">
        <v>295</v>
      </c>
      <c r="BW372" s="385">
        <v>238</v>
      </c>
      <c r="BX372" s="385">
        <v>188</v>
      </c>
      <c r="BY372" s="385">
        <v>146</v>
      </c>
      <c r="BZ372" s="385">
        <v>134</v>
      </c>
      <c r="CA372" s="385">
        <v>114</v>
      </c>
      <c r="CB372" s="385">
        <v>103</v>
      </c>
      <c r="CC372" s="385">
        <v>46</v>
      </c>
      <c r="CD372" s="385">
        <v>47</v>
      </c>
      <c r="CE372" s="385">
        <v>29</v>
      </c>
      <c r="CF372" s="385">
        <v>24</v>
      </c>
      <c r="CG372" s="385">
        <v>14</v>
      </c>
      <c r="CH372" s="385">
        <v>16</v>
      </c>
      <c r="CI372" s="385">
        <v>6</v>
      </c>
      <c r="CJ372" s="385">
        <v>2</v>
      </c>
      <c r="CK372" s="385">
        <v>3</v>
      </c>
      <c r="CL372" s="385">
        <v>0</v>
      </c>
      <c r="CM372" s="385">
        <v>0</v>
      </c>
      <c r="CN372" s="385">
        <v>0</v>
      </c>
      <c r="CO372" s="385">
        <v>0</v>
      </c>
      <c r="CP372" s="385">
        <v>0</v>
      </c>
      <c r="CQ372" s="385">
        <v>0</v>
      </c>
      <c r="CR372" s="385">
        <v>0</v>
      </c>
    </row>
    <row r="373" spans="1:125" x14ac:dyDescent="0.2">
      <c r="A373" s="552" t="s">
        <v>1485</v>
      </c>
      <c r="AE373" s="1034" t="e">
        <f ca="1">AE371+$E$390</f>
        <v>#N/A</v>
      </c>
      <c r="AF373" s="1034" t="e">
        <f t="shared" ref="AF373:CQ373" ca="1" si="1">AF371+$E$390</f>
        <v>#N/A</v>
      </c>
      <c r="AG373" s="1034" t="e">
        <f t="shared" ca="1" si="1"/>
        <v>#N/A</v>
      </c>
      <c r="AH373" s="1034" t="e">
        <f t="shared" ca="1" si="1"/>
        <v>#N/A</v>
      </c>
      <c r="AI373" s="1034" t="e">
        <f t="shared" ca="1" si="1"/>
        <v>#N/A</v>
      </c>
      <c r="AJ373" s="1034" t="e">
        <f t="shared" ca="1" si="1"/>
        <v>#N/A</v>
      </c>
      <c r="AK373" s="1034" t="e">
        <f t="shared" ca="1" si="1"/>
        <v>#N/A</v>
      </c>
      <c r="AL373" s="1034" t="e">
        <f t="shared" ca="1" si="1"/>
        <v>#N/A</v>
      </c>
      <c r="AM373" s="1034" t="e">
        <f t="shared" ca="1" si="1"/>
        <v>#N/A</v>
      </c>
      <c r="AN373" s="1034" t="e">
        <f t="shared" ca="1" si="1"/>
        <v>#N/A</v>
      </c>
      <c r="AO373" s="1034" t="e">
        <f t="shared" ca="1" si="1"/>
        <v>#N/A</v>
      </c>
      <c r="AP373" s="1034" t="e">
        <f t="shared" ca="1" si="1"/>
        <v>#N/A</v>
      </c>
      <c r="AQ373" s="1034" t="e">
        <f t="shared" ca="1" si="1"/>
        <v>#N/A</v>
      </c>
      <c r="AR373" s="1034" t="e">
        <f t="shared" ca="1" si="1"/>
        <v>#N/A</v>
      </c>
      <c r="AS373" s="1034" t="e">
        <f t="shared" ca="1" si="1"/>
        <v>#N/A</v>
      </c>
      <c r="AT373" s="1034" t="e">
        <f t="shared" ca="1" si="1"/>
        <v>#N/A</v>
      </c>
      <c r="AU373" s="1034" t="e">
        <f t="shared" ca="1" si="1"/>
        <v>#N/A</v>
      </c>
      <c r="AV373" s="1034" t="e">
        <f t="shared" ca="1" si="1"/>
        <v>#N/A</v>
      </c>
      <c r="AW373" s="1034" t="e">
        <f t="shared" ca="1" si="1"/>
        <v>#N/A</v>
      </c>
      <c r="AX373" s="1034" t="e">
        <f t="shared" ca="1" si="1"/>
        <v>#N/A</v>
      </c>
      <c r="AY373" s="1034" t="e">
        <f t="shared" ca="1" si="1"/>
        <v>#N/A</v>
      </c>
      <c r="AZ373" s="1034" t="e">
        <f t="shared" ca="1" si="1"/>
        <v>#N/A</v>
      </c>
      <c r="BA373" s="1034" t="e">
        <f t="shared" ca="1" si="1"/>
        <v>#N/A</v>
      </c>
      <c r="BB373" s="1034" t="e">
        <f t="shared" ca="1" si="1"/>
        <v>#N/A</v>
      </c>
      <c r="BC373" s="1034" t="e">
        <f t="shared" ca="1" si="1"/>
        <v>#N/A</v>
      </c>
      <c r="BD373" s="1034" t="e">
        <f t="shared" ca="1" si="1"/>
        <v>#N/A</v>
      </c>
      <c r="BE373" s="1034" t="e">
        <f t="shared" ca="1" si="1"/>
        <v>#N/A</v>
      </c>
      <c r="BF373" s="1034" t="e">
        <f t="shared" ca="1" si="1"/>
        <v>#N/A</v>
      </c>
      <c r="BG373" s="1034" t="e">
        <f t="shared" ca="1" si="1"/>
        <v>#N/A</v>
      </c>
      <c r="BH373" s="1034" t="e">
        <f t="shared" ca="1" si="1"/>
        <v>#N/A</v>
      </c>
      <c r="BI373" s="1034" t="e">
        <f t="shared" ca="1" si="1"/>
        <v>#N/A</v>
      </c>
      <c r="BJ373" s="1034" t="e">
        <f t="shared" ca="1" si="1"/>
        <v>#N/A</v>
      </c>
      <c r="BK373" s="1034" t="e">
        <f t="shared" ca="1" si="1"/>
        <v>#N/A</v>
      </c>
      <c r="BL373" s="1034" t="e">
        <f t="shared" ca="1" si="1"/>
        <v>#N/A</v>
      </c>
      <c r="BM373" s="1034" t="e">
        <f t="shared" ca="1" si="1"/>
        <v>#N/A</v>
      </c>
      <c r="BN373" s="1034" t="e">
        <f t="shared" ca="1" si="1"/>
        <v>#N/A</v>
      </c>
      <c r="BO373" s="1034" t="e">
        <f t="shared" ca="1" si="1"/>
        <v>#N/A</v>
      </c>
      <c r="BP373" s="1034" t="e">
        <f t="shared" ca="1" si="1"/>
        <v>#N/A</v>
      </c>
      <c r="BQ373" s="1034" t="e">
        <f t="shared" ca="1" si="1"/>
        <v>#N/A</v>
      </c>
      <c r="BR373" s="1034" t="e">
        <f t="shared" ca="1" si="1"/>
        <v>#N/A</v>
      </c>
      <c r="BS373" s="1034" t="e">
        <f t="shared" ca="1" si="1"/>
        <v>#N/A</v>
      </c>
      <c r="BT373" s="1034" t="e">
        <f t="shared" ca="1" si="1"/>
        <v>#N/A</v>
      </c>
      <c r="BU373" s="1034" t="e">
        <f t="shared" ca="1" si="1"/>
        <v>#N/A</v>
      </c>
      <c r="BV373" s="1034" t="e">
        <f t="shared" ca="1" si="1"/>
        <v>#N/A</v>
      </c>
      <c r="BW373" s="1034" t="e">
        <f t="shared" ca="1" si="1"/>
        <v>#N/A</v>
      </c>
      <c r="BX373" s="1034" t="e">
        <f t="shared" ca="1" si="1"/>
        <v>#N/A</v>
      </c>
      <c r="BY373" s="1034" t="e">
        <f t="shared" ca="1" si="1"/>
        <v>#N/A</v>
      </c>
      <c r="BZ373" s="1034" t="e">
        <f t="shared" ca="1" si="1"/>
        <v>#N/A</v>
      </c>
      <c r="CA373" s="1034" t="e">
        <f t="shared" ca="1" si="1"/>
        <v>#N/A</v>
      </c>
      <c r="CB373" s="1034" t="e">
        <f t="shared" ca="1" si="1"/>
        <v>#N/A</v>
      </c>
      <c r="CC373" s="1034" t="e">
        <f t="shared" ca="1" si="1"/>
        <v>#N/A</v>
      </c>
      <c r="CD373" s="1034" t="e">
        <f t="shared" ca="1" si="1"/>
        <v>#N/A</v>
      </c>
      <c r="CE373" s="1034" t="e">
        <f t="shared" ca="1" si="1"/>
        <v>#N/A</v>
      </c>
      <c r="CF373" s="1034" t="e">
        <f t="shared" ca="1" si="1"/>
        <v>#N/A</v>
      </c>
      <c r="CG373" s="1034" t="e">
        <f t="shared" ca="1" si="1"/>
        <v>#N/A</v>
      </c>
      <c r="CH373" s="1034" t="e">
        <f t="shared" ca="1" si="1"/>
        <v>#N/A</v>
      </c>
      <c r="CI373" s="1034" t="e">
        <f t="shared" ca="1" si="1"/>
        <v>#N/A</v>
      </c>
      <c r="CJ373" s="1034" t="e">
        <f t="shared" ca="1" si="1"/>
        <v>#N/A</v>
      </c>
      <c r="CK373" s="1034" t="e">
        <f t="shared" ca="1" si="1"/>
        <v>#N/A</v>
      </c>
      <c r="CL373" s="1034" t="e">
        <f t="shared" ca="1" si="1"/>
        <v>#N/A</v>
      </c>
      <c r="CM373" s="1034" t="e">
        <f t="shared" ca="1" si="1"/>
        <v>#N/A</v>
      </c>
      <c r="CN373" s="1034" t="e">
        <f t="shared" ca="1" si="1"/>
        <v>#N/A</v>
      </c>
      <c r="CO373" s="1034" t="e">
        <f t="shared" ca="1" si="1"/>
        <v>#N/A</v>
      </c>
      <c r="CP373" s="1034" t="e">
        <f t="shared" ca="1" si="1"/>
        <v>#N/A</v>
      </c>
      <c r="CQ373" s="1034" t="e">
        <f t="shared" ca="1" si="1"/>
        <v>#N/A</v>
      </c>
      <c r="CR373" s="1034" t="e">
        <f ca="1">CR371+$E$390</f>
        <v>#N/A</v>
      </c>
    </row>
    <row r="374" spans="1:125" x14ac:dyDescent="0.2">
      <c r="A374" s="552" t="s">
        <v>1486</v>
      </c>
      <c r="B374" s="1029" t="e">
        <f t="shared" ref="B374:AC374" ca="1" si="2">C374-1</f>
        <v>#N/A</v>
      </c>
      <c r="C374" s="1030" t="e">
        <f t="shared" ca="1" si="2"/>
        <v>#N/A</v>
      </c>
      <c r="D374" s="1030" t="e">
        <f t="shared" ca="1" si="2"/>
        <v>#N/A</v>
      </c>
      <c r="E374" s="1030" t="e">
        <f t="shared" ca="1" si="2"/>
        <v>#N/A</v>
      </c>
      <c r="F374" s="1030" t="e">
        <f t="shared" ca="1" si="2"/>
        <v>#N/A</v>
      </c>
      <c r="G374" s="1030" t="e">
        <f t="shared" ca="1" si="2"/>
        <v>#N/A</v>
      </c>
      <c r="H374" s="1030" t="e">
        <f t="shared" ca="1" si="2"/>
        <v>#N/A</v>
      </c>
      <c r="I374" s="1030" t="e">
        <f t="shared" ca="1" si="2"/>
        <v>#N/A</v>
      </c>
      <c r="J374" s="1030" t="e">
        <f t="shared" ca="1" si="2"/>
        <v>#N/A</v>
      </c>
      <c r="K374" s="1030" t="e">
        <f t="shared" ca="1" si="2"/>
        <v>#N/A</v>
      </c>
      <c r="L374" s="1030" t="e">
        <f t="shared" ca="1" si="2"/>
        <v>#N/A</v>
      </c>
      <c r="M374" s="1030" t="e">
        <f t="shared" ca="1" si="2"/>
        <v>#N/A</v>
      </c>
      <c r="N374" s="1030" t="e">
        <f t="shared" ca="1" si="2"/>
        <v>#N/A</v>
      </c>
      <c r="O374" s="1030" t="e">
        <f t="shared" ca="1" si="2"/>
        <v>#N/A</v>
      </c>
      <c r="P374" s="1030" t="e">
        <f t="shared" ca="1" si="2"/>
        <v>#N/A</v>
      </c>
      <c r="Q374" s="1030" t="e">
        <f t="shared" ca="1" si="2"/>
        <v>#N/A</v>
      </c>
      <c r="R374" s="1030" t="e">
        <f t="shared" ca="1" si="2"/>
        <v>#N/A</v>
      </c>
      <c r="S374" s="1030" t="e">
        <f t="shared" ca="1" si="2"/>
        <v>#N/A</v>
      </c>
      <c r="T374" s="1030" t="e">
        <f t="shared" ca="1" si="2"/>
        <v>#N/A</v>
      </c>
      <c r="U374" s="1030" t="e">
        <f t="shared" ca="1" si="2"/>
        <v>#N/A</v>
      </c>
      <c r="V374" s="1030" t="e">
        <f t="shared" ca="1" si="2"/>
        <v>#N/A</v>
      </c>
      <c r="W374" s="1030" t="e">
        <f t="shared" ca="1" si="2"/>
        <v>#N/A</v>
      </c>
      <c r="X374" s="1030" t="e">
        <f t="shared" ca="1" si="2"/>
        <v>#N/A</v>
      </c>
      <c r="Y374" s="1030" t="e">
        <f t="shared" ca="1" si="2"/>
        <v>#N/A</v>
      </c>
      <c r="Z374" s="1030" t="e">
        <f t="shared" ca="1" si="2"/>
        <v>#N/A</v>
      </c>
      <c r="AA374" s="1030" t="e">
        <f t="shared" ca="1" si="2"/>
        <v>#N/A</v>
      </c>
      <c r="AB374" s="1030" t="e">
        <f t="shared" ca="1" si="2"/>
        <v>#N/A</v>
      </c>
      <c r="AC374" s="1030" t="e">
        <f t="shared" ca="1" si="2"/>
        <v>#N/A</v>
      </c>
      <c r="AD374" s="1030" t="e">
        <f ca="1">AE374-1</f>
        <v>#N/A</v>
      </c>
      <c r="AE374" s="1031" t="e">
        <f ca="1">INT(AE373)</f>
        <v>#N/A</v>
      </c>
      <c r="AF374" s="1031" t="e">
        <f t="shared" ref="AF374:CQ374" ca="1" si="3">INT(AF373)</f>
        <v>#N/A</v>
      </c>
      <c r="AG374" s="1031" t="e">
        <f t="shared" ca="1" si="3"/>
        <v>#N/A</v>
      </c>
      <c r="AH374" s="1031" t="e">
        <f t="shared" ca="1" si="3"/>
        <v>#N/A</v>
      </c>
      <c r="AI374" s="1031" t="e">
        <f t="shared" ca="1" si="3"/>
        <v>#N/A</v>
      </c>
      <c r="AJ374" s="1031" t="e">
        <f t="shared" ca="1" si="3"/>
        <v>#N/A</v>
      </c>
      <c r="AK374" s="1031" t="e">
        <f t="shared" ca="1" si="3"/>
        <v>#N/A</v>
      </c>
      <c r="AL374" s="1031" t="e">
        <f t="shared" ca="1" si="3"/>
        <v>#N/A</v>
      </c>
      <c r="AM374" s="1031" t="e">
        <f t="shared" ca="1" si="3"/>
        <v>#N/A</v>
      </c>
      <c r="AN374" s="1031" t="e">
        <f t="shared" ca="1" si="3"/>
        <v>#N/A</v>
      </c>
      <c r="AO374" s="1031" t="e">
        <f t="shared" ca="1" si="3"/>
        <v>#N/A</v>
      </c>
      <c r="AP374" s="1031" t="e">
        <f t="shared" ca="1" si="3"/>
        <v>#N/A</v>
      </c>
      <c r="AQ374" s="1031" t="e">
        <f t="shared" ca="1" si="3"/>
        <v>#N/A</v>
      </c>
      <c r="AR374" s="1031" t="e">
        <f t="shared" ca="1" si="3"/>
        <v>#N/A</v>
      </c>
      <c r="AS374" s="1031" t="e">
        <f t="shared" ca="1" si="3"/>
        <v>#N/A</v>
      </c>
      <c r="AT374" s="1031" t="e">
        <f t="shared" ca="1" si="3"/>
        <v>#N/A</v>
      </c>
      <c r="AU374" s="1031" t="e">
        <f t="shared" ca="1" si="3"/>
        <v>#N/A</v>
      </c>
      <c r="AV374" s="1031" t="e">
        <f t="shared" ca="1" si="3"/>
        <v>#N/A</v>
      </c>
      <c r="AW374" s="1031" t="e">
        <f t="shared" ca="1" si="3"/>
        <v>#N/A</v>
      </c>
      <c r="AX374" s="1031" t="e">
        <f t="shared" ca="1" si="3"/>
        <v>#N/A</v>
      </c>
      <c r="AY374" s="1031" t="e">
        <f t="shared" ca="1" si="3"/>
        <v>#N/A</v>
      </c>
      <c r="AZ374" s="1031" t="e">
        <f t="shared" ca="1" si="3"/>
        <v>#N/A</v>
      </c>
      <c r="BA374" s="1031" t="e">
        <f t="shared" ca="1" si="3"/>
        <v>#N/A</v>
      </c>
      <c r="BB374" s="1031" t="e">
        <f t="shared" ca="1" si="3"/>
        <v>#N/A</v>
      </c>
      <c r="BC374" s="1031" t="e">
        <f t="shared" ca="1" si="3"/>
        <v>#N/A</v>
      </c>
      <c r="BD374" s="1031" t="e">
        <f t="shared" ca="1" si="3"/>
        <v>#N/A</v>
      </c>
      <c r="BE374" s="1031" t="e">
        <f t="shared" ca="1" si="3"/>
        <v>#N/A</v>
      </c>
      <c r="BF374" s="1031" t="e">
        <f t="shared" ca="1" si="3"/>
        <v>#N/A</v>
      </c>
      <c r="BG374" s="1031" t="e">
        <f t="shared" ca="1" si="3"/>
        <v>#N/A</v>
      </c>
      <c r="BH374" s="1031" t="e">
        <f t="shared" ca="1" si="3"/>
        <v>#N/A</v>
      </c>
      <c r="BI374" s="1031" t="e">
        <f t="shared" ca="1" si="3"/>
        <v>#N/A</v>
      </c>
      <c r="BJ374" s="1031" t="e">
        <f t="shared" ca="1" si="3"/>
        <v>#N/A</v>
      </c>
      <c r="BK374" s="1031" t="e">
        <f t="shared" ca="1" si="3"/>
        <v>#N/A</v>
      </c>
      <c r="BL374" s="1031" t="e">
        <f t="shared" ca="1" si="3"/>
        <v>#N/A</v>
      </c>
      <c r="BM374" s="1031" t="e">
        <f t="shared" ca="1" si="3"/>
        <v>#N/A</v>
      </c>
      <c r="BN374" s="1031" t="e">
        <f t="shared" ca="1" si="3"/>
        <v>#N/A</v>
      </c>
      <c r="BO374" s="1031" t="e">
        <f t="shared" ca="1" si="3"/>
        <v>#N/A</v>
      </c>
      <c r="BP374" s="1031" t="e">
        <f t="shared" ca="1" si="3"/>
        <v>#N/A</v>
      </c>
      <c r="BQ374" s="1031" t="e">
        <f t="shared" ca="1" si="3"/>
        <v>#N/A</v>
      </c>
      <c r="BR374" s="1031" t="e">
        <f t="shared" ca="1" si="3"/>
        <v>#N/A</v>
      </c>
      <c r="BS374" s="1031" t="e">
        <f t="shared" ca="1" si="3"/>
        <v>#N/A</v>
      </c>
      <c r="BT374" s="1031" t="e">
        <f t="shared" ca="1" si="3"/>
        <v>#N/A</v>
      </c>
      <c r="BU374" s="1031" t="e">
        <f t="shared" ca="1" si="3"/>
        <v>#N/A</v>
      </c>
      <c r="BV374" s="1031" t="e">
        <f t="shared" ca="1" si="3"/>
        <v>#N/A</v>
      </c>
      <c r="BW374" s="1031" t="e">
        <f t="shared" ca="1" si="3"/>
        <v>#N/A</v>
      </c>
      <c r="BX374" s="1031" t="e">
        <f t="shared" ca="1" si="3"/>
        <v>#N/A</v>
      </c>
      <c r="BY374" s="1031" t="e">
        <f t="shared" ca="1" si="3"/>
        <v>#N/A</v>
      </c>
      <c r="BZ374" s="1031" t="e">
        <f t="shared" ca="1" si="3"/>
        <v>#N/A</v>
      </c>
      <c r="CA374" s="1031" t="e">
        <f t="shared" ca="1" si="3"/>
        <v>#N/A</v>
      </c>
      <c r="CB374" s="1031" t="e">
        <f t="shared" ca="1" si="3"/>
        <v>#N/A</v>
      </c>
      <c r="CC374" s="1031" t="e">
        <f t="shared" ca="1" si="3"/>
        <v>#N/A</v>
      </c>
      <c r="CD374" s="1031" t="e">
        <f t="shared" ca="1" si="3"/>
        <v>#N/A</v>
      </c>
      <c r="CE374" s="1031" t="e">
        <f t="shared" ca="1" si="3"/>
        <v>#N/A</v>
      </c>
      <c r="CF374" s="1031" t="e">
        <f t="shared" ca="1" si="3"/>
        <v>#N/A</v>
      </c>
      <c r="CG374" s="1031" t="e">
        <f t="shared" ca="1" si="3"/>
        <v>#N/A</v>
      </c>
      <c r="CH374" s="1031" t="e">
        <f t="shared" ca="1" si="3"/>
        <v>#N/A</v>
      </c>
      <c r="CI374" s="1031" t="e">
        <f t="shared" ca="1" si="3"/>
        <v>#N/A</v>
      </c>
      <c r="CJ374" s="1031" t="e">
        <f t="shared" ca="1" si="3"/>
        <v>#N/A</v>
      </c>
      <c r="CK374" s="1031" t="e">
        <f t="shared" ca="1" si="3"/>
        <v>#N/A</v>
      </c>
      <c r="CL374" s="1031" t="e">
        <f t="shared" ca="1" si="3"/>
        <v>#N/A</v>
      </c>
      <c r="CM374" s="1031" t="e">
        <f t="shared" ca="1" si="3"/>
        <v>#N/A</v>
      </c>
      <c r="CN374" s="1031" t="e">
        <f t="shared" ca="1" si="3"/>
        <v>#N/A</v>
      </c>
      <c r="CO374" s="1031" t="e">
        <f t="shared" ca="1" si="3"/>
        <v>#N/A</v>
      </c>
      <c r="CP374" s="1031" t="e">
        <f t="shared" ca="1" si="3"/>
        <v>#N/A</v>
      </c>
      <c r="CQ374" s="1031" t="e">
        <f t="shared" ca="1" si="3"/>
        <v>#N/A</v>
      </c>
      <c r="CR374" s="1031" t="e">
        <f ca="1">INT(CR373)</f>
        <v>#N/A</v>
      </c>
      <c r="CS374" s="1031" t="e">
        <f ca="1">CR374+1</f>
        <v>#N/A</v>
      </c>
      <c r="CT374" s="1031" t="e">
        <f t="shared" ref="CT374:DU374" ca="1" si="4">CS374+1</f>
        <v>#N/A</v>
      </c>
      <c r="CU374" s="1031" t="e">
        <f t="shared" ca="1" si="4"/>
        <v>#N/A</v>
      </c>
      <c r="CV374" s="1031" t="e">
        <f t="shared" ca="1" si="4"/>
        <v>#N/A</v>
      </c>
      <c r="CW374" s="1031" t="e">
        <f t="shared" ca="1" si="4"/>
        <v>#N/A</v>
      </c>
      <c r="CX374" s="1031" t="e">
        <f t="shared" ca="1" si="4"/>
        <v>#N/A</v>
      </c>
      <c r="CY374" s="1031" t="e">
        <f t="shared" ca="1" si="4"/>
        <v>#N/A</v>
      </c>
      <c r="CZ374" s="1031" t="e">
        <f t="shared" ca="1" si="4"/>
        <v>#N/A</v>
      </c>
      <c r="DA374" s="1031" t="e">
        <f t="shared" ca="1" si="4"/>
        <v>#N/A</v>
      </c>
      <c r="DB374" s="1031" t="e">
        <f t="shared" ca="1" si="4"/>
        <v>#N/A</v>
      </c>
      <c r="DC374" s="1031" t="e">
        <f t="shared" ca="1" si="4"/>
        <v>#N/A</v>
      </c>
      <c r="DD374" s="1031" t="e">
        <f t="shared" ca="1" si="4"/>
        <v>#N/A</v>
      </c>
      <c r="DE374" s="1031" t="e">
        <f t="shared" ca="1" si="4"/>
        <v>#N/A</v>
      </c>
      <c r="DF374" s="1031" t="e">
        <f t="shared" ca="1" si="4"/>
        <v>#N/A</v>
      </c>
      <c r="DG374" s="1031" t="e">
        <f t="shared" ca="1" si="4"/>
        <v>#N/A</v>
      </c>
      <c r="DH374" s="1031" t="e">
        <f t="shared" ca="1" si="4"/>
        <v>#N/A</v>
      </c>
      <c r="DI374" s="1031" t="e">
        <f t="shared" ca="1" si="4"/>
        <v>#N/A</v>
      </c>
      <c r="DJ374" s="1031" t="e">
        <f t="shared" ca="1" si="4"/>
        <v>#N/A</v>
      </c>
      <c r="DK374" s="1031" t="e">
        <f t="shared" ca="1" si="4"/>
        <v>#N/A</v>
      </c>
      <c r="DL374" s="1031" t="e">
        <f t="shared" ca="1" si="4"/>
        <v>#N/A</v>
      </c>
      <c r="DM374" s="1031" t="e">
        <f t="shared" ca="1" si="4"/>
        <v>#N/A</v>
      </c>
      <c r="DN374" s="1031" t="e">
        <f t="shared" ca="1" si="4"/>
        <v>#N/A</v>
      </c>
      <c r="DO374" s="1031" t="e">
        <f t="shared" ca="1" si="4"/>
        <v>#N/A</v>
      </c>
      <c r="DP374" s="1031" t="e">
        <f t="shared" ca="1" si="4"/>
        <v>#N/A</v>
      </c>
      <c r="DQ374" s="1031" t="e">
        <f t="shared" ca="1" si="4"/>
        <v>#N/A</v>
      </c>
      <c r="DR374" s="1031" t="e">
        <f t="shared" ca="1" si="4"/>
        <v>#N/A</v>
      </c>
      <c r="DS374" s="1031" t="e">
        <f t="shared" ca="1" si="4"/>
        <v>#N/A</v>
      </c>
      <c r="DT374" s="1031" t="e">
        <f t="shared" ca="1" si="4"/>
        <v>#N/A</v>
      </c>
      <c r="DU374" s="1032" t="e">
        <f t="shared" ca="1" si="4"/>
        <v>#N/A</v>
      </c>
    </row>
    <row r="375" spans="1:125" x14ac:dyDescent="0.2">
      <c r="AE375" s="1035" t="e">
        <f ca="1">AE373-AE374</f>
        <v>#N/A</v>
      </c>
      <c r="AF375" s="1035" t="e">
        <f t="shared" ref="AF375:CQ375" ca="1" si="5">AF373-AF374</f>
        <v>#N/A</v>
      </c>
      <c r="AG375" s="1035" t="e">
        <f t="shared" ca="1" si="5"/>
        <v>#N/A</v>
      </c>
      <c r="AH375" s="1035" t="e">
        <f t="shared" ca="1" si="5"/>
        <v>#N/A</v>
      </c>
      <c r="AI375" s="1035" t="e">
        <f t="shared" ca="1" si="5"/>
        <v>#N/A</v>
      </c>
      <c r="AJ375" s="1035" t="e">
        <f t="shared" ca="1" si="5"/>
        <v>#N/A</v>
      </c>
      <c r="AK375" s="1035" t="e">
        <f t="shared" ca="1" si="5"/>
        <v>#N/A</v>
      </c>
      <c r="AL375" s="1035" t="e">
        <f t="shared" ca="1" si="5"/>
        <v>#N/A</v>
      </c>
      <c r="AM375" s="1035" t="e">
        <f t="shared" ca="1" si="5"/>
        <v>#N/A</v>
      </c>
      <c r="AN375" s="1035" t="e">
        <f t="shared" ca="1" si="5"/>
        <v>#N/A</v>
      </c>
      <c r="AO375" s="1035" t="e">
        <f t="shared" ca="1" si="5"/>
        <v>#N/A</v>
      </c>
      <c r="AP375" s="1035" t="e">
        <f t="shared" ca="1" si="5"/>
        <v>#N/A</v>
      </c>
      <c r="AQ375" s="1035" t="e">
        <f t="shared" ca="1" si="5"/>
        <v>#N/A</v>
      </c>
      <c r="AR375" s="1035" t="e">
        <f t="shared" ca="1" si="5"/>
        <v>#N/A</v>
      </c>
      <c r="AS375" s="1035" t="e">
        <f t="shared" ca="1" si="5"/>
        <v>#N/A</v>
      </c>
      <c r="AT375" s="1035" t="e">
        <f t="shared" ca="1" si="5"/>
        <v>#N/A</v>
      </c>
      <c r="AU375" s="1035" t="e">
        <f t="shared" ca="1" si="5"/>
        <v>#N/A</v>
      </c>
      <c r="AV375" s="1035" t="e">
        <f t="shared" ca="1" si="5"/>
        <v>#N/A</v>
      </c>
      <c r="AW375" s="1035" t="e">
        <f t="shared" ca="1" si="5"/>
        <v>#N/A</v>
      </c>
      <c r="AX375" s="1035" t="e">
        <f t="shared" ca="1" si="5"/>
        <v>#N/A</v>
      </c>
      <c r="AY375" s="1035" t="e">
        <f t="shared" ca="1" si="5"/>
        <v>#N/A</v>
      </c>
      <c r="AZ375" s="1035" t="e">
        <f t="shared" ca="1" si="5"/>
        <v>#N/A</v>
      </c>
      <c r="BA375" s="1035" t="e">
        <f t="shared" ca="1" si="5"/>
        <v>#N/A</v>
      </c>
      <c r="BB375" s="1035" t="e">
        <f t="shared" ca="1" si="5"/>
        <v>#N/A</v>
      </c>
      <c r="BC375" s="1035" t="e">
        <f t="shared" ca="1" si="5"/>
        <v>#N/A</v>
      </c>
      <c r="BD375" s="1035" t="e">
        <f t="shared" ca="1" si="5"/>
        <v>#N/A</v>
      </c>
      <c r="BE375" s="1035" t="e">
        <f t="shared" ca="1" si="5"/>
        <v>#N/A</v>
      </c>
      <c r="BF375" s="1035" t="e">
        <f t="shared" ca="1" si="5"/>
        <v>#N/A</v>
      </c>
      <c r="BG375" s="1035" t="e">
        <f t="shared" ca="1" si="5"/>
        <v>#N/A</v>
      </c>
      <c r="BH375" s="1035" t="e">
        <f t="shared" ca="1" si="5"/>
        <v>#N/A</v>
      </c>
      <c r="BI375" s="1035" t="e">
        <f t="shared" ca="1" si="5"/>
        <v>#N/A</v>
      </c>
      <c r="BJ375" s="1035" t="e">
        <f t="shared" ca="1" si="5"/>
        <v>#N/A</v>
      </c>
      <c r="BK375" s="1035" t="e">
        <f t="shared" ca="1" si="5"/>
        <v>#N/A</v>
      </c>
      <c r="BL375" s="1035" t="e">
        <f t="shared" ca="1" si="5"/>
        <v>#N/A</v>
      </c>
      <c r="BM375" s="1035" t="e">
        <f t="shared" ca="1" si="5"/>
        <v>#N/A</v>
      </c>
      <c r="BN375" s="1035" t="e">
        <f t="shared" ca="1" si="5"/>
        <v>#N/A</v>
      </c>
      <c r="BO375" s="1035" t="e">
        <f t="shared" ca="1" si="5"/>
        <v>#N/A</v>
      </c>
      <c r="BP375" s="1035" t="e">
        <f t="shared" ca="1" si="5"/>
        <v>#N/A</v>
      </c>
      <c r="BQ375" s="1035" t="e">
        <f t="shared" ca="1" si="5"/>
        <v>#N/A</v>
      </c>
      <c r="BR375" s="1035" t="e">
        <f t="shared" ca="1" si="5"/>
        <v>#N/A</v>
      </c>
      <c r="BS375" s="1035" t="e">
        <f t="shared" ca="1" si="5"/>
        <v>#N/A</v>
      </c>
      <c r="BT375" s="1035" t="e">
        <f t="shared" ca="1" si="5"/>
        <v>#N/A</v>
      </c>
      <c r="BU375" s="1035" t="e">
        <f t="shared" ca="1" si="5"/>
        <v>#N/A</v>
      </c>
      <c r="BV375" s="1035" t="e">
        <f t="shared" ca="1" si="5"/>
        <v>#N/A</v>
      </c>
      <c r="BW375" s="1035" t="e">
        <f t="shared" ca="1" si="5"/>
        <v>#N/A</v>
      </c>
      <c r="BX375" s="1035" t="e">
        <f t="shared" ca="1" si="5"/>
        <v>#N/A</v>
      </c>
      <c r="BY375" s="1035" t="e">
        <f t="shared" ca="1" si="5"/>
        <v>#N/A</v>
      </c>
      <c r="BZ375" s="1035" t="e">
        <f t="shared" ca="1" si="5"/>
        <v>#N/A</v>
      </c>
      <c r="CA375" s="1035" t="e">
        <f t="shared" ca="1" si="5"/>
        <v>#N/A</v>
      </c>
      <c r="CB375" s="1035" t="e">
        <f t="shared" ca="1" si="5"/>
        <v>#N/A</v>
      </c>
      <c r="CC375" s="1035" t="e">
        <f t="shared" ca="1" si="5"/>
        <v>#N/A</v>
      </c>
      <c r="CD375" s="1035" t="e">
        <f t="shared" ca="1" si="5"/>
        <v>#N/A</v>
      </c>
      <c r="CE375" s="1035" t="e">
        <f t="shared" ca="1" si="5"/>
        <v>#N/A</v>
      </c>
      <c r="CF375" s="1035" t="e">
        <f t="shared" ca="1" si="5"/>
        <v>#N/A</v>
      </c>
      <c r="CG375" s="1035" t="e">
        <f t="shared" ca="1" si="5"/>
        <v>#N/A</v>
      </c>
      <c r="CH375" s="1035" t="e">
        <f t="shared" ca="1" si="5"/>
        <v>#N/A</v>
      </c>
      <c r="CI375" s="1035" t="e">
        <f t="shared" ca="1" si="5"/>
        <v>#N/A</v>
      </c>
      <c r="CJ375" s="1035" t="e">
        <f t="shared" ca="1" si="5"/>
        <v>#N/A</v>
      </c>
      <c r="CK375" s="1035" t="e">
        <f t="shared" ca="1" si="5"/>
        <v>#N/A</v>
      </c>
      <c r="CL375" s="1035" t="e">
        <f t="shared" ca="1" si="5"/>
        <v>#N/A</v>
      </c>
      <c r="CM375" s="1035" t="e">
        <f t="shared" ca="1" si="5"/>
        <v>#N/A</v>
      </c>
      <c r="CN375" s="1035" t="e">
        <f t="shared" ca="1" si="5"/>
        <v>#N/A</v>
      </c>
      <c r="CO375" s="1035" t="e">
        <f t="shared" ca="1" si="5"/>
        <v>#N/A</v>
      </c>
      <c r="CP375" s="1035" t="e">
        <f t="shared" ca="1" si="5"/>
        <v>#N/A</v>
      </c>
      <c r="CQ375" s="1035" t="e">
        <f t="shared" ca="1" si="5"/>
        <v>#N/A</v>
      </c>
      <c r="CR375" s="1035" t="e">
        <f ca="1">CR373-CR374</f>
        <v>#N/A</v>
      </c>
    </row>
    <row r="376" spans="1:125" x14ac:dyDescent="0.2">
      <c r="AE376" s="1036" t="e">
        <f t="shared" ref="AE376:CP376" ca="1" si="6">1-AE375</f>
        <v>#N/A</v>
      </c>
      <c r="AF376" s="1036" t="e">
        <f t="shared" ca="1" si="6"/>
        <v>#N/A</v>
      </c>
      <c r="AG376" s="1036" t="e">
        <f t="shared" ca="1" si="6"/>
        <v>#N/A</v>
      </c>
      <c r="AH376" s="1036" t="e">
        <f t="shared" ca="1" si="6"/>
        <v>#N/A</v>
      </c>
      <c r="AI376" s="1036" t="e">
        <f t="shared" ca="1" si="6"/>
        <v>#N/A</v>
      </c>
      <c r="AJ376" s="1036" t="e">
        <f t="shared" ca="1" si="6"/>
        <v>#N/A</v>
      </c>
      <c r="AK376" s="1036" t="e">
        <f t="shared" ca="1" si="6"/>
        <v>#N/A</v>
      </c>
      <c r="AL376" s="1036" t="e">
        <f t="shared" ca="1" si="6"/>
        <v>#N/A</v>
      </c>
      <c r="AM376" s="1036" t="e">
        <f t="shared" ca="1" si="6"/>
        <v>#N/A</v>
      </c>
      <c r="AN376" s="1036" t="e">
        <f t="shared" ca="1" si="6"/>
        <v>#N/A</v>
      </c>
      <c r="AO376" s="1036" t="e">
        <f t="shared" ca="1" si="6"/>
        <v>#N/A</v>
      </c>
      <c r="AP376" s="1036" t="e">
        <f t="shared" ca="1" si="6"/>
        <v>#N/A</v>
      </c>
      <c r="AQ376" s="1036" t="e">
        <f t="shared" ca="1" si="6"/>
        <v>#N/A</v>
      </c>
      <c r="AR376" s="1036" t="e">
        <f t="shared" ca="1" si="6"/>
        <v>#N/A</v>
      </c>
      <c r="AS376" s="1036" t="e">
        <f t="shared" ca="1" si="6"/>
        <v>#N/A</v>
      </c>
      <c r="AT376" s="1036" t="e">
        <f t="shared" ca="1" si="6"/>
        <v>#N/A</v>
      </c>
      <c r="AU376" s="1036" t="e">
        <f t="shared" ca="1" si="6"/>
        <v>#N/A</v>
      </c>
      <c r="AV376" s="1036" t="e">
        <f t="shared" ca="1" si="6"/>
        <v>#N/A</v>
      </c>
      <c r="AW376" s="1036" t="e">
        <f t="shared" ca="1" si="6"/>
        <v>#N/A</v>
      </c>
      <c r="AX376" s="1036" t="e">
        <f t="shared" ca="1" si="6"/>
        <v>#N/A</v>
      </c>
      <c r="AY376" s="1036" t="e">
        <f t="shared" ca="1" si="6"/>
        <v>#N/A</v>
      </c>
      <c r="AZ376" s="1036" t="e">
        <f t="shared" ca="1" si="6"/>
        <v>#N/A</v>
      </c>
      <c r="BA376" s="1036" t="e">
        <f t="shared" ca="1" si="6"/>
        <v>#N/A</v>
      </c>
      <c r="BB376" s="1036" t="e">
        <f t="shared" ca="1" si="6"/>
        <v>#N/A</v>
      </c>
      <c r="BC376" s="1036" t="e">
        <f t="shared" ca="1" si="6"/>
        <v>#N/A</v>
      </c>
      <c r="BD376" s="1036" t="e">
        <f t="shared" ca="1" si="6"/>
        <v>#N/A</v>
      </c>
      <c r="BE376" s="1036" t="e">
        <f t="shared" ca="1" si="6"/>
        <v>#N/A</v>
      </c>
      <c r="BF376" s="1036" t="e">
        <f t="shared" ca="1" si="6"/>
        <v>#N/A</v>
      </c>
      <c r="BG376" s="1036" t="e">
        <f t="shared" ca="1" si="6"/>
        <v>#N/A</v>
      </c>
      <c r="BH376" s="1036" t="e">
        <f t="shared" ca="1" si="6"/>
        <v>#N/A</v>
      </c>
      <c r="BI376" s="1036" t="e">
        <f t="shared" ca="1" si="6"/>
        <v>#N/A</v>
      </c>
      <c r="BJ376" s="1036" t="e">
        <f t="shared" ca="1" si="6"/>
        <v>#N/A</v>
      </c>
      <c r="BK376" s="1036" t="e">
        <f t="shared" ca="1" si="6"/>
        <v>#N/A</v>
      </c>
      <c r="BL376" s="1036" t="e">
        <f t="shared" ca="1" si="6"/>
        <v>#N/A</v>
      </c>
      <c r="BM376" s="1036" t="e">
        <f t="shared" ca="1" si="6"/>
        <v>#N/A</v>
      </c>
      <c r="BN376" s="1036" t="e">
        <f t="shared" ca="1" si="6"/>
        <v>#N/A</v>
      </c>
      <c r="BO376" s="1036" t="e">
        <f t="shared" ca="1" si="6"/>
        <v>#N/A</v>
      </c>
      <c r="BP376" s="1036" t="e">
        <f t="shared" ca="1" si="6"/>
        <v>#N/A</v>
      </c>
      <c r="BQ376" s="1036" t="e">
        <f t="shared" ca="1" si="6"/>
        <v>#N/A</v>
      </c>
      <c r="BR376" s="1036" t="e">
        <f t="shared" ca="1" si="6"/>
        <v>#N/A</v>
      </c>
      <c r="BS376" s="1036" t="e">
        <f t="shared" ca="1" si="6"/>
        <v>#N/A</v>
      </c>
      <c r="BT376" s="1036" t="e">
        <f t="shared" ca="1" si="6"/>
        <v>#N/A</v>
      </c>
      <c r="BU376" s="1036" t="e">
        <f t="shared" ca="1" si="6"/>
        <v>#N/A</v>
      </c>
      <c r="BV376" s="1036" t="e">
        <f t="shared" ca="1" si="6"/>
        <v>#N/A</v>
      </c>
      <c r="BW376" s="1036" t="e">
        <f t="shared" ca="1" si="6"/>
        <v>#N/A</v>
      </c>
      <c r="BX376" s="1036" t="e">
        <f t="shared" ca="1" si="6"/>
        <v>#N/A</v>
      </c>
      <c r="BY376" s="1036" t="e">
        <f t="shared" ca="1" si="6"/>
        <v>#N/A</v>
      </c>
      <c r="BZ376" s="1036" t="e">
        <f t="shared" ca="1" si="6"/>
        <v>#N/A</v>
      </c>
      <c r="CA376" s="1036" t="e">
        <f t="shared" ca="1" si="6"/>
        <v>#N/A</v>
      </c>
      <c r="CB376" s="1036" t="e">
        <f t="shared" ca="1" si="6"/>
        <v>#N/A</v>
      </c>
      <c r="CC376" s="1036" t="e">
        <f t="shared" ca="1" si="6"/>
        <v>#N/A</v>
      </c>
      <c r="CD376" s="1036" t="e">
        <f t="shared" ca="1" si="6"/>
        <v>#N/A</v>
      </c>
      <c r="CE376" s="1036" t="e">
        <f t="shared" ca="1" si="6"/>
        <v>#N/A</v>
      </c>
      <c r="CF376" s="1036" t="e">
        <f t="shared" ca="1" si="6"/>
        <v>#N/A</v>
      </c>
      <c r="CG376" s="1036" t="e">
        <f t="shared" ca="1" si="6"/>
        <v>#N/A</v>
      </c>
      <c r="CH376" s="1036" t="e">
        <f t="shared" ca="1" si="6"/>
        <v>#N/A</v>
      </c>
      <c r="CI376" s="1036" t="e">
        <f t="shared" ca="1" si="6"/>
        <v>#N/A</v>
      </c>
      <c r="CJ376" s="1036" t="e">
        <f t="shared" ca="1" si="6"/>
        <v>#N/A</v>
      </c>
      <c r="CK376" s="1036" t="e">
        <f t="shared" ca="1" si="6"/>
        <v>#N/A</v>
      </c>
      <c r="CL376" s="1036" t="e">
        <f t="shared" ca="1" si="6"/>
        <v>#N/A</v>
      </c>
      <c r="CM376" s="1036" t="e">
        <f t="shared" ca="1" si="6"/>
        <v>#N/A</v>
      </c>
      <c r="CN376" s="1036" t="e">
        <f t="shared" ca="1" si="6"/>
        <v>#N/A</v>
      </c>
      <c r="CO376" s="1036" t="e">
        <f t="shared" ca="1" si="6"/>
        <v>#N/A</v>
      </c>
      <c r="CP376" s="1036" t="e">
        <f t="shared" ca="1" si="6"/>
        <v>#N/A</v>
      </c>
      <c r="CQ376" s="1036" t="e">
        <f ca="1">1-CQ375</f>
        <v>#N/A</v>
      </c>
      <c r="CR376" s="1036" t="e">
        <f ca="1">1-CR375</f>
        <v>#N/A</v>
      </c>
    </row>
    <row r="377" spans="1:125" x14ac:dyDescent="0.2">
      <c r="B377" s="1029">
        <v>0</v>
      </c>
      <c r="C377" s="1030">
        <v>0</v>
      </c>
      <c r="D377" s="1030">
        <v>0</v>
      </c>
      <c r="E377" s="1030">
        <v>0</v>
      </c>
      <c r="F377" s="1030">
        <v>0</v>
      </c>
      <c r="G377" s="1030">
        <v>0</v>
      </c>
      <c r="H377" s="1030">
        <v>0</v>
      </c>
      <c r="I377" s="1030">
        <v>0</v>
      </c>
      <c r="J377" s="1030">
        <v>0</v>
      </c>
      <c r="K377" s="1030">
        <v>0</v>
      </c>
      <c r="L377" s="1030">
        <v>0</v>
      </c>
      <c r="M377" s="1030">
        <v>0</v>
      </c>
      <c r="N377" s="1030">
        <v>0</v>
      </c>
      <c r="O377" s="1030">
        <v>0</v>
      </c>
      <c r="P377" s="1030">
        <v>0</v>
      </c>
      <c r="Q377" s="1030">
        <v>0</v>
      </c>
      <c r="R377" s="1030">
        <v>0</v>
      </c>
      <c r="S377" s="1030">
        <v>0</v>
      </c>
      <c r="T377" s="1030">
        <v>0</v>
      </c>
      <c r="U377" s="1030">
        <v>0</v>
      </c>
      <c r="V377" s="1030">
        <v>0</v>
      </c>
      <c r="W377" s="1030">
        <v>0</v>
      </c>
      <c r="X377" s="1030">
        <v>0</v>
      </c>
      <c r="Y377" s="1030">
        <v>0</v>
      </c>
      <c r="Z377" s="1030">
        <v>0</v>
      </c>
      <c r="AA377" s="1030">
        <v>0</v>
      </c>
      <c r="AB377" s="1030">
        <v>0</v>
      </c>
      <c r="AC377" s="1030">
        <v>0</v>
      </c>
      <c r="AD377" s="1030">
        <v>0</v>
      </c>
      <c r="AE377" s="1031">
        <v>0</v>
      </c>
      <c r="AF377" s="1031" t="e">
        <f t="shared" ref="AF377:BK377" ca="1" si="7">AF372*AF376+AE372*AF375</f>
        <v>#N/A</v>
      </c>
      <c r="AG377" s="1031" t="e">
        <f t="shared" ca="1" si="7"/>
        <v>#N/A</v>
      </c>
      <c r="AH377" s="1031" t="e">
        <f t="shared" ca="1" si="7"/>
        <v>#N/A</v>
      </c>
      <c r="AI377" s="1031" t="e">
        <f t="shared" ca="1" si="7"/>
        <v>#N/A</v>
      </c>
      <c r="AJ377" s="1031" t="e">
        <f t="shared" ca="1" si="7"/>
        <v>#N/A</v>
      </c>
      <c r="AK377" s="1031" t="e">
        <f t="shared" ca="1" si="7"/>
        <v>#N/A</v>
      </c>
      <c r="AL377" s="1031" t="e">
        <f t="shared" ca="1" si="7"/>
        <v>#N/A</v>
      </c>
      <c r="AM377" s="1031" t="e">
        <f t="shared" ca="1" si="7"/>
        <v>#N/A</v>
      </c>
      <c r="AN377" s="1031" t="e">
        <f t="shared" ca="1" si="7"/>
        <v>#N/A</v>
      </c>
      <c r="AO377" s="1031" t="e">
        <f t="shared" ca="1" si="7"/>
        <v>#N/A</v>
      </c>
      <c r="AP377" s="1031" t="e">
        <f t="shared" ca="1" si="7"/>
        <v>#N/A</v>
      </c>
      <c r="AQ377" s="1031" t="e">
        <f t="shared" ca="1" si="7"/>
        <v>#N/A</v>
      </c>
      <c r="AR377" s="1031" t="e">
        <f t="shared" ca="1" si="7"/>
        <v>#N/A</v>
      </c>
      <c r="AS377" s="1031" t="e">
        <f t="shared" ca="1" si="7"/>
        <v>#N/A</v>
      </c>
      <c r="AT377" s="1031" t="e">
        <f t="shared" ca="1" si="7"/>
        <v>#N/A</v>
      </c>
      <c r="AU377" s="1031" t="e">
        <f t="shared" ca="1" si="7"/>
        <v>#N/A</v>
      </c>
      <c r="AV377" s="1031" t="e">
        <f t="shared" ca="1" si="7"/>
        <v>#N/A</v>
      </c>
      <c r="AW377" s="1031" t="e">
        <f t="shared" ca="1" si="7"/>
        <v>#N/A</v>
      </c>
      <c r="AX377" s="1031" t="e">
        <f t="shared" ca="1" si="7"/>
        <v>#N/A</v>
      </c>
      <c r="AY377" s="1031" t="e">
        <f t="shared" ca="1" si="7"/>
        <v>#N/A</v>
      </c>
      <c r="AZ377" s="1031" t="e">
        <f t="shared" ca="1" si="7"/>
        <v>#N/A</v>
      </c>
      <c r="BA377" s="1031" t="e">
        <f t="shared" ca="1" si="7"/>
        <v>#N/A</v>
      </c>
      <c r="BB377" s="1031" t="e">
        <f t="shared" ca="1" si="7"/>
        <v>#N/A</v>
      </c>
      <c r="BC377" s="1031" t="e">
        <f t="shared" ca="1" si="7"/>
        <v>#N/A</v>
      </c>
      <c r="BD377" s="1031" t="e">
        <f t="shared" ca="1" si="7"/>
        <v>#N/A</v>
      </c>
      <c r="BE377" s="1031" t="e">
        <f t="shared" ca="1" si="7"/>
        <v>#N/A</v>
      </c>
      <c r="BF377" s="1031" t="e">
        <f t="shared" ca="1" si="7"/>
        <v>#N/A</v>
      </c>
      <c r="BG377" s="1031" t="e">
        <f t="shared" ca="1" si="7"/>
        <v>#N/A</v>
      </c>
      <c r="BH377" s="1031" t="e">
        <f t="shared" ca="1" si="7"/>
        <v>#N/A</v>
      </c>
      <c r="BI377" s="1031" t="e">
        <f t="shared" ca="1" si="7"/>
        <v>#N/A</v>
      </c>
      <c r="BJ377" s="1031" t="e">
        <f t="shared" ca="1" si="7"/>
        <v>#N/A</v>
      </c>
      <c r="BK377" s="1031" t="e">
        <f t="shared" ca="1" si="7"/>
        <v>#N/A</v>
      </c>
      <c r="BL377" s="1031" t="e">
        <f t="shared" ref="BL377:CQ377" ca="1" si="8">BL372*BL376+BK372*BL375</f>
        <v>#N/A</v>
      </c>
      <c r="BM377" s="1031" t="e">
        <f t="shared" ca="1" si="8"/>
        <v>#N/A</v>
      </c>
      <c r="BN377" s="1031" t="e">
        <f t="shared" ca="1" si="8"/>
        <v>#N/A</v>
      </c>
      <c r="BO377" s="1031" t="e">
        <f t="shared" ca="1" si="8"/>
        <v>#N/A</v>
      </c>
      <c r="BP377" s="1031" t="e">
        <f t="shared" ca="1" si="8"/>
        <v>#N/A</v>
      </c>
      <c r="BQ377" s="1031" t="e">
        <f t="shared" ca="1" si="8"/>
        <v>#N/A</v>
      </c>
      <c r="BR377" s="1031" t="e">
        <f t="shared" ca="1" si="8"/>
        <v>#N/A</v>
      </c>
      <c r="BS377" s="1031" t="e">
        <f t="shared" ca="1" si="8"/>
        <v>#N/A</v>
      </c>
      <c r="BT377" s="1031" t="e">
        <f t="shared" ca="1" si="8"/>
        <v>#N/A</v>
      </c>
      <c r="BU377" s="1031" t="e">
        <f t="shared" ca="1" si="8"/>
        <v>#N/A</v>
      </c>
      <c r="BV377" s="1031" t="e">
        <f t="shared" ca="1" si="8"/>
        <v>#N/A</v>
      </c>
      <c r="BW377" s="1031" t="e">
        <f t="shared" ca="1" si="8"/>
        <v>#N/A</v>
      </c>
      <c r="BX377" s="1031" t="e">
        <f t="shared" ca="1" si="8"/>
        <v>#N/A</v>
      </c>
      <c r="BY377" s="1031" t="e">
        <f t="shared" ca="1" si="8"/>
        <v>#N/A</v>
      </c>
      <c r="BZ377" s="1031" t="e">
        <f t="shared" ca="1" si="8"/>
        <v>#N/A</v>
      </c>
      <c r="CA377" s="1031" t="e">
        <f t="shared" ca="1" si="8"/>
        <v>#N/A</v>
      </c>
      <c r="CB377" s="1031" t="e">
        <f t="shared" ca="1" si="8"/>
        <v>#N/A</v>
      </c>
      <c r="CC377" s="1031" t="e">
        <f t="shared" ca="1" si="8"/>
        <v>#N/A</v>
      </c>
      <c r="CD377" s="1031" t="e">
        <f t="shared" ca="1" si="8"/>
        <v>#N/A</v>
      </c>
      <c r="CE377" s="1031" t="e">
        <f t="shared" ca="1" si="8"/>
        <v>#N/A</v>
      </c>
      <c r="CF377" s="1031" t="e">
        <f t="shared" ca="1" si="8"/>
        <v>#N/A</v>
      </c>
      <c r="CG377" s="1031" t="e">
        <f t="shared" ca="1" si="8"/>
        <v>#N/A</v>
      </c>
      <c r="CH377" s="1031" t="e">
        <f t="shared" ca="1" si="8"/>
        <v>#N/A</v>
      </c>
      <c r="CI377" s="1031" t="e">
        <f t="shared" ca="1" si="8"/>
        <v>#N/A</v>
      </c>
      <c r="CJ377" s="1031" t="e">
        <f t="shared" ca="1" si="8"/>
        <v>#N/A</v>
      </c>
      <c r="CK377" s="1031" t="e">
        <f t="shared" ca="1" si="8"/>
        <v>#N/A</v>
      </c>
      <c r="CL377" s="1031" t="e">
        <f t="shared" ca="1" si="8"/>
        <v>#N/A</v>
      </c>
      <c r="CM377" s="1031" t="e">
        <f t="shared" ca="1" si="8"/>
        <v>#N/A</v>
      </c>
      <c r="CN377" s="1031" t="e">
        <f t="shared" ca="1" si="8"/>
        <v>#N/A</v>
      </c>
      <c r="CO377" s="1031" t="e">
        <f t="shared" ca="1" si="8"/>
        <v>#N/A</v>
      </c>
      <c r="CP377" s="1031" t="e">
        <f t="shared" ca="1" si="8"/>
        <v>#N/A</v>
      </c>
      <c r="CQ377" s="1031" t="e">
        <f t="shared" ca="1" si="8"/>
        <v>#N/A</v>
      </c>
      <c r="CR377" s="1031" t="e">
        <f ca="1">CR372*CR376+CQ372*CR375</f>
        <v>#N/A</v>
      </c>
      <c r="CS377" s="1030">
        <v>0</v>
      </c>
      <c r="CT377" s="1030">
        <v>0</v>
      </c>
      <c r="CU377" s="1030">
        <v>0</v>
      </c>
      <c r="CV377" s="1030">
        <v>0</v>
      </c>
      <c r="CW377" s="1030">
        <v>0</v>
      </c>
      <c r="CX377" s="1030">
        <v>0</v>
      </c>
      <c r="CY377" s="1030">
        <v>0</v>
      </c>
      <c r="CZ377" s="1030">
        <v>0</v>
      </c>
      <c r="DA377" s="1030">
        <v>0</v>
      </c>
      <c r="DB377" s="1030">
        <v>0</v>
      </c>
      <c r="DC377" s="1030">
        <v>0</v>
      </c>
      <c r="DD377" s="1030">
        <v>0</v>
      </c>
      <c r="DE377" s="1030">
        <v>0</v>
      </c>
      <c r="DF377" s="1030">
        <v>0</v>
      </c>
      <c r="DG377" s="1030">
        <v>0</v>
      </c>
      <c r="DH377" s="1030">
        <v>0</v>
      </c>
      <c r="DI377" s="1030">
        <v>0</v>
      </c>
      <c r="DJ377" s="1030">
        <v>0</v>
      </c>
      <c r="DK377" s="1030">
        <v>0</v>
      </c>
      <c r="DL377" s="1030">
        <v>0</v>
      </c>
      <c r="DM377" s="1030">
        <v>0</v>
      </c>
      <c r="DN377" s="1030">
        <v>0</v>
      </c>
      <c r="DO377" s="1030">
        <v>0</v>
      </c>
      <c r="DP377" s="1030">
        <v>0</v>
      </c>
      <c r="DQ377" s="1030">
        <v>0</v>
      </c>
      <c r="DR377" s="1030">
        <v>0</v>
      </c>
      <c r="DS377" s="1030">
        <v>0</v>
      </c>
      <c r="DT377" s="1030">
        <v>0</v>
      </c>
      <c r="DU377" s="1033">
        <v>0</v>
      </c>
    </row>
    <row r="378" spans="1:125" x14ac:dyDescent="0.2">
      <c r="A378" s="552" t="s">
        <v>1487</v>
      </c>
      <c r="B378" t="e">
        <f ca="1">AE371-AE374</f>
        <v>#N/A</v>
      </c>
      <c r="AE378" s="1028"/>
      <c r="AF378" s="1028"/>
      <c r="AG378" s="1028"/>
      <c r="AH378" s="1028"/>
      <c r="AI378" s="1028"/>
      <c r="AJ378" s="1028"/>
      <c r="AK378" s="1028"/>
      <c r="AL378" s="1028"/>
      <c r="AM378" s="1028"/>
      <c r="AN378" s="1028"/>
      <c r="AO378" s="1028"/>
      <c r="AP378" s="1028"/>
      <c r="AQ378" s="1028"/>
      <c r="AR378" s="1028"/>
      <c r="AS378" s="1028"/>
      <c r="AT378" s="1028"/>
      <c r="AU378" s="1028"/>
      <c r="AV378" s="1028"/>
      <c r="AW378" s="1028"/>
      <c r="AX378" s="1028"/>
      <c r="AY378" s="1028"/>
      <c r="AZ378" s="1028"/>
      <c r="BA378" s="1028"/>
      <c r="BB378" s="1028"/>
      <c r="BC378" s="1028"/>
      <c r="BD378" s="1028"/>
      <c r="BE378" s="1028"/>
      <c r="BF378" s="1028"/>
      <c r="BG378" s="1028"/>
      <c r="BH378" s="1028"/>
      <c r="BI378" s="1028"/>
      <c r="BJ378" s="1028"/>
      <c r="BK378" s="1028"/>
      <c r="BL378" s="1028"/>
      <c r="BM378" s="1028"/>
      <c r="BN378" s="1028"/>
      <c r="BO378" s="1028"/>
      <c r="BP378" s="1028"/>
      <c r="BQ378" s="1028"/>
      <c r="BR378" s="1028"/>
      <c r="BS378" s="1028"/>
      <c r="BT378" s="1028"/>
      <c r="BU378" s="1028"/>
      <c r="BV378" s="1028"/>
      <c r="BW378" s="1028"/>
      <c r="BX378" s="1028"/>
      <c r="BY378" s="1028"/>
      <c r="BZ378" s="1028"/>
      <c r="CA378" s="1028"/>
      <c r="CB378" s="1028"/>
      <c r="CC378" s="1028"/>
      <c r="CD378" s="1028"/>
      <c r="CE378" s="1028"/>
      <c r="CF378" s="1028"/>
      <c r="CG378" s="1028"/>
      <c r="CH378" s="1028"/>
      <c r="CI378" s="1028"/>
      <c r="CJ378" s="1028"/>
      <c r="CK378" s="1028"/>
      <c r="CL378" s="1028"/>
      <c r="CM378" s="1028"/>
      <c r="CN378" s="1028"/>
      <c r="CO378" s="1028"/>
      <c r="CP378" s="1028"/>
      <c r="CQ378" s="1028"/>
      <c r="CR378" s="1028"/>
    </row>
    <row r="379" spans="1:125" x14ac:dyDescent="0.2">
      <c r="A379" s="1037" t="s">
        <v>1488</v>
      </c>
      <c r="B379" s="384" t="e">
        <f ca="1">OFFSET(AE374,0,$B$378)</f>
        <v>#N/A</v>
      </c>
      <c r="C379" s="384" t="e">
        <f t="shared" ref="C379:BN379" ca="1" si="9">OFFSET(AF374,0,$B$378)</f>
        <v>#N/A</v>
      </c>
      <c r="D379" s="384" t="e">
        <f t="shared" ca="1" si="9"/>
        <v>#N/A</v>
      </c>
      <c r="E379" s="384" t="e">
        <f t="shared" ca="1" si="9"/>
        <v>#N/A</v>
      </c>
      <c r="F379" s="384" t="e">
        <f t="shared" ca="1" si="9"/>
        <v>#N/A</v>
      </c>
      <c r="G379" s="384" t="e">
        <f t="shared" ca="1" si="9"/>
        <v>#N/A</v>
      </c>
      <c r="H379" s="384" t="e">
        <f t="shared" ca="1" si="9"/>
        <v>#N/A</v>
      </c>
      <c r="I379" s="384" t="e">
        <f t="shared" ca="1" si="9"/>
        <v>#N/A</v>
      </c>
      <c r="J379" s="384" t="e">
        <f t="shared" ca="1" si="9"/>
        <v>#N/A</v>
      </c>
      <c r="K379" s="384" t="e">
        <f t="shared" ca="1" si="9"/>
        <v>#N/A</v>
      </c>
      <c r="L379" s="384" t="e">
        <f t="shared" ca="1" si="9"/>
        <v>#N/A</v>
      </c>
      <c r="M379" s="384" t="e">
        <f t="shared" ca="1" si="9"/>
        <v>#N/A</v>
      </c>
      <c r="N379" s="384" t="e">
        <f t="shared" ca="1" si="9"/>
        <v>#N/A</v>
      </c>
      <c r="O379" s="384" t="e">
        <f t="shared" ca="1" si="9"/>
        <v>#N/A</v>
      </c>
      <c r="P379" s="384" t="e">
        <f t="shared" ca="1" si="9"/>
        <v>#N/A</v>
      </c>
      <c r="Q379" s="384" t="e">
        <f t="shared" ca="1" si="9"/>
        <v>#N/A</v>
      </c>
      <c r="R379" s="384" t="e">
        <f t="shared" ca="1" si="9"/>
        <v>#N/A</v>
      </c>
      <c r="S379" s="384" t="e">
        <f t="shared" ca="1" si="9"/>
        <v>#N/A</v>
      </c>
      <c r="T379" s="384" t="e">
        <f t="shared" ca="1" si="9"/>
        <v>#N/A</v>
      </c>
      <c r="U379" s="384" t="e">
        <f t="shared" ca="1" si="9"/>
        <v>#N/A</v>
      </c>
      <c r="V379" s="384" t="e">
        <f t="shared" ca="1" si="9"/>
        <v>#N/A</v>
      </c>
      <c r="W379" s="384" t="e">
        <f t="shared" ca="1" si="9"/>
        <v>#N/A</v>
      </c>
      <c r="X379" s="384" t="e">
        <f t="shared" ca="1" si="9"/>
        <v>#N/A</v>
      </c>
      <c r="Y379" s="384" t="e">
        <f t="shared" ca="1" si="9"/>
        <v>#N/A</v>
      </c>
      <c r="Z379" s="384" t="e">
        <f t="shared" ca="1" si="9"/>
        <v>#N/A</v>
      </c>
      <c r="AA379" s="384" t="e">
        <f t="shared" ca="1" si="9"/>
        <v>#N/A</v>
      </c>
      <c r="AB379" s="384" t="e">
        <f t="shared" ca="1" si="9"/>
        <v>#N/A</v>
      </c>
      <c r="AC379" s="384" t="e">
        <f t="shared" ca="1" si="9"/>
        <v>#N/A</v>
      </c>
      <c r="AD379" s="384" t="e">
        <f t="shared" ca="1" si="9"/>
        <v>#N/A</v>
      </c>
      <c r="AE379" s="384" t="e">
        <f t="shared" ca="1" si="9"/>
        <v>#N/A</v>
      </c>
      <c r="AF379" s="384" t="e">
        <f t="shared" ca="1" si="9"/>
        <v>#N/A</v>
      </c>
      <c r="AG379" s="384" t="e">
        <f t="shared" ca="1" si="9"/>
        <v>#N/A</v>
      </c>
      <c r="AH379" s="384" t="e">
        <f t="shared" ca="1" si="9"/>
        <v>#N/A</v>
      </c>
      <c r="AI379" s="384" t="e">
        <f t="shared" ca="1" si="9"/>
        <v>#N/A</v>
      </c>
      <c r="AJ379" s="384" t="e">
        <f t="shared" ca="1" si="9"/>
        <v>#N/A</v>
      </c>
      <c r="AK379" s="384" t="e">
        <f t="shared" ca="1" si="9"/>
        <v>#N/A</v>
      </c>
      <c r="AL379" s="384" t="e">
        <f t="shared" ca="1" si="9"/>
        <v>#N/A</v>
      </c>
      <c r="AM379" s="384" t="e">
        <f t="shared" ca="1" si="9"/>
        <v>#N/A</v>
      </c>
      <c r="AN379" s="384" t="e">
        <f t="shared" ca="1" si="9"/>
        <v>#N/A</v>
      </c>
      <c r="AO379" s="384" t="e">
        <f t="shared" ca="1" si="9"/>
        <v>#N/A</v>
      </c>
      <c r="AP379" s="384" t="e">
        <f t="shared" ca="1" si="9"/>
        <v>#N/A</v>
      </c>
      <c r="AQ379" s="384" t="e">
        <f t="shared" ca="1" si="9"/>
        <v>#N/A</v>
      </c>
      <c r="AR379" s="384" t="e">
        <f t="shared" ca="1" si="9"/>
        <v>#N/A</v>
      </c>
      <c r="AS379" s="384" t="e">
        <f t="shared" ca="1" si="9"/>
        <v>#N/A</v>
      </c>
      <c r="AT379" s="384" t="e">
        <f t="shared" ca="1" si="9"/>
        <v>#N/A</v>
      </c>
      <c r="AU379" s="384" t="e">
        <f t="shared" ca="1" si="9"/>
        <v>#N/A</v>
      </c>
      <c r="AV379" s="384" t="e">
        <f t="shared" ca="1" si="9"/>
        <v>#N/A</v>
      </c>
      <c r="AW379" s="384" t="e">
        <f t="shared" ca="1" si="9"/>
        <v>#N/A</v>
      </c>
      <c r="AX379" s="384" t="e">
        <f t="shared" ca="1" si="9"/>
        <v>#N/A</v>
      </c>
      <c r="AY379" s="384" t="e">
        <f t="shared" ca="1" si="9"/>
        <v>#N/A</v>
      </c>
      <c r="AZ379" s="384" t="e">
        <f t="shared" ca="1" si="9"/>
        <v>#N/A</v>
      </c>
      <c r="BA379" s="384" t="e">
        <f t="shared" ca="1" si="9"/>
        <v>#N/A</v>
      </c>
      <c r="BB379" s="384" t="e">
        <f t="shared" ca="1" si="9"/>
        <v>#N/A</v>
      </c>
      <c r="BC379" s="384" t="e">
        <f t="shared" ca="1" si="9"/>
        <v>#N/A</v>
      </c>
      <c r="BD379" s="384" t="e">
        <f t="shared" ca="1" si="9"/>
        <v>#N/A</v>
      </c>
      <c r="BE379" s="384" t="e">
        <f t="shared" ca="1" si="9"/>
        <v>#N/A</v>
      </c>
      <c r="BF379" s="384" t="e">
        <f t="shared" ca="1" si="9"/>
        <v>#N/A</v>
      </c>
      <c r="BG379" s="384" t="e">
        <f t="shared" ca="1" si="9"/>
        <v>#N/A</v>
      </c>
      <c r="BH379" s="384" t="e">
        <f t="shared" ca="1" si="9"/>
        <v>#N/A</v>
      </c>
      <c r="BI379" s="384" t="e">
        <f t="shared" ca="1" si="9"/>
        <v>#N/A</v>
      </c>
      <c r="BJ379" s="384" t="e">
        <f t="shared" ca="1" si="9"/>
        <v>#N/A</v>
      </c>
      <c r="BK379" s="384" t="e">
        <f t="shared" ca="1" si="9"/>
        <v>#N/A</v>
      </c>
      <c r="BL379" s="384" t="e">
        <f t="shared" ca="1" si="9"/>
        <v>#N/A</v>
      </c>
      <c r="BM379" s="384" t="e">
        <f t="shared" ca="1" si="9"/>
        <v>#N/A</v>
      </c>
      <c r="BN379" s="384" t="e">
        <f t="shared" ca="1" si="9"/>
        <v>#N/A</v>
      </c>
      <c r="BO379" s="384" t="e">
        <f ca="1">OFFSET(CR374,0,$B$378)</f>
        <v>#N/A</v>
      </c>
      <c r="BP379" s="1028"/>
      <c r="BQ379" s="1028"/>
      <c r="BR379" s="1028"/>
      <c r="BS379" s="1028"/>
      <c r="BT379" s="1028"/>
      <c r="BU379" s="1028"/>
      <c r="BV379" s="1028"/>
      <c r="BW379" s="1028"/>
      <c r="BX379" s="1028"/>
      <c r="BY379" s="1028"/>
      <c r="BZ379" s="1028"/>
      <c r="CA379" s="1028"/>
      <c r="CB379" s="1028"/>
      <c r="CC379" s="1028"/>
      <c r="CD379" s="1028"/>
      <c r="CE379" s="1028"/>
      <c r="CF379" s="1028"/>
      <c r="CG379" s="1028"/>
      <c r="CH379" s="1028"/>
      <c r="CI379" s="1028"/>
      <c r="CJ379" s="1028"/>
      <c r="CK379" s="1028"/>
      <c r="CL379" s="1028"/>
      <c r="CM379" s="1028"/>
      <c r="CN379" s="1028"/>
      <c r="CO379" s="1028"/>
      <c r="CP379" s="1028"/>
      <c r="CQ379" s="1028"/>
      <c r="CR379" s="1028"/>
    </row>
    <row r="380" spans="1:125" x14ac:dyDescent="0.2">
      <c r="A380" s="1038" t="s">
        <v>1489</v>
      </c>
      <c r="B380" s="384" t="e">
        <f ca="1">OFFSET(AE377,0,$B$378)</f>
        <v>#N/A</v>
      </c>
      <c r="C380" s="384" t="e">
        <f t="shared" ref="C380:BN380" ca="1" si="10">OFFSET(AF377,0,$B$378)</f>
        <v>#N/A</v>
      </c>
      <c r="D380" s="384" t="e">
        <f t="shared" ca="1" si="10"/>
        <v>#N/A</v>
      </c>
      <c r="E380" s="384" t="e">
        <f t="shared" ca="1" si="10"/>
        <v>#N/A</v>
      </c>
      <c r="F380" s="384" t="e">
        <f t="shared" ca="1" si="10"/>
        <v>#N/A</v>
      </c>
      <c r="G380" s="384" t="e">
        <f t="shared" ca="1" si="10"/>
        <v>#N/A</v>
      </c>
      <c r="H380" s="384" t="e">
        <f t="shared" ca="1" si="10"/>
        <v>#N/A</v>
      </c>
      <c r="I380" s="384" t="e">
        <f t="shared" ca="1" si="10"/>
        <v>#N/A</v>
      </c>
      <c r="J380" s="384" t="e">
        <f t="shared" ca="1" si="10"/>
        <v>#N/A</v>
      </c>
      <c r="K380" s="384" t="e">
        <f t="shared" ca="1" si="10"/>
        <v>#N/A</v>
      </c>
      <c r="L380" s="384" t="e">
        <f t="shared" ca="1" si="10"/>
        <v>#N/A</v>
      </c>
      <c r="M380" s="384" t="e">
        <f t="shared" ca="1" si="10"/>
        <v>#N/A</v>
      </c>
      <c r="N380" s="384" t="e">
        <f t="shared" ca="1" si="10"/>
        <v>#N/A</v>
      </c>
      <c r="O380" s="384" t="e">
        <f t="shared" ca="1" si="10"/>
        <v>#N/A</v>
      </c>
      <c r="P380" s="384" t="e">
        <f t="shared" ca="1" si="10"/>
        <v>#N/A</v>
      </c>
      <c r="Q380" s="384" t="e">
        <f t="shared" ca="1" si="10"/>
        <v>#N/A</v>
      </c>
      <c r="R380" s="384" t="e">
        <f t="shared" ca="1" si="10"/>
        <v>#N/A</v>
      </c>
      <c r="S380" s="384" t="e">
        <f t="shared" ca="1" si="10"/>
        <v>#N/A</v>
      </c>
      <c r="T380" s="384" t="e">
        <f t="shared" ca="1" si="10"/>
        <v>#N/A</v>
      </c>
      <c r="U380" s="384" t="e">
        <f t="shared" ca="1" si="10"/>
        <v>#N/A</v>
      </c>
      <c r="V380" s="384" t="e">
        <f t="shared" ca="1" si="10"/>
        <v>#N/A</v>
      </c>
      <c r="W380" s="384" t="e">
        <f t="shared" ca="1" si="10"/>
        <v>#N/A</v>
      </c>
      <c r="X380" s="384" t="e">
        <f t="shared" ca="1" si="10"/>
        <v>#N/A</v>
      </c>
      <c r="Y380" s="384" t="e">
        <f t="shared" ca="1" si="10"/>
        <v>#N/A</v>
      </c>
      <c r="Z380" s="384" t="e">
        <f t="shared" ca="1" si="10"/>
        <v>#N/A</v>
      </c>
      <c r="AA380" s="384" t="e">
        <f t="shared" ca="1" si="10"/>
        <v>#N/A</v>
      </c>
      <c r="AB380" s="384" t="e">
        <f t="shared" ca="1" si="10"/>
        <v>#N/A</v>
      </c>
      <c r="AC380" s="384" t="e">
        <f t="shared" ca="1" si="10"/>
        <v>#N/A</v>
      </c>
      <c r="AD380" s="384" t="e">
        <f t="shared" ca="1" si="10"/>
        <v>#N/A</v>
      </c>
      <c r="AE380" s="384" t="e">
        <f t="shared" ca="1" si="10"/>
        <v>#N/A</v>
      </c>
      <c r="AF380" s="384" t="e">
        <f t="shared" ca="1" si="10"/>
        <v>#N/A</v>
      </c>
      <c r="AG380" s="384" t="e">
        <f t="shared" ca="1" si="10"/>
        <v>#N/A</v>
      </c>
      <c r="AH380" s="384" t="e">
        <f t="shared" ca="1" si="10"/>
        <v>#N/A</v>
      </c>
      <c r="AI380" s="384" t="e">
        <f t="shared" ca="1" si="10"/>
        <v>#N/A</v>
      </c>
      <c r="AJ380" s="384" t="e">
        <f t="shared" ca="1" si="10"/>
        <v>#N/A</v>
      </c>
      <c r="AK380" s="384" t="e">
        <f t="shared" ca="1" si="10"/>
        <v>#N/A</v>
      </c>
      <c r="AL380" s="384" t="e">
        <f t="shared" ca="1" si="10"/>
        <v>#N/A</v>
      </c>
      <c r="AM380" s="384" t="e">
        <f t="shared" ca="1" si="10"/>
        <v>#N/A</v>
      </c>
      <c r="AN380" s="384" t="e">
        <f t="shared" ca="1" si="10"/>
        <v>#N/A</v>
      </c>
      <c r="AO380" s="384" t="e">
        <f t="shared" ca="1" si="10"/>
        <v>#N/A</v>
      </c>
      <c r="AP380" s="384" t="e">
        <f t="shared" ca="1" si="10"/>
        <v>#N/A</v>
      </c>
      <c r="AQ380" s="384" t="e">
        <f t="shared" ca="1" si="10"/>
        <v>#N/A</v>
      </c>
      <c r="AR380" s="384" t="e">
        <f t="shared" ca="1" si="10"/>
        <v>#N/A</v>
      </c>
      <c r="AS380" s="384" t="e">
        <f t="shared" ca="1" si="10"/>
        <v>#N/A</v>
      </c>
      <c r="AT380" s="384" t="e">
        <f t="shared" ca="1" si="10"/>
        <v>#N/A</v>
      </c>
      <c r="AU380" s="384" t="e">
        <f t="shared" ca="1" si="10"/>
        <v>#N/A</v>
      </c>
      <c r="AV380" s="384" t="e">
        <f t="shared" ca="1" si="10"/>
        <v>#N/A</v>
      </c>
      <c r="AW380" s="384" t="e">
        <f t="shared" ca="1" si="10"/>
        <v>#N/A</v>
      </c>
      <c r="AX380" s="384" t="e">
        <f t="shared" ca="1" si="10"/>
        <v>#N/A</v>
      </c>
      <c r="AY380" s="384" t="e">
        <f t="shared" ca="1" si="10"/>
        <v>#N/A</v>
      </c>
      <c r="AZ380" s="384" t="e">
        <f t="shared" ca="1" si="10"/>
        <v>#N/A</v>
      </c>
      <c r="BA380" s="384" t="e">
        <f t="shared" ca="1" si="10"/>
        <v>#N/A</v>
      </c>
      <c r="BB380" s="384" t="e">
        <f t="shared" ca="1" si="10"/>
        <v>#N/A</v>
      </c>
      <c r="BC380" s="384" t="e">
        <f t="shared" ca="1" si="10"/>
        <v>#N/A</v>
      </c>
      <c r="BD380" s="384" t="e">
        <f t="shared" ca="1" si="10"/>
        <v>#N/A</v>
      </c>
      <c r="BE380" s="384" t="e">
        <f t="shared" ca="1" si="10"/>
        <v>#N/A</v>
      </c>
      <c r="BF380" s="384" t="e">
        <f t="shared" ca="1" si="10"/>
        <v>#N/A</v>
      </c>
      <c r="BG380" s="384" t="e">
        <f t="shared" ca="1" si="10"/>
        <v>#N/A</v>
      </c>
      <c r="BH380" s="384" t="e">
        <f t="shared" ca="1" si="10"/>
        <v>#N/A</v>
      </c>
      <c r="BI380" s="384" t="e">
        <f t="shared" ca="1" si="10"/>
        <v>#N/A</v>
      </c>
      <c r="BJ380" s="384" t="e">
        <f t="shared" ca="1" si="10"/>
        <v>#N/A</v>
      </c>
      <c r="BK380" s="384" t="e">
        <f t="shared" ca="1" si="10"/>
        <v>#N/A</v>
      </c>
      <c r="BL380" s="384" t="e">
        <f t="shared" ca="1" si="10"/>
        <v>#N/A</v>
      </c>
      <c r="BM380" s="384" t="e">
        <f t="shared" ca="1" si="10"/>
        <v>#N/A</v>
      </c>
      <c r="BN380" s="384" t="e">
        <f t="shared" ca="1" si="10"/>
        <v>#N/A</v>
      </c>
      <c r="BO380" s="384" t="e">
        <f ca="1">OFFSET(CR377,0,$B$378)</f>
        <v>#N/A</v>
      </c>
      <c r="BP380" s="1028"/>
      <c r="BQ380" s="1028"/>
      <c r="BR380" s="1028"/>
      <c r="BS380" s="1028"/>
      <c r="BT380" s="1028"/>
      <c r="BU380" s="1028"/>
      <c r="BV380" s="1028"/>
      <c r="BW380" s="1028"/>
      <c r="BX380" s="1028"/>
      <c r="BY380" s="1028"/>
      <c r="BZ380" s="1028"/>
      <c r="CA380" s="1028"/>
      <c r="CB380" s="1028"/>
      <c r="CC380" s="1028"/>
      <c r="CD380" s="1028"/>
      <c r="CE380" s="1028"/>
      <c r="CF380" s="1028"/>
      <c r="CG380" s="1028"/>
      <c r="CH380" s="1028"/>
      <c r="CI380" s="1028"/>
      <c r="CJ380" s="1028"/>
      <c r="CK380" s="1028"/>
      <c r="CL380" s="1028"/>
      <c r="CM380" s="1028"/>
      <c r="CN380" s="1028"/>
      <c r="CO380" s="1028"/>
      <c r="CP380" s="1028"/>
      <c r="CQ380" s="1028"/>
      <c r="CR380" s="1028"/>
    </row>
    <row r="381" spans="1:125" x14ac:dyDescent="0.2">
      <c r="AE381" s="1028"/>
      <c r="AF381" s="1028"/>
      <c r="AG381" s="1028"/>
      <c r="AH381" s="1028"/>
      <c r="AI381" s="1028"/>
      <c r="AJ381" s="1028"/>
      <c r="AK381" s="1028"/>
      <c r="AL381" s="1028"/>
      <c r="AM381" s="1028"/>
      <c r="AN381" s="1028"/>
      <c r="AO381" s="1028"/>
      <c r="AP381" s="1028"/>
      <c r="AQ381" s="1028"/>
      <c r="AR381" s="1028"/>
      <c r="AS381" s="1028"/>
      <c r="AT381" s="1028"/>
      <c r="AU381" s="1028"/>
      <c r="AV381" s="1028"/>
      <c r="AW381" s="1028"/>
      <c r="AX381" s="1028"/>
      <c r="AY381" s="1028"/>
      <c r="AZ381" s="1028"/>
      <c r="BA381" s="1028"/>
      <c r="BB381" s="1028"/>
      <c r="BC381" s="1028"/>
      <c r="BD381" s="1028"/>
      <c r="BE381" s="1028"/>
      <c r="BF381" s="1028"/>
      <c r="BG381" s="1028"/>
      <c r="BH381" s="1028"/>
      <c r="BI381" s="1028"/>
      <c r="BJ381" s="1028"/>
      <c r="BK381" s="1028"/>
      <c r="BL381" s="1028"/>
      <c r="BM381" s="1028"/>
      <c r="BN381" s="1028"/>
      <c r="BO381" s="1028"/>
      <c r="BP381" s="1028"/>
      <c r="BQ381" s="1028"/>
      <c r="BR381" s="1028"/>
      <c r="BS381" s="1028"/>
      <c r="BT381" s="1028"/>
      <c r="BU381" s="1028"/>
      <c r="BV381" s="1028"/>
      <c r="BW381" s="1028"/>
      <c r="BX381" s="1028"/>
      <c r="BY381" s="1028"/>
      <c r="BZ381" s="1028"/>
      <c r="CA381" s="1028"/>
      <c r="CB381" s="1028"/>
      <c r="CC381" s="1028"/>
      <c r="CD381" s="1028"/>
      <c r="CE381" s="1028"/>
      <c r="CF381" s="1028"/>
      <c r="CG381" s="1028"/>
      <c r="CH381" s="1028"/>
      <c r="CI381" s="1028"/>
      <c r="CJ381" s="1028"/>
      <c r="CK381" s="1028"/>
      <c r="CL381" s="1028"/>
      <c r="CM381" s="1028"/>
      <c r="CN381" s="1028"/>
      <c r="CO381" s="1028"/>
      <c r="CP381" s="1028"/>
      <c r="CQ381" s="1028"/>
      <c r="CR381" s="1028"/>
    </row>
    <row r="383" spans="1:125" x14ac:dyDescent="0.2">
      <c r="A383" s="552" t="s">
        <v>1476</v>
      </c>
    </row>
    <row r="384" spans="1:125" x14ac:dyDescent="0.2">
      <c r="A384">
        <f>JAZcalc!N723</f>
        <v>0</v>
      </c>
    </row>
    <row r="385" spans="1:10" x14ac:dyDescent="0.2">
      <c r="A385" s="552" t="s">
        <v>1473</v>
      </c>
      <c r="B385" s="490">
        <f>JAZcalc!R723</f>
        <v>0</v>
      </c>
    </row>
    <row r="386" spans="1:10" x14ac:dyDescent="0.2">
      <c r="A386" s="552" t="s">
        <v>1543</v>
      </c>
      <c r="B386" s="490">
        <f>JAZcalc!Q723</f>
        <v>0</v>
      </c>
    </row>
    <row r="389" spans="1:10" x14ac:dyDescent="0.2">
      <c r="E389" s="1024" t="s">
        <v>1483</v>
      </c>
    </row>
    <row r="390" spans="1:10" x14ac:dyDescent="0.2">
      <c r="A390" t="s">
        <v>1473</v>
      </c>
      <c r="B390" s="490">
        <f>A384</f>
        <v>0</v>
      </c>
      <c r="C390" s="490"/>
      <c r="D390" s="490">
        <f>B385</f>
        <v>0</v>
      </c>
      <c r="E390" s="1024" t="e">
        <f ca="1">E391+(D390-D391)*H394</f>
        <v>#N/A</v>
      </c>
      <c r="F390" s="1024" t="s">
        <v>284</v>
      </c>
      <c r="G390" s="490"/>
    </row>
    <row r="391" spans="1:10" x14ac:dyDescent="0.2">
      <c r="A391" t="s">
        <v>1477</v>
      </c>
      <c r="B391" s="490"/>
      <c r="C391" s="490" t="e">
        <f>MATCH(D390,D396:D416)</f>
        <v>#N/A</v>
      </c>
      <c r="D391" s="490" t="e">
        <f ca="1">OFFSET(D395,C391,0)</f>
        <v>#N/A</v>
      </c>
      <c r="E391" s="490" t="e">
        <f ca="1">OFFSET(E395,C391,0)</f>
        <v>#N/A</v>
      </c>
      <c r="F391" s="490"/>
      <c r="G391" s="490"/>
    </row>
    <row r="392" spans="1:10" x14ac:dyDescent="0.2">
      <c r="A392" t="s">
        <v>1478</v>
      </c>
      <c r="B392" s="490"/>
      <c r="C392" s="490" t="e">
        <f>C391+1</f>
        <v>#N/A</v>
      </c>
      <c r="D392" s="490" t="e">
        <f ca="1">OFFSET(D395,C392,0)</f>
        <v>#N/A</v>
      </c>
      <c r="E392" s="490" t="e">
        <f ca="1">OFFSET(E395,C392,0)</f>
        <v>#N/A</v>
      </c>
      <c r="F392" s="490"/>
      <c r="G392" s="490"/>
    </row>
    <row r="393" spans="1:10" x14ac:dyDescent="0.2">
      <c r="B393" s="490"/>
      <c r="C393" s="490"/>
      <c r="E393" s="490"/>
      <c r="F393" s="490"/>
      <c r="G393" s="490"/>
    </row>
    <row r="394" spans="1:10" x14ac:dyDescent="0.2">
      <c r="B394" s="490" t="s">
        <v>1479</v>
      </c>
      <c r="D394" s="490" t="e">
        <f ca="1">D391-D392</f>
        <v>#N/A</v>
      </c>
      <c r="E394" s="490" t="e">
        <f ca="1">E391-E392</f>
        <v>#N/A</v>
      </c>
      <c r="F394" s="490" t="s">
        <v>1480</v>
      </c>
      <c r="H394" s="1025" t="e">
        <f ca="1">E394/D394</f>
        <v>#N/A</v>
      </c>
      <c r="I394" s="1026" t="s">
        <v>1484</v>
      </c>
    </row>
    <row r="395" spans="1:10" x14ac:dyDescent="0.2">
      <c r="A395" t="s">
        <v>1481</v>
      </c>
      <c r="B395" s="490"/>
      <c r="D395" s="490" t="s">
        <v>1473</v>
      </c>
      <c r="E395" s="490" t="s">
        <v>1482</v>
      </c>
      <c r="F395" s="490"/>
      <c r="G395" s="490"/>
      <c r="J395" s="490" t="s">
        <v>116</v>
      </c>
    </row>
    <row r="396" spans="1:10" x14ac:dyDescent="0.2">
      <c r="B396" s="490"/>
      <c r="D396" s="1027">
        <v>2000</v>
      </c>
      <c r="E396" s="490">
        <v>5.25</v>
      </c>
      <c r="F396" s="490"/>
      <c r="G396" s="490"/>
      <c r="J396" s="490">
        <v>4</v>
      </c>
    </row>
    <row r="397" spans="1:10" x14ac:dyDescent="0.2">
      <c r="B397" s="490"/>
      <c r="D397" s="1027">
        <v>2400</v>
      </c>
      <c r="E397" s="490">
        <v>3.65</v>
      </c>
      <c r="F397" s="490"/>
      <c r="G397" s="490"/>
      <c r="J397" s="490">
        <v>2.4</v>
      </c>
    </row>
    <row r="398" spans="1:10" x14ac:dyDescent="0.2">
      <c r="B398" s="490"/>
      <c r="D398" s="1027">
        <v>2800</v>
      </c>
      <c r="E398" s="490">
        <v>2.2999999999999998</v>
      </c>
      <c r="F398" s="490"/>
      <c r="G398" s="490"/>
      <c r="J398" s="490">
        <v>1.05</v>
      </c>
    </row>
    <row r="399" spans="1:10" x14ac:dyDescent="0.2">
      <c r="B399" s="490"/>
      <c r="D399" s="1027">
        <v>3200</v>
      </c>
      <c r="E399" s="490">
        <v>0.95</v>
      </c>
      <c r="F399" s="490"/>
      <c r="G399" s="490"/>
      <c r="J399" s="490">
        <v>-0.3</v>
      </c>
    </row>
    <row r="400" spans="1:10" x14ac:dyDescent="0.2">
      <c r="B400" s="490"/>
      <c r="D400" s="1027">
        <v>3600</v>
      </c>
      <c r="E400" s="490">
        <v>-0.45</v>
      </c>
      <c r="F400" s="490"/>
      <c r="G400" s="490"/>
      <c r="J400" s="490">
        <v>-1.7</v>
      </c>
    </row>
    <row r="401" spans="2:10" x14ac:dyDescent="0.2">
      <c r="B401" s="490"/>
      <c r="D401" s="1027">
        <v>4000</v>
      </c>
      <c r="E401" s="490">
        <v>-1.75</v>
      </c>
      <c r="F401" s="490"/>
      <c r="G401" s="490"/>
      <c r="J401" s="490">
        <v>-3</v>
      </c>
    </row>
    <row r="402" spans="2:10" x14ac:dyDescent="0.2">
      <c r="B402" s="490"/>
      <c r="D402" s="1027">
        <v>4400</v>
      </c>
      <c r="E402" s="490">
        <v>-2.75</v>
      </c>
      <c r="F402" s="490"/>
      <c r="G402" s="490"/>
      <c r="J402" s="490">
        <v>-4</v>
      </c>
    </row>
    <row r="403" spans="2:10" x14ac:dyDescent="0.2">
      <c r="B403" s="490"/>
      <c r="D403" s="1027">
        <v>4800</v>
      </c>
      <c r="E403" s="490">
        <v>-3.55</v>
      </c>
      <c r="F403" s="490"/>
      <c r="G403" s="490"/>
      <c r="J403" s="490">
        <v>-4.8</v>
      </c>
    </row>
    <row r="404" spans="2:10" x14ac:dyDescent="0.2">
      <c r="B404" s="490"/>
      <c r="D404" s="1027">
        <v>5200</v>
      </c>
      <c r="E404" s="490">
        <v>-4.3499999999999996</v>
      </c>
      <c r="F404" s="490"/>
      <c r="G404" s="490"/>
      <c r="J404" s="490">
        <v>-5.6</v>
      </c>
    </row>
    <row r="405" spans="2:10" x14ac:dyDescent="0.2">
      <c r="B405" s="490"/>
      <c r="D405" s="1027">
        <v>5600</v>
      </c>
      <c r="E405" s="490">
        <v>-5.05</v>
      </c>
      <c r="F405" s="490"/>
      <c r="G405" s="490"/>
      <c r="J405" s="490">
        <v>-6.3</v>
      </c>
    </row>
    <row r="406" spans="2:10" x14ac:dyDescent="0.2">
      <c r="B406" s="490"/>
      <c r="D406" s="1027">
        <v>6000</v>
      </c>
      <c r="E406" s="490">
        <v>-5.8</v>
      </c>
      <c r="F406" s="490"/>
      <c r="G406" s="490"/>
      <c r="J406" s="490">
        <v>-7.05</v>
      </c>
    </row>
    <row r="407" spans="2:10" x14ac:dyDescent="0.2">
      <c r="B407" s="490"/>
      <c r="D407" s="1027">
        <v>6400</v>
      </c>
      <c r="E407" s="490">
        <v>-6.45</v>
      </c>
      <c r="F407" s="490"/>
      <c r="G407" s="490"/>
      <c r="J407" s="490">
        <v>-7.7</v>
      </c>
    </row>
    <row r="408" spans="2:10" x14ac:dyDescent="0.2">
      <c r="B408" s="490"/>
      <c r="D408" s="1027">
        <v>6800</v>
      </c>
      <c r="E408" s="490">
        <v>-7.15</v>
      </c>
      <c r="F408" s="490"/>
      <c r="G408" s="490"/>
      <c r="J408" s="490">
        <v>-8.4</v>
      </c>
    </row>
    <row r="409" spans="2:10" x14ac:dyDescent="0.2">
      <c r="B409" s="490"/>
      <c r="D409" s="1027">
        <v>7200</v>
      </c>
      <c r="E409" s="490">
        <v>-7.75</v>
      </c>
      <c r="F409" s="490"/>
      <c r="G409" s="490"/>
      <c r="J409" s="490">
        <v>-9</v>
      </c>
    </row>
    <row r="410" spans="2:10" x14ac:dyDescent="0.2">
      <c r="B410" s="490"/>
      <c r="D410" s="1027">
        <v>7600</v>
      </c>
      <c r="E410" s="490">
        <v>-8.35</v>
      </c>
      <c r="F410" s="490"/>
      <c r="G410" s="490"/>
      <c r="J410" s="490">
        <v>-9.6</v>
      </c>
    </row>
    <row r="411" spans="2:10" x14ac:dyDescent="0.2">
      <c r="B411" s="490"/>
      <c r="D411" s="1027">
        <v>8000</v>
      </c>
      <c r="E411" s="490">
        <v>-8.75</v>
      </c>
      <c r="F411" s="490"/>
      <c r="G411" s="490"/>
      <c r="J411" s="490">
        <v>-10</v>
      </c>
    </row>
    <row r="412" spans="2:10" x14ac:dyDescent="0.2">
      <c r="B412" s="490"/>
      <c r="D412" s="1027">
        <v>8400</v>
      </c>
      <c r="E412" s="490">
        <v>-9.15</v>
      </c>
      <c r="F412" s="490"/>
      <c r="G412" s="490"/>
      <c r="J412" s="490">
        <v>-10.4</v>
      </c>
    </row>
    <row r="413" spans="2:10" x14ac:dyDescent="0.2">
      <c r="B413" s="490"/>
      <c r="D413" s="1027">
        <v>8800</v>
      </c>
      <c r="E413" s="490">
        <v>-9.5500000000000007</v>
      </c>
      <c r="F413" s="490"/>
      <c r="G413" s="490"/>
      <c r="J413" s="490">
        <v>-10.8</v>
      </c>
    </row>
    <row r="414" spans="2:10" x14ac:dyDescent="0.2">
      <c r="B414" s="490"/>
      <c r="D414" s="1027">
        <v>9200</v>
      </c>
      <c r="E414" s="490">
        <v>-9.9499999999999993</v>
      </c>
      <c r="F414" s="490"/>
      <c r="G414" s="490"/>
      <c r="J414" s="490">
        <v>-11.2</v>
      </c>
    </row>
    <row r="415" spans="2:10" x14ac:dyDescent="0.2">
      <c r="B415" s="490"/>
      <c r="D415" s="1027">
        <v>9600</v>
      </c>
      <c r="E415" s="490">
        <v>-10.35</v>
      </c>
      <c r="F415" s="490"/>
      <c r="G415" s="490"/>
      <c r="J415" s="490">
        <v>-11.6</v>
      </c>
    </row>
    <row r="416" spans="2:10" x14ac:dyDescent="0.2">
      <c r="B416" s="490"/>
      <c r="D416" s="1027">
        <v>10000</v>
      </c>
      <c r="E416" s="490">
        <v>-10.75</v>
      </c>
      <c r="F416" s="490"/>
      <c r="G416" s="490"/>
      <c r="J416" s="490">
        <v>-12</v>
      </c>
    </row>
  </sheetData>
  <sheetProtection password="CABA"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BT416"/>
  <sheetViews>
    <sheetView zoomScale="75" workbookViewId="0"/>
  </sheetViews>
  <sheetFormatPr baseColWidth="10" defaultColWidth="11.5703125" defaultRowHeight="12.75" x14ac:dyDescent="0.2"/>
  <cols>
    <col min="1" max="1" width="11.7109375" style="672" customWidth="1"/>
    <col min="2" max="2" width="16.42578125" style="390" bestFit="1" customWidth="1"/>
    <col min="3" max="3" width="12.42578125" style="390" bestFit="1" customWidth="1"/>
    <col min="4" max="4" width="25" style="390" customWidth="1"/>
    <col min="5" max="5" width="8.5703125" style="390" customWidth="1"/>
    <col min="6" max="70" width="4.7109375" style="390" customWidth="1"/>
    <col min="71" max="16384" width="11.5703125" style="390"/>
  </cols>
  <sheetData>
    <row r="1" spans="3:70" x14ac:dyDescent="0.2">
      <c r="E1" s="390" t="s">
        <v>203</v>
      </c>
      <c r="G1" s="390">
        <f>Index_Klima</f>
        <v>-1</v>
      </c>
      <c r="P1" s="391">
        <f>'WP1'!L2-2</f>
        <v>-1</v>
      </c>
    </row>
    <row r="2" spans="3:70" x14ac:dyDescent="0.2">
      <c r="E2" s="390" t="s">
        <v>204</v>
      </c>
      <c r="G2" s="390">
        <f>G1*BIN!B1</f>
        <v>-11</v>
      </c>
    </row>
    <row r="4" spans="3:70" x14ac:dyDescent="0.2">
      <c r="D4" s="392" t="e">
        <f t="array" aca="1" ref="D4:E5" ca="1">OFFSET(Startzeile_BINs,$G$2,0,2,2)</f>
        <v>#REF!</v>
      </c>
      <c r="E4" s="393" t="e">
        <f ca="1"/>
        <v>#REF!</v>
      </c>
    </row>
    <row r="5" spans="3:70" x14ac:dyDescent="0.2">
      <c r="C5" s="390" t="s">
        <v>205</v>
      </c>
      <c r="D5" s="394" t="e">
        <f ca="1"/>
        <v>#REF!</v>
      </c>
      <c r="E5" s="395" t="e">
        <f ca="1"/>
        <v>#REF!</v>
      </c>
    </row>
    <row r="6" spans="3:70" x14ac:dyDescent="0.2">
      <c r="C6" s="390" t="s">
        <v>2948</v>
      </c>
      <c r="D6" s="396" t="e">
        <f t="array" aca="1" ref="D6:BR13" ca="1">OFFSET(Startzeile_BINs,$G$2+2,0,8,67)</f>
        <v>#REF!</v>
      </c>
      <c r="E6" s="396" t="e">
        <f ca="1"/>
        <v>#REF!</v>
      </c>
      <c r="F6" s="396" t="e">
        <f ca="1"/>
        <v>#REF!</v>
      </c>
      <c r="G6" s="396" t="e">
        <f ca="1"/>
        <v>#REF!</v>
      </c>
      <c r="H6" s="396" t="e">
        <f ca="1"/>
        <v>#REF!</v>
      </c>
      <c r="I6" s="396" t="e">
        <f ca="1"/>
        <v>#REF!</v>
      </c>
      <c r="J6" s="396" t="e">
        <f ca="1"/>
        <v>#REF!</v>
      </c>
      <c r="K6" s="396" t="e">
        <f ca="1"/>
        <v>#REF!</v>
      </c>
      <c r="L6" s="396" t="e">
        <f ca="1"/>
        <v>#REF!</v>
      </c>
      <c r="M6" s="396" t="e">
        <f ca="1"/>
        <v>#REF!</v>
      </c>
      <c r="N6" s="396" t="e">
        <f ca="1"/>
        <v>#REF!</v>
      </c>
      <c r="O6" s="396" t="e">
        <f ca="1"/>
        <v>#REF!</v>
      </c>
      <c r="P6" s="396" t="e">
        <f ca="1"/>
        <v>#REF!</v>
      </c>
      <c r="Q6" s="396" t="e">
        <f ca="1"/>
        <v>#REF!</v>
      </c>
      <c r="R6" s="396" t="e">
        <f ca="1"/>
        <v>#REF!</v>
      </c>
      <c r="S6" s="396" t="e">
        <f ca="1"/>
        <v>#REF!</v>
      </c>
      <c r="T6" s="396" t="e">
        <f ca="1"/>
        <v>#REF!</v>
      </c>
      <c r="U6" s="396" t="e">
        <f ca="1"/>
        <v>#REF!</v>
      </c>
      <c r="V6" s="396" t="e">
        <f ca="1"/>
        <v>#REF!</v>
      </c>
      <c r="W6" s="396" t="e">
        <f ca="1"/>
        <v>#REF!</v>
      </c>
      <c r="X6" s="396" t="e">
        <f ca="1"/>
        <v>#REF!</v>
      </c>
      <c r="Y6" s="396" t="e">
        <f ca="1"/>
        <v>#REF!</v>
      </c>
      <c r="Z6" s="396" t="e">
        <f ca="1"/>
        <v>#REF!</v>
      </c>
      <c r="AA6" s="396" t="e">
        <f ca="1"/>
        <v>#REF!</v>
      </c>
      <c r="AB6" s="396" t="e">
        <f ca="1"/>
        <v>#REF!</v>
      </c>
      <c r="AC6" s="396" t="e">
        <f ca="1"/>
        <v>#REF!</v>
      </c>
      <c r="AD6" s="396" t="e">
        <f ca="1"/>
        <v>#REF!</v>
      </c>
      <c r="AE6" s="396" t="e">
        <f ca="1"/>
        <v>#REF!</v>
      </c>
      <c r="AF6" s="396" t="e">
        <f ca="1"/>
        <v>#REF!</v>
      </c>
      <c r="AG6" s="396" t="e">
        <f ca="1"/>
        <v>#REF!</v>
      </c>
      <c r="AH6" s="396" t="e">
        <f ca="1"/>
        <v>#REF!</v>
      </c>
      <c r="AI6" s="396" t="e">
        <f ca="1"/>
        <v>#REF!</v>
      </c>
      <c r="AJ6" s="396" t="e">
        <f ca="1"/>
        <v>#REF!</v>
      </c>
      <c r="AK6" s="396" t="e">
        <f ca="1"/>
        <v>#REF!</v>
      </c>
      <c r="AL6" s="396" t="e">
        <f ca="1"/>
        <v>#REF!</v>
      </c>
      <c r="AM6" s="396" t="e">
        <f ca="1"/>
        <v>#REF!</v>
      </c>
      <c r="AN6" s="396" t="e">
        <f ca="1"/>
        <v>#REF!</v>
      </c>
      <c r="AO6" s="396" t="e">
        <f ca="1"/>
        <v>#REF!</v>
      </c>
      <c r="AP6" s="396" t="e">
        <f ca="1"/>
        <v>#REF!</v>
      </c>
      <c r="AQ6" s="396" t="e">
        <f ca="1"/>
        <v>#REF!</v>
      </c>
      <c r="AR6" s="396" t="e">
        <f ca="1"/>
        <v>#REF!</v>
      </c>
      <c r="AS6" s="396" t="e">
        <f ca="1"/>
        <v>#REF!</v>
      </c>
      <c r="AT6" s="396" t="e">
        <f ca="1"/>
        <v>#REF!</v>
      </c>
      <c r="AU6" s="396" t="e">
        <f ca="1"/>
        <v>#REF!</v>
      </c>
      <c r="AV6" s="396" t="e">
        <f ca="1"/>
        <v>#REF!</v>
      </c>
      <c r="AW6" s="396" t="e">
        <f ca="1"/>
        <v>#REF!</v>
      </c>
      <c r="AX6" s="396" t="e">
        <f ca="1"/>
        <v>#REF!</v>
      </c>
      <c r="AY6" s="396" t="e">
        <f ca="1"/>
        <v>#REF!</v>
      </c>
      <c r="AZ6" s="396" t="e">
        <f ca="1"/>
        <v>#REF!</v>
      </c>
      <c r="BA6" s="396" t="e">
        <f ca="1"/>
        <v>#REF!</v>
      </c>
      <c r="BB6" s="396" t="e">
        <f ca="1"/>
        <v>#REF!</v>
      </c>
      <c r="BC6" s="396" t="e">
        <f ca="1"/>
        <v>#REF!</v>
      </c>
      <c r="BD6" s="396" t="e">
        <f ca="1"/>
        <v>#REF!</v>
      </c>
      <c r="BE6" s="396" t="e">
        <f ca="1"/>
        <v>#REF!</v>
      </c>
      <c r="BF6" s="396" t="e">
        <f ca="1"/>
        <v>#REF!</v>
      </c>
      <c r="BG6" s="396" t="e">
        <f ca="1"/>
        <v>#REF!</v>
      </c>
      <c r="BH6" s="396" t="e">
        <f ca="1"/>
        <v>#REF!</v>
      </c>
      <c r="BI6" s="396" t="e">
        <f ca="1"/>
        <v>#REF!</v>
      </c>
      <c r="BJ6" s="396" t="e">
        <f ca="1"/>
        <v>#REF!</v>
      </c>
      <c r="BK6" s="396" t="e">
        <f ca="1"/>
        <v>#REF!</v>
      </c>
      <c r="BL6" s="396" t="e">
        <f ca="1"/>
        <v>#REF!</v>
      </c>
      <c r="BM6" s="396" t="e">
        <f ca="1"/>
        <v>#REF!</v>
      </c>
      <c r="BN6" s="396" t="e">
        <f ca="1"/>
        <v>#REF!</v>
      </c>
      <c r="BO6" s="396" t="e">
        <f ca="1"/>
        <v>#REF!</v>
      </c>
      <c r="BP6" s="396" t="e">
        <f ca="1"/>
        <v>#REF!</v>
      </c>
      <c r="BQ6" s="396" t="e">
        <f ca="1"/>
        <v>#REF!</v>
      </c>
      <c r="BR6" s="396" t="e">
        <f ca="1"/>
        <v>#REF!</v>
      </c>
    </row>
    <row r="7" spans="3:70" x14ac:dyDescent="0.2">
      <c r="C7" s="390" t="s">
        <v>3666</v>
      </c>
      <c r="D7" s="397" t="e">
        <f ca="1"/>
        <v>#REF!</v>
      </c>
      <c r="E7" s="397" t="e">
        <f ca="1"/>
        <v>#REF!</v>
      </c>
      <c r="F7" s="397" t="e">
        <f ca="1"/>
        <v>#REF!</v>
      </c>
      <c r="G7" s="397" t="e">
        <f ca="1"/>
        <v>#REF!</v>
      </c>
      <c r="H7" s="397" t="e">
        <f ca="1"/>
        <v>#REF!</v>
      </c>
      <c r="I7" s="397" t="e">
        <f ca="1"/>
        <v>#REF!</v>
      </c>
      <c r="J7" s="397" t="e">
        <f ca="1"/>
        <v>#REF!</v>
      </c>
      <c r="K7" s="397" t="e">
        <f ca="1"/>
        <v>#REF!</v>
      </c>
      <c r="L7" s="397" t="e">
        <f ca="1"/>
        <v>#REF!</v>
      </c>
      <c r="M7" s="397" t="e">
        <f ca="1"/>
        <v>#REF!</v>
      </c>
      <c r="N7" s="397" t="e">
        <f ca="1"/>
        <v>#REF!</v>
      </c>
      <c r="O7" s="397" t="e">
        <f ca="1"/>
        <v>#REF!</v>
      </c>
      <c r="P7" s="397" t="e">
        <f ca="1"/>
        <v>#REF!</v>
      </c>
      <c r="Q7" s="397" t="e">
        <f ca="1"/>
        <v>#REF!</v>
      </c>
      <c r="R7" s="397" t="e">
        <f ca="1"/>
        <v>#REF!</v>
      </c>
      <c r="S7" s="397" t="e">
        <f ca="1"/>
        <v>#REF!</v>
      </c>
      <c r="T7" s="397" t="e">
        <f ca="1"/>
        <v>#REF!</v>
      </c>
      <c r="U7" s="397" t="e">
        <f ca="1"/>
        <v>#REF!</v>
      </c>
      <c r="V7" s="397" t="e">
        <f ca="1"/>
        <v>#REF!</v>
      </c>
      <c r="W7" s="397" t="e">
        <f ca="1"/>
        <v>#REF!</v>
      </c>
      <c r="X7" s="397" t="e">
        <f ca="1"/>
        <v>#REF!</v>
      </c>
      <c r="Y7" s="397" t="e">
        <f ca="1"/>
        <v>#REF!</v>
      </c>
      <c r="Z7" s="397" t="e">
        <f ca="1"/>
        <v>#REF!</v>
      </c>
      <c r="AA7" s="397" t="e">
        <f ca="1"/>
        <v>#REF!</v>
      </c>
      <c r="AB7" s="397" t="e">
        <f ca="1"/>
        <v>#REF!</v>
      </c>
      <c r="AC7" s="397" t="e">
        <f ca="1"/>
        <v>#REF!</v>
      </c>
      <c r="AD7" s="397" t="e">
        <f ca="1"/>
        <v>#REF!</v>
      </c>
      <c r="AE7" s="397" t="e">
        <f ca="1"/>
        <v>#REF!</v>
      </c>
      <c r="AF7" s="397" t="e">
        <f ca="1"/>
        <v>#REF!</v>
      </c>
      <c r="AG7" s="397" t="e">
        <f ca="1"/>
        <v>#REF!</v>
      </c>
      <c r="AH7" s="397" t="e">
        <f ca="1"/>
        <v>#REF!</v>
      </c>
      <c r="AI7" s="397" t="e">
        <f ca="1"/>
        <v>#REF!</v>
      </c>
      <c r="AJ7" s="397" t="e">
        <f ca="1"/>
        <v>#REF!</v>
      </c>
      <c r="AK7" s="397" t="e">
        <f ca="1"/>
        <v>#REF!</v>
      </c>
      <c r="AL7" s="397" t="e">
        <f ca="1"/>
        <v>#REF!</v>
      </c>
      <c r="AM7" s="397" t="e">
        <f ca="1"/>
        <v>#REF!</v>
      </c>
      <c r="AN7" s="397" t="e">
        <f ca="1"/>
        <v>#REF!</v>
      </c>
      <c r="AO7" s="397" t="e">
        <f ca="1"/>
        <v>#REF!</v>
      </c>
      <c r="AP7" s="397" t="e">
        <f ca="1"/>
        <v>#REF!</v>
      </c>
      <c r="AQ7" s="397" t="e">
        <f ca="1"/>
        <v>#REF!</v>
      </c>
      <c r="AR7" s="397" t="e">
        <f ca="1"/>
        <v>#REF!</v>
      </c>
      <c r="AS7" s="397" t="e">
        <f ca="1"/>
        <v>#REF!</v>
      </c>
      <c r="AT7" s="397" t="e">
        <f ca="1"/>
        <v>#REF!</v>
      </c>
      <c r="AU7" s="397" t="e">
        <f ca="1"/>
        <v>#REF!</v>
      </c>
      <c r="AV7" s="397" t="e">
        <f ca="1"/>
        <v>#REF!</v>
      </c>
      <c r="AW7" s="397" t="e">
        <f ca="1"/>
        <v>#REF!</v>
      </c>
      <c r="AX7" s="397" t="e">
        <f ca="1"/>
        <v>#REF!</v>
      </c>
      <c r="AY7" s="397" t="e">
        <f ca="1"/>
        <v>#REF!</v>
      </c>
      <c r="AZ7" s="397" t="e">
        <f ca="1"/>
        <v>#REF!</v>
      </c>
      <c r="BA7" s="397" t="e">
        <f ca="1"/>
        <v>#REF!</v>
      </c>
      <c r="BB7" s="397" t="e">
        <f ca="1"/>
        <v>#REF!</v>
      </c>
      <c r="BC7" s="397" t="e">
        <f ca="1"/>
        <v>#REF!</v>
      </c>
      <c r="BD7" s="397" t="e">
        <f ca="1"/>
        <v>#REF!</v>
      </c>
      <c r="BE7" s="397" t="e">
        <f ca="1"/>
        <v>#REF!</v>
      </c>
      <c r="BF7" s="397" t="e">
        <f ca="1"/>
        <v>#REF!</v>
      </c>
      <c r="BG7" s="397" t="e">
        <f ca="1"/>
        <v>#REF!</v>
      </c>
      <c r="BH7" s="397" t="e">
        <f ca="1"/>
        <v>#REF!</v>
      </c>
      <c r="BI7" s="397" t="e">
        <f ca="1"/>
        <v>#REF!</v>
      </c>
      <c r="BJ7" s="397" t="e">
        <f ca="1"/>
        <v>#REF!</v>
      </c>
      <c r="BK7" s="397" t="e">
        <f ca="1"/>
        <v>#REF!</v>
      </c>
      <c r="BL7" s="397" t="e">
        <f ca="1"/>
        <v>#REF!</v>
      </c>
      <c r="BM7" s="397" t="e">
        <f ca="1"/>
        <v>#REF!</v>
      </c>
      <c r="BN7" s="397" t="e">
        <f ca="1"/>
        <v>#REF!</v>
      </c>
      <c r="BO7" s="397" t="e">
        <f ca="1"/>
        <v>#REF!</v>
      </c>
      <c r="BP7" s="397" t="e">
        <f ca="1"/>
        <v>#REF!</v>
      </c>
      <c r="BQ7" s="397" t="e">
        <f ca="1"/>
        <v>#REF!</v>
      </c>
      <c r="BR7" s="397" t="e">
        <f ca="1"/>
        <v>#REF!</v>
      </c>
    </row>
    <row r="8" spans="3:70" x14ac:dyDescent="0.2">
      <c r="C8" s="390" t="s">
        <v>3666</v>
      </c>
      <c r="D8" s="398" t="e">
        <f ca="1"/>
        <v>#REF!</v>
      </c>
      <c r="E8" s="398" t="e">
        <f ca="1"/>
        <v>#REF!</v>
      </c>
      <c r="F8" s="398" t="e">
        <f ca="1"/>
        <v>#REF!</v>
      </c>
      <c r="G8" s="398" t="e">
        <f ca="1"/>
        <v>#REF!</v>
      </c>
      <c r="H8" s="398" t="e">
        <f ca="1"/>
        <v>#REF!</v>
      </c>
      <c r="I8" s="398" t="e">
        <f ca="1"/>
        <v>#REF!</v>
      </c>
      <c r="J8" s="398" t="e">
        <f ca="1"/>
        <v>#REF!</v>
      </c>
      <c r="K8" s="398" t="e">
        <f ca="1"/>
        <v>#REF!</v>
      </c>
      <c r="L8" s="398" t="e">
        <f ca="1"/>
        <v>#REF!</v>
      </c>
      <c r="M8" s="398" t="e">
        <f ca="1"/>
        <v>#REF!</v>
      </c>
      <c r="N8" s="398" t="e">
        <f ca="1"/>
        <v>#REF!</v>
      </c>
      <c r="O8" s="398" t="e">
        <f ca="1"/>
        <v>#REF!</v>
      </c>
      <c r="P8" s="398" t="e">
        <f ca="1"/>
        <v>#REF!</v>
      </c>
      <c r="Q8" s="398" t="e">
        <f ca="1"/>
        <v>#REF!</v>
      </c>
      <c r="R8" s="398" t="e">
        <f ca="1"/>
        <v>#REF!</v>
      </c>
      <c r="S8" s="398" t="e">
        <f ca="1"/>
        <v>#REF!</v>
      </c>
      <c r="T8" s="398" t="e">
        <f ca="1"/>
        <v>#REF!</v>
      </c>
      <c r="U8" s="398" t="e">
        <f ca="1"/>
        <v>#REF!</v>
      </c>
      <c r="V8" s="398" t="e">
        <f ca="1"/>
        <v>#REF!</v>
      </c>
      <c r="W8" s="398" t="e">
        <f ca="1"/>
        <v>#REF!</v>
      </c>
      <c r="X8" s="398" t="e">
        <f ca="1"/>
        <v>#REF!</v>
      </c>
      <c r="Y8" s="398" t="e">
        <f ca="1"/>
        <v>#REF!</v>
      </c>
      <c r="Z8" s="398" t="e">
        <f ca="1"/>
        <v>#REF!</v>
      </c>
      <c r="AA8" s="398" t="e">
        <f ca="1"/>
        <v>#REF!</v>
      </c>
      <c r="AB8" s="398" t="e">
        <f ca="1"/>
        <v>#REF!</v>
      </c>
      <c r="AC8" s="398" t="e">
        <f ca="1"/>
        <v>#REF!</v>
      </c>
      <c r="AD8" s="398" t="e">
        <f ca="1"/>
        <v>#REF!</v>
      </c>
      <c r="AE8" s="398" t="e">
        <f ca="1"/>
        <v>#REF!</v>
      </c>
      <c r="AF8" s="398" t="e">
        <f ca="1"/>
        <v>#REF!</v>
      </c>
      <c r="AG8" s="398" t="e">
        <f ca="1"/>
        <v>#REF!</v>
      </c>
      <c r="AH8" s="398" t="e">
        <f ca="1"/>
        <v>#REF!</v>
      </c>
      <c r="AI8" s="398" t="e">
        <f ca="1"/>
        <v>#REF!</v>
      </c>
      <c r="AJ8" s="398" t="e">
        <f ca="1"/>
        <v>#REF!</v>
      </c>
      <c r="AK8" s="398" t="e">
        <f ca="1"/>
        <v>#REF!</v>
      </c>
      <c r="AL8" s="398" t="e">
        <f ca="1"/>
        <v>#REF!</v>
      </c>
      <c r="AM8" s="398" t="e">
        <f ca="1"/>
        <v>#REF!</v>
      </c>
      <c r="AN8" s="398" t="e">
        <f ca="1"/>
        <v>#REF!</v>
      </c>
      <c r="AO8" s="398" t="e">
        <f ca="1"/>
        <v>#REF!</v>
      </c>
      <c r="AP8" s="398" t="e">
        <f ca="1"/>
        <v>#REF!</v>
      </c>
      <c r="AQ8" s="398" t="e">
        <f ca="1"/>
        <v>#REF!</v>
      </c>
      <c r="AR8" s="398" t="e">
        <f ca="1"/>
        <v>#REF!</v>
      </c>
      <c r="AS8" s="398" t="e">
        <f ca="1"/>
        <v>#REF!</v>
      </c>
      <c r="AT8" s="398" t="e">
        <f ca="1"/>
        <v>#REF!</v>
      </c>
      <c r="AU8" s="398" t="e">
        <f ca="1"/>
        <v>#REF!</v>
      </c>
      <c r="AV8" s="398" t="e">
        <f ca="1"/>
        <v>#REF!</v>
      </c>
      <c r="AW8" s="398" t="e">
        <f ca="1"/>
        <v>#REF!</v>
      </c>
      <c r="AX8" s="398" t="e">
        <f ca="1"/>
        <v>#REF!</v>
      </c>
      <c r="AY8" s="398" t="e">
        <f ca="1"/>
        <v>#REF!</v>
      </c>
      <c r="AZ8" s="398" t="e">
        <f ca="1"/>
        <v>#REF!</v>
      </c>
      <c r="BA8" s="398" t="e">
        <f ca="1"/>
        <v>#REF!</v>
      </c>
      <c r="BB8" s="398" t="e">
        <f ca="1"/>
        <v>#REF!</v>
      </c>
      <c r="BC8" s="398" t="e">
        <f ca="1"/>
        <v>#REF!</v>
      </c>
      <c r="BD8" s="398" t="e">
        <f ca="1"/>
        <v>#REF!</v>
      </c>
      <c r="BE8" s="398" t="e">
        <f ca="1"/>
        <v>#REF!</v>
      </c>
      <c r="BF8" s="398" t="e">
        <f ca="1"/>
        <v>#REF!</v>
      </c>
      <c r="BG8" s="398" t="e">
        <f ca="1"/>
        <v>#REF!</v>
      </c>
      <c r="BH8" s="398" t="e">
        <f ca="1"/>
        <v>#REF!</v>
      </c>
      <c r="BI8" s="398" t="e">
        <f ca="1"/>
        <v>#REF!</v>
      </c>
      <c r="BJ8" s="398" t="e">
        <f ca="1"/>
        <v>#REF!</v>
      </c>
      <c r="BK8" s="398" t="e">
        <f ca="1"/>
        <v>#REF!</v>
      </c>
      <c r="BL8" s="398" t="e">
        <f ca="1"/>
        <v>#REF!</v>
      </c>
      <c r="BM8" s="398" t="e">
        <f ca="1"/>
        <v>#REF!</v>
      </c>
      <c r="BN8" s="398" t="e">
        <f ca="1"/>
        <v>#REF!</v>
      </c>
      <c r="BO8" s="398" t="e">
        <f ca="1"/>
        <v>#REF!</v>
      </c>
      <c r="BP8" s="398" t="e">
        <f ca="1"/>
        <v>#REF!</v>
      </c>
      <c r="BQ8" s="398" t="e">
        <f ca="1"/>
        <v>#REF!</v>
      </c>
      <c r="BR8" s="398" t="e">
        <f ca="1"/>
        <v>#REF!</v>
      </c>
    </row>
    <row r="9" spans="3:70" x14ac:dyDescent="0.2">
      <c r="C9" s="390" t="s">
        <v>206</v>
      </c>
      <c r="D9" s="398" t="e">
        <f ca="1"/>
        <v>#REF!</v>
      </c>
      <c r="E9" s="399" t="e">
        <f ca="1"/>
        <v>#REF!</v>
      </c>
      <c r="F9" s="399" t="e">
        <f ca="1"/>
        <v>#REF!</v>
      </c>
      <c r="G9" s="399" t="e">
        <f ca="1"/>
        <v>#REF!</v>
      </c>
      <c r="H9" s="399" t="e">
        <f ca="1"/>
        <v>#REF!</v>
      </c>
      <c r="I9" s="399" t="e">
        <f ca="1"/>
        <v>#REF!</v>
      </c>
      <c r="J9" s="399" t="e">
        <f ca="1"/>
        <v>#REF!</v>
      </c>
      <c r="K9" s="399" t="e">
        <f ca="1"/>
        <v>#REF!</v>
      </c>
      <c r="L9" s="399" t="e">
        <f ca="1"/>
        <v>#REF!</v>
      </c>
      <c r="M9" s="399" t="e">
        <f ca="1"/>
        <v>#REF!</v>
      </c>
      <c r="N9" s="399" t="e">
        <f ca="1"/>
        <v>#REF!</v>
      </c>
      <c r="O9" s="399" t="e">
        <f ca="1"/>
        <v>#REF!</v>
      </c>
      <c r="P9" s="399" t="e">
        <f ca="1"/>
        <v>#REF!</v>
      </c>
      <c r="Q9" s="399" t="e">
        <f ca="1"/>
        <v>#REF!</v>
      </c>
      <c r="R9" s="399" t="e">
        <f ca="1"/>
        <v>#REF!</v>
      </c>
      <c r="S9" s="399" t="e">
        <f ca="1"/>
        <v>#REF!</v>
      </c>
      <c r="T9" s="399" t="e">
        <f ca="1"/>
        <v>#REF!</v>
      </c>
      <c r="U9" s="399" t="e">
        <f ca="1"/>
        <v>#REF!</v>
      </c>
      <c r="V9" s="399" t="e">
        <f ca="1"/>
        <v>#REF!</v>
      </c>
      <c r="W9" s="399" t="e">
        <f ca="1"/>
        <v>#REF!</v>
      </c>
      <c r="X9" s="399" t="e">
        <f ca="1"/>
        <v>#REF!</v>
      </c>
      <c r="Y9" s="399" t="e">
        <f ca="1"/>
        <v>#REF!</v>
      </c>
      <c r="Z9" s="399" t="e">
        <f ca="1"/>
        <v>#REF!</v>
      </c>
      <c r="AA9" s="399" t="e">
        <f ca="1"/>
        <v>#REF!</v>
      </c>
      <c r="AB9" s="399" t="e">
        <f ca="1"/>
        <v>#REF!</v>
      </c>
      <c r="AC9" s="399" t="e">
        <f ca="1"/>
        <v>#REF!</v>
      </c>
      <c r="AD9" s="399" t="e">
        <f ca="1"/>
        <v>#REF!</v>
      </c>
      <c r="AE9" s="399" t="e">
        <f ca="1"/>
        <v>#REF!</v>
      </c>
      <c r="AF9" s="399" t="e">
        <f ca="1"/>
        <v>#REF!</v>
      </c>
      <c r="AG9" s="399" t="e">
        <f ca="1"/>
        <v>#REF!</v>
      </c>
      <c r="AH9" s="399" t="e">
        <f ca="1"/>
        <v>#REF!</v>
      </c>
      <c r="AI9" s="399" t="e">
        <f ca="1"/>
        <v>#REF!</v>
      </c>
      <c r="AJ9" s="399" t="e">
        <f ca="1"/>
        <v>#REF!</v>
      </c>
      <c r="AK9" s="399" t="e">
        <f ca="1"/>
        <v>#REF!</v>
      </c>
      <c r="AL9" s="399" t="e">
        <f ca="1"/>
        <v>#REF!</v>
      </c>
      <c r="AM9" s="399" t="e">
        <f ca="1"/>
        <v>#REF!</v>
      </c>
      <c r="AN9" s="399" t="e">
        <f ca="1"/>
        <v>#REF!</v>
      </c>
      <c r="AO9" s="399" t="e">
        <f ca="1"/>
        <v>#REF!</v>
      </c>
      <c r="AP9" s="399" t="e">
        <f ca="1"/>
        <v>#REF!</v>
      </c>
      <c r="AQ9" s="399" t="e">
        <f ca="1"/>
        <v>#REF!</v>
      </c>
      <c r="AR9" s="399" t="e">
        <f ca="1"/>
        <v>#REF!</v>
      </c>
      <c r="AS9" s="399" t="e">
        <f ca="1"/>
        <v>#REF!</v>
      </c>
      <c r="AT9" s="399" t="e">
        <f ca="1"/>
        <v>#REF!</v>
      </c>
      <c r="AU9" s="399" t="e">
        <f ca="1"/>
        <v>#REF!</v>
      </c>
      <c r="AV9" s="399" t="e">
        <f ca="1"/>
        <v>#REF!</v>
      </c>
      <c r="AW9" s="399" t="e">
        <f ca="1"/>
        <v>#REF!</v>
      </c>
      <c r="AX9" s="399" t="e">
        <f ca="1"/>
        <v>#REF!</v>
      </c>
      <c r="AY9" s="399" t="e">
        <f ca="1"/>
        <v>#REF!</v>
      </c>
      <c r="AZ9" s="399" t="e">
        <f ca="1"/>
        <v>#REF!</v>
      </c>
      <c r="BA9" s="399" t="e">
        <f ca="1"/>
        <v>#REF!</v>
      </c>
      <c r="BB9" s="399" t="e">
        <f ca="1"/>
        <v>#REF!</v>
      </c>
      <c r="BC9" s="399" t="e">
        <f ca="1"/>
        <v>#REF!</v>
      </c>
      <c r="BD9" s="399" t="e">
        <f ca="1"/>
        <v>#REF!</v>
      </c>
      <c r="BE9" s="399" t="e">
        <f ca="1"/>
        <v>#REF!</v>
      </c>
      <c r="BF9" s="399" t="e">
        <f ca="1"/>
        <v>#REF!</v>
      </c>
      <c r="BG9" s="399" t="e">
        <f ca="1"/>
        <v>#REF!</v>
      </c>
      <c r="BH9" s="399" t="e">
        <f ca="1"/>
        <v>#REF!</v>
      </c>
      <c r="BI9" s="399" t="e">
        <f ca="1"/>
        <v>#REF!</v>
      </c>
      <c r="BJ9" s="399" t="e">
        <f ca="1"/>
        <v>#REF!</v>
      </c>
      <c r="BK9" s="399" t="e">
        <f ca="1"/>
        <v>#REF!</v>
      </c>
      <c r="BL9" s="399" t="e">
        <f ca="1"/>
        <v>#REF!</v>
      </c>
      <c r="BM9" s="399" t="e">
        <f ca="1"/>
        <v>#REF!</v>
      </c>
      <c r="BN9" s="399" t="e">
        <f ca="1"/>
        <v>#REF!</v>
      </c>
      <c r="BO9" s="399" t="e">
        <f ca="1"/>
        <v>#REF!</v>
      </c>
      <c r="BP9" s="399" t="e">
        <f ca="1"/>
        <v>#REF!</v>
      </c>
      <c r="BQ9" s="399" t="e">
        <f ca="1"/>
        <v>#REF!</v>
      </c>
      <c r="BR9" s="399" t="e">
        <f ca="1"/>
        <v>#REF!</v>
      </c>
    </row>
    <row r="10" spans="3:70" x14ac:dyDescent="0.2">
      <c r="C10" s="390" t="s">
        <v>206</v>
      </c>
      <c r="D10" s="398" t="e">
        <f ca="1"/>
        <v>#REF!</v>
      </c>
      <c r="E10" s="399" t="e">
        <f ca="1"/>
        <v>#REF!</v>
      </c>
      <c r="F10" s="399" t="e">
        <f ca="1"/>
        <v>#REF!</v>
      </c>
      <c r="G10" s="399" t="e">
        <f ca="1"/>
        <v>#REF!</v>
      </c>
      <c r="H10" s="399" t="e">
        <f ca="1"/>
        <v>#REF!</v>
      </c>
      <c r="I10" s="399" t="e">
        <f ca="1"/>
        <v>#REF!</v>
      </c>
      <c r="J10" s="399" t="e">
        <f ca="1"/>
        <v>#REF!</v>
      </c>
      <c r="K10" s="399" t="e">
        <f ca="1"/>
        <v>#REF!</v>
      </c>
      <c r="L10" s="399" t="e">
        <f ca="1"/>
        <v>#REF!</v>
      </c>
      <c r="M10" s="399" t="e">
        <f ca="1"/>
        <v>#REF!</v>
      </c>
      <c r="N10" s="399" t="e">
        <f ca="1"/>
        <v>#REF!</v>
      </c>
      <c r="O10" s="399" t="e">
        <f ca="1"/>
        <v>#REF!</v>
      </c>
      <c r="P10" s="399" t="e">
        <f ca="1"/>
        <v>#REF!</v>
      </c>
      <c r="Q10" s="399" t="e">
        <f ca="1"/>
        <v>#REF!</v>
      </c>
      <c r="R10" s="399" t="e">
        <f ca="1"/>
        <v>#REF!</v>
      </c>
      <c r="S10" s="399" t="e">
        <f ca="1"/>
        <v>#REF!</v>
      </c>
      <c r="T10" s="399" t="e">
        <f ca="1"/>
        <v>#REF!</v>
      </c>
      <c r="U10" s="399" t="e">
        <f ca="1"/>
        <v>#REF!</v>
      </c>
      <c r="V10" s="399" t="e">
        <f ca="1"/>
        <v>#REF!</v>
      </c>
      <c r="W10" s="399" t="e">
        <f ca="1"/>
        <v>#REF!</v>
      </c>
      <c r="X10" s="399" t="e">
        <f ca="1"/>
        <v>#REF!</v>
      </c>
      <c r="Y10" s="399" t="e">
        <f ca="1"/>
        <v>#REF!</v>
      </c>
      <c r="Z10" s="399" t="e">
        <f ca="1"/>
        <v>#REF!</v>
      </c>
      <c r="AA10" s="399" t="e">
        <f ca="1"/>
        <v>#REF!</v>
      </c>
      <c r="AB10" s="399" t="e">
        <f ca="1"/>
        <v>#REF!</v>
      </c>
      <c r="AC10" s="399" t="e">
        <f ca="1"/>
        <v>#REF!</v>
      </c>
      <c r="AD10" s="399" t="e">
        <f ca="1"/>
        <v>#REF!</v>
      </c>
      <c r="AE10" s="399" t="e">
        <f ca="1"/>
        <v>#REF!</v>
      </c>
      <c r="AF10" s="399" t="e">
        <f ca="1"/>
        <v>#REF!</v>
      </c>
      <c r="AG10" s="399" t="e">
        <f ca="1"/>
        <v>#REF!</v>
      </c>
      <c r="AH10" s="399" t="e">
        <f ca="1"/>
        <v>#REF!</v>
      </c>
      <c r="AI10" s="399" t="e">
        <f ca="1"/>
        <v>#REF!</v>
      </c>
      <c r="AJ10" s="399" t="e">
        <f ca="1"/>
        <v>#REF!</v>
      </c>
      <c r="AK10" s="399" t="e">
        <f ca="1"/>
        <v>#REF!</v>
      </c>
      <c r="AL10" s="399" t="e">
        <f ca="1"/>
        <v>#REF!</v>
      </c>
      <c r="AM10" s="399" t="e">
        <f ca="1"/>
        <v>#REF!</v>
      </c>
      <c r="AN10" s="399" t="e">
        <f ca="1"/>
        <v>#REF!</v>
      </c>
      <c r="AO10" s="399" t="e">
        <f ca="1"/>
        <v>#REF!</v>
      </c>
      <c r="AP10" s="399" t="e">
        <f ca="1"/>
        <v>#REF!</v>
      </c>
      <c r="AQ10" s="399" t="e">
        <f ca="1"/>
        <v>#REF!</v>
      </c>
      <c r="AR10" s="399" t="e">
        <f ca="1"/>
        <v>#REF!</v>
      </c>
      <c r="AS10" s="399" t="e">
        <f ca="1"/>
        <v>#REF!</v>
      </c>
      <c r="AT10" s="399" t="e">
        <f ca="1"/>
        <v>#REF!</v>
      </c>
      <c r="AU10" s="399" t="e">
        <f ca="1"/>
        <v>#REF!</v>
      </c>
      <c r="AV10" s="399" t="e">
        <f ca="1"/>
        <v>#REF!</v>
      </c>
      <c r="AW10" s="399" t="e">
        <f ca="1"/>
        <v>#REF!</v>
      </c>
      <c r="AX10" s="399" t="e">
        <f ca="1"/>
        <v>#REF!</v>
      </c>
      <c r="AY10" s="399" t="e">
        <f ca="1"/>
        <v>#REF!</v>
      </c>
      <c r="AZ10" s="399" t="e">
        <f ca="1"/>
        <v>#REF!</v>
      </c>
      <c r="BA10" s="399" t="e">
        <f ca="1"/>
        <v>#REF!</v>
      </c>
      <c r="BB10" s="399" t="e">
        <f ca="1"/>
        <v>#REF!</v>
      </c>
      <c r="BC10" s="399" t="e">
        <f ca="1"/>
        <v>#REF!</v>
      </c>
      <c r="BD10" s="399" t="e">
        <f ca="1"/>
        <v>#REF!</v>
      </c>
      <c r="BE10" s="399" t="e">
        <f ca="1"/>
        <v>#REF!</v>
      </c>
      <c r="BF10" s="399" t="e">
        <f ca="1"/>
        <v>#REF!</v>
      </c>
      <c r="BG10" s="399" t="e">
        <f ca="1"/>
        <v>#REF!</v>
      </c>
      <c r="BH10" s="399" t="e">
        <f ca="1"/>
        <v>#REF!</v>
      </c>
      <c r="BI10" s="399" t="e">
        <f ca="1"/>
        <v>#REF!</v>
      </c>
      <c r="BJ10" s="399" t="e">
        <f ca="1"/>
        <v>#REF!</v>
      </c>
      <c r="BK10" s="399" t="e">
        <f ca="1"/>
        <v>#REF!</v>
      </c>
      <c r="BL10" s="399" t="e">
        <f ca="1"/>
        <v>#REF!</v>
      </c>
      <c r="BM10" s="399" t="e">
        <f ca="1"/>
        <v>#REF!</v>
      </c>
      <c r="BN10" s="399" t="e">
        <f ca="1"/>
        <v>#REF!</v>
      </c>
      <c r="BO10" s="399" t="e">
        <f ca="1"/>
        <v>#REF!</v>
      </c>
      <c r="BP10" s="399" t="e">
        <f ca="1"/>
        <v>#REF!</v>
      </c>
      <c r="BQ10" s="399" t="e">
        <f ca="1"/>
        <v>#REF!</v>
      </c>
      <c r="BR10" s="399" t="e">
        <f ca="1"/>
        <v>#REF!</v>
      </c>
    </row>
    <row r="11" spans="3:70" x14ac:dyDescent="0.2">
      <c r="C11" s="390" t="s">
        <v>206</v>
      </c>
      <c r="D11" s="398" t="e">
        <f ca="1"/>
        <v>#REF!</v>
      </c>
      <c r="E11" s="399" t="e">
        <f ca="1"/>
        <v>#REF!</v>
      </c>
      <c r="F11" s="399" t="e">
        <f ca="1"/>
        <v>#REF!</v>
      </c>
      <c r="G11" s="399" t="e">
        <f ca="1"/>
        <v>#REF!</v>
      </c>
      <c r="H11" s="399" t="e">
        <f ca="1"/>
        <v>#REF!</v>
      </c>
      <c r="I11" s="399" t="e">
        <f ca="1"/>
        <v>#REF!</v>
      </c>
      <c r="J11" s="399" t="e">
        <f ca="1"/>
        <v>#REF!</v>
      </c>
      <c r="K11" s="399" t="e">
        <f ca="1"/>
        <v>#REF!</v>
      </c>
      <c r="L11" s="399" t="e">
        <f ca="1"/>
        <v>#REF!</v>
      </c>
      <c r="M11" s="399" t="e">
        <f ca="1"/>
        <v>#REF!</v>
      </c>
      <c r="N11" s="399" t="e">
        <f ca="1"/>
        <v>#REF!</v>
      </c>
      <c r="O11" s="399" t="e">
        <f ca="1"/>
        <v>#REF!</v>
      </c>
      <c r="P11" s="399" t="e">
        <f ca="1"/>
        <v>#REF!</v>
      </c>
      <c r="Q11" s="399" t="e">
        <f ca="1"/>
        <v>#REF!</v>
      </c>
      <c r="R11" s="399" t="e">
        <f ca="1"/>
        <v>#REF!</v>
      </c>
      <c r="S11" s="399" t="e">
        <f ca="1"/>
        <v>#REF!</v>
      </c>
      <c r="T11" s="399" t="e">
        <f ca="1"/>
        <v>#REF!</v>
      </c>
      <c r="U11" s="399" t="e">
        <f ca="1"/>
        <v>#REF!</v>
      </c>
      <c r="V11" s="399" t="e">
        <f ca="1"/>
        <v>#REF!</v>
      </c>
      <c r="W11" s="399" t="e">
        <f ca="1"/>
        <v>#REF!</v>
      </c>
      <c r="X11" s="399" t="e">
        <f ca="1"/>
        <v>#REF!</v>
      </c>
      <c r="Y11" s="399" t="e">
        <f ca="1"/>
        <v>#REF!</v>
      </c>
      <c r="Z11" s="399" t="e">
        <f ca="1"/>
        <v>#REF!</v>
      </c>
      <c r="AA11" s="399" t="e">
        <f ca="1"/>
        <v>#REF!</v>
      </c>
      <c r="AB11" s="399" t="e">
        <f ca="1"/>
        <v>#REF!</v>
      </c>
      <c r="AC11" s="399" t="e">
        <f ca="1"/>
        <v>#REF!</v>
      </c>
      <c r="AD11" s="399" t="e">
        <f ca="1"/>
        <v>#REF!</v>
      </c>
      <c r="AE11" s="399" t="e">
        <f ca="1"/>
        <v>#REF!</v>
      </c>
      <c r="AF11" s="399" t="e">
        <f ca="1"/>
        <v>#REF!</v>
      </c>
      <c r="AG11" s="399" t="e">
        <f ca="1"/>
        <v>#REF!</v>
      </c>
      <c r="AH11" s="399" t="e">
        <f ca="1"/>
        <v>#REF!</v>
      </c>
      <c r="AI11" s="399" t="e">
        <f ca="1"/>
        <v>#REF!</v>
      </c>
      <c r="AJ11" s="399" t="e">
        <f ca="1"/>
        <v>#REF!</v>
      </c>
      <c r="AK11" s="399" t="e">
        <f ca="1"/>
        <v>#REF!</v>
      </c>
      <c r="AL11" s="399" t="e">
        <f ca="1"/>
        <v>#REF!</v>
      </c>
      <c r="AM11" s="399" t="e">
        <f ca="1"/>
        <v>#REF!</v>
      </c>
      <c r="AN11" s="399" t="e">
        <f ca="1"/>
        <v>#REF!</v>
      </c>
      <c r="AO11" s="399" t="e">
        <f ca="1"/>
        <v>#REF!</v>
      </c>
      <c r="AP11" s="399" t="e">
        <f ca="1"/>
        <v>#REF!</v>
      </c>
      <c r="AQ11" s="399" t="e">
        <f ca="1"/>
        <v>#REF!</v>
      </c>
      <c r="AR11" s="399" t="e">
        <f ca="1"/>
        <v>#REF!</v>
      </c>
      <c r="AS11" s="399" t="e">
        <f ca="1"/>
        <v>#REF!</v>
      </c>
      <c r="AT11" s="399" t="e">
        <f ca="1"/>
        <v>#REF!</v>
      </c>
      <c r="AU11" s="399" t="e">
        <f ca="1"/>
        <v>#REF!</v>
      </c>
      <c r="AV11" s="399" t="e">
        <f ca="1"/>
        <v>#REF!</v>
      </c>
      <c r="AW11" s="399" t="e">
        <f ca="1"/>
        <v>#REF!</v>
      </c>
      <c r="AX11" s="399" t="e">
        <f ca="1"/>
        <v>#REF!</v>
      </c>
      <c r="AY11" s="399" t="e">
        <f ca="1"/>
        <v>#REF!</v>
      </c>
      <c r="AZ11" s="399" t="e">
        <f ca="1"/>
        <v>#REF!</v>
      </c>
      <c r="BA11" s="399" t="e">
        <f ca="1"/>
        <v>#REF!</v>
      </c>
      <c r="BB11" s="399" t="e">
        <f ca="1"/>
        <v>#REF!</v>
      </c>
      <c r="BC11" s="399" t="e">
        <f ca="1"/>
        <v>#REF!</v>
      </c>
      <c r="BD11" s="399" t="e">
        <f ca="1"/>
        <v>#REF!</v>
      </c>
      <c r="BE11" s="399" t="e">
        <f ca="1"/>
        <v>#REF!</v>
      </c>
      <c r="BF11" s="399" t="e">
        <f ca="1"/>
        <v>#REF!</v>
      </c>
      <c r="BG11" s="399" t="e">
        <f ca="1"/>
        <v>#REF!</v>
      </c>
      <c r="BH11" s="399" t="e">
        <f ca="1"/>
        <v>#REF!</v>
      </c>
      <c r="BI11" s="399" t="e">
        <f ca="1"/>
        <v>#REF!</v>
      </c>
      <c r="BJ11" s="399" t="e">
        <f ca="1"/>
        <v>#REF!</v>
      </c>
      <c r="BK11" s="399" t="e">
        <f ca="1"/>
        <v>#REF!</v>
      </c>
      <c r="BL11" s="399" t="e">
        <f ca="1"/>
        <v>#REF!</v>
      </c>
      <c r="BM11" s="399" t="e">
        <f ca="1"/>
        <v>#REF!</v>
      </c>
      <c r="BN11" s="399" t="e">
        <f ca="1"/>
        <v>#REF!</v>
      </c>
      <c r="BO11" s="399" t="e">
        <f ca="1"/>
        <v>#REF!</v>
      </c>
      <c r="BP11" s="399" t="e">
        <f ca="1"/>
        <v>#REF!</v>
      </c>
      <c r="BQ11" s="399" t="e">
        <f ca="1"/>
        <v>#REF!</v>
      </c>
      <c r="BR11" s="399" t="e">
        <f ca="1"/>
        <v>#REF!</v>
      </c>
    </row>
    <row r="12" spans="3:70" x14ac:dyDescent="0.2">
      <c r="C12" s="390" t="s">
        <v>206</v>
      </c>
      <c r="D12" s="398" t="e">
        <f ca="1"/>
        <v>#REF!</v>
      </c>
      <c r="E12" s="399" t="e">
        <f ca="1"/>
        <v>#REF!</v>
      </c>
      <c r="F12" s="399" t="e">
        <f ca="1"/>
        <v>#REF!</v>
      </c>
      <c r="G12" s="399" t="e">
        <f ca="1"/>
        <v>#REF!</v>
      </c>
      <c r="H12" s="399" t="e">
        <f ca="1"/>
        <v>#REF!</v>
      </c>
      <c r="I12" s="399" t="e">
        <f ca="1"/>
        <v>#REF!</v>
      </c>
      <c r="J12" s="399" t="e">
        <f ca="1"/>
        <v>#REF!</v>
      </c>
      <c r="K12" s="399" t="e">
        <f ca="1"/>
        <v>#REF!</v>
      </c>
      <c r="L12" s="399" t="e">
        <f ca="1"/>
        <v>#REF!</v>
      </c>
      <c r="M12" s="399" t="e">
        <f ca="1"/>
        <v>#REF!</v>
      </c>
      <c r="N12" s="399" t="e">
        <f ca="1"/>
        <v>#REF!</v>
      </c>
      <c r="O12" s="399" t="e">
        <f ca="1"/>
        <v>#REF!</v>
      </c>
      <c r="P12" s="399" t="e">
        <f ca="1"/>
        <v>#REF!</v>
      </c>
      <c r="Q12" s="399" t="e">
        <f ca="1"/>
        <v>#REF!</v>
      </c>
      <c r="R12" s="399" t="e">
        <f ca="1"/>
        <v>#REF!</v>
      </c>
      <c r="S12" s="399" t="e">
        <f ca="1"/>
        <v>#REF!</v>
      </c>
      <c r="T12" s="399" t="e">
        <f ca="1"/>
        <v>#REF!</v>
      </c>
      <c r="U12" s="399" t="e">
        <f ca="1"/>
        <v>#REF!</v>
      </c>
      <c r="V12" s="399" t="e">
        <f ca="1"/>
        <v>#REF!</v>
      </c>
      <c r="W12" s="399" t="e">
        <f ca="1"/>
        <v>#REF!</v>
      </c>
      <c r="X12" s="399" t="e">
        <f ca="1"/>
        <v>#REF!</v>
      </c>
      <c r="Y12" s="399" t="e">
        <f ca="1"/>
        <v>#REF!</v>
      </c>
      <c r="Z12" s="399" t="e">
        <f ca="1"/>
        <v>#REF!</v>
      </c>
      <c r="AA12" s="399" t="e">
        <f ca="1"/>
        <v>#REF!</v>
      </c>
      <c r="AB12" s="399" t="e">
        <f ca="1"/>
        <v>#REF!</v>
      </c>
      <c r="AC12" s="399" t="e">
        <f ca="1"/>
        <v>#REF!</v>
      </c>
      <c r="AD12" s="399" t="e">
        <f ca="1"/>
        <v>#REF!</v>
      </c>
      <c r="AE12" s="399" t="e">
        <f ca="1"/>
        <v>#REF!</v>
      </c>
      <c r="AF12" s="399" t="e">
        <f ca="1"/>
        <v>#REF!</v>
      </c>
      <c r="AG12" s="399" t="e">
        <f ca="1"/>
        <v>#REF!</v>
      </c>
      <c r="AH12" s="399" t="e">
        <f ca="1"/>
        <v>#REF!</v>
      </c>
      <c r="AI12" s="399" t="e">
        <f ca="1"/>
        <v>#REF!</v>
      </c>
      <c r="AJ12" s="399" t="e">
        <f ca="1"/>
        <v>#REF!</v>
      </c>
      <c r="AK12" s="399" t="e">
        <f ca="1"/>
        <v>#REF!</v>
      </c>
      <c r="AL12" s="399" t="e">
        <f ca="1"/>
        <v>#REF!</v>
      </c>
      <c r="AM12" s="399" t="e">
        <f ca="1"/>
        <v>#REF!</v>
      </c>
      <c r="AN12" s="399" t="e">
        <f ca="1"/>
        <v>#REF!</v>
      </c>
      <c r="AO12" s="399" t="e">
        <f ca="1"/>
        <v>#REF!</v>
      </c>
      <c r="AP12" s="399" t="e">
        <f ca="1"/>
        <v>#REF!</v>
      </c>
      <c r="AQ12" s="399" t="e">
        <f ca="1"/>
        <v>#REF!</v>
      </c>
      <c r="AR12" s="399" t="e">
        <f ca="1"/>
        <v>#REF!</v>
      </c>
      <c r="AS12" s="399" t="e">
        <f ca="1"/>
        <v>#REF!</v>
      </c>
      <c r="AT12" s="399" t="e">
        <f ca="1"/>
        <v>#REF!</v>
      </c>
      <c r="AU12" s="399" t="e">
        <f ca="1"/>
        <v>#REF!</v>
      </c>
      <c r="AV12" s="399" t="e">
        <f ca="1"/>
        <v>#REF!</v>
      </c>
      <c r="AW12" s="399" t="e">
        <f ca="1"/>
        <v>#REF!</v>
      </c>
      <c r="AX12" s="399" t="e">
        <f ca="1"/>
        <v>#REF!</v>
      </c>
      <c r="AY12" s="399" t="e">
        <f ca="1"/>
        <v>#REF!</v>
      </c>
      <c r="AZ12" s="399" t="e">
        <f ca="1"/>
        <v>#REF!</v>
      </c>
      <c r="BA12" s="399" t="e">
        <f ca="1"/>
        <v>#REF!</v>
      </c>
      <c r="BB12" s="399" t="e">
        <f ca="1"/>
        <v>#REF!</v>
      </c>
      <c r="BC12" s="399" t="e">
        <f ca="1"/>
        <v>#REF!</v>
      </c>
      <c r="BD12" s="399" t="e">
        <f ca="1"/>
        <v>#REF!</v>
      </c>
      <c r="BE12" s="399" t="e">
        <f ca="1"/>
        <v>#REF!</v>
      </c>
      <c r="BF12" s="399" t="e">
        <f ca="1"/>
        <v>#REF!</v>
      </c>
      <c r="BG12" s="399" t="e">
        <f ca="1"/>
        <v>#REF!</v>
      </c>
      <c r="BH12" s="399" t="e">
        <f ca="1"/>
        <v>#REF!</v>
      </c>
      <c r="BI12" s="399" t="e">
        <f ca="1"/>
        <v>#REF!</v>
      </c>
      <c r="BJ12" s="399" t="e">
        <f ca="1"/>
        <v>#REF!</v>
      </c>
      <c r="BK12" s="399" t="e">
        <f ca="1"/>
        <v>#REF!</v>
      </c>
      <c r="BL12" s="399" t="e">
        <f ca="1"/>
        <v>#REF!</v>
      </c>
      <c r="BM12" s="399" t="e">
        <f ca="1"/>
        <v>#REF!</v>
      </c>
      <c r="BN12" s="399" t="e">
        <f ca="1"/>
        <v>#REF!</v>
      </c>
      <c r="BO12" s="399" t="e">
        <f ca="1"/>
        <v>#REF!</v>
      </c>
      <c r="BP12" s="399" t="e">
        <f ca="1"/>
        <v>#REF!</v>
      </c>
      <c r="BQ12" s="399" t="e">
        <f ca="1"/>
        <v>#REF!</v>
      </c>
      <c r="BR12" s="399" t="e">
        <f ca="1"/>
        <v>#REF!</v>
      </c>
    </row>
    <row r="13" spans="3:70" x14ac:dyDescent="0.2">
      <c r="C13" s="390" t="s">
        <v>206</v>
      </c>
      <c r="D13" s="400" t="e">
        <f ca="1"/>
        <v>#REF!</v>
      </c>
      <c r="E13" s="401" t="e">
        <f ca="1"/>
        <v>#REF!</v>
      </c>
      <c r="F13" s="401" t="e">
        <f ca="1"/>
        <v>#REF!</v>
      </c>
      <c r="G13" s="401" t="e">
        <f ca="1"/>
        <v>#REF!</v>
      </c>
      <c r="H13" s="401" t="e">
        <f ca="1"/>
        <v>#REF!</v>
      </c>
      <c r="I13" s="401" t="e">
        <f ca="1"/>
        <v>#REF!</v>
      </c>
      <c r="J13" s="401" t="e">
        <f ca="1"/>
        <v>#REF!</v>
      </c>
      <c r="K13" s="401" t="e">
        <f ca="1"/>
        <v>#REF!</v>
      </c>
      <c r="L13" s="401" t="e">
        <f ca="1"/>
        <v>#REF!</v>
      </c>
      <c r="M13" s="401" t="e">
        <f ca="1"/>
        <v>#REF!</v>
      </c>
      <c r="N13" s="401" t="e">
        <f ca="1"/>
        <v>#REF!</v>
      </c>
      <c r="O13" s="401" t="e">
        <f ca="1"/>
        <v>#REF!</v>
      </c>
      <c r="P13" s="401" t="e">
        <f ca="1"/>
        <v>#REF!</v>
      </c>
      <c r="Q13" s="401" t="e">
        <f ca="1"/>
        <v>#REF!</v>
      </c>
      <c r="R13" s="401" t="e">
        <f ca="1"/>
        <v>#REF!</v>
      </c>
      <c r="S13" s="401" t="e">
        <f ca="1"/>
        <v>#REF!</v>
      </c>
      <c r="T13" s="401" t="e">
        <f ca="1"/>
        <v>#REF!</v>
      </c>
      <c r="U13" s="401" t="e">
        <f ca="1"/>
        <v>#REF!</v>
      </c>
      <c r="V13" s="401" t="e">
        <f ca="1"/>
        <v>#REF!</v>
      </c>
      <c r="W13" s="401" t="e">
        <f ca="1"/>
        <v>#REF!</v>
      </c>
      <c r="X13" s="401" t="e">
        <f ca="1"/>
        <v>#REF!</v>
      </c>
      <c r="Y13" s="401" t="e">
        <f ca="1"/>
        <v>#REF!</v>
      </c>
      <c r="Z13" s="401" t="e">
        <f ca="1"/>
        <v>#REF!</v>
      </c>
      <c r="AA13" s="401" t="e">
        <f ca="1"/>
        <v>#REF!</v>
      </c>
      <c r="AB13" s="401" t="e">
        <f ca="1"/>
        <v>#REF!</v>
      </c>
      <c r="AC13" s="401" t="e">
        <f ca="1"/>
        <v>#REF!</v>
      </c>
      <c r="AD13" s="401" t="e">
        <f ca="1"/>
        <v>#REF!</v>
      </c>
      <c r="AE13" s="401" t="e">
        <f ca="1"/>
        <v>#REF!</v>
      </c>
      <c r="AF13" s="401" t="e">
        <f ca="1"/>
        <v>#REF!</v>
      </c>
      <c r="AG13" s="401" t="e">
        <f ca="1"/>
        <v>#REF!</v>
      </c>
      <c r="AH13" s="401" t="e">
        <f ca="1"/>
        <v>#REF!</v>
      </c>
      <c r="AI13" s="401" t="e">
        <f ca="1"/>
        <v>#REF!</v>
      </c>
      <c r="AJ13" s="401" t="e">
        <f ca="1"/>
        <v>#REF!</v>
      </c>
      <c r="AK13" s="401" t="e">
        <f ca="1"/>
        <v>#REF!</v>
      </c>
      <c r="AL13" s="401" t="e">
        <f ca="1"/>
        <v>#REF!</v>
      </c>
      <c r="AM13" s="401" t="e">
        <f ca="1"/>
        <v>#REF!</v>
      </c>
      <c r="AN13" s="401" t="e">
        <f ca="1"/>
        <v>#REF!</v>
      </c>
      <c r="AO13" s="401" t="e">
        <f ca="1"/>
        <v>#REF!</v>
      </c>
      <c r="AP13" s="401" t="e">
        <f ca="1"/>
        <v>#REF!</v>
      </c>
      <c r="AQ13" s="401" t="e">
        <f ca="1"/>
        <v>#REF!</v>
      </c>
      <c r="AR13" s="401" t="e">
        <f ca="1"/>
        <v>#REF!</v>
      </c>
      <c r="AS13" s="401" t="e">
        <f ca="1"/>
        <v>#REF!</v>
      </c>
      <c r="AT13" s="401" t="e">
        <f ca="1"/>
        <v>#REF!</v>
      </c>
      <c r="AU13" s="401" t="e">
        <f ca="1"/>
        <v>#REF!</v>
      </c>
      <c r="AV13" s="401" t="e">
        <f ca="1"/>
        <v>#REF!</v>
      </c>
      <c r="AW13" s="401" t="e">
        <f ca="1"/>
        <v>#REF!</v>
      </c>
      <c r="AX13" s="401" t="e">
        <f ca="1"/>
        <v>#REF!</v>
      </c>
      <c r="AY13" s="401" t="e">
        <f ca="1"/>
        <v>#REF!</v>
      </c>
      <c r="AZ13" s="401" t="e">
        <f ca="1"/>
        <v>#REF!</v>
      </c>
      <c r="BA13" s="401" t="e">
        <f ca="1"/>
        <v>#REF!</v>
      </c>
      <c r="BB13" s="401" t="e">
        <f ca="1"/>
        <v>#REF!</v>
      </c>
      <c r="BC13" s="401" t="e">
        <f ca="1"/>
        <v>#REF!</v>
      </c>
      <c r="BD13" s="401" t="e">
        <f ca="1"/>
        <v>#REF!</v>
      </c>
      <c r="BE13" s="401" t="e">
        <f ca="1"/>
        <v>#REF!</v>
      </c>
      <c r="BF13" s="401" t="e">
        <f ca="1"/>
        <v>#REF!</v>
      </c>
      <c r="BG13" s="401" t="e">
        <f ca="1"/>
        <v>#REF!</v>
      </c>
      <c r="BH13" s="401" t="e">
        <f ca="1"/>
        <v>#REF!</v>
      </c>
      <c r="BI13" s="401" t="e">
        <f ca="1"/>
        <v>#REF!</v>
      </c>
      <c r="BJ13" s="401" t="e">
        <f ca="1"/>
        <v>#REF!</v>
      </c>
      <c r="BK13" s="401" t="e">
        <f ca="1"/>
        <v>#REF!</v>
      </c>
      <c r="BL13" s="401" t="e">
        <f ca="1"/>
        <v>#REF!</v>
      </c>
      <c r="BM13" s="401" t="e">
        <f ca="1"/>
        <v>#REF!</v>
      </c>
      <c r="BN13" s="401" t="e">
        <f ca="1"/>
        <v>#REF!</v>
      </c>
      <c r="BO13" s="401" t="e">
        <f ca="1"/>
        <v>#REF!</v>
      </c>
      <c r="BP13" s="401" t="e">
        <f ca="1"/>
        <v>#REF!</v>
      </c>
      <c r="BQ13" s="401" t="e">
        <f ca="1"/>
        <v>#REF!</v>
      </c>
      <c r="BR13" s="401" t="e">
        <f ca="1"/>
        <v>#REF!</v>
      </c>
    </row>
    <row r="14" spans="3:70" x14ac:dyDescent="0.2">
      <c r="D14" s="390" t="s">
        <v>207</v>
      </c>
      <c r="E14" s="489" t="e">
        <f>B31-Zuschlag_CH</f>
        <v>#VALUE!</v>
      </c>
      <c r="F14" s="390" t="s">
        <v>2948</v>
      </c>
    </row>
    <row r="15" spans="3:70" x14ac:dyDescent="0.2">
      <c r="D15" s="390" t="s">
        <v>208</v>
      </c>
      <c r="E15" s="402">
        <v>20</v>
      </c>
      <c r="F15" s="390" t="s">
        <v>2948</v>
      </c>
    </row>
    <row r="16" spans="3:70" x14ac:dyDescent="0.2">
      <c r="C16" s="390" t="s">
        <v>284</v>
      </c>
      <c r="D16" s="390" t="s">
        <v>209</v>
      </c>
      <c r="E16" s="403" t="e">
        <f t="shared" ref="E16:AJ16" ca="1" si="0">MAX($E$15-MAX(E6,$E$14),0)</f>
        <v>#REF!</v>
      </c>
      <c r="F16" s="403" t="e">
        <f t="shared" ca="1" si="0"/>
        <v>#REF!</v>
      </c>
      <c r="G16" s="403" t="e">
        <f t="shared" ca="1" si="0"/>
        <v>#REF!</v>
      </c>
      <c r="H16" s="403" t="e">
        <f t="shared" ca="1" si="0"/>
        <v>#REF!</v>
      </c>
      <c r="I16" s="403" t="e">
        <f t="shared" ca="1" si="0"/>
        <v>#REF!</v>
      </c>
      <c r="J16" s="403" t="e">
        <f t="shared" ca="1" si="0"/>
        <v>#REF!</v>
      </c>
      <c r="K16" s="403" t="e">
        <f t="shared" ca="1" si="0"/>
        <v>#REF!</v>
      </c>
      <c r="L16" s="403" t="e">
        <f t="shared" ca="1" si="0"/>
        <v>#REF!</v>
      </c>
      <c r="M16" s="403" t="e">
        <f t="shared" ca="1" si="0"/>
        <v>#REF!</v>
      </c>
      <c r="N16" s="403" t="e">
        <f t="shared" ca="1" si="0"/>
        <v>#REF!</v>
      </c>
      <c r="O16" s="403" t="e">
        <f t="shared" ca="1" si="0"/>
        <v>#REF!</v>
      </c>
      <c r="P16" s="403" t="e">
        <f t="shared" ca="1" si="0"/>
        <v>#REF!</v>
      </c>
      <c r="Q16" s="403" t="e">
        <f t="shared" ca="1" si="0"/>
        <v>#REF!</v>
      </c>
      <c r="R16" s="403" t="e">
        <f t="shared" ca="1" si="0"/>
        <v>#REF!</v>
      </c>
      <c r="S16" s="403" t="e">
        <f t="shared" ca="1" si="0"/>
        <v>#REF!</v>
      </c>
      <c r="T16" s="403" t="e">
        <f t="shared" ca="1" si="0"/>
        <v>#REF!</v>
      </c>
      <c r="U16" s="403" t="e">
        <f t="shared" ca="1" si="0"/>
        <v>#REF!</v>
      </c>
      <c r="V16" s="403" t="e">
        <f t="shared" ca="1" si="0"/>
        <v>#REF!</v>
      </c>
      <c r="W16" s="403" t="e">
        <f t="shared" ca="1" si="0"/>
        <v>#REF!</v>
      </c>
      <c r="X16" s="403" t="e">
        <f t="shared" ca="1" si="0"/>
        <v>#REF!</v>
      </c>
      <c r="Y16" s="403" t="e">
        <f t="shared" ca="1" si="0"/>
        <v>#REF!</v>
      </c>
      <c r="Z16" s="403" t="e">
        <f t="shared" ca="1" si="0"/>
        <v>#REF!</v>
      </c>
      <c r="AA16" s="403" t="e">
        <f t="shared" ca="1" si="0"/>
        <v>#REF!</v>
      </c>
      <c r="AB16" s="403" t="e">
        <f t="shared" ca="1" si="0"/>
        <v>#REF!</v>
      </c>
      <c r="AC16" s="403" t="e">
        <f t="shared" ca="1" si="0"/>
        <v>#REF!</v>
      </c>
      <c r="AD16" s="403" t="e">
        <f t="shared" ca="1" si="0"/>
        <v>#REF!</v>
      </c>
      <c r="AE16" s="403" t="e">
        <f t="shared" ca="1" si="0"/>
        <v>#REF!</v>
      </c>
      <c r="AF16" s="403" t="e">
        <f t="shared" ca="1" si="0"/>
        <v>#REF!</v>
      </c>
      <c r="AG16" s="403" t="e">
        <f t="shared" ca="1" si="0"/>
        <v>#REF!</v>
      </c>
      <c r="AH16" s="403" t="e">
        <f t="shared" ca="1" si="0"/>
        <v>#REF!</v>
      </c>
      <c r="AI16" s="403" t="e">
        <f t="shared" ca="1" si="0"/>
        <v>#REF!</v>
      </c>
      <c r="AJ16" s="403" t="e">
        <f t="shared" ca="1" si="0"/>
        <v>#REF!</v>
      </c>
      <c r="AK16" s="403" t="e">
        <f t="shared" ref="AK16:BR16" ca="1" si="1">MAX($E$15-MAX(AK6,$E$14),0)</f>
        <v>#REF!</v>
      </c>
      <c r="AL16" s="403" t="e">
        <f t="shared" ca="1" si="1"/>
        <v>#REF!</v>
      </c>
      <c r="AM16" s="403" t="e">
        <f t="shared" ca="1" si="1"/>
        <v>#REF!</v>
      </c>
      <c r="AN16" s="403" t="e">
        <f t="shared" ca="1" si="1"/>
        <v>#REF!</v>
      </c>
      <c r="AO16" s="403" t="e">
        <f t="shared" ca="1" si="1"/>
        <v>#REF!</v>
      </c>
      <c r="AP16" s="403" t="e">
        <f t="shared" ca="1" si="1"/>
        <v>#REF!</v>
      </c>
      <c r="AQ16" s="403" t="e">
        <f t="shared" ca="1" si="1"/>
        <v>#REF!</v>
      </c>
      <c r="AR16" s="403" t="e">
        <f t="shared" ca="1" si="1"/>
        <v>#REF!</v>
      </c>
      <c r="AS16" s="403" t="e">
        <f t="shared" ca="1" si="1"/>
        <v>#REF!</v>
      </c>
      <c r="AT16" s="403" t="e">
        <f t="shared" ca="1" si="1"/>
        <v>#REF!</v>
      </c>
      <c r="AU16" s="403" t="e">
        <f t="shared" ca="1" si="1"/>
        <v>#REF!</v>
      </c>
      <c r="AV16" s="403" t="e">
        <f t="shared" ca="1" si="1"/>
        <v>#REF!</v>
      </c>
      <c r="AW16" s="403" t="e">
        <f t="shared" ca="1" si="1"/>
        <v>#REF!</v>
      </c>
      <c r="AX16" s="403" t="e">
        <f t="shared" ca="1" si="1"/>
        <v>#REF!</v>
      </c>
      <c r="AY16" s="403" t="e">
        <f t="shared" ca="1" si="1"/>
        <v>#REF!</v>
      </c>
      <c r="AZ16" s="403" t="e">
        <f t="shared" ca="1" si="1"/>
        <v>#REF!</v>
      </c>
      <c r="BA16" s="403" t="e">
        <f t="shared" ca="1" si="1"/>
        <v>#REF!</v>
      </c>
      <c r="BB16" s="403" t="e">
        <f t="shared" ca="1" si="1"/>
        <v>#REF!</v>
      </c>
      <c r="BC16" s="403" t="e">
        <f t="shared" ca="1" si="1"/>
        <v>#REF!</v>
      </c>
      <c r="BD16" s="403" t="e">
        <f t="shared" ca="1" si="1"/>
        <v>#REF!</v>
      </c>
      <c r="BE16" s="403" t="e">
        <f t="shared" ca="1" si="1"/>
        <v>#REF!</v>
      </c>
      <c r="BF16" s="403" t="e">
        <f t="shared" ca="1" si="1"/>
        <v>#REF!</v>
      </c>
      <c r="BG16" s="403" t="e">
        <f t="shared" ca="1" si="1"/>
        <v>#REF!</v>
      </c>
      <c r="BH16" s="403" t="e">
        <f t="shared" ca="1" si="1"/>
        <v>#REF!</v>
      </c>
      <c r="BI16" s="403" t="e">
        <f t="shared" ca="1" si="1"/>
        <v>#REF!</v>
      </c>
      <c r="BJ16" s="403" t="e">
        <f t="shared" ca="1" si="1"/>
        <v>#REF!</v>
      </c>
      <c r="BK16" s="403" t="e">
        <f t="shared" ca="1" si="1"/>
        <v>#REF!</v>
      </c>
      <c r="BL16" s="403" t="e">
        <f t="shared" ca="1" si="1"/>
        <v>#REF!</v>
      </c>
      <c r="BM16" s="403" t="e">
        <f t="shared" ca="1" si="1"/>
        <v>#REF!</v>
      </c>
      <c r="BN16" s="403" t="e">
        <f t="shared" ca="1" si="1"/>
        <v>#REF!</v>
      </c>
      <c r="BO16" s="403" t="e">
        <f t="shared" ca="1" si="1"/>
        <v>#REF!</v>
      </c>
      <c r="BP16" s="403" t="e">
        <f t="shared" ca="1" si="1"/>
        <v>#REF!</v>
      </c>
      <c r="BQ16" s="403" t="e">
        <f t="shared" ca="1" si="1"/>
        <v>#REF!</v>
      </c>
      <c r="BR16" s="403" t="e">
        <f t="shared" ca="1" si="1"/>
        <v>#REF!</v>
      </c>
    </row>
    <row r="17" spans="2:70" x14ac:dyDescent="0.2">
      <c r="D17" s="390" t="s">
        <v>210</v>
      </c>
      <c r="E17" s="404" t="e">
        <f t="shared" ref="E17:AJ17" ca="1" si="2">AVERAGE(E16:F16)</f>
        <v>#REF!</v>
      </c>
      <c r="F17" s="404" t="e">
        <f t="shared" ca="1" si="2"/>
        <v>#REF!</v>
      </c>
      <c r="G17" s="404" t="e">
        <f t="shared" ca="1" si="2"/>
        <v>#REF!</v>
      </c>
      <c r="H17" s="404" t="e">
        <f t="shared" ca="1" si="2"/>
        <v>#REF!</v>
      </c>
      <c r="I17" s="404" t="e">
        <f t="shared" ca="1" si="2"/>
        <v>#REF!</v>
      </c>
      <c r="J17" s="404" t="e">
        <f t="shared" ca="1" si="2"/>
        <v>#REF!</v>
      </c>
      <c r="K17" s="404" t="e">
        <f t="shared" ca="1" si="2"/>
        <v>#REF!</v>
      </c>
      <c r="L17" s="404" t="e">
        <f t="shared" ca="1" si="2"/>
        <v>#REF!</v>
      </c>
      <c r="M17" s="404" t="e">
        <f t="shared" ca="1" si="2"/>
        <v>#REF!</v>
      </c>
      <c r="N17" s="404" t="e">
        <f t="shared" ca="1" si="2"/>
        <v>#REF!</v>
      </c>
      <c r="O17" s="404" t="e">
        <f t="shared" ca="1" si="2"/>
        <v>#REF!</v>
      </c>
      <c r="P17" s="404" t="e">
        <f t="shared" ca="1" si="2"/>
        <v>#REF!</v>
      </c>
      <c r="Q17" s="404" t="e">
        <f t="shared" ca="1" si="2"/>
        <v>#REF!</v>
      </c>
      <c r="R17" s="404" t="e">
        <f t="shared" ca="1" si="2"/>
        <v>#REF!</v>
      </c>
      <c r="S17" s="404" t="e">
        <f t="shared" ca="1" si="2"/>
        <v>#REF!</v>
      </c>
      <c r="T17" s="404" t="e">
        <f t="shared" ca="1" si="2"/>
        <v>#REF!</v>
      </c>
      <c r="U17" s="404" t="e">
        <f t="shared" ca="1" si="2"/>
        <v>#REF!</v>
      </c>
      <c r="V17" s="404" t="e">
        <f t="shared" ca="1" si="2"/>
        <v>#REF!</v>
      </c>
      <c r="W17" s="404" t="e">
        <f t="shared" ca="1" si="2"/>
        <v>#REF!</v>
      </c>
      <c r="X17" s="404" t="e">
        <f t="shared" ca="1" si="2"/>
        <v>#REF!</v>
      </c>
      <c r="Y17" s="404" t="e">
        <f t="shared" ca="1" si="2"/>
        <v>#REF!</v>
      </c>
      <c r="Z17" s="404" t="e">
        <f t="shared" ca="1" si="2"/>
        <v>#REF!</v>
      </c>
      <c r="AA17" s="404" t="e">
        <f t="shared" ca="1" si="2"/>
        <v>#REF!</v>
      </c>
      <c r="AB17" s="404" t="e">
        <f t="shared" ca="1" si="2"/>
        <v>#REF!</v>
      </c>
      <c r="AC17" s="404" t="e">
        <f t="shared" ca="1" si="2"/>
        <v>#REF!</v>
      </c>
      <c r="AD17" s="404" t="e">
        <f t="shared" ca="1" si="2"/>
        <v>#REF!</v>
      </c>
      <c r="AE17" s="404" t="e">
        <f t="shared" ca="1" si="2"/>
        <v>#REF!</v>
      </c>
      <c r="AF17" s="404" t="e">
        <f t="shared" ca="1" si="2"/>
        <v>#REF!</v>
      </c>
      <c r="AG17" s="404" t="e">
        <f t="shared" ca="1" si="2"/>
        <v>#REF!</v>
      </c>
      <c r="AH17" s="404" t="e">
        <f t="shared" ca="1" si="2"/>
        <v>#REF!</v>
      </c>
      <c r="AI17" s="404" t="e">
        <f t="shared" ca="1" si="2"/>
        <v>#REF!</v>
      </c>
      <c r="AJ17" s="404" t="e">
        <f t="shared" ca="1" si="2"/>
        <v>#REF!</v>
      </c>
      <c r="AK17" s="404" t="e">
        <f t="shared" ref="AK17:BP17" ca="1" si="3">AVERAGE(AK16:AL16)</f>
        <v>#REF!</v>
      </c>
      <c r="AL17" s="404" t="e">
        <f t="shared" ca="1" si="3"/>
        <v>#REF!</v>
      </c>
      <c r="AM17" s="404" t="e">
        <f t="shared" ca="1" si="3"/>
        <v>#REF!</v>
      </c>
      <c r="AN17" s="404" t="e">
        <f t="shared" ca="1" si="3"/>
        <v>#REF!</v>
      </c>
      <c r="AO17" s="404" t="e">
        <f t="shared" ca="1" si="3"/>
        <v>#REF!</v>
      </c>
      <c r="AP17" s="404" t="e">
        <f t="shared" ca="1" si="3"/>
        <v>#REF!</v>
      </c>
      <c r="AQ17" s="404" t="e">
        <f t="shared" ca="1" si="3"/>
        <v>#REF!</v>
      </c>
      <c r="AR17" s="404" t="e">
        <f t="shared" ca="1" si="3"/>
        <v>#REF!</v>
      </c>
      <c r="AS17" s="404" t="e">
        <f t="shared" ca="1" si="3"/>
        <v>#REF!</v>
      </c>
      <c r="AT17" s="404" t="e">
        <f t="shared" ca="1" si="3"/>
        <v>#REF!</v>
      </c>
      <c r="AU17" s="404" t="e">
        <f t="shared" ca="1" si="3"/>
        <v>#REF!</v>
      </c>
      <c r="AV17" s="404" t="e">
        <f t="shared" ca="1" si="3"/>
        <v>#REF!</v>
      </c>
      <c r="AW17" s="404" t="e">
        <f t="shared" ca="1" si="3"/>
        <v>#REF!</v>
      </c>
      <c r="AX17" s="404" t="e">
        <f t="shared" ca="1" si="3"/>
        <v>#REF!</v>
      </c>
      <c r="AY17" s="404" t="e">
        <f t="shared" ca="1" si="3"/>
        <v>#REF!</v>
      </c>
      <c r="AZ17" s="404" t="e">
        <f t="shared" ca="1" si="3"/>
        <v>#REF!</v>
      </c>
      <c r="BA17" s="404" t="e">
        <f t="shared" ca="1" si="3"/>
        <v>#REF!</v>
      </c>
      <c r="BB17" s="404" t="e">
        <f t="shared" ca="1" si="3"/>
        <v>#REF!</v>
      </c>
      <c r="BC17" s="404" t="e">
        <f t="shared" ca="1" si="3"/>
        <v>#REF!</v>
      </c>
      <c r="BD17" s="404" t="e">
        <f t="shared" ca="1" si="3"/>
        <v>#REF!</v>
      </c>
      <c r="BE17" s="404" t="e">
        <f t="shared" ca="1" si="3"/>
        <v>#REF!</v>
      </c>
      <c r="BF17" s="404" t="e">
        <f t="shared" ca="1" si="3"/>
        <v>#REF!</v>
      </c>
      <c r="BG17" s="404" t="e">
        <f t="shared" ca="1" si="3"/>
        <v>#REF!</v>
      </c>
      <c r="BH17" s="404" t="e">
        <f t="shared" ca="1" si="3"/>
        <v>#REF!</v>
      </c>
      <c r="BI17" s="404" t="e">
        <f t="shared" ca="1" si="3"/>
        <v>#REF!</v>
      </c>
      <c r="BJ17" s="404" t="e">
        <f t="shared" ca="1" si="3"/>
        <v>#REF!</v>
      </c>
      <c r="BK17" s="404" t="e">
        <f t="shared" ca="1" si="3"/>
        <v>#REF!</v>
      </c>
      <c r="BL17" s="404" t="e">
        <f t="shared" ca="1" si="3"/>
        <v>#REF!</v>
      </c>
      <c r="BM17" s="404" t="e">
        <f t="shared" ca="1" si="3"/>
        <v>#REF!</v>
      </c>
      <c r="BN17" s="404" t="e">
        <f t="shared" ca="1" si="3"/>
        <v>#REF!</v>
      </c>
      <c r="BO17" s="404" t="e">
        <f t="shared" ca="1" si="3"/>
        <v>#REF!</v>
      </c>
      <c r="BP17" s="404" t="e">
        <f t="shared" ca="1" si="3"/>
        <v>#REF!</v>
      </c>
      <c r="BQ17" s="404" t="e">
        <f ca="1">AVERAGE(BQ16:BR16)</f>
        <v>#REF!</v>
      </c>
      <c r="BR17" s="404" t="e">
        <f ca="1">AVERAGE(BR16:BS16)</f>
        <v>#REF!</v>
      </c>
    </row>
    <row r="18" spans="2:70" x14ac:dyDescent="0.2">
      <c r="B18" s="405"/>
      <c r="C18" s="390" t="s">
        <v>3666</v>
      </c>
      <c r="D18" s="390" t="s">
        <v>211</v>
      </c>
      <c r="E18" s="404" t="e">
        <f ca="1">E7</f>
        <v>#REF!</v>
      </c>
      <c r="F18" s="404" t="e">
        <f t="shared" ref="F18:AK18" ca="1" si="4">E18+F7</f>
        <v>#REF!</v>
      </c>
      <c r="G18" s="404" t="e">
        <f t="shared" ca="1" si="4"/>
        <v>#REF!</v>
      </c>
      <c r="H18" s="404" t="e">
        <f t="shared" ca="1" si="4"/>
        <v>#REF!</v>
      </c>
      <c r="I18" s="404" t="e">
        <f t="shared" ca="1" si="4"/>
        <v>#REF!</v>
      </c>
      <c r="J18" s="404" t="e">
        <f t="shared" ca="1" si="4"/>
        <v>#REF!</v>
      </c>
      <c r="K18" s="404" t="e">
        <f t="shared" ca="1" si="4"/>
        <v>#REF!</v>
      </c>
      <c r="L18" s="404" t="e">
        <f t="shared" ca="1" si="4"/>
        <v>#REF!</v>
      </c>
      <c r="M18" s="404" t="e">
        <f t="shared" ca="1" si="4"/>
        <v>#REF!</v>
      </c>
      <c r="N18" s="404" t="e">
        <f t="shared" ca="1" si="4"/>
        <v>#REF!</v>
      </c>
      <c r="O18" s="404" t="e">
        <f t="shared" ca="1" si="4"/>
        <v>#REF!</v>
      </c>
      <c r="P18" s="404" t="e">
        <f t="shared" ca="1" si="4"/>
        <v>#REF!</v>
      </c>
      <c r="Q18" s="404" t="e">
        <f t="shared" ca="1" si="4"/>
        <v>#REF!</v>
      </c>
      <c r="R18" s="404" t="e">
        <f t="shared" ca="1" si="4"/>
        <v>#REF!</v>
      </c>
      <c r="S18" s="404" t="e">
        <f t="shared" ca="1" si="4"/>
        <v>#REF!</v>
      </c>
      <c r="T18" s="404" t="e">
        <f t="shared" ca="1" si="4"/>
        <v>#REF!</v>
      </c>
      <c r="U18" s="404" t="e">
        <f t="shared" ca="1" si="4"/>
        <v>#REF!</v>
      </c>
      <c r="V18" s="404" t="e">
        <f t="shared" ca="1" si="4"/>
        <v>#REF!</v>
      </c>
      <c r="W18" s="404" t="e">
        <f t="shared" ca="1" si="4"/>
        <v>#REF!</v>
      </c>
      <c r="X18" s="404" t="e">
        <f t="shared" ca="1" si="4"/>
        <v>#REF!</v>
      </c>
      <c r="Y18" s="404" t="e">
        <f t="shared" ca="1" si="4"/>
        <v>#REF!</v>
      </c>
      <c r="Z18" s="404" t="e">
        <f t="shared" ca="1" si="4"/>
        <v>#REF!</v>
      </c>
      <c r="AA18" s="404" t="e">
        <f t="shared" ca="1" si="4"/>
        <v>#REF!</v>
      </c>
      <c r="AB18" s="404" t="e">
        <f t="shared" ca="1" si="4"/>
        <v>#REF!</v>
      </c>
      <c r="AC18" s="404" t="e">
        <f t="shared" ca="1" si="4"/>
        <v>#REF!</v>
      </c>
      <c r="AD18" s="404" t="e">
        <f t="shared" ca="1" si="4"/>
        <v>#REF!</v>
      </c>
      <c r="AE18" s="404" t="e">
        <f t="shared" ca="1" si="4"/>
        <v>#REF!</v>
      </c>
      <c r="AF18" s="404" t="e">
        <f t="shared" ca="1" si="4"/>
        <v>#REF!</v>
      </c>
      <c r="AG18" s="404" t="e">
        <f t="shared" ca="1" si="4"/>
        <v>#REF!</v>
      </c>
      <c r="AH18" s="404" t="e">
        <f t="shared" ca="1" si="4"/>
        <v>#REF!</v>
      </c>
      <c r="AI18" s="404" t="e">
        <f t="shared" ca="1" si="4"/>
        <v>#REF!</v>
      </c>
      <c r="AJ18" s="404" t="e">
        <f t="shared" ca="1" si="4"/>
        <v>#REF!</v>
      </c>
      <c r="AK18" s="404" t="e">
        <f t="shared" ca="1" si="4"/>
        <v>#REF!</v>
      </c>
      <c r="AL18" s="404" t="e">
        <f t="shared" ref="AL18:BR18" ca="1" si="5">AK18+AL7</f>
        <v>#REF!</v>
      </c>
      <c r="AM18" s="404" t="e">
        <f t="shared" ca="1" si="5"/>
        <v>#REF!</v>
      </c>
      <c r="AN18" s="404" t="e">
        <f t="shared" ca="1" si="5"/>
        <v>#REF!</v>
      </c>
      <c r="AO18" s="404" t="e">
        <f t="shared" ca="1" si="5"/>
        <v>#REF!</v>
      </c>
      <c r="AP18" s="404" t="e">
        <f t="shared" ca="1" si="5"/>
        <v>#REF!</v>
      </c>
      <c r="AQ18" s="404" t="e">
        <f t="shared" ca="1" si="5"/>
        <v>#REF!</v>
      </c>
      <c r="AR18" s="404" t="e">
        <f t="shared" ca="1" si="5"/>
        <v>#REF!</v>
      </c>
      <c r="AS18" s="404" t="e">
        <f t="shared" ca="1" si="5"/>
        <v>#REF!</v>
      </c>
      <c r="AT18" s="404" t="e">
        <f t="shared" ca="1" si="5"/>
        <v>#REF!</v>
      </c>
      <c r="AU18" s="404" t="e">
        <f t="shared" ca="1" si="5"/>
        <v>#REF!</v>
      </c>
      <c r="AV18" s="404" t="e">
        <f t="shared" ca="1" si="5"/>
        <v>#REF!</v>
      </c>
      <c r="AW18" s="404" t="e">
        <f t="shared" ca="1" si="5"/>
        <v>#REF!</v>
      </c>
      <c r="AX18" s="404" t="e">
        <f t="shared" ca="1" si="5"/>
        <v>#REF!</v>
      </c>
      <c r="AY18" s="404" t="e">
        <f t="shared" ca="1" si="5"/>
        <v>#REF!</v>
      </c>
      <c r="AZ18" s="404" t="e">
        <f t="shared" ca="1" si="5"/>
        <v>#REF!</v>
      </c>
      <c r="BA18" s="404" t="e">
        <f t="shared" ca="1" si="5"/>
        <v>#REF!</v>
      </c>
      <c r="BB18" s="404" t="e">
        <f t="shared" ca="1" si="5"/>
        <v>#REF!</v>
      </c>
      <c r="BC18" s="404" t="e">
        <f t="shared" ca="1" si="5"/>
        <v>#REF!</v>
      </c>
      <c r="BD18" s="404" t="e">
        <f t="shared" ca="1" si="5"/>
        <v>#REF!</v>
      </c>
      <c r="BE18" s="404" t="e">
        <f t="shared" ca="1" si="5"/>
        <v>#REF!</v>
      </c>
      <c r="BF18" s="404" t="e">
        <f t="shared" ca="1" si="5"/>
        <v>#REF!</v>
      </c>
      <c r="BG18" s="404" t="e">
        <f t="shared" ca="1" si="5"/>
        <v>#REF!</v>
      </c>
      <c r="BH18" s="404" t="e">
        <f t="shared" ca="1" si="5"/>
        <v>#REF!</v>
      </c>
      <c r="BI18" s="404" t="e">
        <f t="shared" ca="1" si="5"/>
        <v>#REF!</v>
      </c>
      <c r="BJ18" s="404" t="e">
        <f t="shared" ca="1" si="5"/>
        <v>#REF!</v>
      </c>
      <c r="BK18" s="404" t="e">
        <f t="shared" ca="1" si="5"/>
        <v>#REF!</v>
      </c>
      <c r="BL18" s="404" t="e">
        <f t="shared" ca="1" si="5"/>
        <v>#REF!</v>
      </c>
      <c r="BM18" s="404" t="e">
        <f t="shared" ca="1" si="5"/>
        <v>#REF!</v>
      </c>
      <c r="BN18" s="404" t="e">
        <f t="shared" ca="1" si="5"/>
        <v>#REF!</v>
      </c>
      <c r="BO18" s="404" t="e">
        <f t="shared" ca="1" si="5"/>
        <v>#REF!</v>
      </c>
      <c r="BP18" s="404" t="e">
        <f t="shared" ca="1" si="5"/>
        <v>#REF!</v>
      </c>
      <c r="BQ18" s="404" t="e">
        <f t="shared" ca="1" si="5"/>
        <v>#REF!</v>
      </c>
      <c r="BR18" s="404" t="e">
        <f t="shared" ca="1" si="5"/>
        <v>#REF!</v>
      </c>
    </row>
    <row r="19" spans="2:70" x14ac:dyDescent="0.2">
      <c r="C19" s="390" t="s">
        <v>3666</v>
      </c>
      <c r="D19" s="390" t="s">
        <v>212</v>
      </c>
      <c r="E19" s="404" t="e">
        <f ca="1">E8</f>
        <v>#REF!</v>
      </c>
      <c r="F19" s="404" t="e">
        <f t="shared" ref="F19:AK19" ca="1" si="6">E19+F8</f>
        <v>#REF!</v>
      </c>
      <c r="G19" s="404" t="e">
        <f t="shared" ca="1" si="6"/>
        <v>#REF!</v>
      </c>
      <c r="H19" s="404" t="e">
        <f t="shared" ca="1" si="6"/>
        <v>#REF!</v>
      </c>
      <c r="I19" s="404" t="e">
        <f t="shared" ca="1" si="6"/>
        <v>#REF!</v>
      </c>
      <c r="J19" s="404" t="e">
        <f t="shared" ca="1" si="6"/>
        <v>#REF!</v>
      </c>
      <c r="K19" s="404" t="e">
        <f t="shared" ca="1" si="6"/>
        <v>#REF!</v>
      </c>
      <c r="L19" s="404" t="e">
        <f t="shared" ca="1" si="6"/>
        <v>#REF!</v>
      </c>
      <c r="M19" s="404" t="e">
        <f t="shared" ca="1" si="6"/>
        <v>#REF!</v>
      </c>
      <c r="N19" s="404" t="e">
        <f t="shared" ca="1" si="6"/>
        <v>#REF!</v>
      </c>
      <c r="O19" s="404" t="e">
        <f t="shared" ca="1" si="6"/>
        <v>#REF!</v>
      </c>
      <c r="P19" s="404" t="e">
        <f t="shared" ca="1" si="6"/>
        <v>#REF!</v>
      </c>
      <c r="Q19" s="404" t="e">
        <f t="shared" ca="1" si="6"/>
        <v>#REF!</v>
      </c>
      <c r="R19" s="404" t="e">
        <f t="shared" ca="1" si="6"/>
        <v>#REF!</v>
      </c>
      <c r="S19" s="404" t="e">
        <f t="shared" ca="1" si="6"/>
        <v>#REF!</v>
      </c>
      <c r="T19" s="404" t="e">
        <f t="shared" ca="1" si="6"/>
        <v>#REF!</v>
      </c>
      <c r="U19" s="404" t="e">
        <f t="shared" ca="1" si="6"/>
        <v>#REF!</v>
      </c>
      <c r="V19" s="404" t="e">
        <f t="shared" ca="1" si="6"/>
        <v>#REF!</v>
      </c>
      <c r="W19" s="404" t="e">
        <f t="shared" ca="1" si="6"/>
        <v>#REF!</v>
      </c>
      <c r="X19" s="404" t="e">
        <f t="shared" ca="1" si="6"/>
        <v>#REF!</v>
      </c>
      <c r="Y19" s="404" t="e">
        <f t="shared" ca="1" si="6"/>
        <v>#REF!</v>
      </c>
      <c r="Z19" s="404" t="e">
        <f t="shared" ca="1" si="6"/>
        <v>#REF!</v>
      </c>
      <c r="AA19" s="404" t="e">
        <f t="shared" ca="1" si="6"/>
        <v>#REF!</v>
      </c>
      <c r="AB19" s="404" t="e">
        <f t="shared" ca="1" si="6"/>
        <v>#REF!</v>
      </c>
      <c r="AC19" s="404" t="e">
        <f t="shared" ca="1" si="6"/>
        <v>#REF!</v>
      </c>
      <c r="AD19" s="404" t="e">
        <f t="shared" ca="1" si="6"/>
        <v>#REF!</v>
      </c>
      <c r="AE19" s="404" t="e">
        <f t="shared" ca="1" si="6"/>
        <v>#REF!</v>
      </c>
      <c r="AF19" s="404" t="e">
        <f t="shared" ca="1" si="6"/>
        <v>#REF!</v>
      </c>
      <c r="AG19" s="404" t="e">
        <f t="shared" ca="1" si="6"/>
        <v>#REF!</v>
      </c>
      <c r="AH19" s="404" t="e">
        <f t="shared" ca="1" si="6"/>
        <v>#REF!</v>
      </c>
      <c r="AI19" s="404" t="e">
        <f t="shared" ca="1" si="6"/>
        <v>#REF!</v>
      </c>
      <c r="AJ19" s="404" t="e">
        <f t="shared" ca="1" si="6"/>
        <v>#REF!</v>
      </c>
      <c r="AK19" s="404" t="e">
        <f t="shared" ca="1" si="6"/>
        <v>#REF!</v>
      </c>
      <c r="AL19" s="404" t="e">
        <f t="shared" ref="AL19:BR19" ca="1" si="7">AK19+AL8</f>
        <v>#REF!</v>
      </c>
      <c r="AM19" s="404" t="e">
        <f t="shared" ca="1" si="7"/>
        <v>#REF!</v>
      </c>
      <c r="AN19" s="404" t="e">
        <f t="shared" ca="1" si="7"/>
        <v>#REF!</v>
      </c>
      <c r="AO19" s="404" t="e">
        <f t="shared" ca="1" si="7"/>
        <v>#REF!</v>
      </c>
      <c r="AP19" s="404" t="e">
        <f t="shared" ca="1" si="7"/>
        <v>#REF!</v>
      </c>
      <c r="AQ19" s="404" t="e">
        <f t="shared" ca="1" si="7"/>
        <v>#REF!</v>
      </c>
      <c r="AR19" s="404" t="e">
        <f t="shared" ca="1" si="7"/>
        <v>#REF!</v>
      </c>
      <c r="AS19" s="404" t="e">
        <f t="shared" ca="1" si="7"/>
        <v>#REF!</v>
      </c>
      <c r="AT19" s="404" t="e">
        <f t="shared" ca="1" si="7"/>
        <v>#REF!</v>
      </c>
      <c r="AU19" s="404" t="e">
        <f t="shared" ca="1" si="7"/>
        <v>#REF!</v>
      </c>
      <c r="AV19" s="404" t="e">
        <f t="shared" ca="1" si="7"/>
        <v>#REF!</v>
      </c>
      <c r="AW19" s="404" t="e">
        <f t="shared" ca="1" si="7"/>
        <v>#REF!</v>
      </c>
      <c r="AX19" s="404" t="e">
        <f t="shared" ca="1" si="7"/>
        <v>#REF!</v>
      </c>
      <c r="AY19" s="404" t="e">
        <f t="shared" ca="1" si="7"/>
        <v>#REF!</v>
      </c>
      <c r="AZ19" s="404" t="e">
        <f t="shared" ca="1" si="7"/>
        <v>#REF!</v>
      </c>
      <c r="BA19" s="404" t="e">
        <f t="shared" ca="1" si="7"/>
        <v>#REF!</v>
      </c>
      <c r="BB19" s="404" t="e">
        <f t="shared" ca="1" si="7"/>
        <v>#REF!</v>
      </c>
      <c r="BC19" s="404" t="e">
        <f t="shared" ca="1" si="7"/>
        <v>#REF!</v>
      </c>
      <c r="BD19" s="404" t="e">
        <f t="shared" ca="1" si="7"/>
        <v>#REF!</v>
      </c>
      <c r="BE19" s="404" t="e">
        <f t="shared" ca="1" si="7"/>
        <v>#REF!</v>
      </c>
      <c r="BF19" s="404" t="e">
        <f t="shared" ca="1" si="7"/>
        <v>#REF!</v>
      </c>
      <c r="BG19" s="404" t="e">
        <f t="shared" ca="1" si="7"/>
        <v>#REF!</v>
      </c>
      <c r="BH19" s="404" t="e">
        <f t="shared" ca="1" si="7"/>
        <v>#REF!</v>
      </c>
      <c r="BI19" s="404" t="e">
        <f t="shared" ca="1" si="7"/>
        <v>#REF!</v>
      </c>
      <c r="BJ19" s="404" t="e">
        <f t="shared" ca="1" si="7"/>
        <v>#REF!</v>
      </c>
      <c r="BK19" s="404" t="e">
        <f t="shared" ca="1" si="7"/>
        <v>#REF!</v>
      </c>
      <c r="BL19" s="404" t="e">
        <f t="shared" ca="1" si="7"/>
        <v>#REF!</v>
      </c>
      <c r="BM19" s="404" t="e">
        <f t="shared" ca="1" si="7"/>
        <v>#REF!</v>
      </c>
      <c r="BN19" s="404" t="e">
        <f t="shared" ca="1" si="7"/>
        <v>#REF!</v>
      </c>
      <c r="BO19" s="404" t="e">
        <f t="shared" ca="1" si="7"/>
        <v>#REF!</v>
      </c>
      <c r="BP19" s="404" t="e">
        <f t="shared" ca="1" si="7"/>
        <v>#REF!</v>
      </c>
      <c r="BQ19" s="404" t="e">
        <f t="shared" ca="1" si="7"/>
        <v>#REF!</v>
      </c>
      <c r="BR19" s="404" t="e">
        <f t="shared" ca="1" si="7"/>
        <v>#REF!</v>
      </c>
    </row>
    <row r="20" spans="2:70" x14ac:dyDescent="0.2">
      <c r="B20" s="390" t="s">
        <v>776</v>
      </c>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row>
    <row r="21" spans="2:70" x14ac:dyDescent="0.2">
      <c r="B21" s="405" t="e">
        <f ca="1">SUM(E21:BR21)</f>
        <v>#REF!</v>
      </c>
      <c r="C21" s="390" t="s">
        <v>213</v>
      </c>
      <c r="D21" s="390" t="s">
        <v>214</v>
      </c>
      <c r="E21" s="404" t="e">
        <f t="shared" ref="E21:AJ21" ca="1" si="8">E$16*E7</f>
        <v>#REF!</v>
      </c>
      <c r="F21" s="404" t="e">
        <f t="shared" ca="1" si="8"/>
        <v>#REF!</v>
      </c>
      <c r="G21" s="404" t="e">
        <f t="shared" ca="1" si="8"/>
        <v>#REF!</v>
      </c>
      <c r="H21" s="404" t="e">
        <f t="shared" ca="1" si="8"/>
        <v>#REF!</v>
      </c>
      <c r="I21" s="404" t="e">
        <f t="shared" ca="1" si="8"/>
        <v>#REF!</v>
      </c>
      <c r="J21" s="404" t="e">
        <f t="shared" ca="1" si="8"/>
        <v>#REF!</v>
      </c>
      <c r="K21" s="404" t="e">
        <f t="shared" ca="1" si="8"/>
        <v>#REF!</v>
      </c>
      <c r="L21" s="404" t="e">
        <f t="shared" ca="1" si="8"/>
        <v>#REF!</v>
      </c>
      <c r="M21" s="404" t="e">
        <f t="shared" ca="1" si="8"/>
        <v>#REF!</v>
      </c>
      <c r="N21" s="404" t="e">
        <f t="shared" ca="1" si="8"/>
        <v>#REF!</v>
      </c>
      <c r="O21" s="404" t="e">
        <f t="shared" ca="1" si="8"/>
        <v>#REF!</v>
      </c>
      <c r="P21" s="404" t="e">
        <f t="shared" ca="1" si="8"/>
        <v>#REF!</v>
      </c>
      <c r="Q21" s="404" t="e">
        <f t="shared" ca="1" si="8"/>
        <v>#REF!</v>
      </c>
      <c r="R21" s="404" t="e">
        <f t="shared" ca="1" si="8"/>
        <v>#REF!</v>
      </c>
      <c r="S21" s="404" t="e">
        <f t="shared" ca="1" si="8"/>
        <v>#REF!</v>
      </c>
      <c r="T21" s="404" t="e">
        <f t="shared" ca="1" si="8"/>
        <v>#REF!</v>
      </c>
      <c r="U21" s="404" t="e">
        <f t="shared" ca="1" si="8"/>
        <v>#REF!</v>
      </c>
      <c r="V21" s="404" t="e">
        <f t="shared" ca="1" si="8"/>
        <v>#REF!</v>
      </c>
      <c r="W21" s="404" t="e">
        <f t="shared" ca="1" si="8"/>
        <v>#REF!</v>
      </c>
      <c r="X21" s="404" t="e">
        <f t="shared" ca="1" si="8"/>
        <v>#REF!</v>
      </c>
      <c r="Y21" s="404" t="e">
        <f t="shared" ca="1" si="8"/>
        <v>#REF!</v>
      </c>
      <c r="Z21" s="404" t="e">
        <f t="shared" ca="1" si="8"/>
        <v>#REF!</v>
      </c>
      <c r="AA21" s="404" t="e">
        <f t="shared" ca="1" si="8"/>
        <v>#REF!</v>
      </c>
      <c r="AB21" s="404" t="e">
        <f t="shared" ca="1" si="8"/>
        <v>#REF!</v>
      </c>
      <c r="AC21" s="404" t="e">
        <f t="shared" ca="1" si="8"/>
        <v>#REF!</v>
      </c>
      <c r="AD21" s="404" t="e">
        <f t="shared" ca="1" si="8"/>
        <v>#REF!</v>
      </c>
      <c r="AE21" s="404" t="e">
        <f t="shared" ca="1" si="8"/>
        <v>#REF!</v>
      </c>
      <c r="AF21" s="404" t="e">
        <f t="shared" ca="1" si="8"/>
        <v>#REF!</v>
      </c>
      <c r="AG21" s="404" t="e">
        <f t="shared" ca="1" si="8"/>
        <v>#REF!</v>
      </c>
      <c r="AH21" s="404" t="e">
        <f t="shared" ca="1" si="8"/>
        <v>#REF!</v>
      </c>
      <c r="AI21" s="404" t="e">
        <f t="shared" ca="1" si="8"/>
        <v>#REF!</v>
      </c>
      <c r="AJ21" s="404" t="e">
        <f t="shared" ca="1" si="8"/>
        <v>#REF!</v>
      </c>
      <c r="AK21" s="404" t="e">
        <f t="shared" ref="AK21:BR21" ca="1" si="9">AK$16*AK7</f>
        <v>#REF!</v>
      </c>
      <c r="AL21" s="404" t="e">
        <f t="shared" ca="1" si="9"/>
        <v>#REF!</v>
      </c>
      <c r="AM21" s="404" t="e">
        <f t="shared" ca="1" si="9"/>
        <v>#REF!</v>
      </c>
      <c r="AN21" s="404" t="e">
        <f t="shared" ca="1" si="9"/>
        <v>#REF!</v>
      </c>
      <c r="AO21" s="404" t="e">
        <f t="shared" ca="1" si="9"/>
        <v>#REF!</v>
      </c>
      <c r="AP21" s="404" t="e">
        <f t="shared" ca="1" si="9"/>
        <v>#REF!</v>
      </c>
      <c r="AQ21" s="404" t="e">
        <f t="shared" ca="1" si="9"/>
        <v>#REF!</v>
      </c>
      <c r="AR21" s="404" t="e">
        <f t="shared" ca="1" si="9"/>
        <v>#REF!</v>
      </c>
      <c r="AS21" s="404" t="e">
        <f t="shared" ca="1" si="9"/>
        <v>#REF!</v>
      </c>
      <c r="AT21" s="404" t="e">
        <f t="shared" ca="1" si="9"/>
        <v>#REF!</v>
      </c>
      <c r="AU21" s="404" t="e">
        <f t="shared" ca="1" si="9"/>
        <v>#REF!</v>
      </c>
      <c r="AV21" s="404" t="e">
        <f t="shared" ca="1" si="9"/>
        <v>#REF!</v>
      </c>
      <c r="AW21" s="404" t="e">
        <f t="shared" ca="1" si="9"/>
        <v>#REF!</v>
      </c>
      <c r="AX21" s="404" t="e">
        <f t="shared" ca="1" si="9"/>
        <v>#REF!</v>
      </c>
      <c r="AY21" s="404" t="e">
        <f t="shared" ca="1" si="9"/>
        <v>#REF!</v>
      </c>
      <c r="AZ21" s="404" t="e">
        <f t="shared" ca="1" si="9"/>
        <v>#REF!</v>
      </c>
      <c r="BA21" s="404" t="e">
        <f t="shared" ca="1" si="9"/>
        <v>#REF!</v>
      </c>
      <c r="BB21" s="404" t="e">
        <f t="shared" ca="1" si="9"/>
        <v>#REF!</v>
      </c>
      <c r="BC21" s="404" t="e">
        <f t="shared" ca="1" si="9"/>
        <v>#REF!</v>
      </c>
      <c r="BD21" s="404" t="e">
        <f t="shared" ca="1" si="9"/>
        <v>#REF!</v>
      </c>
      <c r="BE21" s="404" t="e">
        <f t="shared" ca="1" si="9"/>
        <v>#REF!</v>
      </c>
      <c r="BF21" s="404" t="e">
        <f t="shared" ca="1" si="9"/>
        <v>#REF!</v>
      </c>
      <c r="BG21" s="404" t="e">
        <f t="shared" ca="1" si="9"/>
        <v>#REF!</v>
      </c>
      <c r="BH21" s="404" t="e">
        <f t="shared" ca="1" si="9"/>
        <v>#REF!</v>
      </c>
      <c r="BI21" s="404" t="e">
        <f t="shared" ca="1" si="9"/>
        <v>#REF!</v>
      </c>
      <c r="BJ21" s="404" t="e">
        <f t="shared" ca="1" si="9"/>
        <v>#REF!</v>
      </c>
      <c r="BK21" s="404" t="e">
        <f t="shared" ca="1" si="9"/>
        <v>#REF!</v>
      </c>
      <c r="BL21" s="404" t="e">
        <f t="shared" ca="1" si="9"/>
        <v>#REF!</v>
      </c>
      <c r="BM21" s="404" t="e">
        <f t="shared" ca="1" si="9"/>
        <v>#REF!</v>
      </c>
      <c r="BN21" s="404" t="e">
        <f t="shared" ca="1" si="9"/>
        <v>#REF!</v>
      </c>
      <c r="BO21" s="404" t="e">
        <f t="shared" ca="1" si="9"/>
        <v>#REF!</v>
      </c>
      <c r="BP21" s="404" t="e">
        <f t="shared" ca="1" si="9"/>
        <v>#REF!</v>
      </c>
      <c r="BQ21" s="404" t="e">
        <f t="shared" ca="1" si="9"/>
        <v>#REF!</v>
      </c>
      <c r="BR21" s="404" t="e">
        <f t="shared" ca="1" si="9"/>
        <v>#REF!</v>
      </c>
    </row>
    <row r="22" spans="2:70" x14ac:dyDescent="0.2">
      <c r="B22" s="405" t="e">
        <f ca="1">SUM(E22:BR22)</f>
        <v>#REF!</v>
      </c>
      <c r="C22" s="390" t="s">
        <v>213</v>
      </c>
      <c r="D22" s="390" t="s">
        <v>215</v>
      </c>
      <c r="E22" s="404" t="e">
        <f t="shared" ref="E22:AJ22" ca="1" si="10">E$16*E8</f>
        <v>#REF!</v>
      </c>
      <c r="F22" s="404" t="e">
        <f t="shared" ca="1" si="10"/>
        <v>#REF!</v>
      </c>
      <c r="G22" s="404" t="e">
        <f t="shared" ca="1" si="10"/>
        <v>#REF!</v>
      </c>
      <c r="H22" s="404" t="e">
        <f t="shared" ca="1" si="10"/>
        <v>#REF!</v>
      </c>
      <c r="I22" s="404" t="e">
        <f t="shared" ca="1" si="10"/>
        <v>#REF!</v>
      </c>
      <c r="J22" s="404" t="e">
        <f t="shared" ca="1" si="10"/>
        <v>#REF!</v>
      </c>
      <c r="K22" s="404" t="e">
        <f t="shared" ca="1" si="10"/>
        <v>#REF!</v>
      </c>
      <c r="L22" s="404" t="e">
        <f t="shared" ca="1" si="10"/>
        <v>#REF!</v>
      </c>
      <c r="M22" s="404" t="e">
        <f t="shared" ca="1" si="10"/>
        <v>#REF!</v>
      </c>
      <c r="N22" s="404" t="e">
        <f t="shared" ca="1" si="10"/>
        <v>#REF!</v>
      </c>
      <c r="O22" s="404" t="e">
        <f t="shared" ca="1" si="10"/>
        <v>#REF!</v>
      </c>
      <c r="P22" s="404" t="e">
        <f t="shared" ca="1" si="10"/>
        <v>#REF!</v>
      </c>
      <c r="Q22" s="404" t="e">
        <f t="shared" ca="1" si="10"/>
        <v>#REF!</v>
      </c>
      <c r="R22" s="404" t="e">
        <f t="shared" ca="1" si="10"/>
        <v>#REF!</v>
      </c>
      <c r="S22" s="404" t="e">
        <f t="shared" ca="1" si="10"/>
        <v>#REF!</v>
      </c>
      <c r="T22" s="404" t="e">
        <f t="shared" ca="1" si="10"/>
        <v>#REF!</v>
      </c>
      <c r="U22" s="404" t="e">
        <f t="shared" ca="1" si="10"/>
        <v>#REF!</v>
      </c>
      <c r="V22" s="404" t="e">
        <f t="shared" ca="1" si="10"/>
        <v>#REF!</v>
      </c>
      <c r="W22" s="404" t="e">
        <f t="shared" ca="1" si="10"/>
        <v>#REF!</v>
      </c>
      <c r="X22" s="404" t="e">
        <f t="shared" ca="1" si="10"/>
        <v>#REF!</v>
      </c>
      <c r="Y22" s="404" t="e">
        <f t="shared" ca="1" si="10"/>
        <v>#REF!</v>
      </c>
      <c r="Z22" s="404" t="e">
        <f t="shared" ca="1" si="10"/>
        <v>#REF!</v>
      </c>
      <c r="AA22" s="404" t="e">
        <f t="shared" ca="1" si="10"/>
        <v>#REF!</v>
      </c>
      <c r="AB22" s="404" t="e">
        <f t="shared" ca="1" si="10"/>
        <v>#REF!</v>
      </c>
      <c r="AC22" s="404" t="e">
        <f t="shared" ca="1" si="10"/>
        <v>#REF!</v>
      </c>
      <c r="AD22" s="404" t="e">
        <f t="shared" ca="1" si="10"/>
        <v>#REF!</v>
      </c>
      <c r="AE22" s="404" t="e">
        <f t="shared" ca="1" si="10"/>
        <v>#REF!</v>
      </c>
      <c r="AF22" s="404" t="e">
        <f t="shared" ca="1" si="10"/>
        <v>#REF!</v>
      </c>
      <c r="AG22" s="404" t="e">
        <f t="shared" ca="1" si="10"/>
        <v>#REF!</v>
      </c>
      <c r="AH22" s="404" t="e">
        <f t="shared" ca="1" si="10"/>
        <v>#REF!</v>
      </c>
      <c r="AI22" s="404" t="e">
        <f t="shared" ca="1" si="10"/>
        <v>#REF!</v>
      </c>
      <c r="AJ22" s="404" t="e">
        <f t="shared" ca="1" si="10"/>
        <v>#REF!</v>
      </c>
      <c r="AK22" s="404" t="e">
        <f t="shared" ref="AK22:BR22" ca="1" si="11">AK$16*AK8</f>
        <v>#REF!</v>
      </c>
      <c r="AL22" s="404" t="e">
        <f t="shared" ca="1" si="11"/>
        <v>#REF!</v>
      </c>
      <c r="AM22" s="404" t="e">
        <f t="shared" ca="1" si="11"/>
        <v>#REF!</v>
      </c>
      <c r="AN22" s="404" t="e">
        <f t="shared" ca="1" si="11"/>
        <v>#REF!</v>
      </c>
      <c r="AO22" s="404" t="e">
        <f t="shared" ca="1" si="11"/>
        <v>#REF!</v>
      </c>
      <c r="AP22" s="404" t="e">
        <f t="shared" ca="1" si="11"/>
        <v>#REF!</v>
      </c>
      <c r="AQ22" s="404" t="e">
        <f t="shared" ca="1" si="11"/>
        <v>#REF!</v>
      </c>
      <c r="AR22" s="404" t="e">
        <f t="shared" ca="1" si="11"/>
        <v>#REF!</v>
      </c>
      <c r="AS22" s="404" t="e">
        <f t="shared" ca="1" si="11"/>
        <v>#REF!</v>
      </c>
      <c r="AT22" s="404" t="e">
        <f t="shared" ca="1" si="11"/>
        <v>#REF!</v>
      </c>
      <c r="AU22" s="404" t="e">
        <f t="shared" ca="1" si="11"/>
        <v>#REF!</v>
      </c>
      <c r="AV22" s="404" t="e">
        <f t="shared" ca="1" si="11"/>
        <v>#REF!</v>
      </c>
      <c r="AW22" s="404" t="e">
        <f t="shared" ca="1" si="11"/>
        <v>#REF!</v>
      </c>
      <c r="AX22" s="404" t="e">
        <f t="shared" ca="1" si="11"/>
        <v>#REF!</v>
      </c>
      <c r="AY22" s="404" t="e">
        <f t="shared" ca="1" si="11"/>
        <v>#REF!</v>
      </c>
      <c r="AZ22" s="404" t="e">
        <f t="shared" ca="1" si="11"/>
        <v>#REF!</v>
      </c>
      <c r="BA22" s="404" t="e">
        <f t="shared" ca="1" si="11"/>
        <v>#REF!</v>
      </c>
      <c r="BB22" s="404" t="e">
        <f t="shared" ca="1" si="11"/>
        <v>#REF!</v>
      </c>
      <c r="BC22" s="404" t="e">
        <f t="shared" ca="1" si="11"/>
        <v>#REF!</v>
      </c>
      <c r="BD22" s="404" t="e">
        <f t="shared" ca="1" si="11"/>
        <v>#REF!</v>
      </c>
      <c r="BE22" s="404" t="e">
        <f t="shared" ca="1" si="11"/>
        <v>#REF!</v>
      </c>
      <c r="BF22" s="404" t="e">
        <f t="shared" ca="1" si="11"/>
        <v>#REF!</v>
      </c>
      <c r="BG22" s="404" t="e">
        <f t="shared" ca="1" si="11"/>
        <v>#REF!</v>
      </c>
      <c r="BH22" s="404" t="e">
        <f t="shared" ca="1" si="11"/>
        <v>#REF!</v>
      </c>
      <c r="BI22" s="404" t="e">
        <f t="shared" ca="1" si="11"/>
        <v>#REF!</v>
      </c>
      <c r="BJ22" s="404" t="e">
        <f t="shared" ca="1" si="11"/>
        <v>#REF!</v>
      </c>
      <c r="BK22" s="404" t="e">
        <f t="shared" ca="1" si="11"/>
        <v>#REF!</v>
      </c>
      <c r="BL22" s="404" t="e">
        <f t="shared" ca="1" si="11"/>
        <v>#REF!</v>
      </c>
      <c r="BM22" s="404" t="e">
        <f t="shared" ca="1" si="11"/>
        <v>#REF!</v>
      </c>
      <c r="BN22" s="404" t="e">
        <f t="shared" ca="1" si="11"/>
        <v>#REF!</v>
      </c>
      <c r="BO22" s="404" t="e">
        <f t="shared" ca="1" si="11"/>
        <v>#REF!</v>
      </c>
      <c r="BP22" s="404" t="e">
        <f t="shared" ca="1" si="11"/>
        <v>#REF!</v>
      </c>
      <c r="BQ22" s="404" t="e">
        <f t="shared" ca="1" si="11"/>
        <v>#REF!</v>
      </c>
      <c r="BR22" s="404" t="e">
        <f t="shared" ca="1" si="11"/>
        <v>#REF!</v>
      </c>
    </row>
    <row r="23" spans="2:70" x14ac:dyDescent="0.2">
      <c r="B23" s="406" t="e">
        <f ca="1">B21/B22</f>
        <v>#REF!</v>
      </c>
      <c r="C23" s="406"/>
      <c r="D23" s="390" t="s">
        <v>216</v>
      </c>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row>
    <row r="24" spans="2:70" x14ac:dyDescent="0.2">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row>
    <row r="25" spans="2:70" x14ac:dyDescent="0.2">
      <c r="B25" s="466" t="str">
        <f>'WP1'!B3</f>
        <v/>
      </c>
      <c r="D25" s="390" t="s">
        <v>217</v>
      </c>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row>
    <row r="26" spans="2:70" ht="15.75" x14ac:dyDescent="0.3">
      <c r="B26" s="465">
        <f>'WP1'!M3</f>
        <v>0</v>
      </c>
      <c r="D26" s="390" t="s">
        <v>218</v>
      </c>
      <c r="E26" s="390" t="s">
        <v>3362</v>
      </c>
      <c r="F26" s="390">
        <f>Kategorie-1</f>
        <v>0</v>
      </c>
      <c r="H26" s="390" t="s">
        <v>3121</v>
      </c>
      <c r="I26" s="404">
        <f>INDEX('WP1'!P5:P17,Kategorie,1)</f>
        <v>0</v>
      </c>
      <c r="J26" s="404" t="s">
        <v>3361</v>
      </c>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row>
    <row r="27" spans="2:70" x14ac:dyDescent="0.2">
      <c r="B27" s="453">
        <f>EBF</f>
        <v>0</v>
      </c>
      <c r="C27" s="390" t="s">
        <v>219</v>
      </c>
      <c r="D27" s="390" t="s">
        <v>220</v>
      </c>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row>
    <row r="28" spans="2:70" ht="15.75" x14ac:dyDescent="0.3">
      <c r="B28" s="454" t="e">
        <f>'WP1'!M30*EBF/3.6</f>
        <v>#VALUE!</v>
      </c>
      <c r="C28" s="390" t="s">
        <v>3665</v>
      </c>
      <c r="D28" s="390" t="s">
        <v>2693</v>
      </c>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row>
    <row r="29" spans="2:70" ht="15.75" x14ac:dyDescent="0.3">
      <c r="B29" s="454">
        <f>'WP1'!H9*(1+Verteilverluste)*EBF/3.6</f>
        <v>0</v>
      </c>
      <c r="C29" s="390" t="s">
        <v>3665</v>
      </c>
      <c r="D29" s="390" t="s">
        <v>2694</v>
      </c>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row>
    <row r="30" spans="2:70" ht="15.75" x14ac:dyDescent="0.3">
      <c r="B30" s="454" t="e">
        <f>'WP1'!M30*EBF/3.6-B29</f>
        <v>#VALUE!</v>
      </c>
      <c r="C30" s="390" t="s">
        <v>3665</v>
      </c>
      <c r="D30" s="390" t="s">
        <v>3120</v>
      </c>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row>
    <row r="31" spans="2:70" x14ac:dyDescent="0.2">
      <c r="B31" s="454" t="str">
        <f>TaMin</f>
        <v/>
      </c>
      <c r="C31" s="390" t="s">
        <v>2948</v>
      </c>
      <c r="D31" s="390" t="s">
        <v>221</v>
      </c>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row>
    <row r="32" spans="2:70" x14ac:dyDescent="0.2">
      <c r="B32" s="467">
        <f>'WP1'!H6</f>
        <v>0</v>
      </c>
      <c r="D32" s="390" t="s">
        <v>733</v>
      </c>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row>
    <row r="33" spans="1:70" x14ac:dyDescent="0.2">
      <c r="B33" s="416" t="s">
        <v>2717</v>
      </c>
      <c r="D33" s="390" t="s">
        <v>2718</v>
      </c>
      <c r="E33" s="417" t="b">
        <f ca="1">IF(ISERROR(B50),TRUE,IF((B50&lt;0),TRUE,FALSE))</f>
        <v>1</v>
      </c>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row>
    <row r="34" spans="1:70" x14ac:dyDescent="0.2">
      <c r="C34" s="390" t="s">
        <v>222</v>
      </c>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row>
    <row r="35" spans="1:70" x14ac:dyDescent="0.2">
      <c r="B35" s="468" t="e">
        <f>'WP1'!M32/28*(20-TaMin)</f>
        <v>#VALUE!</v>
      </c>
      <c r="C35" s="390" t="s">
        <v>3650</v>
      </c>
      <c r="D35" s="390" t="str">
        <f>'WP1'!B14</f>
        <v>Puissance de chauffage nécessaire sans ECS à °C</v>
      </c>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row>
    <row r="36" spans="1:70" x14ac:dyDescent="0.2">
      <c r="A36" s="1109">
        <f>IF(Methode_384_3,1,B35/B36)</f>
        <v>1</v>
      </c>
      <c r="B36" s="411" t="e">
        <f ca="1">B28*(E15-B31)/B21</f>
        <v>#VALUE!</v>
      </c>
      <c r="C36" s="408" t="e">
        <f ca="1">(B36/B35)-1</f>
        <v>#VALUE!</v>
      </c>
      <c r="D36" s="390" t="s">
        <v>3509</v>
      </c>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row>
    <row r="37" spans="1:70" x14ac:dyDescent="0.2">
      <c r="B37" s="411" t="e">
        <f ca="1">B28*(E15-B31)/B22</f>
        <v>#VALUE!</v>
      </c>
      <c r="C37" s="408" t="e">
        <f ca="1">(B37/B35)-1</f>
        <v>#VALUE!</v>
      </c>
      <c r="D37" s="390" t="s">
        <v>3510</v>
      </c>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row>
    <row r="38" spans="1:70" x14ac:dyDescent="0.2">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row>
    <row r="39" spans="1:70" x14ac:dyDescent="0.2">
      <c r="B39" s="409" t="e">
        <f ca="1">B28/B21</f>
        <v>#VALUE!</v>
      </c>
      <c r="C39" s="390" t="s">
        <v>3511</v>
      </c>
      <c r="D39" s="390" t="s">
        <v>3512</v>
      </c>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row>
    <row r="40" spans="1:70" x14ac:dyDescent="0.2">
      <c r="B40" s="409" t="e">
        <f ca="1">B28/B22</f>
        <v>#VALUE!</v>
      </c>
      <c r="C40" s="390" t="s">
        <v>3511</v>
      </c>
      <c r="D40" s="390" t="s">
        <v>3513</v>
      </c>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row>
    <row r="41" spans="1:70" x14ac:dyDescent="0.2">
      <c r="B41" s="390" t="s">
        <v>3514</v>
      </c>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row>
    <row r="42" spans="1:70" x14ac:dyDescent="0.2">
      <c r="B42" s="405" t="e">
        <f ca="1">SUM(E42:BR42)</f>
        <v>#REF!</v>
      </c>
      <c r="C42" s="390" t="s">
        <v>3665</v>
      </c>
      <c r="D42" s="390" t="s">
        <v>3515</v>
      </c>
      <c r="E42" s="404" t="e">
        <f t="shared" ref="E42:AJ42" ca="1" si="12">E$16*$B39*E7</f>
        <v>#REF!</v>
      </c>
      <c r="F42" s="404" t="e">
        <f t="shared" ca="1" si="12"/>
        <v>#REF!</v>
      </c>
      <c r="G42" s="404" t="e">
        <f t="shared" ca="1" si="12"/>
        <v>#REF!</v>
      </c>
      <c r="H42" s="404" t="e">
        <f t="shared" ca="1" si="12"/>
        <v>#REF!</v>
      </c>
      <c r="I42" s="404" t="e">
        <f t="shared" ca="1" si="12"/>
        <v>#REF!</v>
      </c>
      <c r="J42" s="404" t="e">
        <f t="shared" ca="1" si="12"/>
        <v>#REF!</v>
      </c>
      <c r="K42" s="404" t="e">
        <f t="shared" ca="1" si="12"/>
        <v>#REF!</v>
      </c>
      <c r="L42" s="404" t="e">
        <f t="shared" ca="1" si="12"/>
        <v>#REF!</v>
      </c>
      <c r="M42" s="404" t="e">
        <f t="shared" ca="1" si="12"/>
        <v>#REF!</v>
      </c>
      <c r="N42" s="404" t="e">
        <f t="shared" ca="1" si="12"/>
        <v>#REF!</v>
      </c>
      <c r="O42" s="404" t="e">
        <f t="shared" ca="1" si="12"/>
        <v>#REF!</v>
      </c>
      <c r="P42" s="404" t="e">
        <f t="shared" ca="1" si="12"/>
        <v>#REF!</v>
      </c>
      <c r="Q42" s="404" t="e">
        <f t="shared" ca="1" si="12"/>
        <v>#REF!</v>
      </c>
      <c r="R42" s="404" t="e">
        <f t="shared" ca="1" si="12"/>
        <v>#REF!</v>
      </c>
      <c r="S42" s="404" t="e">
        <f t="shared" ca="1" si="12"/>
        <v>#REF!</v>
      </c>
      <c r="T42" s="404" t="e">
        <f t="shared" ca="1" si="12"/>
        <v>#REF!</v>
      </c>
      <c r="U42" s="404" t="e">
        <f t="shared" ca="1" si="12"/>
        <v>#REF!</v>
      </c>
      <c r="V42" s="404" t="e">
        <f t="shared" ca="1" si="12"/>
        <v>#REF!</v>
      </c>
      <c r="W42" s="404" t="e">
        <f t="shared" ca="1" si="12"/>
        <v>#REF!</v>
      </c>
      <c r="X42" s="404" t="e">
        <f t="shared" ca="1" si="12"/>
        <v>#REF!</v>
      </c>
      <c r="Y42" s="404" t="e">
        <f t="shared" ca="1" si="12"/>
        <v>#REF!</v>
      </c>
      <c r="Z42" s="404" t="e">
        <f t="shared" ca="1" si="12"/>
        <v>#REF!</v>
      </c>
      <c r="AA42" s="404" t="e">
        <f t="shared" ca="1" si="12"/>
        <v>#REF!</v>
      </c>
      <c r="AB42" s="404" t="e">
        <f t="shared" ca="1" si="12"/>
        <v>#REF!</v>
      </c>
      <c r="AC42" s="404" t="e">
        <f t="shared" ca="1" si="12"/>
        <v>#REF!</v>
      </c>
      <c r="AD42" s="404" t="e">
        <f t="shared" ca="1" si="12"/>
        <v>#REF!</v>
      </c>
      <c r="AE42" s="404" t="e">
        <f t="shared" ca="1" si="12"/>
        <v>#REF!</v>
      </c>
      <c r="AF42" s="404" t="e">
        <f t="shared" ca="1" si="12"/>
        <v>#REF!</v>
      </c>
      <c r="AG42" s="404" t="e">
        <f t="shared" ca="1" si="12"/>
        <v>#REF!</v>
      </c>
      <c r="AH42" s="404" t="e">
        <f t="shared" ca="1" si="12"/>
        <v>#REF!</v>
      </c>
      <c r="AI42" s="404" t="e">
        <f t="shared" ca="1" si="12"/>
        <v>#REF!</v>
      </c>
      <c r="AJ42" s="404" t="e">
        <f t="shared" ca="1" si="12"/>
        <v>#REF!</v>
      </c>
      <c r="AK42" s="404" t="e">
        <f t="shared" ref="AK42:BR42" ca="1" si="13">AK$16*$B39*AK7</f>
        <v>#REF!</v>
      </c>
      <c r="AL42" s="404" t="e">
        <f t="shared" ca="1" si="13"/>
        <v>#REF!</v>
      </c>
      <c r="AM42" s="404" t="e">
        <f t="shared" ca="1" si="13"/>
        <v>#REF!</v>
      </c>
      <c r="AN42" s="404" t="e">
        <f t="shared" ca="1" si="13"/>
        <v>#REF!</v>
      </c>
      <c r="AO42" s="404" t="e">
        <f t="shared" ca="1" si="13"/>
        <v>#REF!</v>
      </c>
      <c r="AP42" s="404" t="e">
        <f t="shared" ca="1" si="13"/>
        <v>#REF!</v>
      </c>
      <c r="AQ42" s="404" t="e">
        <f t="shared" ca="1" si="13"/>
        <v>#REF!</v>
      </c>
      <c r="AR42" s="404" t="e">
        <f t="shared" ca="1" si="13"/>
        <v>#REF!</v>
      </c>
      <c r="AS42" s="404" t="e">
        <f t="shared" ca="1" si="13"/>
        <v>#REF!</v>
      </c>
      <c r="AT42" s="404" t="e">
        <f t="shared" ca="1" si="13"/>
        <v>#REF!</v>
      </c>
      <c r="AU42" s="404" t="e">
        <f t="shared" ca="1" si="13"/>
        <v>#REF!</v>
      </c>
      <c r="AV42" s="404" t="e">
        <f t="shared" ca="1" si="13"/>
        <v>#REF!</v>
      </c>
      <c r="AW42" s="404" t="e">
        <f t="shared" ca="1" si="13"/>
        <v>#REF!</v>
      </c>
      <c r="AX42" s="404" t="e">
        <f t="shared" ca="1" si="13"/>
        <v>#REF!</v>
      </c>
      <c r="AY42" s="404" t="e">
        <f t="shared" ca="1" si="13"/>
        <v>#REF!</v>
      </c>
      <c r="AZ42" s="404" t="e">
        <f t="shared" ca="1" si="13"/>
        <v>#REF!</v>
      </c>
      <c r="BA42" s="404" t="e">
        <f t="shared" ca="1" si="13"/>
        <v>#REF!</v>
      </c>
      <c r="BB42" s="404" t="e">
        <f t="shared" ca="1" si="13"/>
        <v>#REF!</v>
      </c>
      <c r="BC42" s="404" t="e">
        <f t="shared" ca="1" si="13"/>
        <v>#REF!</v>
      </c>
      <c r="BD42" s="404" t="e">
        <f t="shared" ca="1" si="13"/>
        <v>#REF!</v>
      </c>
      <c r="BE42" s="404" t="e">
        <f t="shared" ca="1" si="13"/>
        <v>#REF!</v>
      </c>
      <c r="BF42" s="404" t="e">
        <f t="shared" ca="1" si="13"/>
        <v>#REF!</v>
      </c>
      <c r="BG42" s="404" t="e">
        <f t="shared" ca="1" si="13"/>
        <v>#REF!</v>
      </c>
      <c r="BH42" s="404" t="e">
        <f t="shared" ca="1" si="13"/>
        <v>#REF!</v>
      </c>
      <c r="BI42" s="404" t="e">
        <f t="shared" ca="1" si="13"/>
        <v>#REF!</v>
      </c>
      <c r="BJ42" s="404" t="e">
        <f t="shared" ca="1" si="13"/>
        <v>#REF!</v>
      </c>
      <c r="BK42" s="404" t="e">
        <f t="shared" ca="1" si="13"/>
        <v>#REF!</v>
      </c>
      <c r="BL42" s="404" t="e">
        <f t="shared" ca="1" si="13"/>
        <v>#REF!</v>
      </c>
      <c r="BM42" s="404" t="e">
        <f t="shared" ca="1" si="13"/>
        <v>#REF!</v>
      </c>
      <c r="BN42" s="404" t="e">
        <f t="shared" ca="1" si="13"/>
        <v>#REF!</v>
      </c>
      <c r="BO42" s="404" t="e">
        <f t="shared" ca="1" si="13"/>
        <v>#REF!</v>
      </c>
      <c r="BP42" s="404" t="e">
        <f t="shared" ca="1" si="13"/>
        <v>#REF!</v>
      </c>
      <c r="BQ42" s="404" t="e">
        <f t="shared" ca="1" si="13"/>
        <v>#REF!</v>
      </c>
      <c r="BR42" s="404" t="e">
        <f t="shared" ca="1" si="13"/>
        <v>#REF!</v>
      </c>
    </row>
    <row r="43" spans="1:70" x14ac:dyDescent="0.2">
      <c r="B43" s="405" t="e">
        <f ca="1">SUM(E43:BR43)</f>
        <v>#REF!</v>
      </c>
      <c r="C43" s="390" t="s">
        <v>3665</v>
      </c>
      <c r="D43" s="390" t="s">
        <v>3516</v>
      </c>
      <c r="E43" s="404" t="e">
        <f t="shared" ref="E43:AJ43" ca="1" si="14">E$16*$B40*E8</f>
        <v>#REF!</v>
      </c>
      <c r="F43" s="404" t="e">
        <f t="shared" ca="1" si="14"/>
        <v>#REF!</v>
      </c>
      <c r="G43" s="404" t="e">
        <f t="shared" ca="1" si="14"/>
        <v>#REF!</v>
      </c>
      <c r="H43" s="404" t="e">
        <f t="shared" ca="1" si="14"/>
        <v>#REF!</v>
      </c>
      <c r="I43" s="404" t="e">
        <f t="shared" ca="1" si="14"/>
        <v>#REF!</v>
      </c>
      <c r="J43" s="404" t="e">
        <f t="shared" ca="1" si="14"/>
        <v>#REF!</v>
      </c>
      <c r="K43" s="404" t="e">
        <f t="shared" ca="1" si="14"/>
        <v>#REF!</v>
      </c>
      <c r="L43" s="404" t="e">
        <f t="shared" ca="1" si="14"/>
        <v>#REF!</v>
      </c>
      <c r="M43" s="404" t="e">
        <f t="shared" ca="1" si="14"/>
        <v>#REF!</v>
      </c>
      <c r="N43" s="404" t="e">
        <f t="shared" ca="1" si="14"/>
        <v>#REF!</v>
      </c>
      <c r="O43" s="404" t="e">
        <f t="shared" ca="1" si="14"/>
        <v>#REF!</v>
      </c>
      <c r="P43" s="404" t="e">
        <f t="shared" ca="1" si="14"/>
        <v>#REF!</v>
      </c>
      <c r="Q43" s="404" t="e">
        <f t="shared" ca="1" si="14"/>
        <v>#REF!</v>
      </c>
      <c r="R43" s="404" t="e">
        <f t="shared" ca="1" si="14"/>
        <v>#REF!</v>
      </c>
      <c r="S43" s="404" t="e">
        <f t="shared" ca="1" si="14"/>
        <v>#REF!</v>
      </c>
      <c r="T43" s="404" t="e">
        <f t="shared" ca="1" si="14"/>
        <v>#REF!</v>
      </c>
      <c r="U43" s="404" t="e">
        <f t="shared" ca="1" si="14"/>
        <v>#REF!</v>
      </c>
      <c r="V43" s="404" t="e">
        <f t="shared" ca="1" si="14"/>
        <v>#REF!</v>
      </c>
      <c r="W43" s="404" t="e">
        <f t="shared" ca="1" si="14"/>
        <v>#REF!</v>
      </c>
      <c r="X43" s="404" t="e">
        <f t="shared" ca="1" si="14"/>
        <v>#REF!</v>
      </c>
      <c r="Y43" s="404" t="e">
        <f t="shared" ca="1" si="14"/>
        <v>#REF!</v>
      </c>
      <c r="Z43" s="404" t="e">
        <f t="shared" ca="1" si="14"/>
        <v>#REF!</v>
      </c>
      <c r="AA43" s="404" t="e">
        <f t="shared" ca="1" si="14"/>
        <v>#REF!</v>
      </c>
      <c r="AB43" s="404" t="e">
        <f t="shared" ca="1" si="14"/>
        <v>#REF!</v>
      </c>
      <c r="AC43" s="404" t="e">
        <f t="shared" ca="1" si="14"/>
        <v>#REF!</v>
      </c>
      <c r="AD43" s="404" t="e">
        <f t="shared" ca="1" si="14"/>
        <v>#REF!</v>
      </c>
      <c r="AE43" s="404" t="e">
        <f t="shared" ca="1" si="14"/>
        <v>#REF!</v>
      </c>
      <c r="AF43" s="404" t="e">
        <f t="shared" ca="1" si="14"/>
        <v>#REF!</v>
      </c>
      <c r="AG43" s="404" t="e">
        <f t="shared" ca="1" si="14"/>
        <v>#REF!</v>
      </c>
      <c r="AH43" s="404" t="e">
        <f t="shared" ca="1" si="14"/>
        <v>#REF!</v>
      </c>
      <c r="AI43" s="404" t="e">
        <f t="shared" ca="1" si="14"/>
        <v>#REF!</v>
      </c>
      <c r="AJ43" s="404" t="e">
        <f t="shared" ca="1" si="14"/>
        <v>#REF!</v>
      </c>
      <c r="AK43" s="404" t="e">
        <f t="shared" ref="AK43:BR43" ca="1" si="15">AK$16*$B40*AK8</f>
        <v>#REF!</v>
      </c>
      <c r="AL43" s="404" t="e">
        <f t="shared" ca="1" si="15"/>
        <v>#REF!</v>
      </c>
      <c r="AM43" s="404" t="e">
        <f t="shared" ca="1" si="15"/>
        <v>#REF!</v>
      </c>
      <c r="AN43" s="404" t="e">
        <f t="shared" ca="1" si="15"/>
        <v>#REF!</v>
      </c>
      <c r="AO43" s="404" t="e">
        <f t="shared" ca="1" si="15"/>
        <v>#REF!</v>
      </c>
      <c r="AP43" s="404" t="e">
        <f t="shared" ca="1" si="15"/>
        <v>#REF!</v>
      </c>
      <c r="AQ43" s="404" t="e">
        <f t="shared" ca="1" si="15"/>
        <v>#REF!</v>
      </c>
      <c r="AR43" s="404" t="e">
        <f t="shared" ca="1" si="15"/>
        <v>#REF!</v>
      </c>
      <c r="AS43" s="404" t="e">
        <f t="shared" ca="1" si="15"/>
        <v>#REF!</v>
      </c>
      <c r="AT43" s="404" t="e">
        <f t="shared" ca="1" si="15"/>
        <v>#REF!</v>
      </c>
      <c r="AU43" s="404" t="e">
        <f t="shared" ca="1" si="15"/>
        <v>#REF!</v>
      </c>
      <c r="AV43" s="404" t="e">
        <f t="shared" ca="1" si="15"/>
        <v>#REF!</v>
      </c>
      <c r="AW43" s="404" t="e">
        <f t="shared" ca="1" si="15"/>
        <v>#REF!</v>
      </c>
      <c r="AX43" s="404" t="e">
        <f t="shared" ca="1" si="15"/>
        <v>#REF!</v>
      </c>
      <c r="AY43" s="404" t="e">
        <f t="shared" ca="1" si="15"/>
        <v>#REF!</v>
      </c>
      <c r="AZ43" s="404" t="e">
        <f t="shared" ca="1" si="15"/>
        <v>#REF!</v>
      </c>
      <c r="BA43" s="404" t="e">
        <f t="shared" ca="1" si="15"/>
        <v>#REF!</v>
      </c>
      <c r="BB43" s="404" t="e">
        <f t="shared" ca="1" si="15"/>
        <v>#REF!</v>
      </c>
      <c r="BC43" s="404" t="e">
        <f t="shared" ca="1" si="15"/>
        <v>#REF!</v>
      </c>
      <c r="BD43" s="404" t="e">
        <f t="shared" ca="1" si="15"/>
        <v>#REF!</v>
      </c>
      <c r="BE43" s="404" t="e">
        <f t="shared" ca="1" si="15"/>
        <v>#REF!</v>
      </c>
      <c r="BF43" s="404" t="e">
        <f t="shared" ca="1" si="15"/>
        <v>#REF!</v>
      </c>
      <c r="BG43" s="404" t="e">
        <f t="shared" ca="1" si="15"/>
        <v>#REF!</v>
      </c>
      <c r="BH43" s="404" t="e">
        <f t="shared" ca="1" si="15"/>
        <v>#REF!</v>
      </c>
      <c r="BI43" s="404" t="e">
        <f t="shared" ca="1" si="15"/>
        <v>#REF!</v>
      </c>
      <c r="BJ43" s="404" t="e">
        <f t="shared" ca="1" si="15"/>
        <v>#REF!</v>
      </c>
      <c r="BK43" s="404" t="e">
        <f t="shared" ca="1" si="15"/>
        <v>#REF!</v>
      </c>
      <c r="BL43" s="404" t="e">
        <f t="shared" ca="1" si="15"/>
        <v>#REF!</v>
      </c>
      <c r="BM43" s="404" t="e">
        <f t="shared" ca="1" si="15"/>
        <v>#REF!</v>
      </c>
      <c r="BN43" s="404" t="e">
        <f t="shared" ca="1" si="15"/>
        <v>#REF!</v>
      </c>
      <c r="BO43" s="404" t="e">
        <f t="shared" ca="1" si="15"/>
        <v>#REF!</v>
      </c>
      <c r="BP43" s="404" t="e">
        <f t="shared" ca="1" si="15"/>
        <v>#REF!</v>
      </c>
      <c r="BQ43" s="404" t="e">
        <f t="shared" ca="1" si="15"/>
        <v>#REF!</v>
      </c>
      <c r="BR43" s="404" t="e">
        <f t="shared" ca="1" si="15"/>
        <v>#REF!</v>
      </c>
    </row>
    <row r="44" spans="1:70" ht="15.75" x14ac:dyDescent="0.3">
      <c r="B44" s="409">
        <f>B27*I26/1000</f>
        <v>0</v>
      </c>
      <c r="C44" s="390" t="s">
        <v>3650</v>
      </c>
      <c r="D44" s="390" t="s">
        <v>3121</v>
      </c>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row>
    <row r="45" spans="1:70" ht="15.75" x14ac:dyDescent="0.3">
      <c r="B45" s="405" t="e">
        <f ca="1">SUM(E45:BR45)</f>
        <v>#REF!</v>
      </c>
      <c r="C45" s="390" t="s">
        <v>3665</v>
      </c>
      <c r="D45" s="390" t="s">
        <v>3122</v>
      </c>
      <c r="E45" s="404" t="e">
        <f t="shared" ref="E45:AJ45" ca="1" si="16">MIN(E42,($B$44*E7))</f>
        <v>#REF!</v>
      </c>
      <c r="F45" s="404" t="e">
        <f t="shared" ca="1" si="16"/>
        <v>#REF!</v>
      </c>
      <c r="G45" s="404" t="e">
        <f t="shared" ca="1" si="16"/>
        <v>#REF!</v>
      </c>
      <c r="H45" s="404" t="e">
        <f t="shared" ca="1" si="16"/>
        <v>#REF!</v>
      </c>
      <c r="I45" s="404" t="e">
        <f t="shared" ca="1" si="16"/>
        <v>#REF!</v>
      </c>
      <c r="J45" s="404" t="e">
        <f t="shared" ca="1" si="16"/>
        <v>#REF!</v>
      </c>
      <c r="K45" s="404" t="e">
        <f t="shared" ca="1" si="16"/>
        <v>#REF!</v>
      </c>
      <c r="L45" s="404" t="e">
        <f t="shared" ca="1" si="16"/>
        <v>#REF!</v>
      </c>
      <c r="M45" s="404" t="e">
        <f t="shared" ca="1" si="16"/>
        <v>#REF!</v>
      </c>
      <c r="N45" s="404" t="e">
        <f t="shared" ca="1" si="16"/>
        <v>#REF!</v>
      </c>
      <c r="O45" s="404" t="e">
        <f t="shared" ca="1" si="16"/>
        <v>#REF!</v>
      </c>
      <c r="P45" s="404" t="e">
        <f t="shared" ca="1" si="16"/>
        <v>#REF!</v>
      </c>
      <c r="Q45" s="404" t="e">
        <f t="shared" ca="1" si="16"/>
        <v>#REF!</v>
      </c>
      <c r="R45" s="404" t="e">
        <f t="shared" ca="1" si="16"/>
        <v>#REF!</v>
      </c>
      <c r="S45" s="404" t="e">
        <f t="shared" ca="1" si="16"/>
        <v>#REF!</v>
      </c>
      <c r="T45" s="404" t="e">
        <f t="shared" ca="1" si="16"/>
        <v>#REF!</v>
      </c>
      <c r="U45" s="404" t="e">
        <f t="shared" ca="1" si="16"/>
        <v>#REF!</v>
      </c>
      <c r="V45" s="404" t="e">
        <f t="shared" ca="1" si="16"/>
        <v>#REF!</v>
      </c>
      <c r="W45" s="404" t="e">
        <f t="shared" ca="1" si="16"/>
        <v>#REF!</v>
      </c>
      <c r="X45" s="404" t="e">
        <f t="shared" ca="1" si="16"/>
        <v>#REF!</v>
      </c>
      <c r="Y45" s="404" t="e">
        <f t="shared" ca="1" si="16"/>
        <v>#REF!</v>
      </c>
      <c r="Z45" s="404" t="e">
        <f t="shared" ca="1" si="16"/>
        <v>#REF!</v>
      </c>
      <c r="AA45" s="404" t="e">
        <f t="shared" ca="1" si="16"/>
        <v>#REF!</v>
      </c>
      <c r="AB45" s="404" t="e">
        <f t="shared" ca="1" si="16"/>
        <v>#REF!</v>
      </c>
      <c r="AC45" s="404" t="e">
        <f t="shared" ca="1" si="16"/>
        <v>#REF!</v>
      </c>
      <c r="AD45" s="404" t="e">
        <f t="shared" ca="1" si="16"/>
        <v>#REF!</v>
      </c>
      <c r="AE45" s="404" t="e">
        <f t="shared" ca="1" si="16"/>
        <v>#REF!</v>
      </c>
      <c r="AF45" s="404" t="e">
        <f t="shared" ca="1" si="16"/>
        <v>#REF!</v>
      </c>
      <c r="AG45" s="404" t="e">
        <f t="shared" ca="1" si="16"/>
        <v>#REF!</v>
      </c>
      <c r="AH45" s="404" t="e">
        <f t="shared" ca="1" si="16"/>
        <v>#REF!</v>
      </c>
      <c r="AI45" s="404" t="e">
        <f t="shared" ca="1" si="16"/>
        <v>#REF!</v>
      </c>
      <c r="AJ45" s="404" t="e">
        <f t="shared" ca="1" si="16"/>
        <v>#REF!</v>
      </c>
      <c r="AK45" s="404" t="e">
        <f t="shared" ref="AK45:BR45" ca="1" si="17">MIN(AK42,($B$44*AK7))</f>
        <v>#REF!</v>
      </c>
      <c r="AL45" s="404" t="e">
        <f t="shared" ca="1" si="17"/>
        <v>#REF!</v>
      </c>
      <c r="AM45" s="404" t="e">
        <f t="shared" ca="1" si="17"/>
        <v>#REF!</v>
      </c>
      <c r="AN45" s="404" t="e">
        <f t="shared" ca="1" si="17"/>
        <v>#REF!</v>
      </c>
      <c r="AO45" s="404" t="e">
        <f t="shared" ca="1" si="17"/>
        <v>#REF!</v>
      </c>
      <c r="AP45" s="404" t="e">
        <f t="shared" ca="1" si="17"/>
        <v>#REF!</v>
      </c>
      <c r="AQ45" s="404" t="e">
        <f t="shared" ca="1" si="17"/>
        <v>#REF!</v>
      </c>
      <c r="AR45" s="404" t="e">
        <f t="shared" ca="1" si="17"/>
        <v>#REF!</v>
      </c>
      <c r="AS45" s="404" t="e">
        <f t="shared" ca="1" si="17"/>
        <v>#REF!</v>
      </c>
      <c r="AT45" s="404" t="e">
        <f t="shared" ca="1" si="17"/>
        <v>#REF!</v>
      </c>
      <c r="AU45" s="404" t="e">
        <f t="shared" ca="1" si="17"/>
        <v>#REF!</v>
      </c>
      <c r="AV45" s="404" t="e">
        <f t="shared" ca="1" si="17"/>
        <v>#REF!</v>
      </c>
      <c r="AW45" s="404" t="e">
        <f t="shared" ca="1" si="17"/>
        <v>#REF!</v>
      </c>
      <c r="AX45" s="404" t="e">
        <f t="shared" ca="1" si="17"/>
        <v>#REF!</v>
      </c>
      <c r="AY45" s="404" t="e">
        <f t="shared" ca="1" si="17"/>
        <v>#REF!</v>
      </c>
      <c r="AZ45" s="404" t="e">
        <f t="shared" ca="1" si="17"/>
        <v>#REF!</v>
      </c>
      <c r="BA45" s="404" t="e">
        <f t="shared" ca="1" si="17"/>
        <v>#REF!</v>
      </c>
      <c r="BB45" s="404" t="e">
        <f t="shared" ca="1" si="17"/>
        <v>#REF!</v>
      </c>
      <c r="BC45" s="404" t="e">
        <f t="shared" ca="1" si="17"/>
        <v>#REF!</v>
      </c>
      <c r="BD45" s="404" t="e">
        <f t="shared" ca="1" si="17"/>
        <v>#REF!</v>
      </c>
      <c r="BE45" s="404" t="e">
        <f t="shared" ca="1" si="17"/>
        <v>#REF!</v>
      </c>
      <c r="BF45" s="404" t="e">
        <f t="shared" ca="1" si="17"/>
        <v>#REF!</v>
      </c>
      <c r="BG45" s="404" t="e">
        <f t="shared" ca="1" si="17"/>
        <v>#REF!</v>
      </c>
      <c r="BH45" s="404" t="e">
        <f t="shared" ca="1" si="17"/>
        <v>#REF!</v>
      </c>
      <c r="BI45" s="404" t="e">
        <f t="shared" ca="1" si="17"/>
        <v>#REF!</v>
      </c>
      <c r="BJ45" s="404" t="e">
        <f t="shared" ca="1" si="17"/>
        <v>#REF!</v>
      </c>
      <c r="BK45" s="404" t="e">
        <f t="shared" ca="1" si="17"/>
        <v>#REF!</v>
      </c>
      <c r="BL45" s="404" t="e">
        <f t="shared" ca="1" si="17"/>
        <v>#REF!</v>
      </c>
      <c r="BM45" s="404" t="e">
        <f t="shared" ca="1" si="17"/>
        <v>#REF!</v>
      </c>
      <c r="BN45" s="404" t="e">
        <f t="shared" ca="1" si="17"/>
        <v>#REF!</v>
      </c>
      <c r="BO45" s="404" t="e">
        <f t="shared" ca="1" si="17"/>
        <v>#REF!</v>
      </c>
      <c r="BP45" s="404" t="e">
        <f t="shared" ca="1" si="17"/>
        <v>#REF!</v>
      </c>
      <c r="BQ45" s="404" t="e">
        <f t="shared" ca="1" si="17"/>
        <v>#REF!</v>
      </c>
      <c r="BR45" s="404" t="e">
        <f t="shared" ca="1" si="17"/>
        <v>#REF!</v>
      </c>
    </row>
    <row r="46" spans="1:70" ht="15.75" x14ac:dyDescent="0.3">
      <c r="B46" s="405" t="e">
        <f ca="1">SUM(E46:BR46)</f>
        <v>#REF!</v>
      </c>
      <c r="C46" s="390" t="s">
        <v>3665</v>
      </c>
      <c r="D46" s="390" t="s">
        <v>3123</v>
      </c>
      <c r="E46" s="404" t="e">
        <f t="shared" ref="E46:AJ46" ca="1" si="18">MIN(E43,($B$44*E8))</f>
        <v>#REF!</v>
      </c>
      <c r="F46" s="404" t="e">
        <f t="shared" ca="1" si="18"/>
        <v>#REF!</v>
      </c>
      <c r="G46" s="404" t="e">
        <f t="shared" ca="1" si="18"/>
        <v>#REF!</v>
      </c>
      <c r="H46" s="404" t="e">
        <f t="shared" ca="1" si="18"/>
        <v>#REF!</v>
      </c>
      <c r="I46" s="404" t="e">
        <f t="shared" ca="1" si="18"/>
        <v>#REF!</v>
      </c>
      <c r="J46" s="404" t="e">
        <f t="shared" ca="1" si="18"/>
        <v>#REF!</v>
      </c>
      <c r="K46" s="404" t="e">
        <f t="shared" ca="1" si="18"/>
        <v>#REF!</v>
      </c>
      <c r="L46" s="404" t="e">
        <f t="shared" ca="1" si="18"/>
        <v>#REF!</v>
      </c>
      <c r="M46" s="404" t="e">
        <f t="shared" ca="1" si="18"/>
        <v>#REF!</v>
      </c>
      <c r="N46" s="404" t="e">
        <f t="shared" ca="1" si="18"/>
        <v>#REF!</v>
      </c>
      <c r="O46" s="404" t="e">
        <f t="shared" ca="1" si="18"/>
        <v>#REF!</v>
      </c>
      <c r="P46" s="404" t="e">
        <f t="shared" ca="1" si="18"/>
        <v>#REF!</v>
      </c>
      <c r="Q46" s="404" t="e">
        <f t="shared" ca="1" si="18"/>
        <v>#REF!</v>
      </c>
      <c r="R46" s="404" t="e">
        <f t="shared" ca="1" si="18"/>
        <v>#REF!</v>
      </c>
      <c r="S46" s="404" t="e">
        <f t="shared" ca="1" si="18"/>
        <v>#REF!</v>
      </c>
      <c r="T46" s="404" t="e">
        <f t="shared" ca="1" si="18"/>
        <v>#REF!</v>
      </c>
      <c r="U46" s="404" t="e">
        <f t="shared" ca="1" si="18"/>
        <v>#REF!</v>
      </c>
      <c r="V46" s="404" t="e">
        <f t="shared" ca="1" si="18"/>
        <v>#REF!</v>
      </c>
      <c r="W46" s="404" t="e">
        <f t="shared" ca="1" si="18"/>
        <v>#REF!</v>
      </c>
      <c r="X46" s="404" t="e">
        <f t="shared" ca="1" si="18"/>
        <v>#REF!</v>
      </c>
      <c r="Y46" s="404" t="e">
        <f t="shared" ca="1" si="18"/>
        <v>#REF!</v>
      </c>
      <c r="Z46" s="404" t="e">
        <f t="shared" ca="1" si="18"/>
        <v>#REF!</v>
      </c>
      <c r="AA46" s="404" t="e">
        <f t="shared" ca="1" si="18"/>
        <v>#REF!</v>
      </c>
      <c r="AB46" s="404" t="e">
        <f t="shared" ca="1" si="18"/>
        <v>#REF!</v>
      </c>
      <c r="AC46" s="404" t="e">
        <f t="shared" ca="1" si="18"/>
        <v>#REF!</v>
      </c>
      <c r="AD46" s="404" t="e">
        <f t="shared" ca="1" si="18"/>
        <v>#REF!</v>
      </c>
      <c r="AE46" s="404" t="e">
        <f t="shared" ca="1" si="18"/>
        <v>#REF!</v>
      </c>
      <c r="AF46" s="404" t="e">
        <f t="shared" ca="1" si="18"/>
        <v>#REF!</v>
      </c>
      <c r="AG46" s="404" t="e">
        <f t="shared" ca="1" si="18"/>
        <v>#REF!</v>
      </c>
      <c r="AH46" s="404" t="e">
        <f t="shared" ca="1" si="18"/>
        <v>#REF!</v>
      </c>
      <c r="AI46" s="404" t="e">
        <f t="shared" ca="1" si="18"/>
        <v>#REF!</v>
      </c>
      <c r="AJ46" s="404" t="e">
        <f t="shared" ca="1" si="18"/>
        <v>#REF!</v>
      </c>
      <c r="AK46" s="404" t="e">
        <f t="shared" ref="AK46:BR46" ca="1" si="19">MIN(AK43,($B$44*AK8))</f>
        <v>#REF!</v>
      </c>
      <c r="AL46" s="404" t="e">
        <f t="shared" ca="1" si="19"/>
        <v>#REF!</v>
      </c>
      <c r="AM46" s="404" t="e">
        <f t="shared" ca="1" si="19"/>
        <v>#REF!</v>
      </c>
      <c r="AN46" s="404" t="e">
        <f t="shared" ca="1" si="19"/>
        <v>#REF!</v>
      </c>
      <c r="AO46" s="404" t="e">
        <f t="shared" ca="1" si="19"/>
        <v>#REF!</v>
      </c>
      <c r="AP46" s="404" t="e">
        <f t="shared" ca="1" si="19"/>
        <v>#REF!</v>
      </c>
      <c r="AQ46" s="404" t="e">
        <f t="shared" ca="1" si="19"/>
        <v>#REF!</v>
      </c>
      <c r="AR46" s="404" t="e">
        <f t="shared" ca="1" si="19"/>
        <v>#REF!</v>
      </c>
      <c r="AS46" s="404" t="e">
        <f t="shared" ca="1" si="19"/>
        <v>#REF!</v>
      </c>
      <c r="AT46" s="404" t="e">
        <f t="shared" ca="1" si="19"/>
        <v>#REF!</v>
      </c>
      <c r="AU46" s="404" t="e">
        <f t="shared" ca="1" si="19"/>
        <v>#REF!</v>
      </c>
      <c r="AV46" s="404" t="e">
        <f t="shared" ca="1" si="19"/>
        <v>#REF!</v>
      </c>
      <c r="AW46" s="404" t="e">
        <f t="shared" ca="1" si="19"/>
        <v>#REF!</v>
      </c>
      <c r="AX46" s="404" t="e">
        <f t="shared" ca="1" si="19"/>
        <v>#REF!</v>
      </c>
      <c r="AY46" s="404" t="e">
        <f t="shared" ca="1" si="19"/>
        <v>#REF!</v>
      </c>
      <c r="AZ46" s="404" t="e">
        <f t="shared" ca="1" si="19"/>
        <v>#REF!</v>
      </c>
      <c r="BA46" s="404" t="e">
        <f t="shared" ca="1" si="19"/>
        <v>#REF!</v>
      </c>
      <c r="BB46" s="404" t="e">
        <f t="shared" ca="1" si="19"/>
        <v>#REF!</v>
      </c>
      <c r="BC46" s="404" t="e">
        <f t="shared" ca="1" si="19"/>
        <v>#REF!</v>
      </c>
      <c r="BD46" s="404" t="e">
        <f t="shared" ca="1" si="19"/>
        <v>#REF!</v>
      </c>
      <c r="BE46" s="404" t="e">
        <f t="shared" ca="1" si="19"/>
        <v>#REF!</v>
      </c>
      <c r="BF46" s="404" t="e">
        <f t="shared" ca="1" si="19"/>
        <v>#REF!</v>
      </c>
      <c r="BG46" s="404" t="e">
        <f t="shared" ca="1" si="19"/>
        <v>#REF!</v>
      </c>
      <c r="BH46" s="404" t="e">
        <f t="shared" ca="1" si="19"/>
        <v>#REF!</v>
      </c>
      <c r="BI46" s="404" t="e">
        <f t="shared" ca="1" si="19"/>
        <v>#REF!</v>
      </c>
      <c r="BJ46" s="404" t="e">
        <f t="shared" ca="1" si="19"/>
        <v>#REF!</v>
      </c>
      <c r="BK46" s="404" t="e">
        <f t="shared" ca="1" si="19"/>
        <v>#REF!</v>
      </c>
      <c r="BL46" s="404" t="e">
        <f t="shared" ca="1" si="19"/>
        <v>#REF!</v>
      </c>
      <c r="BM46" s="404" t="e">
        <f t="shared" ca="1" si="19"/>
        <v>#REF!</v>
      </c>
      <c r="BN46" s="404" t="e">
        <f t="shared" ca="1" si="19"/>
        <v>#REF!</v>
      </c>
      <c r="BO46" s="404" t="e">
        <f t="shared" ca="1" si="19"/>
        <v>#REF!</v>
      </c>
      <c r="BP46" s="404" t="e">
        <f t="shared" ca="1" si="19"/>
        <v>#REF!</v>
      </c>
      <c r="BQ46" s="404" t="e">
        <f t="shared" ca="1" si="19"/>
        <v>#REF!</v>
      </c>
      <c r="BR46" s="404" t="e">
        <f t="shared" ca="1" si="19"/>
        <v>#REF!</v>
      </c>
    </row>
    <row r="47" spans="1:70" x14ac:dyDescent="0.2">
      <c r="D47" s="390" t="s">
        <v>3517</v>
      </c>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row>
    <row r="48" spans="1:70" ht="15.75" x14ac:dyDescent="0.3">
      <c r="B48" s="405" t="e">
        <f ca="1">SUM(E48:BR48)</f>
        <v>#REF!</v>
      </c>
      <c r="C48" s="390" t="s">
        <v>3666</v>
      </c>
      <c r="D48" s="390" t="s">
        <v>3124</v>
      </c>
      <c r="E48" s="404" t="e">
        <f t="shared" ref="E48:AJ48" ca="1" si="20">(E45&lt;&gt;E42)*E7</f>
        <v>#REF!</v>
      </c>
      <c r="F48" s="404" t="e">
        <f t="shared" ca="1" si="20"/>
        <v>#REF!</v>
      </c>
      <c r="G48" s="404" t="e">
        <f t="shared" ca="1" si="20"/>
        <v>#REF!</v>
      </c>
      <c r="H48" s="404" t="e">
        <f t="shared" ca="1" si="20"/>
        <v>#REF!</v>
      </c>
      <c r="I48" s="404" t="e">
        <f t="shared" ca="1" si="20"/>
        <v>#REF!</v>
      </c>
      <c r="J48" s="404" t="e">
        <f t="shared" ca="1" si="20"/>
        <v>#REF!</v>
      </c>
      <c r="K48" s="404" t="e">
        <f t="shared" ca="1" si="20"/>
        <v>#REF!</v>
      </c>
      <c r="L48" s="404" t="e">
        <f t="shared" ca="1" si="20"/>
        <v>#REF!</v>
      </c>
      <c r="M48" s="404" t="e">
        <f t="shared" ca="1" si="20"/>
        <v>#REF!</v>
      </c>
      <c r="N48" s="404" t="e">
        <f t="shared" ca="1" si="20"/>
        <v>#REF!</v>
      </c>
      <c r="O48" s="404" t="e">
        <f t="shared" ca="1" si="20"/>
        <v>#REF!</v>
      </c>
      <c r="P48" s="404" t="e">
        <f t="shared" ca="1" si="20"/>
        <v>#REF!</v>
      </c>
      <c r="Q48" s="404" t="e">
        <f t="shared" ca="1" si="20"/>
        <v>#REF!</v>
      </c>
      <c r="R48" s="404" t="e">
        <f t="shared" ca="1" si="20"/>
        <v>#REF!</v>
      </c>
      <c r="S48" s="404" t="e">
        <f t="shared" ca="1" si="20"/>
        <v>#REF!</v>
      </c>
      <c r="T48" s="404" t="e">
        <f t="shared" ca="1" si="20"/>
        <v>#REF!</v>
      </c>
      <c r="U48" s="404" t="e">
        <f t="shared" ca="1" si="20"/>
        <v>#REF!</v>
      </c>
      <c r="V48" s="404" t="e">
        <f t="shared" ca="1" si="20"/>
        <v>#REF!</v>
      </c>
      <c r="W48" s="404" t="e">
        <f t="shared" ca="1" si="20"/>
        <v>#REF!</v>
      </c>
      <c r="X48" s="404" t="e">
        <f t="shared" ca="1" si="20"/>
        <v>#REF!</v>
      </c>
      <c r="Y48" s="404" t="e">
        <f t="shared" ca="1" si="20"/>
        <v>#REF!</v>
      </c>
      <c r="Z48" s="404" t="e">
        <f t="shared" ca="1" si="20"/>
        <v>#REF!</v>
      </c>
      <c r="AA48" s="404" t="e">
        <f t="shared" ca="1" si="20"/>
        <v>#REF!</v>
      </c>
      <c r="AB48" s="404" t="e">
        <f t="shared" ca="1" si="20"/>
        <v>#REF!</v>
      </c>
      <c r="AC48" s="404" t="e">
        <f t="shared" ca="1" si="20"/>
        <v>#REF!</v>
      </c>
      <c r="AD48" s="404" t="e">
        <f t="shared" ca="1" si="20"/>
        <v>#REF!</v>
      </c>
      <c r="AE48" s="404" t="e">
        <f t="shared" ca="1" si="20"/>
        <v>#REF!</v>
      </c>
      <c r="AF48" s="404" t="e">
        <f t="shared" ca="1" si="20"/>
        <v>#REF!</v>
      </c>
      <c r="AG48" s="404" t="e">
        <f t="shared" ca="1" si="20"/>
        <v>#REF!</v>
      </c>
      <c r="AH48" s="404" t="e">
        <f t="shared" ca="1" si="20"/>
        <v>#REF!</v>
      </c>
      <c r="AI48" s="404" t="e">
        <f t="shared" ca="1" si="20"/>
        <v>#REF!</v>
      </c>
      <c r="AJ48" s="404" t="e">
        <f t="shared" ca="1" si="20"/>
        <v>#REF!</v>
      </c>
      <c r="AK48" s="404" t="e">
        <f t="shared" ref="AK48:BR48" ca="1" si="21">(AK45&lt;&gt;AK42)*AK7</f>
        <v>#REF!</v>
      </c>
      <c r="AL48" s="404" t="e">
        <f t="shared" ca="1" si="21"/>
        <v>#REF!</v>
      </c>
      <c r="AM48" s="404" t="e">
        <f t="shared" ca="1" si="21"/>
        <v>#REF!</v>
      </c>
      <c r="AN48" s="404" t="e">
        <f t="shared" ca="1" si="21"/>
        <v>#REF!</v>
      </c>
      <c r="AO48" s="404" t="e">
        <f t="shared" ca="1" si="21"/>
        <v>#REF!</v>
      </c>
      <c r="AP48" s="404" t="e">
        <f t="shared" ca="1" si="21"/>
        <v>#REF!</v>
      </c>
      <c r="AQ48" s="404" t="e">
        <f t="shared" ca="1" si="21"/>
        <v>#REF!</v>
      </c>
      <c r="AR48" s="404" t="e">
        <f t="shared" ca="1" si="21"/>
        <v>#REF!</v>
      </c>
      <c r="AS48" s="404" t="e">
        <f t="shared" ca="1" si="21"/>
        <v>#REF!</v>
      </c>
      <c r="AT48" s="404" t="e">
        <f t="shared" ca="1" si="21"/>
        <v>#REF!</v>
      </c>
      <c r="AU48" s="404" t="e">
        <f t="shared" ca="1" si="21"/>
        <v>#REF!</v>
      </c>
      <c r="AV48" s="404" t="e">
        <f t="shared" ca="1" si="21"/>
        <v>#REF!</v>
      </c>
      <c r="AW48" s="404" t="e">
        <f t="shared" ca="1" si="21"/>
        <v>#REF!</v>
      </c>
      <c r="AX48" s="404" t="e">
        <f t="shared" ca="1" si="21"/>
        <v>#REF!</v>
      </c>
      <c r="AY48" s="404" t="e">
        <f t="shared" ca="1" si="21"/>
        <v>#REF!</v>
      </c>
      <c r="AZ48" s="404" t="e">
        <f t="shared" ca="1" si="21"/>
        <v>#REF!</v>
      </c>
      <c r="BA48" s="404" t="e">
        <f t="shared" ca="1" si="21"/>
        <v>#REF!</v>
      </c>
      <c r="BB48" s="404" t="e">
        <f t="shared" ca="1" si="21"/>
        <v>#REF!</v>
      </c>
      <c r="BC48" s="404" t="e">
        <f t="shared" ca="1" si="21"/>
        <v>#REF!</v>
      </c>
      <c r="BD48" s="404" t="e">
        <f t="shared" ca="1" si="21"/>
        <v>#REF!</v>
      </c>
      <c r="BE48" s="404" t="e">
        <f t="shared" ca="1" si="21"/>
        <v>#REF!</v>
      </c>
      <c r="BF48" s="404" t="e">
        <f t="shared" ca="1" si="21"/>
        <v>#REF!</v>
      </c>
      <c r="BG48" s="404" t="e">
        <f t="shared" ca="1" si="21"/>
        <v>#REF!</v>
      </c>
      <c r="BH48" s="404" t="e">
        <f t="shared" ca="1" si="21"/>
        <v>#REF!</v>
      </c>
      <c r="BI48" s="404" t="e">
        <f t="shared" ca="1" si="21"/>
        <v>#REF!</v>
      </c>
      <c r="BJ48" s="404" t="e">
        <f t="shared" ca="1" si="21"/>
        <v>#REF!</v>
      </c>
      <c r="BK48" s="404" t="e">
        <f t="shared" ca="1" si="21"/>
        <v>#REF!</v>
      </c>
      <c r="BL48" s="404" t="e">
        <f t="shared" ca="1" si="21"/>
        <v>#REF!</v>
      </c>
      <c r="BM48" s="404" t="e">
        <f t="shared" ca="1" si="21"/>
        <v>#REF!</v>
      </c>
      <c r="BN48" s="404" t="e">
        <f t="shared" ca="1" si="21"/>
        <v>#REF!</v>
      </c>
      <c r="BO48" s="404" t="e">
        <f t="shared" ca="1" si="21"/>
        <v>#REF!</v>
      </c>
      <c r="BP48" s="404" t="e">
        <f t="shared" ca="1" si="21"/>
        <v>#REF!</v>
      </c>
      <c r="BQ48" s="404" t="e">
        <f t="shared" ca="1" si="21"/>
        <v>#REF!</v>
      </c>
      <c r="BR48" s="404" t="e">
        <f t="shared" ca="1" si="21"/>
        <v>#REF!</v>
      </c>
    </row>
    <row r="49" spans="2:70" ht="15.75" x14ac:dyDescent="0.3">
      <c r="B49" s="405" t="e">
        <f ca="1">SUM(E49:BR49)</f>
        <v>#REF!</v>
      </c>
      <c r="C49" s="390" t="s">
        <v>3666</v>
      </c>
      <c r="D49" s="390" t="s">
        <v>3125</v>
      </c>
      <c r="E49" s="404" t="e">
        <f t="shared" ref="E49:AJ49" ca="1" si="22">(E46&lt;&gt;E43)*E8</f>
        <v>#REF!</v>
      </c>
      <c r="F49" s="404" t="e">
        <f t="shared" ca="1" si="22"/>
        <v>#REF!</v>
      </c>
      <c r="G49" s="404" t="e">
        <f t="shared" ca="1" si="22"/>
        <v>#REF!</v>
      </c>
      <c r="H49" s="404" t="e">
        <f t="shared" ca="1" si="22"/>
        <v>#REF!</v>
      </c>
      <c r="I49" s="404" t="e">
        <f t="shared" ca="1" si="22"/>
        <v>#REF!</v>
      </c>
      <c r="J49" s="404" t="e">
        <f t="shared" ca="1" si="22"/>
        <v>#REF!</v>
      </c>
      <c r="K49" s="404" t="e">
        <f t="shared" ca="1" si="22"/>
        <v>#REF!</v>
      </c>
      <c r="L49" s="404" t="e">
        <f t="shared" ca="1" si="22"/>
        <v>#REF!</v>
      </c>
      <c r="M49" s="404" t="e">
        <f t="shared" ca="1" si="22"/>
        <v>#REF!</v>
      </c>
      <c r="N49" s="404" t="e">
        <f t="shared" ca="1" si="22"/>
        <v>#REF!</v>
      </c>
      <c r="O49" s="404" t="e">
        <f t="shared" ca="1" si="22"/>
        <v>#REF!</v>
      </c>
      <c r="P49" s="404" t="e">
        <f t="shared" ca="1" si="22"/>
        <v>#REF!</v>
      </c>
      <c r="Q49" s="404" t="e">
        <f t="shared" ca="1" si="22"/>
        <v>#REF!</v>
      </c>
      <c r="R49" s="404" t="e">
        <f t="shared" ca="1" si="22"/>
        <v>#REF!</v>
      </c>
      <c r="S49" s="404" t="e">
        <f t="shared" ca="1" si="22"/>
        <v>#REF!</v>
      </c>
      <c r="T49" s="404" t="e">
        <f t="shared" ca="1" si="22"/>
        <v>#REF!</v>
      </c>
      <c r="U49" s="404" t="e">
        <f t="shared" ca="1" si="22"/>
        <v>#REF!</v>
      </c>
      <c r="V49" s="404" t="e">
        <f t="shared" ca="1" si="22"/>
        <v>#REF!</v>
      </c>
      <c r="W49" s="404" t="e">
        <f t="shared" ca="1" si="22"/>
        <v>#REF!</v>
      </c>
      <c r="X49" s="404" t="e">
        <f t="shared" ca="1" si="22"/>
        <v>#REF!</v>
      </c>
      <c r="Y49" s="404" t="e">
        <f t="shared" ca="1" si="22"/>
        <v>#REF!</v>
      </c>
      <c r="Z49" s="404" t="e">
        <f t="shared" ca="1" si="22"/>
        <v>#REF!</v>
      </c>
      <c r="AA49" s="404" t="e">
        <f t="shared" ca="1" si="22"/>
        <v>#REF!</v>
      </c>
      <c r="AB49" s="404" t="e">
        <f t="shared" ca="1" si="22"/>
        <v>#REF!</v>
      </c>
      <c r="AC49" s="404" t="e">
        <f t="shared" ca="1" si="22"/>
        <v>#REF!</v>
      </c>
      <c r="AD49" s="404" t="e">
        <f t="shared" ca="1" si="22"/>
        <v>#REF!</v>
      </c>
      <c r="AE49" s="404" t="e">
        <f t="shared" ca="1" si="22"/>
        <v>#REF!</v>
      </c>
      <c r="AF49" s="404" t="e">
        <f t="shared" ca="1" si="22"/>
        <v>#REF!</v>
      </c>
      <c r="AG49" s="404" t="e">
        <f t="shared" ca="1" si="22"/>
        <v>#REF!</v>
      </c>
      <c r="AH49" s="404" t="e">
        <f t="shared" ca="1" si="22"/>
        <v>#REF!</v>
      </c>
      <c r="AI49" s="404" t="e">
        <f t="shared" ca="1" si="22"/>
        <v>#REF!</v>
      </c>
      <c r="AJ49" s="404" t="e">
        <f t="shared" ca="1" si="22"/>
        <v>#REF!</v>
      </c>
      <c r="AK49" s="404" t="e">
        <f t="shared" ref="AK49:BR49" ca="1" si="23">(AK46&lt;&gt;AK43)*AK8</f>
        <v>#REF!</v>
      </c>
      <c r="AL49" s="404" t="e">
        <f t="shared" ca="1" si="23"/>
        <v>#REF!</v>
      </c>
      <c r="AM49" s="404" t="e">
        <f t="shared" ca="1" si="23"/>
        <v>#REF!</v>
      </c>
      <c r="AN49" s="404" t="e">
        <f t="shared" ca="1" si="23"/>
        <v>#REF!</v>
      </c>
      <c r="AO49" s="404" t="e">
        <f t="shared" ca="1" si="23"/>
        <v>#REF!</v>
      </c>
      <c r="AP49" s="404" t="e">
        <f t="shared" ca="1" si="23"/>
        <v>#REF!</v>
      </c>
      <c r="AQ49" s="404" t="e">
        <f t="shared" ca="1" si="23"/>
        <v>#REF!</v>
      </c>
      <c r="AR49" s="404" t="e">
        <f t="shared" ca="1" si="23"/>
        <v>#REF!</v>
      </c>
      <c r="AS49" s="404" t="e">
        <f t="shared" ca="1" si="23"/>
        <v>#REF!</v>
      </c>
      <c r="AT49" s="404" t="e">
        <f t="shared" ca="1" si="23"/>
        <v>#REF!</v>
      </c>
      <c r="AU49" s="404" t="e">
        <f t="shared" ca="1" si="23"/>
        <v>#REF!</v>
      </c>
      <c r="AV49" s="404" t="e">
        <f t="shared" ca="1" si="23"/>
        <v>#REF!</v>
      </c>
      <c r="AW49" s="404" t="e">
        <f t="shared" ca="1" si="23"/>
        <v>#REF!</v>
      </c>
      <c r="AX49" s="404" t="e">
        <f t="shared" ca="1" si="23"/>
        <v>#REF!</v>
      </c>
      <c r="AY49" s="404" t="e">
        <f t="shared" ca="1" si="23"/>
        <v>#REF!</v>
      </c>
      <c r="AZ49" s="404" t="e">
        <f t="shared" ca="1" si="23"/>
        <v>#REF!</v>
      </c>
      <c r="BA49" s="404" t="e">
        <f t="shared" ca="1" si="23"/>
        <v>#REF!</v>
      </c>
      <c r="BB49" s="404" t="e">
        <f t="shared" ca="1" si="23"/>
        <v>#REF!</v>
      </c>
      <c r="BC49" s="404" t="e">
        <f t="shared" ca="1" si="23"/>
        <v>#REF!</v>
      </c>
      <c r="BD49" s="404" t="e">
        <f t="shared" ca="1" si="23"/>
        <v>#REF!</v>
      </c>
      <c r="BE49" s="404" t="e">
        <f t="shared" ca="1" si="23"/>
        <v>#REF!</v>
      </c>
      <c r="BF49" s="404" t="e">
        <f t="shared" ca="1" si="23"/>
        <v>#REF!</v>
      </c>
      <c r="BG49" s="404" t="e">
        <f t="shared" ca="1" si="23"/>
        <v>#REF!</v>
      </c>
      <c r="BH49" s="404" t="e">
        <f t="shared" ca="1" si="23"/>
        <v>#REF!</v>
      </c>
      <c r="BI49" s="404" t="e">
        <f t="shared" ca="1" si="23"/>
        <v>#REF!</v>
      </c>
      <c r="BJ49" s="404" t="e">
        <f t="shared" ca="1" si="23"/>
        <v>#REF!</v>
      </c>
      <c r="BK49" s="404" t="e">
        <f t="shared" ca="1" si="23"/>
        <v>#REF!</v>
      </c>
      <c r="BL49" s="404" t="e">
        <f t="shared" ca="1" si="23"/>
        <v>#REF!</v>
      </c>
      <c r="BM49" s="404" t="e">
        <f t="shared" ca="1" si="23"/>
        <v>#REF!</v>
      </c>
      <c r="BN49" s="404" t="e">
        <f t="shared" ca="1" si="23"/>
        <v>#REF!</v>
      </c>
      <c r="BO49" s="404" t="e">
        <f t="shared" ca="1" si="23"/>
        <v>#REF!</v>
      </c>
      <c r="BP49" s="404" t="e">
        <f t="shared" ca="1" si="23"/>
        <v>#REF!</v>
      </c>
      <c r="BQ49" s="404" t="e">
        <f t="shared" ca="1" si="23"/>
        <v>#REF!</v>
      </c>
      <c r="BR49" s="404" t="e">
        <f t="shared" ca="1" si="23"/>
        <v>#REF!</v>
      </c>
    </row>
    <row r="50" spans="2:70" ht="15.75" x14ac:dyDescent="0.3">
      <c r="B50" s="405" t="e">
        <f ca="1">B30-B45</f>
        <v>#VALUE!</v>
      </c>
      <c r="C50" s="390" t="s">
        <v>3665</v>
      </c>
      <c r="D50" s="390" t="s">
        <v>3126</v>
      </c>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row>
    <row r="51" spans="2:70" ht="15.75" x14ac:dyDescent="0.3">
      <c r="B51" s="405" t="e">
        <f ca="1">B30-B46</f>
        <v>#VALUE!</v>
      </c>
      <c r="C51" s="390" t="s">
        <v>3665</v>
      </c>
      <c r="D51" s="390" t="s">
        <v>3127</v>
      </c>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row>
    <row r="52" spans="2:70" ht="15.75" x14ac:dyDescent="0.3">
      <c r="B52" s="409" t="e">
        <f ca="1">B50/B48</f>
        <v>#VALUE!</v>
      </c>
      <c r="C52" s="390" t="s">
        <v>3650</v>
      </c>
      <c r="D52" s="390" t="s">
        <v>3363</v>
      </c>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row>
    <row r="53" spans="2:70" ht="15.75" x14ac:dyDescent="0.3">
      <c r="B53" s="409" t="e">
        <f ca="1">B51/B49</f>
        <v>#VALUE!</v>
      </c>
      <c r="C53" s="390" t="s">
        <v>3650</v>
      </c>
      <c r="D53" s="390" t="s">
        <v>3363</v>
      </c>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row>
    <row r="54" spans="2:70" ht="15.75" x14ac:dyDescent="0.3">
      <c r="B54" s="405" t="e">
        <f ca="1">SUM(E54:BR54)</f>
        <v>#VALUE!</v>
      </c>
      <c r="C54" s="390" t="s">
        <v>3665</v>
      </c>
      <c r="D54" s="390" t="s">
        <v>3128</v>
      </c>
      <c r="E54" s="404" t="e">
        <f t="shared" ref="E54:AJ54" ca="1" si="24">MIN($B52*E48,(E42-E45))</f>
        <v>#VALUE!</v>
      </c>
      <c r="F54" s="404" t="e">
        <f t="shared" ca="1" si="24"/>
        <v>#VALUE!</v>
      </c>
      <c r="G54" s="404" t="e">
        <f t="shared" ca="1" si="24"/>
        <v>#VALUE!</v>
      </c>
      <c r="H54" s="404" t="e">
        <f t="shared" ca="1" si="24"/>
        <v>#VALUE!</v>
      </c>
      <c r="I54" s="404" t="e">
        <f t="shared" ca="1" si="24"/>
        <v>#VALUE!</v>
      </c>
      <c r="J54" s="404" t="e">
        <f t="shared" ca="1" si="24"/>
        <v>#VALUE!</v>
      </c>
      <c r="K54" s="404" t="e">
        <f t="shared" ca="1" si="24"/>
        <v>#VALUE!</v>
      </c>
      <c r="L54" s="404" t="e">
        <f t="shared" ca="1" si="24"/>
        <v>#VALUE!</v>
      </c>
      <c r="M54" s="404" t="e">
        <f t="shared" ca="1" si="24"/>
        <v>#VALUE!</v>
      </c>
      <c r="N54" s="404" t="e">
        <f t="shared" ca="1" si="24"/>
        <v>#VALUE!</v>
      </c>
      <c r="O54" s="404" t="e">
        <f t="shared" ca="1" si="24"/>
        <v>#VALUE!</v>
      </c>
      <c r="P54" s="404" t="e">
        <f t="shared" ca="1" si="24"/>
        <v>#VALUE!</v>
      </c>
      <c r="Q54" s="404" t="e">
        <f t="shared" ca="1" si="24"/>
        <v>#VALUE!</v>
      </c>
      <c r="R54" s="404" t="e">
        <f t="shared" ca="1" si="24"/>
        <v>#VALUE!</v>
      </c>
      <c r="S54" s="404" t="e">
        <f t="shared" ca="1" si="24"/>
        <v>#VALUE!</v>
      </c>
      <c r="T54" s="404" t="e">
        <f t="shared" ca="1" si="24"/>
        <v>#VALUE!</v>
      </c>
      <c r="U54" s="404" t="e">
        <f t="shared" ca="1" si="24"/>
        <v>#VALUE!</v>
      </c>
      <c r="V54" s="404" t="e">
        <f t="shared" ca="1" si="24"/>
        <v>#VALUE!</v>
      </c>
      <c r="W54" s="404" t="e">
        <f t="shared" ca="1" si="24"/>
        <v>#VALUE!</v>
      </c>
      <c r="X54" s="404" t="e">
        <f t="shared" ca="1" si="24"/>
        <v>#VALUE!</v>
      </c>
      <c r="Y54" s="404" t="e">
        <f t="shared" ca="1" si="24"/>
        <v>#VALUE!</v>
      </c>
      <c r="Z54" s="404" t="e">
        <f t="shared" ca="1" si="24"/>
        <v>#VALUE!</v>
      </c>
      <c r="AA54" s="404" t="e">
        <f t="shared" ca="1" si="24"/>
        <v>#VALUE!</v>
      </c>
      <c r="AB54" s="404" t="e">
        <f t="shared" ca="1" si="24"/>
        <v>#VALUE!</v>
      </c>
      <c r="AC54" s="404" t="e">
        <f t="shared" ca="1" si="24"/>
        <v>#VALUE!</v>
      </c>
      <c r="AD54" s="404" t="e">
        <f t="shared" ca="1" si="24"/>
        <v>#VALUE!</v>
      </c>
      <c r="AE54" s="404" t="e">
        <f t="shared" ca="1" si="24"/>
        <v>#VALUE!</v>
      </c>
      <c r="AF54" s="404" t="e">
        <f t="shared" ca="1" si="24"/>
        <v>#VALUE!</v>
      </c>
      <c r="AG54" s="404" t="e">
        <f t="shared" ca="1" si="24"/>
        <v>#VALUE!</v>
      </c>
      <c r="AH54" s="404" t="e">
        <f t="shared" ca="1" si="24"/>
        <v>#VALUE!</v>
      </c>
      <c r="AI54" s="404" t="e">
        <f t="shared" ca="1" si="24"/>
        <v>#VALUE!</v>
      </c>
      <c r="AJ54" s="404" t="e">
        <f t="shared" ca="1" si="24"/>
        <v>#VALUE!</v>
      </c>
      <c r="AK54" s="404" t="e">
        <f t="shared" ref="AK54:BR54" ca="1" si="25">MIN($B52*AK48,(AK42-AK45))</f>
        <v>#VALUE!</v>
      </c>
      <c r="AL54" s="404" t="e">
        <f t="shared" ca="1" si="25"/>
        <v>#VALUE!</v>
      </c>
      <c r="AM54" s="404" t="e">
        <f t="shared" ca="1" si="25"/>
        <v>#VALUE!</v>
      </c>
      <c r="AN54" s="404" t="e">
        <f t="shared" ca="1" si="25"/>
        <v>#VALUE!</v>
      </c>
      <c r="AO54" s="404" t="e">
        <f t="shared" ca="1" si="25"/>
        <v>#VALUE!</v>
      </c>
      <c r="AP54" s="404" t="e">
        <f t="shared" ca="1" si="25"/>
        <v>#VALUE!</v>
      </c>
      <c r="AQ54" s="404" t="e">
        <f t="shared" ca="1" si="25"/>
        <v>#VALUE!</v>
      </c>
      <c r="AR54" s="404" t="e">
        <f t="shared" ca="1" si="25"/>
        <v>#VALUE!</v>
      </c>
      <c r="AS54" s="404" t="e">
        <f t="shared" ca="1" si="25"/>
        <v>#VALUE!</v>
      </c>
      <c r="AT54" s="404" t="e">
        <f t="shared" ca="1" si="25"/>
        <v>#VALUE!</v>
      </c>
      <c r="AU54" s="404" t="e">
        <f t="shared" ca="1" si="25"/>
        <v>#VALUE!</v>
      </c>
      <c r="AV54" s="404" t="e">
        <f t="shared" ca="1" si="25"/>
        <v>#VALUE!</v>
      </c>
      <c r="AW54" s="404" t="e">
        <f t="shared" ca="1" si="25"/>
        <v>#VALUE!</v>
      </c>
      <c r="AX54" s="404" t="e">
        <f t="shared" ca="1" si="25"/>
        <v>#VALUE!</v>
      </c>
      <c r="AY54" s="404" t="e">
        <f t="shared" ca="1" si="25"/>
        <v>#VALUE!</v>
      </c>
      <c r="AZ54" s="404" t="e">
        <f t="shared" ca="1" si="25"/>
        <v>#VALUE!</v>
      </c>
      <c r="BA54" s="404" t="e">
        <f t="shared" ca="1" si="25"/>
        <v>#VALUE!</v>
      </c>
      <c r="BB54" s="404" t="e">
        <f t="shared" ca="1" si="25"/>
        <v>#VALUE!</v>
      </c>
      <c r="BC54" s="404" t="e">
        <f t="shared" ca="1" si="25"/>
        <v>#VALUE!</v>
      </c>
      <c r="BD54" s="404" t="e">
        <f t="shared" ca="1" si="25"/>
        <v>#VALUE!</v>
      </c>
      <c r="BE54" s="404" t="e">
        <f t="shared" ca="1" si="25"/>
        <v>#VALUE!</v>
      </c>
      <c r="BF54" s="404" t="e">
        <f t="shared" ca="1" si="25"/>
        <v>#VALUE!</v>
      </c>
      <c r="BG54" s="404" t="e">
        <f t="shared" ca="1" si="25"/>
        <v>#VALUE!</v>
      </c>
      <c r="BH54" s="404" t="e">
        <f t="shared" ca="1" si="25"/>
        <v>#VALUE!</v>
      </c>
      <c r="BI54" s="404" t="e">
        <f t="shared" ca="1" si="25"/>
        <v>#VALUE!</v>
      </c>
      <c r="BJ54" s="404" t="e">
        <f t="shared" ca="1" si="25"/>
        <v>#VALUE!</v>
      </c>
      <c r="BK54" s="404" t="e">
        <f t="shared" ca="1" si="25"/>
        <v>#VALUE!</v>
      </c>
      <c r="BL54" s="404" t="e">
        <f t="shared" ca="1" si="25"/>
        <v>#VALUE!</v>
      </c>
      <c r="BM54" s="404" t="e">
        <f t="shared" ca="1" si="25"/>
        <v>#VALUE!</v>
      </c>
      <c r="BN54" s="404" t="e">
        <f t="shared" ca="1" si="25"/>
        <v>#VALUE!</v>
      </c>
      <c r="BO54" s="404" t="e">
        <f t="shared" ca="1" si="25"/>
        <v>#VALUE!</v>
      </c>
      <c r="BP54" s="404" t="e">
        <f t="shared" ca="1" si="25"/>
        <v>#VALUE!</v>
      </c>
      <c r="BQ54" s="404" t="e">
        <f t="shared" ca="1" si="25"/>
        <v>#VALUE!</v>
      </c>
      <c r="BR54" s="404" t="e">
        <f t="shared" ca="1" si="25"/>
        <v>#VALUE!</v>
      </c>
    </row>
    <row r="55" spans="2:70" ht="15.75" x14ac:dyDescent="0.3">
      <c r="B55" s="405" t="e">
        <f ca="1">SUM(E55:BR55)</f>
        <v>#VALUE!</v>
      </c>
      <c r="C55" s="390" t="s">
        <v>3665</v>
      </c>
      <c r="D55" s="390" t="s">
        <v>3129</v>
      </c>
      <c r="E55" s="404" t="e">
        <f t="shared" ref="E55:AJ55" ca="1" si="26">MIN($B53*E49,(E43-E46))</f>
        <v>#VALUE!</v>
      </c>
      <c r="F55" s="404" t="e">
        <f t="shared" ca="1" si="26"/>
        <v>#VALUE!</v>
      </c>
      <c r="G55" s="404" t="e">
        <f t="shared" ca="1" si="26"/>
        <v>#VALUE!</v>
      </c>
      <c r="H55" s="404" t="e">
        <f t="shared" ca="1" si="26"/>
        <v>#VALUE!</v>
      </c>
      <c r="I55" s="404" t="e">
        <f t="shared" ca="1" si="26"/>
        <v>#VALUE!</v>
      </c>
      <c r="J55" s="404" t="e">
        <f t="shared" ca="1" si="26"/>
        <v>#VALUE!</v>
      </c>
      <c r="K55" s="404" t="e">
        <f t="shared" ca="1" si="26"/>
        <v>#VALUE!</v>
      </c>
      <c r="L55" s="404" t="e">
        <f t="shared" ca="1" si="26"/>
        <v>#VALUE!</v>
      </c>
      <c r="M55" s="404" t="e">
        <f t="shared" ca="1" si="26"/>
        <v>#VALUE!</v>
      </c>
      <c r="N55" s="404" t="e">
        <f t="shared" ca="1" si="26"/>
        <v>#VALUE!</v>
      </c>
      <c r="O55" s="404" t="e">
        <f t="shared" ca="1" si="26"/>
        <v>#VALUE!</v>
      </c>
      <c r="P55" s="404" t="e">
        <f t="shared" ca="1" si="26"/>
        <v>#VALUE!</v>
      </c>
      <c r="Q55" s="404" t="e">
        <f t="shared" ca="1" si="26"/>
        <v>#VALUE!</v>
      </c>
      <c r="R55" s="404" t="e">
        <f t="shared" ca="1" si="26"/>
        <v>#VALUE!</v>
      </c>
      <c r="S55" s="404" t="e">
        <f t="shared" ca="1" si="26"/>
        <v>#VALUE!</v>
      </c>
      <c r="T55" s="404" t="e">
        <f t="shared" ca="1" si="26"/>
        <v>#VALUE!</v>
      </c>
      <c r="U55" s="404" t="e">
        <f t="shared" ca="1" si="26"/>
        <v>#VALUE!</v>
      </c>
      <c r="V55" s="404" t="e">
        <f t="shared" ca="1" si="26"/>
        <v>#VALUE!</v>
      </c>
      <c r="W55" s="404" t="e">
        <f t="shared" ca="1" si="26"/>
        <v>#VALUE!</v>
      </c>
      <c r="X55" s="404" t="e">
        <f t="shared" ca="1" si="26"/>
        <v>#VALUE!</v>
      </c>
      <c r="Y55" s="404" t="e">
        <f t="shared" ca="1" si="26"/>
        <v>#VALUE!</v>
      </c>
      <c r="Z55" s="404" t="e">
        <f t="shared" ca="1" si="26"/>
        <v>#VALUE!</v>
      </c>
      <c r="AA55" s="404" t="e">
        <f t="shared" ca="1" si="26"/>
        <v>#VALUE!</v>
      </c>
      <c r="AB55" s="404" t="e">
        <f t="shared" ca="1" si="26"/>
        <v>#VALUE!</v>
      </c>
      <c r="AC55" s="404" t="e">
        <f t="shared" ca="1" si="26"/>
        <v>#VALUE!</v>
      </c>
      <c r="AD55" s="404" t="e">
        <f t="shared" ca="1" si="26"/>
        <v>#VALUE!</v>
      </c>
      <c r="AE55" s="404" t="e">
        <f t="shared" ca="1" si="26"/>
        <v>#VALUE!</v>
      </c>
      <c r="AF55" s="404" t="e">
        <f t="shared" ca="1" si="26"/>
        <v>#VALUE!</v>
      </c>
      <c r="AG55" s="404" t="e">
        <f t="shared" ca="1" si="26"/>
        <v>#VALUE!</v>
      </c>
      <c r="AH55" s="404" t="e">
        <f t="shared" ca="1" si="26"/>
        <v>#VALUE!</v>
      </c>
      <c r="AI55" s="404" t="e">
        <f t="shared" ca="1" si="26"/>
        <v>#VALUE!</v>
      </c>
      <c r="AJ55" s="404" t="e">
        <f t="shared" ca="1" si="26"/>
        <v>#VALUE!</v>
      </c>
      <c r="AK55" s="404" t="e">
        <f t="shared" ref="AK55:BR55" ca="1" si="27">MIN($B53*AK49,(AK43-AK46))</f>
        <v>#VALUE!</v>
      </c>
      <c r="AL55" s="404" t="e">
        <f t="shared" ca="1" si="27"/>
        <v>#VALUE!</v>
      </c>
      <c r="AM55" s="404" t="e">
        <f t="shared" ca="1" si="27"/>
        <v>#VALUE!</v>
      </c>
      <c r="AN55" s="404" t="e">
        <f t="shared" ca="1" si="27"/>
        <v>#VALUE!</v>
      </c>
      <c r="AO55" s="404" t="e">
        <f t="shared" ca="1" si="27"/>
        <v>#VALUE!</v>
      </c>
      <c r="AP55" s="404" t="e">
        <f t="shared" ca="1" si="27"/>
        <v>#VALUE!</v>
      </c>
      <c r="AQ55" s="404" t="e">
        <f t="shared" ca="1" si="27"/>
        <v>#VALUE!</v>
      </c>
      <c r="AR55" s="404" t="e">
        <f t="shared" ca="1" si="27"/>
        <v>#VALUE!</v>
      </c>
      <c r="AS55" s="404" t="e">
        <f t="shared" ca="1" si="27"/>
        <v>#VALUE!</v>
      </c>
      <c r="AT55" s="404" t="e">
        <f t="shared" ca="1" si="27"/>
        <v>#VALUE!</v>
      </c>
      <c r="AU55" s="404" t="e">
        <f t="shared" ca="1" si="27"/>
        <v>#VALUE!</v>
      </c>
      <c r="AV55" s="404" t="e">
        <f t="shared" ca="1" si="27"/>
        <v>#VALUE!</v>
      </c>
      <c r="AW55" s="404" t="e">
        <f t="shared" ca="1" si="27"/>
        <v>#VALUE!</v>
      </c>
      <c r="AX55" s="404" t="e">
        <f t="shared" ca="1" si="27"/>
        <v>#VALUE!</v>
      </c>
      <c r="AY55" s="404" t="e">
        <f t="shared" ca="1" si="27"/>
        <v>#VALUE!</v>
      </c>
      <c r="AZ55" s="404" t="e">
        <f t="shared" ca="1" si="27"/>
        <v>#VALUE!</v>
      </c>
      <c r="BA55" s="404" t="e">
        <f t="shared" ca="1" si="27"/>
        <v>#VALUE!</v>
      </c>
      <c r="BB55" s="404" t="e">
        <f t="shared" ca="1" si="27"/>
        <v>#VALUE!</v>
      </c>
      <c r="BC55" s="404" t="e">
        <f t="shared" ca="1" si="27"/>
        <v>#VALUE!</v>
      </c>
      <c r="BD55" s="404" t="e">
        <f t="shared" ca="1" si="27"/>
        <v>#VALUE!</v>
      </c>
      <c r="BE55" s="404" t="e">
        <f t="shared" ca="1" si="27"/>
        <v>#VALUE!</v>
      </c>
      <c r="BF55" s="404" t="e">
        <f t="shared" ca="1" si="27"/>
        <v>#VALUE!</v>
      </c>
      <c r="BG55" s="404" t="e">
        <f t="shared" ca="1" si="27"/>
        <v>#VALUE!</v>
      </c>
      <c r="BH55" s="404" t="e">
        <f t="shared" ca="1" si="27"/>
        <v>#VALUE!</v>
      </c>
      <c r="BI55" s="404" t="e">
        <f t="shared" ca="1" si="27"/>
        <v>#VALUE!</v>
      </c>
      <c r="BJ55" s="404" t="e">
        <f t="shared" ca="1" si="27"/>
        <v>#VALUE!</v>
      </c>
      <c r="BK55" s="404" t="e">
        <f t="shared" ca="1" si="27"/>
        <v>#VALUE!</v>
      </c>
      <c r="BL55" s="404" t="e">
        <f t="shared" ca="1" si="27"/>
        <v>#VALUE!</v>
      </c>
      <c r="BM55" s="404" t="e">
        <f t="shared" ca="1" si="27"/>
        <v>#VALUE!</v>
      </c>
      <c r="BN55" s="404" t="e">
        <f t="shared" ca="1" si="27"/>
        <v>#VALUE!</v>
      </c>
      <c r="BO55" s="404" t="e">
        <f t="shared" ca="1" si="27"/>
        <v>#VALUE!</v>
      </c>
      <c r="BP55" s="404" t="e">
        <f t="shared" ca="1" si="27"/>
        <v>#VALUE!</v>
      </c>
      <c r="BQ55" s="404" t="e">
        <f t="shared" ca="1" si="27"/>
        <v>#VALUE!</v>
      </c>
      <c r="BR55" s="404" t="e">
        <f t="shared" ca="1" si="27"/>
        <v>#VALUE!</v>
      </c>
    </row>
    <row r="56" spans="2:70" ht="15.75" x14ac:dyDescent="0.3">
      <c r="B56" s="405" t="e">
        <f ca="1">B50-B54</f>
        <v>#VALUE!</v>
      </c>
      <c r="C56" s="390" t="s">
        <v>3665</v>
      </c>
      <c r="D56" s="390" t="s">
        <v>3130</v>
      </c>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row>
    <row r="57" spans="2:70" ht="15.75" x14ac:dyDescent="0.3">
      <c r="B57" s="405" t="e">
        <f ca="1">B51-B55</f>
        <v>#VALUE!</v>
      </c>
      <c r="C57" s="390" t="s">
        <v>3665</v>
      </c>
      <c r="D57" s="390" t="s">
        <v>3131</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row>
    <row r="58" spans="2:70" ht="15.75" x14ac:dyDescent="0.3">
      <c r="B58" s="405" t="e">
        <f ca="1">SUM(E58:BR58)</f>
        <v>#REF!</v>
      </c>
      <c r="C58" s="390" t="s">
        <v>3666</v>
      </c>
      <c r="D58" s="390" t="s">
        <v>3132</v>
      </c>
      <c r="E58" s="404" t="e">
        <f t="shared" ref="E58:AJ58" ca="1" si="28">((E42-E45-E54)&gt;0)*E7</f>
        <v>#REF!</v>
      </c>
      <c r="F58" s="404" t="e">
        <f t="shared" ca="1" si="28"/>
        <v>#REF!</v>
      </c>
      <c r="G58" s="404" t="e">
        <f t="shared" ca="1" si="28"/>
        <v>#REF!</v>
      </c>
      <c r="H58" s="404" t="e">
        <f t="shared" ca="1" si="28"/>
        <v>#REF!</v>
      </c>
      <c r="I58" s="404" t="e">
        <f t="shared" ca="1" si="28"/>
        <v>#REF!</v>
      </c>
      <c r="J58" s="404" t="e">
        <f t="shared" ca="1" si="28"/>
        <v>#REF!</v>
      </c>
      <c r="K58" s="404" t="e">
        <f t="shared" ca="1" si="28"/>
        <v>#REF!</v>
      </c>
      <c r="L58" s="404" t="e">
        <f t="shared" ca="1" si="28"/>
        <v>#REF!</v>
      </c>
      <c r="M58" s="404" t="e">
        <f t="shared" ca="1" si="28"/>
        <v>#REF!</v>
      </c>
      <c r="N58" s="404" t="e">
        <f t="shared" ca="1" si="28"/>
        <v>#REF!</v>
      </c>
      <c r="O58" s="404" t="e">
        <f t="shared" ca="1" si="28"/>
        <v>#REF!</v>
      </c>
      <c r="P58" s="404" t="e">
        <f t="shared" ca="1" si="28"/>
        <v>#REF!</v>
      </c>
      <c r="Q58" s="404" t="e">
        <f t="shared" ca="1" si="28"/>
        <v>#REF!</v>
      </c>
      <c r="R58" s="404" t="e">
        <f t="shared" ca="1" si="28"/>
        <v>#REF!</v>
      </c>
      <c r="S58" s="404" t="e">
        <f t="shared" ca="1" si="28"/>
        <v>#REF!</v>
      </c>
      <c r="T58" s="404" t="e">
        <f t="shared" ca="1" si="28"/>
        <v>#REF!</v>
      </c>
      <c r="U58" s="404" t="e">
        <f t="shared" ca="1" si="28"/>
        <v>#REF!</v>
      </c>
      <c r="V58" s="404" t="e">
        <f t="shared" ca="1" si="28"/>
        <v>#REF!</v>
      </c>
      <c r="W58" s="404" t="e">
        <f t="shared" ca="1" si="28"/>
        <v>#REF!</v>
      </c>
      <c r="X58" s="404" t="e">
        <f t="shared" ca="1" si="28"/>
        <v>#REF!</v>
      </c>
      <c r="Y58" s="404" t="e">
        <f t="shared" ca="1" si="28"/>
        <v>#REF!</v>
      </c>
      <c r="Z58" s="404" t="e">
        <f t="shared" ca="1" si="28"/>
        <v>#REF!</v>
      </c>
      <c r="AA58" s="404" t="e">
        <f t="shared" ca="1" si="28"/>
        <v>#REF!</v>
      </c>
      <c r="AB58" s="404" t="e">
        <f t="shared" ca="1" si="28"/>
        <v>#REF!</v>
      </c>
      <c r="AC58" s="404" t="e">
        <f t="shared" ca="1" si="28"/>
        <v>#REF!</v>
      </c>
      <c r="AD58" s="404" t="e">
        <f t="shared" ca="1" si="28"/>
        <v>#REF!</v>
      </c>
      <c r="AE58" s="404" t="e">
        <f t="shared" ca="1" si="28"/>
        <v>#REF!</v>
      </c>
      <c r="AF58" s="404" t="e">
        <f t="shared" ca="1" si="28"/>
        <v>#REF!</v>
      </c>
      <c r="AG58" s="404" t="e">
        <f t="shared" ca="1" si="28"/>
        <v>#REF!</v>
      </c>
      <c r="AH58" s="404" t="e">
        <f t="shared" ca="1" si="28"/>
        <v>#REF!</v>
      </c>
      <c r="AI58" s="404" t="e">
        <f t="shared" ca="1" si="28"/>
        <v>#REF!</v>
      </c>
      <c r="AJ58" s="404" t="e">
        <f t="shared" ca="1" si="28"/>
        <v>#REF!</v>
      </c>
      <c r="AK58" s="404" t="e">
        <f t="shared" ref="AK58:BR58" ca="1" si="29">((AK42-AK45-AK54)&gt;0)*AK7</f>
        <v>#REF!</v>
      </c>
      <c r="AL58" s="404" t="e">
        <f t="shared" ca="1" si="29"/>
        <v>#REF!</v>
      </c>
      <c r="AM58" s="404" t="e">
        <f t="shared" ca="1" si="29"/>
        <v>#REF!</v>
      </c>
      <c r="AN58" s="404" t="e">
        <f t="shared" ca="1" si="29"/>
        <v>#REF!</v>
      </c>
      <c r="AO58" s="404" t="e">
        <f t="shared" ca="1" si="29"/>
        <v>#REF!</v>
      </c>
      <c r="AP58" s="404" t="e">
        <f t="shared" ca="1" si="29"/>
        <v>#REF!</v>
      </c>
      <c r="AQ58" s="404" t="e">
        <f t="shared" ca="1" si="29"/>
        <v>#REF!</v>
      </c>
      <c r="AR58" s="404" t="e">
        <f t="shared" ca="1" si="29"/>
        <v>#REF!</v>
      </c>
      <c r="AS58" s="404" t="e">
        <f t="shared" ca="1" si="29"/>
        <v>#REF!</v>
      </c>
      <c r="AT58" s="404" t="e">
        <f t="shared" ca="1" si="29"/>
        <v>#REF!</v>
      </c>
      <c r="AU58" s="404" t="e">
        <f t="shared" ca="1" si="29"/>
        <v>#REF!</v>
      </c>
      <c r="AV58" s="404" t="e">
        <f t="shared" ca="1" si="29"/>
        <v>#REF!</v>
      </c>
      <c r="AW58" s="404" t="e">
        <f t="shared" ca="1" si="29"/>
        <v>#REF!</v>
      </c>
      <c r="AX58" s="404" t="e">
        <f t="shared" ca="1" si="29"/>
        <v>#REF!</v>
      </c>
      <c r="AY58" s="404" t="e">
        <f t="shared" ca="1" si="29"/>
        <v>#REF!</v>
      </c>
      <c r="AZ58" s="404" t="e">
        <f t="shared" ca="1" si="29"/>
        <v>#REF!</v>
      </c>
      <c r="BA58" s="404" t="e">
        <f t="shared" ca="1" si="29"/>
        <v>#REF!</v>
      </c>
      <c r="BB58" s="404" t="e">
        <f t="shared" ca="1" si="29"/>
        <v>#REF!</v>
      </c>
      <c r="BC58" s="404" t="e">
        <f t="shared" ca="1" si="29"/>
        <v>#REF!</v>
      </c>
      <c r="BD58" s="404" t="e">
        <f t="shared" ca="1" si="29"/>
        <v>#REF!</v>
      </c>
      <c r="BE58" s="404" t="e">
        <f t="shared" ca="1" si="29"/>
        <v>#REF!</v>
      </c>
      <c r="BF58" s="404" t="e">
        <f t="shared" ca="1" si="29"/>
        <v>#REF!</v>
      </c>
      <c r="BG58" s="404" t="e">
        <f t="shared" ca="1" si="29"/>
        <v>#REF!</v>
      </c>
      <c r="BH58" s="404" t="e">
        <f t="shared" ca="1" si="29"/>
        <v>#REF!</v>
      </c>
      <c r="BI58" s="404" t="e">
        <f t="shared" ca="1" si="29"/>
        <v>#REF!</v>
      </c>
      <c r="BJ58" s="404" t="e">
        <f t="shared" ca="1" si="29"/>
        <v>#REF!</v>
      </c>
      <c r="BK58" s="404" t="e">
        <f t="shared" ca="1" si="29"/>
        <v>#REF!</v>
      </c>
      <c r="BL58" s="404" t="e">
        <f t="shared" ca="1" si="29"/>
        <v>#REF!</v>
      </c>
      <c r="BM58" s="404" t="e">
        <f t="shared" ca="1" si="29"/>
        <v>#REF!</v>
      </c>
      <c r="BN58" s="404" t="e">
        <f t="shared" ca="1" si="29"/>
        <v>#REF!</v>
      </c>
      <c r="BO58" s="404" t="e">
        <f t="shared" ca="1" si="29"/>
        <v>#REF!</v>
      </c>
      <c r="BP58" s="404" t="e">
        <f t="shared" ca="1" si="29"/>
        <v>#REF!</v>
      </c>
      <c r="BQ58" s="404" t="e">
        <f t="shared" ca="1" si="29"/>
        <v>#REF!</v>
      </c>
      <c r="BR58" s="404" t="e">
        <f t="shared" ca="1" si="29"/>
        <v>#REF!</v>
      </c>
    </row>
    <row r="59" spans="2:70" ht="15.75" x14ac:dyDescent="0.3">
      <c r="B59" s="405" t="e">
        <f ca="1">SUM(E59:BR59)</f>
        <v>#REF!</v>
      </c>
      <c r="C59" s="390" t="s">
        <v>3666</v>
      </c>
      <c r="D59" s="390" t="s">
        <v>3133</v>
      </c>
      <c r="E59" s="404" t="e">
        <f t="shared" ref="E59:AJ59" ca="1" si="30">((E43-E46-E55)&gt;0)*E8</f>
        <v>#REF!</v>
      </c>
      <c r="F59" s="404" t="e">
        <f t="shared" ca="1" si="30"/>
        <v>#REF!</v>
      </c>
      <c r="G59" s="404" t="e">
        <f t="shared" ca="1" si="30"/>
        <v>#REF!</v>
      </c>
      <c r="H59" s="404" t="e">
        <f t="shared" ca="1" si="30"/>
        <v>#REF!</v>
      </c>
      <c r="I59" s="404" t="e">
        <f t="shared" ca="1" si="30"/>
        <v>#REF!</v>
      </c>
      <c r="J59" s="404" t="e">
        <f t="shared" ca="1" si="30"/>
        <v>#REF!</v>
      </c>
      <c r="K59" s="404" t="e">
        <f t="shared" ca="1" si="30"/>
        <v>#REF!</v>
      </c>
      <c r="L59" s="404" t="e">
        <f t="shared" ca="1" si="30"/>
        <v>#REF!</v>
      </c>
      <c r="M59" s="404" t="e">
        <f t="shared" ca="1" si="30"/>
        <v>#REF!</v>
      </c>
      <c r="N59" s="404" t="e">
        <f t="shared" ca="1" si="30"/>
        <v>#REF!</v>
      </c>
      <c r="O59" s="404" t="e">
        <f t="shared" ca="1" si="30"/>
        <v>#REF!</v>
      </c>
      <c r="P59" s="404" t="e">
        <f t="shared" ca="1" si="30"/>
        <v>#REF!</v>
      </c>
      <c r="Q59" s="404" t="e">
        <f t="shared" ca="1" si="30"/>
        <v>#REF!</v>
      </c>
      <c r="R59" s="404" t="e">
        <f t="shared" ca="1" si="30"/>
        <v>#REF!</v>
      </c>
      <c r="S59" s="404" t="e">
        <f t="shared" ca="1" si="30"/>
        <v>#REF!</v>
      </c>
      <c r="T59" s="404" t="e">
        <f t="shared" ca="1" si="30"/>
        <v>#REF!</v>
      </c>
      <c r="U59" s="404" t="e">
        <f t="shared" ca="1" si="30"/>
        <v>#REF!</v>
      </c>
      <c r="V59" s="404" t="e">
        <f t="shared" ca="1" si="30"/>
        <v>#REF!</v>
      </c>
      <c r="W59" s="404" t="e">
        <f t="shared" ca="1" si="30"/>
        <v>#REF!</v>
      </c>
      <c r="X59" s="404" t="e">
        <f t="shared" ca="1" si="30"/>
        <v>#REF!</v>
      </c>
      <c r="Y59" s="404" t="e">
        <f t="shared" ca="1" si="30"/>
        <v>#REF!</v>
      </c>
      <c r="Z59" s="404" t="e">
        <f t="shared" ca="1" si="30"/>
        <v>#REF!</v>
      </c>
      <c r="AA59" s="404" t="e">
        <f t="shared" ca="1" si="30"/>
        <v>#REF!</v>
      </c>
      <c r="AB59" s="404" t="e">
        <f t="shared" ca="1" si="30"/>
        <v>#REF!</v>
      </c>
      <c r="AC59" s="404" t="e">
        <f t="shared" ca="1" si="30"/>
        <v>#REF!</v>
      </c>
      <c r="AD59" s="404" t="e">
        <f t="shared" ca="1" si="30"/>
        <v>#REF!</v>
      </c>
      <c r="AE59" s="404" t="e">
        <f t="shared" ca="1" si="30"/>
        <v>#REF!</v>
      </c>
      <c r="AF59" s="404" t="e">
        <f t="shared" ca="1" si="30"/>
        <v>#REF!</v>
      </c>
      <c r="AG59" s="404" t="e">
        <f t="shared" ca="1" si="30"/>
        <v>#REF!</v>
      </c>
      <c r="AH59" s="404" t="e">
        <f t="shared" ca="1" si="30"/>
        <v>#REF!</v>
      </c>
      <c r="AI59" s="404" t="e">
        <f t="shared" ca="1" si="30"/>
        <v>#REF!</v>
      </c>
      <c r="AJ59" s="404" t="e">
        <f t="shared" ca="1" si="30"/>
        <v>#REF!</v>
      </c>
      <c r="AK59" s="404" t="e">
        <f t="shared" ref="AK59:BR59" ca="1" si="31">((AK43-AK46-AK55)&gt;0)*AK8</f>
        <v>#REF!</v>
      </c>
      <c r="AL59" s="404" t="e">
        <f t="shared" ca="1" si="31"/>
        <v>#REF!</v>
      </c>
      <c r="AM59" s="404" t="e">
        <f t="shared" ca="1" si="31"/>
        <v>#REF!</v>
      </c>
      <c r="AN59" s="404" t="e">
        <f t="shared" ca="1" si="31"/>
        <v>#REF!</v>
      </c>
      <c r="AO59" s="404" t="e">
        <f t="shared" ca="1" si="31"/>
        <v>#REF!</v>
      </c>
      <c r="AP59" s="404" t="e">
        <f t="shared" ca="1" si="31"/>
        <v>#REF!</v>
      </c>
      <c r="AQ59" s="404" t="e">
        <f t="shared" ca="1" si="31"/>
        <v>#REF!</v>
      </c>
      <c r="AR59" s="404" t="e">
        <f t="shared" ca="1" si="31"/>
        <v>#REF!</v>
      </c>
      <c r="AS59" s="404" t="e">
        <f t="shared" ca="1" si="31"/>
        <v>#REF!</v>
      </c>
      <c r="AT59" s="404" t="e">
        <f t="shared" ca="1" si="31"/>
        <v>#REF!</v>
      </c>
      <c r="AU59" s="404" t="e">
        <f t="shared" ca="1" si="31"/>
        <v>#REF!</v>
      </c>
      <c r="AV59" s="404" t="e">
        <f t="shared" ca="1" si="31"/>
        <v>#REF!</v>
      </c>
      <c r="AW59" s="404" t="e">
        <f t="shared" ca="1" si="31"/>
        <v>#REF!</v>
      </c>
      <c r="AX59" s="404" t="e">
        <f t="shared" ca="1" si="31"/>
        <v>#REF!</v>
      </c>
      <c r="AY59" s="404" t="e">
        <f t="shared" ca="1" si="31"/>
        <v>#REF!</v>
      </c>
      <c r="AZ59" s="404" t="e">
        <f t="shared" ca="1" si="31"/>
        <v>#REF!</v>
      </c>
      <c r="BA59" s="404" t="e">
        <f t="shared" ca="1" si="31"/>
        <v>#REF!</v>
      </c>
      <c r="BB59" s="404" t="e">
        <f t="shared" ca="1" si="31"/>
        <v>#REF!</v>
      </c>
      <c r="BC59" s="404" t="e">
        <f t="shared" ca="1" si="31"/>
        <v>#REF!</v>
      </c>
      <c r="BD59" s="404" t="e">
        <f t="shared" ca="1" si="31"/>
        <v>#REF!</v>
      </c>
      <c r="BE59" s="404" t="e">
        <f t="shared" ca="1" si="31"/>
        <v>#REF!</v>
      </c>
      <c r="BF59" s="404" t="e">
        <f t="shared" ca="1" si="31"/>
        <v>#REF!</v>
      </c>
      <c r="BG59" s="404" t="e">
        <f t="shared" ca="1" si="31"/>
        <v>#REF!</v>
      </c>
      <c r="BH59" s="404" t="e">
        <f t="shared" ca="1" si="31"/>
        <v>#REF!</v>
      </c>
      <c r="BI59" s="404" t="e">
        <f t="shared" ca="1" si="31"/>
        <v>#REF!</v>
      </c>
      <c r="BJ59" s="404" t="e">
        <f t="shared" ca="1" si="31"/>
        <v>#REF!</v>
      </c>
      <c r="BK59" s="404" t="e">
        <f t="shared" ca="1" si="31"/>
        <v>#REF!</v>
      </c>
      <c r="BL59" s="404" t="e">
        <f t="shared" ca="1" si="31"/>
        <v>#REF!</v>
      </c>
      <c r="BM59" s="404" t="e">
        <f t="shared" ca="1" si="31"/>
        <v>#REF!</v>
      </c>
      <c r="BN59" s="404" t="e">
        <f t="shared" ca="1" si="31"/>
        <v>#REF!</v>
      </c>
      <c r="BO59" s="404" t="e">
        <f t="shared" ca="1" si="31"/>
        <v>#REF!</v>
      </c>
      <c r="BP59" s="404" t="e">
        <f t="shared" ca="1" si="31"/>
        <v>#REF!</v>
      </c>
      <c r="BQ59" s="404" t="e">
        <f t="shared" ca="1" si="31"/>
        <v>#REF!</v>
      </c>
      <c r="BR59" s="404" t="e">
        <f t="shared" ca="1" si="31"/>
        <v>#REF!</v>
      </c>
    </row>
    <row r="60" spans="2:70" ht="15.75" x14ac:dyDescent="0.3">
      <c r="B60" s="409" t="e">
        <f ca="1">B56/B58</f>
        <v>#VALUE!</v>
      </c>
      <c r="C60" s="390" t="s">
        <v>3650</v>
      </c>
      <c r="D60" s="390" t="s">
        <v>3364</v>
      </c>
    </row>
    <row r="61" spans="2:70" ht="15.75" x14ac:dyDescent="0.3">
      <c r="B61" s="409" t="e">
        <f ca="1">B57/B59</f>
        <v>#VALUE!</v>
      </c>
      <c r="C61" s="390" t="s">
        <v>3650</v>
      </c>
      <c r="D61" s="390" t="s">
        <v>3365</v>
      </c>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row>
    <row r="62" spans="2:70" ht="15.75" x14ac:dyDescent="0.3">
      <c r="B62" s="405" t="e">
        <f t="shared" ref="B62:B67" ca="1" si="32">SUM(E62:BR62)</f>
        <v>#REF!</v>
      </c>
      <c r="C62" s="390" t="s">
        <v>3665</v>
      </c>
      <c r="D62" s="390" t="s">
        <v>3134</v>
      </c>
      <c r="E62" s="404" t="e">
        <f t="shared" ref="E62:AJ62" ca="1" si="33">MIN(E58*$B60,(E42-E45-E54))</f>
        <v>#REF!</v>
      </c>
      <c r="F62" s="404" t="e">
        <f t="shared" ca="1" si="33"/>
        <v>#REF!</v>
      </c>
      <c r="G62" s="404" t="e">
        <f t="shared" ca="1" si="33"/>
        <v>#REF!</v>
      </c>
      <c r="H62" s="404" t="e">
        <f t="shared" ca="1" si="33"/>
        <v>#REF!</v>
      </c>
      <c r="I62" s="404" t="e">
        <f t="shared" ca="1" si="33"/>
        <v>#REF!</v>
      </c>
      <c r="J62" s="404" t="e">
        <f t="shared" ca="1" si="33"/>
        <v>#REF!</v>
      </c>
      <c r="K62" s="404" t="e">
        <f t="shared" ca="1" si="33"/>
        <v>#REF!</v>
      </c>
      <c r="L62" s="404" t="e">
        <f t="shared" ca="1" si="33"/>
        <v>#REF!</v>
      </c>
      <c r="M62" s="404" t="e">
        <f t="shared" ca="1" si="33"/>
        <v>#REF!</v>
      </c>
      <c r="N62" s="404" t="e">
        <f t="shared" ca="1" si="33"/>
        <v>#REF!</v>
      </c>
      <c r="O62" s="404" t="e">
        <f t="shared" ca="1" si="33"/>
        <v>#REF!</v>
      </c>
      <c r="P62" s="404" t="e">
        <f t="shared" ca="1" si="33"/>
        <v>#REF!</v>
      </c>
      <c r="Q62" s="404" t="e">
        <f t="shared" ca="1" si="33"/>
        <v>#REF!</v>
      </c>
      <c r="R62" s="404" t="e">
        <f t="shared" ca="1" si="33"/>
        <v>#REF!</v>
      </c>
      <c r="S62" s="404" t="e">
        <f t="shared" ca="1" si="33"/>
        <v>#REF!</v>
      </c>
      <c r="T62" s="404" t="e">
        <f t="shared" ca="1" si="33"/>
        <v>#REF!</v>
      </c>
      <c r="U62" s="404" t="e">
        <f t="shared" ca="1" si="33"/>
        <v>#REF!</v>
      </c>
      <c r="V62" s="404" t="e">
        <f t="shared" ca="1" si="33"/>
        <v>#REF!</v>
      </c>
      <c r="W62" s="404" t="e">
        <f t="shared" ca="1" si="33"/>
        <v>#REF!</v>
      </c>
      <c r="X62" s="404" t="e">
        <f t="shared" ca="1" si="33"/>
        <v>#REF!</v>
      </c>
      <c r="Y62" s="404" t="e">
        <f t="shared" ca="1" si="33"/>
        <v>#REF!</v>
      </c>
      <c r="Z62" s="404" t="e">
        <f t="shared" ca="1" si="33"/>
        <v>#REF!</v>
      </c>
      <c r="AA62" s="404" t="e">
        <f t="shared" ca="1" si="33"/>
        <v>#REF!</v>
      </c>
      <c r="AB62" s="404" t="e">
        <f t="shared" ca="1" si="33"/>
        <v>#REF!</v>
      </c>
      <c r="AC62" s="404" t="e">
        <f t="shared" ca="1" si="33"/>
        <v>#REF!</v>
      </c>
      <c r="AD62" s="404" t="e">
        <f t="shared" ca="1" si="33"/>
        <v>#REF!</v>
      </c>
      <c r="AE62" s="404" t="e">
        <f t="shared" ca="1" si="33"/>
        <v>#REF!</v>
      </c>
      <c r="AF62" s="404" t="e">
        <f t="shared" ca="1" si="33"/>
        <v>#REF!</v>
      </c>
      <c r="AG62" s="404" t="e">
        <f t="shared" ca="1" si="33"/>
        <v>#REF!</v>
      </c>
      <c r="AH62" s="404" t="e">
        <f t="shared" ca="1" si="33"/>
        <v>#REF!</v>
      </c>
      <c r="AI62" s="404" t="e">
        <f t="shared" ca="1" si="33"/>
        <v>#REF!</v>
      </c>
      <c r="AJ62" s="404" t="e">
        <f t="shared" ca="1" si="33"/>
        <v>#REF!</v>
      </c>
      <c r="AK62" s="404" t="e">
        <f t="shared" ref="AK62:BR62" ca="1" si="34">MIN(AK58*$B60,(AK42-AK45-AK54))</f>
        <v>#REF!</v>
      </c>
      <c r="AL62" s="404" t="e">
        <f t="shared" ca="1" si="34"/>
        <v>#REF!</v>
      </c>
      <c r="AM62" s="404" t="e">
        <f t="shared" ca="1" si="34"/>
        <v>#REF!</v>
      </c>
      <c r="AN62" s="404" t="e">
        <f t="shared" ca="1" si="34"/>
        <v>#REF!</v>
      </c>
      <c r="AO62" s="404" t="e">
        <f t="shared" ca="1" si="34"/>
        <v>#REF!</v>
      </c>
      <c r="AP62" s="404" t="e">
        <f t="shared" ca="1" si="34"/>
        <v>#REF!</v>
      </c>
      <c r="AQ62" s="404" t="e">
        <f t="shared" ca="1" si="34"/>
        <v>#REF!</v>
      </c>
      <c r="AR62" s="404" t="e">
        <f t="shared" ca="1" si="34"/>
        <v>#REF!</v>
      </c>
      <c r="AS62" s="404" t="e">
        <f t="shared" ca="1" si="34"/>
        <v>#REF!</v>
      </c>
      <c r="AT62" s="404" t="e">
        <f t="shared" ca="1" si="34"/>
        <v>#REF!</v>
      </c>
      <c r="AU62" s="404" t="e">
        <f t="shared" ca="1" si="34"/>
        <v>#REF!</v>
      </c>
      <c r="AV62" s="404" t="e">
        <f t="shared" ca="1" si="34"/>
        <v>#REF!</v>
      </c>
      <c r="AW62" s="404" t="e">
        <f t="shared" ca="1" si="34"/>
        <v>#REF!</v>
      </c>
      <c r="AX62" s="404" t="e">
        <f t="shared" ca="1" si="34"/>
        <v>#REF!</v>
      </c>
      <c r="AY62" s="404" t="e">
        <f t="shared" ca="1" si="34"/>
        <v>#REF!</v>
      </c>
      <c r="AZ62" s="404" t="e">
        <f t="shared" ca="1" si="34"/>
        <v>#REF!</v>
      </c>
      <c r="BA62" s="404" t="e">
        <f t="shared" ca="1" si="34"/>
        <v>#REF!</v>
      </c>
      <c r="BB62" s="404" t="e">
        <f t="shared" ca="1" si="34"/>
        <v>#REF!</v>
      </c>
      <c r="BC62" s="404" t="e">
        <f t="shared" ca="1" si="34"/>
        <v>#REF!</v>
      </c>
      <c r="BD62" s="404" t="e">
        <f t="shared" ca="1" si="34"/>
        <v>#REF!</v>
      </c>
      <c r="BE62" s="404" t="e">
        <f t="shared" ca="1" si="34"/>
        <v>#REF!</v>
      </c>
      <c r="BF62" s="404" t="e">
        <f t="shared" ca="1" si="34"/>
        <v>#REF!</v>
      </c>
      <c r="BG62" s="404" t="e">
        <f t="shared" ca="1" si="34"/>
        <v>#REF!</v>
      </c>
      <c r="BH62" s="404" t="e">
        <f t="shared" ca="1" si="34"/>
        <v>#REF!</v>
      </c>
      <c r="BI62" s="404" t="e">
        <f t="shared" ca="1" si="34"/>
        <v>#REF!</v>
      </c>
      <c r="BJ62" s="404" t="e">
        <f t="shared" ca="1" si="34"/>
        <v>#REF!</v>
      </c>
      <c r="BK62" s="404" t="e">
        <f t="shared" ca="1" si="34"/>
        <v>#REF!</v>
      </c>
      <c r="BL62" s="404" t="e">
        <f t="shared" ca="1" si="34"/>
        <v>#REF!</v>
      </c>
      <c r="BM62" s="404" t="e">
        <f t="shared" ca="1" si="34"/>
        <v>#REF!</v>
      </c>
      <c r="BN62" s="404" t="e">
        <f t="shared" ca="1" si="34"/>
        <v>#REF!</v>
      </c>
      <c r="BO62" s="404" t="e">
        <f t="shared" ca="1" si="34"/>
        <v>#REF!</v>
      </c>
      <c r="BP62" s="404" t="e">
        <f t="shared" ca="1" si="34"/>
        <v>#REF!</v>
      </c>
      <c r="BQ62" s="404" t="e">
        <f t="shared" ca="1" si="34"/>
        <v>#REF!</v>
      </c>
      <c r="BR62" s="404" t="e">
        <f t="shared" ca="1" si="34"/>
        <v>#REF!</v>
      </c>
    </row>
    <row r="63" spans="2:70" ht="15.75" x14ac:dyDescent="0.3">
      <c r="B63" s="405" t="e">
        <f t="shared" ca="1" si="32"/>
        <v>#REF!</v>
      </c>
      <c r="C63" s="390" t="s">
        <v>3665</v>
      </c>
      <c r="D63" s="390" t="s">
        <v>3135</v>
      </c>
      <c r="E63" s="404" t="e">
        <f t="shared" ref="E63:AJ63" ca="1" si="35">MIN(E59*$B61,(E43-E46-E55))</f>
        <v>#REF!</v>
      </c>
      <c r="F63" s="404" t="e">
        <f t="shared" ca="1" si="35"/>
        <v>#REF!</v>
      </c>
      <c r="G63" s="404" t="e">
        <f t="shared" ca="1" si="35"/>
        <v>#REF!</v>
      </c>
      <c r="H63" s="404" t="e">
        <f t="shared" ca="1" si="35"/>
        <v>#REF!</v>
      </c>
      <c r="I63" s="404" t="e">
        <f t="shared" ca="1" si="35"/>
        <v>#REF!</v>
      </c>
      <c r="J63" s="404" t="e">
        <f t="shared" ca="1" si="35"/>
        <v>#REF!</v>
      </c>
      <c r="K63" s="404" t="e">
        <f t="shared" ca="1" si="35"/>
        <v>#REF!</v>
      </c>
      <c r="L63" s="404" t="e">
        <f t="shared" ca="1" si="35"/>
        <v>#REF!</v>
      </c>
      <c r="M63" s="404" t="e">
        <f t="shared" ca="1" si="35"/>
        <v>#REF!</v>
      </c>
      <c r="N63" s="404" t="e">
        <f t="shared" ca="1" si="35"/>
        <v>#REF!</v>
      </c>
      <c r="O63" s="404" t="e">
        <f t="shared" ca="1" si="35"/>
        <v>#REF!</v>
      </c>
      <c r="P63" s="404" t="e">
        <f t="shared" ca="1" si="35"/>
        <v>#REF!</v>
      </c>
      <c r="Q63" s="404" t="e">
        <f t="shared" ca="1" si="35"/>
        <v>#REF!</v>
      </c>
      <c r="R63" s="404" t="e">
        <f t="shared" ca="1" si="35"/>
        <v>#REF!</v>
      </c>
      <c r="S63" s="404" t="e">
        <f t="shared" ca="1" si="35"/>
        <v>#REF!</v>
      </c>
      <c r="T63" s="404" t="e">
        <f t="shared" ca="1" si="35"/>
        <v>#REF!</v>
      </c>
      <c r="U63" s="404" t="e">
        <f t="shared" ca="1" si="35"/>
        <v>#REF!</v>
      </c>
      <c r="V63" s="404" t="e">
        <f t="shared" ca="1" si="35"/>
        <v>#REF!</v>
      </c>
      <c r="W63" s="404" t="e">
        <f t="shared" ca="1" si="35"/>
        <v>#REF!</v>
      </c>
      <c r="X63" s="404" t="e">
        <f t="shared" ca="1" si="35"/>
        <v>#REF!</v>
      </c>
      <c r="Y63" s="404" t="e">
        <f t="shared" ca="1" si="35"/>
        <v>#REF!</v>
      </c>
      <c r="Z63" s="404" t="e">
        <f t="shared" ca="1" si="35"/>
        <v>#REF!</v>
      </c>
      <c r="AA63" s="404" t="e">
        <f t="shared" ca="1" si="35"/>
        <v>#REF!</v>
      </c>
      <c r="AB63" s="404" t="e">
        <f t="shared" ca="1" si="35"/>
        <v>#REF!</v>
      </c>
      <c r="AC63" s="404" t="e">
        <f t="shared" ca="1" si="35"/>
        <v>#REF!</v>
      </c>
      <c r="AD63" s="404" t="e">
        <f t="shared" ca="1" si="35"/>
        <v>#REF!</v>
      </c>
      <c r="AE63" s="404" t="e">
        <f t="shared" ca="1" si="35"/>
        <v>#REF!</v>
      </c>
      <c r="AF63" s="404" t="e">
        <f t="shared" ca="1" si="35"/>
        <v>#REF!</v>
      </c>
      <c r="AG63" s="404" t="e">
        <f t="shared" ca="1" si="35"/>
        <v>#REF!</v>
      </c>
      <c r="AH63" s="404" t="e">
        <f t="shared" ca="1" si="35"/>
        <v>#REF!</v>
      </c>
      <c r="AI63" s="404" t="e">
        <f t="shared" ca="1" si="35"/>
        <v>#REF!</v>
      </c>
      <c r="AJ63" s="404" t="e">
        <f t="shared" ca="1" si="35"/>
        <v>#REF!</v>
      </c>
      <c r="AK63" s="404" t="e">
        <f t="shared" ref="AK63:BR63" ca="1" si="36">MIN(AK59*$B61,(AK43-AK46-AK55))</f>
        <v>#REF!</v>
      </c>
      <c r="AL63" s="404" t="e">
        <f t="shared" ca="1" si="36"/>
        <v>#REF!</v>
      </c>
      <c r="AM63" s="404" t="e">
        <f t="shared" ca="1" si="36"/>
        <v>#REF!</v>
      </c>
      <c r="AN63" s="404" t="e">
        <f t="shared" ca="1" si="36"/>
        <v>#REF!</v>
      </c>
      <c r="AO63" s="404" t="e">
        <f t="shared" ca="1" si="36"/>
        <v>#REF!</v>
      </c>
      <c r="AP63" s="404" t="e">
        <f t="shared" ca="1" si="36"/>
        <v>#REF!</v>
      </c>
      <c r="AQ63" s="404" t="e">
        <f t="shared" ca="1" si="36"/>
        <v>#REF!</v>
      </c>
      <c r="AR63" s="404" t="e">
        <f t="shared" ca="1" si="36"/>
        <v>#REF!</v>
      </c>
      <c r="AS63" s="404" t="e">
        <f t="shared" ca="1" si="36"/>
        <v>#REF!</v>
      </c>
      <c r="AT63" s="404" t="e">
        <f t="shared" ca="1" si="36"/>
        <v>#REF!</v>
      </c>
      <c r="AU63" s="404" t="e">
        <f t="shared" ca="1" si="36"/>
        <v>#REF!</v>
      </c>
      <c r="AV63" s="404" t="e">
        <f t="shared" ca="1" si="36"/>
        <v>#REF!</v>
      </c>
      <c r="AW63" s="404" t="e">
        <f t="shared" ca="1" si="36"/>
        <v>#REF!</v>
      </c>
      <c r="AX63" s="404" t="e">
        <f t="shared" ca="1" si="36"/>
        <v>#REF!</v>
      </c>
      <c r="AY63" s="404" t="e">
        <f t="shared" ca="1" si="36"/>
        <v>#REF!</v>
      </c>
      <c r="AZ63" s="404" t="e">
        <f t="shared" ca="1" si="36"/>
        <v>#REF!</v>
      </c>
      <c r="BA63" s="404" t="e">
        <f t="shared" ca="1" si="36"/>
        <v>#REF!</v>
      </c>
      <c r="BB63" s="404" t="e">
        <f t="shared" ca="1" si="36"/>
        <v>#REF!</v>
      </c>
      <c r="BC63" s="404" t="e">
        <f t="shared" ca="1" si="36"/>
        <v>#REF!</v>
      </c>
      <c r="BD63" s="404" t="e">
        <f t="shared" ca="1" si="36"/>
        <v>#REF!</v>
      </c>
      <c r="BE63" s="404" t="e">
        <f t="shared" ca="1" si="36"/>
        <v>#REF!</v>
      </c>
      <c r="BF63" s="404" t="e">
        <f t="shared" ca="1" si="36"/>
        <v>#REF!</v>
      </c>
      <c r="BG63" s="404" t="e">
        <f t="shared" ca="1" si="36"/>
        <v>#REF!</v>
      </c>
      <c r="BH63" s="404" t="e">
        <f t="shared" ca="1" si="36"/>
        <v>#REF!</v>
      </c>
      <c r="BI63" s="404" t="e">
        <f t="shared" ca="1" si="36"/>
        <v>#REF!</v>
      </c>
      <c r="BJ63" s="404" t="e">
        <f t="shared" ca="1" si="36"/>
        <v>#REF!</v>
      </c>
      <c r="BK63" s="404" t="e">
        <f t="shared" ca="1" si="36"/>
        <v>#REF!</v>
      </c>
      <c r="BL63" s="404" t="e">
        <f t="shared" ca="1" si="36"/>
        <v>#REF!</v>
      </c>
      <c r="BM63" s="404" t="e">
        <f t="shared" ca="1" si="36"/>
        <v>#REF!</v>
      </c>
      <c r="BN63" s="404" t="e">
        <f t="shared" ca="1" si="36"/>
        <v>#REF!</v>
      </c>
      <c r="BO63" s="404" t="e">
        <f t="shared" ca="1" si="36"/>
        <v>#REF!</v>
      </c>
      <c r="BP63" s="404" t="e">
        <f t="shared" ca="1" si="36"/>
        <v>#REF!</v>
      </c>
      <c r="BQ63" s="404" t="e">
        <f t="shared" ca="1" si="36"/>
        <v>#REF!</v>
      </c>
      <c r="BR63" s="404" t="e">
        <f t="shared" ca="1" si="36"/>
        <v>#REF!</v>
      </c>
    </row>
    <row r="64" spans="2:70" ht="15.75" x14ac:dyDescent="0.3">
      <c r="B64" s="405" t="e">
        <f t="shared" ca="1" si="32"/>
        <v>#VALUE!</v>
      </c>
      <c r="C64" s="390" t="s">
        <v>3665</v>
      </c>
      <c r="D64" s="390" t="s">
        <v>3136</v>
      </c>
      <c r="E64" s="404" t="e">
        <f t="shared" ref="E64:AJ64" ca="1" si="37">$B60*E58-E62</f>
        <v>#VALUE!</v>
      </c>
      <c r="F64" s="404" t="e">
        <f t="shared" ca="1" si="37"/>
        <v>#VALUE!</v>
      </c>
      <c r="G64" s="404" t="e">
        <f t="shared" ca="1" si="37"/>
        <v>#VALUE!</v>
      </c>
      <c r="H64" s="404" t="e">
        <f t="shared" ca="1" si="37"/>
        <v>#VALUE!</v>
      </c>
      <c r="I64" s="404" t="e">
        <f t="shared" ca="1" si="37"/>
        <v>#VALUE!</v>
      </c>
      <c r="J64" s="404" t="e">
        <f t="shared" ca="1" si="37"/>
        <v>#VALUE!</v>
      </c>
      <c r="K64" s="404" t="e">
        <f t="shared" ca="1" si="37"/>
        <v>#VALUE!</v>
      </c>
      <c r="L64" s="404" t="e">
        <f t="shared" ca="1" si="37"/>
        <v>#VALUE!</v>
      </c>
      <c r="M64" s="404" t="e">
        <f t="shared" ca="1" si="37"/>
        <v>#VALUE!</v>
      </c>
      <c r="N64" s="404" t="e">
        <f t="shared" ca="1" si="37"/>
        <v>#VALUE!</v>
      </c>
      <c r="O64" s="404" t="e">
        <f t="shared" ca="1" si="37"/>
        <v>#VALUE!</v>
      </c>
      <c r="P64" s="404" t="e">
        <f t="shared" ca="1" si="37"/>
        <v>#VALUE!</v>
      </c>
      <c r="Q64" s="404" t="e">
        <f t="shared" ca="1" si="37"/>
        <v>#VALUE!</v>
      </c>
      <c r="R64" s="404" t="e">
        <f t="shared" ca="1" si="37"/>
        <v>#VALUE!</v>
      </c>
      <c r="S64" s="404" t="e">
        <f t="shared" ca="1" si="37"/>
        <v>#VALUE!</v>
      </c>
      <c r="T64" s="404" t="e">
        <f t="shared" ca="1" si="37"/>
        <v>#VALUE!</v>
      </c>
      <c r="U64" s="404" t="e">
        <f t="shared" ca="1" si="37"/>
        <v>#VALUE!</v>
      </c>
      <c r="V64" s="404" t="e">
        <f t="shared" ca="1" si="37"/>
        <v>#VALUE!</v>
      </c>
      <c r="W64" s="404" t="e">
        <f t="shared" ca="1" si="37"/>
        <v>#VALUE!</v>
      </c>
      <c r="X64" s="404" t="e">
        <f t="shared" ca="1" si="37"/>
        <v>#VALUE!</v>
      </c>
      <c r="Y64" s="404" t="e">
        <f t="shared" ca="1" si="37"/>
        <v>#VALUE!</v>
      </c>
      <c r="Z64" s="404" t="e">
        <f t="shared" ca="1" si="37"/>
        <v>#VALUE!</v>
      </c>
      <c r="AA64" s="404" t="e">
        <f t="shared" ca="1" si="37"/>
        <v>#VALUE!</v>
      </c>
      <c r="AB64" s="404" t="e">
        <f t="shared" ca="1" si="37"/>
        <v>#VALUE!</v>
      </c>
      <c r="AC64" s="404" t="e">
        <f t="shared" ca="1" si="37"/>
        <v>#VALUE!</v>
      </c>
      <c r="AD64" s="404" t="e">
        <f t="shared" ca="1" si="37"/>
        <v>#VALUE!</v>
      </c>
      <c r="AE64" s="404" t="e">
        <f t="shared" ca="1" si="37"/>
        <v>#VALUE!</v>
      </c>
      <c r="AF64" s="404" t="e">
        <f t="shared" ca="1" si="37"/>
        <v>#VALUE!</v>
      </c>
      <c r="AG64" s="404" t="e">
        <f t="shared" ca="1" si="37"/>
        <v>#VALUE!</v>
      </c>
      <c r="AH64" s="404" t="e">
        <f t="shared" ca="1" si="37"/>
        <v>#VALUE!</v>
      </c>
      <c r="AI64" s="404" t="e">
        <f t="shared" ca="1" si="37"/>
        <v>#VALUE!</v>
      </c>
      <c r="AJ64" s="404" t="e">
        <f t="shared" ca="1" si="37"/>
        <v>#VALUE!</v>
      </c>
      <c r="AK64" s="404" t="e">
        <f t="shared" ref="AK64:BR64" ca="1" si="38">$B60*AK58-AK62</f>
        <v>#VALUE!</v>
      </c>
      <c r="AL64" s="404" t="e">
        <f t="shared" ca="1" si="38"/>
        <v>#VALUE!</v>
      </c>
      <c r="AM64" s="404" t="e">
        <f t="shared" ca="1" si="38"/>
        <v>#VALUE!</v>
      </c>
      <c r="AN64" s="404" t="e">
        <f t="shared" ca="1" si="38"/>
        <v>#VALUE!</v>
      </c>
      <c r="AO64" s="404" t="e">
        <f t="shared" ca="1" si="38"/>
        <v>#VALUE!</v>
      </c>
      <c r="AP64" s="404" t="e">
        <f t="shared" ca="1" si="38"/>
        <v>#VALUE!</v>
      </c>
      <c r="AQ64" s="404" t="e">
        <f t="shared" ca="1" si="38"/>
        <v>#VALUE!</v>
      </c>
      <c r="AR64" s="404" t="e">
        <f t="shared" ca="1" si="38"/>
        <v>#VALUE!</v>
      </c>
      <c r="AS64" s="404" t="e">
        <f t="shared" ca="1" si="38"/>
        <v>#VALUE!</v>
      </c>
      <c r="AT64" s="404" t="e">
        <f t="shared" ca="1" si="38"/>
        <v>#VALUE!</v>
      </c>
      <c r="AU64" s="404" t="e">
        <f t="shared" ca="1" si="38"/>
        <v>#VALUE!</v>
      </c>
      <c r="AV64" s="404" t="e">
        <f t="shared" ca="1" si="38"/>
        <v>#VALUE!</v>
      </c>
      <c r="AW64" s="404" t="e">
        <f t="shared" ca="1" si="38"/>
        <v>#VALUE!</v>
      </c>
      <c r="AX64" s="404" t="e">
        <f t="shared" ca="1" si="38"/>
        <v>#VALUE!</v>
      </c>
      <c r="AY64" s="404" t="e">
        <f t="shared" ca="1" si="38"/>
        <v>#VALUE!</v>
      </c>
      <c r="AZ64" s="404" t="e">
        <f t="shared" ca="1" si="38"/>
        <v>#VALUE!</v>
      </c>
      <c r="BA64" s="404" t="e">
        <f t="shared" ca="1" si="38"/>
        <v>#VALUE!</v>
      </c>
      <c r="BB64" s="404" t="e">
        <f t="shared" ca="1" si="38"/>
        <v>#VALUE!</v>
      </c>
      <c r="BC64" s="404" t="e">
        <f t="shared" ca="1" si="38"/>
        <v>#VALUE!</v>
      </c>
      <c r="BD64" s="404" t="e">
        <f t="shared" ca="1" si="38"/>
        <v>#VALUE!</v>
      </c>
      <c r="BE64" s="404" t="e">
        <f t="shared" ca="1" si="38"/>
        <v>#VALUE!</v>
      </c>
      <c r="BF64" s="404" t="e">
        <f t="shared" ca="1" si="38"/>
        <v>#VALUE!</v>
      </c>
      <c r="BG64" s="404" t="e">
        <f t="shared" ca="1" si="38"/>
        <v>#VALUE!</v>
      </c>
      <c r="BH64" s="404" t="e">
        <f t="shared" ca="1" si="38"/>
        <v>#VALUE!</v>
      </c>
      <c r="BI64" s="404" t="e">
        <f t="shared" ca="1" si="38"/>
        <v>#VALUE!</v>
      </c>
      <c r="BJ64" s="404" t="e">
        <f t="shared" ca="1" si="38"/>
        <v>#VALUE!</v>
      </c>
      <c r="BK64" s="404" t="e">
        <f t="shared" ca="1" si="38"/>
        <v>#VALUE!</v>
      </c>
      <c r="BL64" s="404" t="e">
        <f t="shared" ca="1" si="38"/>
        <v>#VALUE!</v>
      </c>
      <c r="BM64" s="404" t="e">
        <f t="shared" ca="1" si="38"/>
        <v>#VALUE!</v>
      </c>
      <c r="BN64" s="404" t="e">
        <f t="shared" ca="1" si="38"/>
        <v>#VALUE!</v>
      </c>
      <c r="BO64" s="404" t="e">
        <f t="shared" ca="1" si="38"/>
        <v>#VALUE!</v>
      </c>
      <c r="BP64" s="404" t="e">
        <f t="shared" ca="1" si="38"/>
        <v>#VALUE!</v>
      </c>
      <c r="BQ64" s="404" t="e">
        <f t="shared" ca="1" si="38"/>
        <v>#VALUE!</v>
      </c>
      <c r="BR64" s="404" t="e">
        <f t="shared" ca="1" si="38"/>
        <v>#VALUE!</v>
      </c>
    </row>
    <row r="65" spans="1:70" ht="15.75" x14ac:dyDescent="0.3">
      <c r="B65" s="405" t="e">
        <f t="shared" ca="1" si="32"/>
        <v>#VALUE!</v>
      </c>
      <c r="C65" s="390" t="s">
        <v>3665</v>
      </c>
      <c r="D65" s="390" t="s">
        <v>3137</v>
      </c>
      <c r="E65" s="404" t="e">
        <f t="shared" ref="E65:AJ65" ca="1" si="39">$B61*E59-E63</f>
        <v>#VALUE!</v>
      </c>
      <c r="F65" s="404" t="e">
        <f t="shared" ca="1" si="39"/>
        <v>#VALUE!</v>
      </c>
      <c r="G65" s="404" t="e">
        <f t="shared" ca="1" si="39"/>
        <v>#VALUE!</v>
      </c>
      <c r="H65" s="404" t="e">
        <f t="shared" ca="1" si="39"/>
        <v>#VALUE!</v>
      </c>
      <c r="I65" s="404" t="e">
        <f t="shared" ca="1" si="39"/>
        <v>#VALUE!</v>
      </c>
      <c r="J65" s="404" t="e">
        <f t="shared" ca="1" si="39"/>
        <v>#VALUE!</v>
      </c>
      <c r="K65" s="404" t="e">
        <f t="shared" ca="1" si="39"/>
        <v>#VALUE!</v>
      </c>
      <c r="L65" s="404" t="e">
        <f t="shared" ca="1" si="39"/>
        <v>#VALUE!</v>
      </c>
      <c r="M65" s="404" t="e">
        <f t="shared" ca="1" si="39"/>
        <v>#VALUE!</v>
      </c>
      <c r="N65" s="404" t="e">
        <f t="shared" ca="1" si="39"/>
        <v>#VALUE!</v>
      </c>
      <c r="O65" s="404" t="e">
        <f t="shared" ca="1" si="39"/>
        <v>#VALUE!</v>
      </c>
      <c r="P65" s="404" t="e">
        <f t="shared" ca="1" si="39"/>
        <v>#VALUE!</v>
      </c>
      <c r="Q65" s="404" t="e">
        <f t="shared" ca="1" si="39"/>
        <v>#VALUE!</v>
      </c>
      <c r="R65" s="404" t="e">
        <f t="shared" ca="1" si="39"/>
        <v>#VALUE!</v>
      </c>
      <c r="S65" s="404" t="e">
        <f t="shared" ca="1" si="39"/>
        <v>#VALUE!</v>
      </c>
      <c r="T65" s="404" t="e">
        <f t="shared" ca="1" si="39"/>
        <v>#VALUE!</v>
      </c>
      <c r="U65" s="404" t="e">
        <f t="shared" ca="1" si="39"/>
        <v>#VALUE!</v>
      </c>
      <c r="V65" s="404" t="e">
        <f t="shared" ca="1" si="39"/>
        <v>#VALUE!</v>
      </c>
      <c r="W65" s="404" t="e">
        <f t="shared" ca="1" si="39"/>
        <v>#VALUE!</v>
      </c>
      <c r="X65" s="404" t="e">
        <f t="shared" ca="1" si="39"/>
        <v>#VALUE!</v>
      </c>
      <c r="Y65" s="404" t="e">
        <f t="shared" ca="1" si="39"/>
        <v>#VALUE!</v>
      </c>
      <c r="Z65" s="404" t="e">
        <f t="shared" ca="1" si="39"/>
        <v>#VALUE!</v>
      </c>
      <c r="AA65" s="404" t="e">
        <f t="shared" ca="1" si="39"/>
        <v>#VALUE!</v>
      </c>
      <c r="AB65" s="404" t="e">
        <f t="shared" ca="1" si="39"/>
        <v>#VALUE!</v>
      </c>
      <c r="AC65" s="404" t="e">
        <f t="shared" ca="1" si="39"/>
        <v>#VALUE!</v>
      </c>
      <c r="AD65" s="404" t="e">
        <f t="shared" ca="1" si="39"/>
        <v>#VALUE!</v>
      </c>
      <c r="AE65" s="404" t="e">
        <f t="shared" ca="1" si="39"/>
        <v>#VALUE!</v>
      </c>
      <c r="AF65" s="404" t="e">
        <f t="shared" ca="1" si="39"/>
        <v>#VALUE!</v>
      </c>
      <c r="AG65" s="404" t="e">
        <f t="shared" ca="1" si="39"/>
        <v>#VALUE!</v>
      </c>
      <c r="AH65" s="404" t="e">
        <f t="shared" ca="1" si="39"/>
        <v>#VALUE!</v>
      </c>
      <c r="AI65" s="404" t="e">
        <f t="shared" ca="1" si="39"/>
        <v>#VALUE!</v>
      </c>
      <c r="AJ65" s="404" t="e">
        <f t="shared" ca="1" si="39"/>
        <v>#VALUE!</v>
      </c>
      <c r="AK65" s="404" t="e">
        <f t="shared" ref="AK65:BR65" ca="1" si="40">$B61*AK59-AK63</f>
        <v>#VALUE!</v>
      </c>
      <c r="AL65" s="404" t="e">
        <f t="shared" ca="1" si="40"/>
        <v>#VALUE!</v>
      </c>
      <c r="AM65" s="404" t="e">
        <f t="shared" ca="1" si="40"/>
        <v>#VALUE!</v>
      </c>
      <c r="AN65" s="404" t="e">
        <f t="shared" ca="1" si="40"/>
        <v>#VALUE!</v>
      </c>
      <c r="AO65" s="404" t="e">
        <f t="shared" ca="1" si="40"/>
        <v>#VALUE!</v>
      </c>
      <c r="AP65" s="404" t="e">
        <f t="shared" ca="1" si="40"/>
        <v>#VALUE!</v>
      </c>
      <c r="AQ65" s="404" t="e">
        <f t="shared" ca="1" si="40"/>
        <v>#VALUE!</v>
      </c>
      <c r="AR65" s="404" t="e">
        <f t="shared" ca="1" si="40"/>
        <v>#VALUE!</v>
      </c>
      <c r="AS65" s="404" t="e">
        <f t="shared" ca="1" si="40"/>
        <v>#VALUE!</v>
      </c>
      <c r="AT65" s="404" t="e">
        <f t="shared" ca="1" si="40"/>
        <v>#VALUE!</v>
      </c>
      <c r="AU65" s="404" t="e">
        <f t="shared" ca="1" si="40"/>
        <v>#VALUE!</v>
      </c>
      <c r="AV65" s="404" t="e">
        <f t="shared" ca="1" si="40"/>
        <v>#VALUE!</v>
      </c>
      <c r="AW65" s="404" t="e">
        <f t="shared" ca="1" si="40"/>
        <v>#VALUE!</v>
      </c>
      <c r="AX65" s="404" t="e">
        <f t="shared" ca="1" si="40"/>
        <v>#VALUE!</v>
      </c>
      <c r="AY65" s="404" t="e">
        <f t="shared" ca="1" si="40"/>
        <v>#VALUE!</v>
      </c>
      <c r="AZ65" s="404" t="e">
        <f t="shared" ca="1" si="40"/>
        <v>#VALUE!</v>
      </c>
      <c r="BA65" s="404" t="e">
        <f t="shared" ca="1" si="40"/>
        <v>#VALUE!</v>
      </c>
      <c r="BB65" s="404" t="e">
        <f t="shared" ca="1" si="40"/>
        <v>#VALUE!</v>
      </c>
      <c r="BC65" s="404" t="e">
        <f t="shared" ca="1" si="40"/>
        <v>#VALUE!</v>
      </c>
      <c r="BD65" s="404" t="e">
        <f t="shared" ca="1" si="40"/>
        <v>#VALUE!</v>
      </c>
      <c r="BE65" s="404" t="e">
        <f t="shared" ca="1" si="40"/>
        <v>#VALUE!</v>
      </c>
      <c r="BF65" s="404" t="e">
        <f t="shared" ca="1" si="40"/>
        <v>#VALUE!</v>
      </c>
      <c r="BG65" s="404" t="e">
        <f t="shared" ca="1" si="40"/>
        <v>#VALUE!</v>
      </c>
      <c r="BH65" s="404" t="e">
        <f t="shared" ca="1" si="40"/>
        <v>#VALUE!</v>
      </c>
      <c r="BI65" s="404" t="e">
        <f t="shared" ca="1" si="40"/>
        <v>#VALUE!</v>
      </c>
      <c r="BJ65" s="404" t="e">
        <f t="shared" ca="1" si="40"/>
        <v>#VALUE!</v>
      </c>
      <c r="BK65" s="404" t="e">
        <f t="shared" ca="1" si="40"/>
        <v>#VALUE!</v>
      </c>
      <c r="BL65" s="404" t="e">
        <f t="shared" ca="1" si="40"/>
        <v>#VALUE!</v>
      </c>
      <c r="BM65" s="404" t="e">
        <f t="shared" ca="1" si="40"/>
        <v>#VALUE!</v>
      </c>
      <c r="BN65" s="404" t="e">
        <f t="shared" ca="1" si="40"/>
        <v>#VALUE!</v>
      </c>
      <c r="BO65" s="404" t="e">
        <f t="shared" ca="1" si="40"/>
        <v>#VALUE!</v>
      </c>
      <c r="BP65" s="404" t="e">
        <f t="shared" ca="1" si="40"/>
        <v>#VALUE!</v>
      </c>
      <c r="BQ65" s="404" t="e">
        <f t="shared" ca="1" si="40"/>
        <v>#VALUE!</v>
      </c>
      <c r="BR65" s="404" t="e">
        <f t="shared" ca="1" si="40"/>
        <v>#VALUE!</v>
      </c>
    </row>
    <row r="66" spans="1:70" ht="15.75" x14ac:dyDescent="0.3">
      <c r="B66" s="405" t="e">
        <f t="shared" ca="1" si="32"/>
        <v>#VALUE!</v>
      </c>
      <c r="C66" s="390" t="s">
        <v>3665</v>
      </c>
      <c r="D66" s="390" t="s">
        <v>3138</v>
      </c>
      <c r="E66" s="404" t="e">
        <f t="shared" ref="E66:N67" ca="1" si="41">MIN(AVERAGE(F64:O64),E42-E45-E54-E62)</f>
        <v>#VALUE!</v>
      </c>
      <c r="F66" s="404" t="e">
        <f t="shared" ca="1" si="41"/>
        <v>#VALUE!</v>
      </c>
      <c r="G66" s="404" t="e">
        <f t="shared" ca="1" si="41"/>
        <v>#VALUE!</v>
      </c>
      <c r="H66" s="404" t="e">
        <f t="shared" ca="1" si="41"/>
        <v>#VALUE!</v>
      </c>
      <c r="I66" s="404" t="e">
        <f t="shared" ca="1" si="41"/>
        <v>#VALUE!</v>
      </c>
      <c r="J66" s="404" t="e">
        <f t="shared" ca="1" si="41"/>
        <v>#VALUE!</v>
      </c>
      <c r="K66" s="404" t="e">
        <f t="shared" ca="1" si="41"/>
        <v>#VALUE!</v>
      </c>
      <c r="L66" s="404" t="e">
        <f t="shared" ca="1" si="41"/>
        <v>#VALUE!</v>
      </c>
      <c r="M66" s="404" t="e">
        <f t="shared" ca="1" si="41"/>
        <v>#VALUE!</v>
      </c>
      <c r="N66" s="404" t="e">
        <f t="shared" ca="1" si="41"/>
        <v>#VALUE!</v>
      </c>
      <c r="O66" s="404" t="e">
        <f t="shared" ref="O66:X67" ca="1" si="42">MIN(AVERAGE(P64:Y64),O42-O45-O54-O62)</f>
        <v>#VALUE!</v>
      </c>
      <c r="P66" s="404" t="e">
        <f t="shared" ca="1" si="42"/>
        <v>#VALUE!</v>
      </c>
      <c r="Q66" s="404" t="e">
        <f t="shared" ca="1" si="42"/>
        <v>#VALUE!</v>
      </c>
      <c r="R66" s="404" t="e">
        <f t="shared" ca="1" si="42"/>
        <v>#VALUE!</v>
      </c>
      <c r="S66" s="404" t="e">
        <f t="shared" ca="1" si="42"/>
        <v>#VALUE!</v>
      </c>
      <c r="T66" s="404" t="e">
        <f t="shared" ca="1" si="42"/>
        <v>#VALUE!</v>
      </c>
      <c r="U66" s="404" t="e">
        <f t="shared" ca="1" si="42"/>
        <v>#VALUE!</v>
      </c>
      <c r="V66" s="404" t="e">
        <f t="shared" ca="1" si="42"/>
        <v>#VALUE!</v>
      </c>
      <c r="W66" s="404" t="e">
        <f t="shared" ca="1" si="42"/>
        <v>#VALUE!</v>
      </c>
      <c r="X66" s="404" t="e">
        <f t="shared" ca="1" si="42"/>
        <v>#VALUE!</v>
      </c>
      <c r="Y66" s="404" t="e">
        <f t="shared" ref="Y66:AH67" ca="1" si="43">MIN(AVERAGE(Z64:AI64),Y42-Y45-Y54-Y62)</f>
        <v>#VALUE!</v>
      </c>
      <c r="Z66" s="404" t="e">
        <f t="shared" ca="1" si="43"/>
        <v>#VALUE!</v>
      </c>
      <c r="AA66" s="404" t="e">
        <f t="shared" ca="1" si="43"/>
        <v>#VALUE!</v>
      </c>
      <c r="AB66" s="404" t="e">
        <f t="shared" ca="1" si="43"/>
        <v>#VALUE!</v>
      </c>
      <c r="AC66" s="404" t="e">
        <f t="shared" ca="1" si="43"/>
        <v>#VALUE!</v>
      </c>
      <c r="AD66" s="404" t="e">
        <f t="shared" ca="1" si="43"/>
        <v>#VALUE!</v>
      </c>
      <c r="AE66" s="404" t="e">
        <f t="shared" ca="1" si="43"/>
        <v>#VALUE!</v>
      </c>
      <c r="AF66" s="404" t="e">
        <f t="shared" ca="1" si="43"/>
        <v>#VALUE!</v>
      </c>
      <c r="AG66" s="404" t="e">
        <f t="shared" ca="1" si="43"/>
        <v>#VALUE!</v>
      </c>
      <c r="AH66" s="404" t="e">
        <f t="shared" ca="1" si="43"/>
        <v>#VALUE!</v>
      </c>
      <c r="AI66" s="404" t="e">
        <f t="shared" ref="AI66:AR67" ca="1" si="44">MIN(AVERAGE(AJ64:AS64),AI42-AI45-AI54-AI62)</f>
        <v>#VALUE!</v>
      </c>
      <c r="AJ66" s="404" t="e">
        <f t="shared" ca="1" si="44"/>
        <v>#VALUE!</v>
      </c>
      <c r="AK66" s="404" t="e">
        <f t="shared" ca="1" si="44"/>
        <v>#VALUE!</v>
      </c>
      <c r="AL66" s="404" t="e">
        <f t="shared" ca="1" si="44"/>
        <v>#VALUE!</v>
      </c>
      <c r="AM66" s="404" t="e">
        <f t="shared" ca="1" si="44"/>
        <v>#VALUE!</v>
      </c>
      <c r="AN66" s="404" t="e">
        <f t="shared" ca="1" si="44"/>
        <v>#VALUE!</v>
      </c>
      <c r="AO66" s="404" t="e">
        <f t="shared" ca="1" si="44"/>
        <v>#VALUE!</v>
      </c>
      <c r="AP66" s="404" t="e">
        <f t="shared" ca="1" si="44"/>
        <v>#VALUE!</v>
      </c>
      <c r="AQ66" s="404" t="e">
        <f t="shared" ca="1" si="44"/>
        <v>#VALUE!</v>
      </c>
      <c r="AR66" s="404" t="e">
        <f t="shared" ca="1" si="44"/>
        <v>#VALUE!</v>
      </c>
      <c r="AS66" s="404" t="e">
        <f t="shared" ref="AS66:BB67" ca="1" si="45">MIN(AVERAGE(AT64:BC64),AS42-AS45-AS54-AS62)</f>
        <v>#VALUE!</v>
      </c>
      <c r="AT66" s="404" t="e">
        <f t="shared" ca="1" si="45"/>
        <v>#VALUE!</v>
      </c>
      <c r="AU66" s="404" t="e">
        <f t="shared" ca="1" si="45"/>
        <v>#VALUE!</v>
      </c>
      <c r="AV66" s="404" t="e">
        <f t="shared" ca="1" si="45"/>
        <v>#VALUE!</v>
      </c>
      <c r="AW66" s="404" t="e">
        <f t="shared" ca="1" si="45"/>
        <v>#VALUE!</v>
      </c>
      <c r="AX66" s="404" t="e">
        <f t="shared" ca="1" si="45"/>
        <v>#VALUE!</v>
      </c>
      <c r="AY66" s="404" t="e">
        <f t="shared" ca="1" si="45"/>
        <v>#VALUE!</v>
      </c>
      <c r="AZ66" s="404" t="e">
        <f t="shared" ca="1" si="45"/>
        <v>#VALUE!</v>
      </c>
      <c r="BA66" s="404" t="e">
        <f t="shared" ca="1" si="45"/>
        <v>#VALUE!</v>
      </c>
      <c r="BB66" s="404" t="e">
        <f t="shared" ca="1" si="45"/>
        <v>#VALUE!</v>
      </c>
      <c r="BC66" s="404" t="e">
        <f t="shared" ref="BC66:BI67" ca="1" si="46">MIN(AVERAGE(BD64:BM64),BC42-BC45-BC54-BC62)</f>
        <v>#VALUE!</v>
      </c>
      <c r="BD66" s="404" t="e">
        <f t="shared" ca="1" si="46"/>
        <v>#VALUE!</v>
      </c>
      <c r="BE66" s="404" t="e">
        <f t="shared" ca="1" si="46"/>
        <v>#VALUE!</v>
      </c>
      <c r="BF66" s="404" t="e">
        <f t="shared" ca="1" si="46"/>
        <v>#VALUE!</v>
      </c>
      <c r="BG66" s="404" t="e">
        <f t="shared" ca="1" si="46"/>
        <v>#VALUE!</v>
      </c>
      <c r="BH66" s="404" t="e">
        <f t="shared" ca="1" si="46"/>
        <v>#VALUE!</v>
      </c>
      <c r="BI66" s="404" t="e">
        <f t="shared" ca="1" si="46"/>
        <v>#VALUE!</v>
      </c>
      <c r="BJ66" s="404"/>
      <c r="BK66" s="404"/>
      <c r="BL66" s="404"/>
      <c r="BM66" s="404"/>
      <c r="BN66" s="404"/>
      <c r="BO66" s="404"/>
      <c r="BP66" s="404"/>
      <c r="BQ66" s="404"/>
      <c r="BR66" s="404"/>
    </row>
    <row r="67" spans="1:70" ht="15.75" x14ac:dyDescent="0.3">
      <c r="B67" s="405" t="e">
        <f t="shared" ca="1" si="32"/>
        <v>#VALUE!</v>
      </c>
      <c r="C67" s="390" t="s">
        <v>3665</v>
      </c>
      <c r="D67" s="390" t="s">
        <v>3139</v>
      </c>
      <c r="E67" s="404" t="e">
        <f t="shared" ca="1" si="41"/>
        <v>#VALUE!</v>
      </c>
      <c r="F67" s="404" t="e">
        <f t="shared" ca="1" si="41"/>
        <v>#VALUE!</v>
      </c>
      <c r="G67" s="404" t="e">
        <f t="shared" ca="1" si="41"/>
        <v>#VALUE!</v>
      </c>
      <c r="H67" s="404" t="e">
        <f t="shared" ca="1" si="41"/>
        <v>#VALUE!</v>
      </c>
      <c r="I67" s="404" t="e">
        <f t="shared" ca="1" si="41"/>
        <v>#VALUE!</v>
      </c>
      <c r="J67" s="404" t="e">
        <f t="shared" ca="1" si="41"/>
        <v>#VALUE!</v>
      </c>
      <c r="K67" s="404" t="e">
        <f t="shared" ca="1" si="41"/>
        <v>#VALUE!</v>
      </c>
      <c r="L67" s="404" t="e">
        <f t="shared" ca="1" si="41"/>
        <v>#VALUE!</v>
      </c>
      <c r="M67" s="404" t="e">
        <f t="shared" ca="1" si="41"/>
        <v>#VALUE!</v>
      </c>
      <c r="N67" s="404" t="e">
        <f t="shared" ca="1" si="41"/>
        <v>#VALUE!</v>
      </c>
      <c r="O67" s="404" t="e">
        <f t="shared" ca="1" si="42"/>
        <v>#VALUE!</v>
      </c>
      <c r="P67" s="404" t="e">
        <f t="shared" ca="1" si="42"/>
        <v>#VALUE!</v>
      </c>
      <c r="Q67" s="404" t="e">
        <f t="shared" ca="1" si="42"/>
        <v>#VALUE!</v>
      </c>
      <c r="R67" s="404" t="e">
        <f t="shared" ca="1" si="42"/>
        <v>#VALUE!</v>
      </c>
      <c r="S67" s="404" t="e">
        <f t="shared" ca="1" si="42"/>
        <v>#VALUE!</v>
      </c>
      <c r="T67" s="404" t="e">
        <f t="shared" ca="1" si="42"/>
        <v>#VALUE!</v>
      </c>
      <c r="U67" s="404" t="e">
        <f t="shared" ca="1" si="42"/>
        <v>#VALUE!</v>
      </c>
      <c r="V67" s="404" t="e">
        <f t="shared" ca="1" si="42"/>
        <v>#VALUE!</v>
      </c>
      <c r="W67" s="404" t="e">
        <f t="shared" ca="1" si="42"/>
        <v>#VALUE!</v>
      </c>
      <c r="X67" s="404" t="e">
        <f t="shared" ca="1" si="42"/>
        <v>#VALUE!</v>
      </c>
      <c r="Y67" s="404" t="e">
        <f t="shared" ca="1" si="43"/>
        <v>#VALUE!</v>
      </c>
      <c r="Z67" s="404" t="e">
        <f t="shared" ca="1" si="43"/>
        <v>#VALUE!</v>
      </c>
      <c r="AA67" s="404" t="e">
        <f t="shared" ca="1" si="43"/>
        <v>#VALUE!</v>
      </c>
      <c r="AB67" s="404" t="e">
        <f t="shared" ca="1" si="43"/>
        <v>#VALUE!</v>
      </c>
      <c r="AC67" s="404" t="e">
        <f t="shared" ca="1" si="43"/>
        <v>#VALUE!</v>
      </c>
      <c r="AD67" s="404" t="e">
        <f t="shared" ca="1" si="43"/>
        <v>#VALUE!</v>
      </c>
      <c r="AE67" s="404" t="e">
        <f t="shared" ca="1" si="43"/>
        <v>#VALUE!</v>
      </c>
      <c r="AF67" s="404" t="e">
        <f t="shared" ca="1" si="43"/>
        <v>#VALUE!</v>
      </c>
      <c r="AG67" s="404" t="e">
        <f t="shared" ca="1" si="43"/>
        <v>#VALUE!</v>
      </c>
      <c r="AH67" s="404" t="e">
        <f t="shared" ca="1" si="43"/>
        <v>#VALUE!</v>
      </c>
      <c r="AI67" s="404" t="e">
        <f t="shared" ca="1" si="44"/>
        <v>#VALUE!</v>
      </c>
      <c r="AJ67" s="404" t="e">
        <f t="shared" ca="1" si="44"/>
        <v>#VALUE!</v>
      </c>
      <c r="AK67" s="404" t="e">
        <f t="shared" ca="1" si="44"/>
        <v>#VALUE!</v>
      </c>
      <c r="AL67" s="404" t="e">
        <f t="shared" ca="1" si="44"/>
        <v>#VALUE!</v>
      </c>
      <c r="AM67" s="404" t="e">
        <f t="shared" ca="1" si="44"/>
        <v>#VALUE!</v>
      </c>
      <c r="AN67" s="404" t="e">
        <f t="shared" ca="1" si="44"/>
        <v>#VALUE!</v>
      </c>
      <c r="AO67" s="404" t="e">
        <f t="shared" ca="1" si="44"/>
        <v>#VALUE!</v>
      </c>
      <c r="AP67" s="404" t="e">
        <f t="shared" ca="1" si="44"/>
        <v>#VALUE!</v>
      </c>
      <c r="AQ67" s="404" t="e">
        <f t="shared" ca="1" si="44"/>
        <v>#VALUE!</v>
      </c>
      <c r="AR67" s="404" t="e">
        <f t="shared" ca="1" si="44"/>
        <v>#VALUE!</v>
      </c>
      <c r="AS67" s="404" t="e">
        <f t="shared" ca="1" si="45"/>
        <v>#VALUE!</v>
      </c>
      <c r="AT67" s="404" t="e">
        <f t="shared" ca="1" si="45"/>
        <v>#VALUE!</v>
      </c>
      <c r="AU67" s="404" t="e">
        <f t="shared" ca="1" si="45"/>
        <v>#VALUE!</v>
      </c>
      <c r="AV67" s="404" t="e">
        <f t="shared" ca="1" si="45"/>
        <v>#VALUE!</v>
      </c>
      <c r="AW67" s="404" t="e">
        <f t="shared" ca="1" si="45"/>
        <v>#VALUE!</v>
      </c>
      <c r="AX67" s="404" t="e">
        <f t="shared" ca="1" si="45"/>
        <v>#VALUE!</v>
      </c>
      <c r="AY67" s="404" t="e">
        <f t="shared" ca="1" si="45"/>
        <v>#VALUE!</v>
      </c>
      <c r="AZ67" s="404" t="e">
        <f t="shared" ca="1" si="45"/>
        <v>#VALUE!</v>
      </c>
      <c r="BA67" s="404" t="e">
        <f t="shared" ca="1" si="45"/>
        <v>#VALUE!</v>
      </c>
      <c r="BB67" s="404" t="e">
        <f t="shared" ca="1" si="45"/>
        <v>#VALUE!</v>
      </c>
      <c r="BC67" s="404" t="e">
        <f t="shared" ca="1" si="46"/>
        <v>#VALUE!</v>
      </c>
      <c r="BD67" s="404" t="e">
        <f t="shared" ca="1" si="46"/>
        <v>#VALUE!</v>
      </c>
      <c r="BE67" s="404" t="e">
        <f t="shared" ca="1" si="46"/>
        <v>#VALUE!</v>
      </c>
      <c r="BF67" s="404" t="e">
        <f t="shared" ca="1" si="46"/>
        <v>#VALUE!</v>
      </c>
      <c r="BG67" s="404" t="e">
        <f t="shared" ca="1" si="46"/>
        <v>#VALUE!</v>
      </c>
      <c r="BH67" s="404" t="e">
        <f t="shared" ca="1" si="46"/>
        <v>#VALUE!</v>
      </c>
      <c r="BI67" s="404" t="e">
        <f t="shared" ca="1" si="46"/>
        <v>#VALUE!</v>
      </c>
      <c r="BJ67" s="404"/>
      <c r="BK67" s="404"/>
      <c r="BL67" s="404"/>
      <c r="BM67" s="404"/>
      <c r="BN67" s="404"/>
      <c r="BO67" s="404"/>
      <c r="BP67" s="404"/>
      <c r="BQ67" s="404"/>
      <c r="BR67" s="404"/>
    </row>
    <row r="68" spans="1:70" x14ac:dyDescent="0.2">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row>
    <row r="69" spans="1:70" ht="15.75" x14ac:dyDescent="0.3">
      <c r="B69" s="405" t="e">
        <f t="shared" ref="B69:B76" ca="1" si="47">SUM(E69:BR69)</f>
        <v>#REF!</v>
      </c>
      <c r="C69" s="390" t="s">
        <v>3665</v>
      </c>
      <c r="D69" s="390" t="s">
        <v>3140</v>
      </c>
      <c r="E69" s="404" t="e">
        <f t="shared" ref="E69:AJ69" ca="1" si="48">E42</f>
        <v>#REF!</v>
      </c>
      <c r="F69" s="404" t="e">
        <f t="shared" ca="1" si="48"/>
        <v>#REF!</v>
      </c>
      <c r="G69" s="404" t="e">
        <f t="shared" ca="1" si="48"/>
        <v>#REF!</v>
      </c>
      <c r="H69" s="404" t="e">
        <f t="shared" ca="1" si="48"/>
        <v>#REF!</v>
      </c>
      <c r="I69" s="404" t="e">
        <f t="shared" ca="1" si="48"/>
        <v>#REF!</v>
      </c>
      <c r="J69" s="404" t="e">
        <f t="shared" ca="1" si="48"/>
        <v>#REF!</v>
      </c>
      <c r="K69" s="404" t="e">
        <f t="shared" ca="1" si="48"/>
        <v>#REF!</v>
      </c>
      <c r="L69" s="404" t="e">
        <f t="shared" ca="1" si="48"/>
        <v>#REF!</v>
      </c>
      <c r="M69" s="404" t="e">
        <f t="shared" ca="1" si="48"/>
        <v>#REF!</v>
      </c>
      <c r="N69" s="404" t="e">
        <f t="shared" ca="1" si="48"/>
        <v>#REF!</v>
      </c>
      <c r="O69" s="404" t="e">
        <f t="shared" ca="1" si="48"/>
        <v>#REF!</v>
      </c>
      <c r="P69" s="404" t="e">
        <f t="shared" ca="1" si="48"/>
        <v>#REF!</v>
      </c>
      <c r="Q69" s="404" t="e">
        <f t="shared" ca="1" si="48"/>
        <v>#REF!</v>
      </c>
      <c r="R69" s="404" t="e">
        <f t="shared" ca="1" si="48"/>
        <v>#REF!</v>
      </c>
      <c r="S69" s="404" t="e">
        <f t="shared" ca="1" si="48"/>
        <v>#REF!</v>
      </c>
      <c r="T69" s="404" t="e">
        <f t="shared" ca="1" si="48"/>
        <v>#REF!</v>
      </c>
      <c r="U69" s="404" t="e">
        <f t="shared" ca="1" si="48"/>
        <v>#REF!</v>
      </c>
      <c r="V69" s="404" t="e">
        <f t="shared" ca="1" si="48"/>
        <v>#REF!</v>
      </c>
      <c r="W69" s="404" t="e">
        <f t="shared" ca="1" si="48"/>
        <v>#REF!</v>
      </c>
      <c r="X69" s="404" t="e">
        <f t="shared" ca="1" si="48"/>
        <v>#REF!</v>
      </c>
      <c r="Y69" s="404" t="e">
        <f t="shared" ca="1" si="48"/>
        <v>#REF!</v>
      </c>
      <c r="Z69" s="404" t="e">
        <f t="shared" ca="1" si="48"/>
        <v>#REF!</v>
      </c>
      <c r="AA69" s="404" t="e">
        <f t="shared" ca="1" si="48"/>
        <v>#REF!</v>
      </c>
      <c r="AB69" s="404" t="e">
        <f t="shared" ca="1" si="48"/>
        <v>#REF!</v>
      </c>
      <c r="AC69" s="404" t="e">
        <f t="shared" ca="1" si="48"/>
        <v>#REF!</v>
      </c>
      <c r="AD69" s="404" t="e">
        <f t="shared" ca="1" si="48"/>
        <v>#REF!</v>
      </c>
      <c r="AE69" s="404" t="e">
        <f t="shared" ca="1" si="48"/>
        <v>#REF!</v>
      </c>
      <c r="AF69" s="404" t="e">
        <f t="shared" ca="1" si="48"/>
        <v>#REF!</v>
      </c>
      <c r="AG69" s="404" t="e">
        <f t="shared" ca="1" si="48"/>
        <v>#REF!</v>
      </c>
      <c r="AH69" s="404" t="e">
        <f t="shared" ca="1" si="48"/>
        <v>#REF!</v>
      </c>
      <c r="AI69" s="404" t="e">
        <f t="shared" ca="1" si="48"/>
        <v>#REF!</v>
      </c>
      <c r="AJ69" s="404" t="e">
        <f t="shared" ca="1" si="48"/>
        <v>#REF!</v>
      </c>
      <c r="AK69" s="404" t="e">
        <f t="shared" ref="AK69:BR69" ca="1" si="49">AK42</f>
        <v>#REF!</v>
      </c>
      <c r="AL69" s="404" t="e">
        <f t="shared" ca="1" si="49"/>
        <v>#REF!</v>
      </c>
      <c r="AM69" s="404" t="e">
        <f t="shared" ca="1" si="49"/>
        <v>#REF!</v>
      </c>
      <c r="AN69" s="404" t="e">
        <f t="shared" ca="1" si="49"/>
        <v>#REF!</v>
      </c>
      <c r="AO69" s="404" t="e">
        <f t="shared" ca="1" si="49"/>
        <v>#REF!</v>
      </c>
      <c r="AP69" s="404" t="e">
        <f t="shared" ca="1" si="49"/>
        <v>#REF!</v>
      </c>
      <c r="AQ69" s="404" t="e">
        <f t="shared" ca="1" si="49"/>
        <v>#REF!</v>
      </c>
      <c r="AR69" s="404" t="e">
        <f t="shared" ca="1" si="49"/>
        <v>#REF!</v>
      </c>
      <c r="AS69" s="404" t="e">
        <f t="shared" ca="1" si="49"/>
        <v>#REF!</v>
      </c>
      <c r="AT69" s="404" t="e">
        <f t="shared" ca="1" si="49"/>
        <v>#REF!</v>
      </c>
      <c r="AU69" s="404" t="e">
        <f t="shared" ca="1" si="49"/>
        <v>#REF!</v>
      </c>
      <c r="AV69" s="404" t="e">
        <f t="shared" ca="1" si="49"/>
        <v>#REF!</v>
      </c>
      <c r="AW69" s="404" t="e">
        <f t="shared" ca="1" si="49"/>
        <v>#REF!</v>
      </c>
      <c r="AX69" s="404" t="e">
        <f t="shared" ca="1" si="49"/>
        <v>#REF!</v>
      </c>
      <c r="AY69" s="404" t="e">
        <f t="shared" ca="1" si="49"/>
        <v>#REF!</v>
      </c>
      <c r="AZ69" s="404" t="e">
        <f t="shared" ca="1" si="49"/>
        <v>#REF!</v>
      </c>
      <c r="BA69" s="404" t="e">
        <f t="shared" ca="1" si="49"/>
        <v>#REF!</v>
      </c>
      <c r="BB69" s="404" t="e">
        <f t="shared" ca="1" si="49"/>
        <v>#REF!</v>
      </c>
      <c r="BC69" s="404" t="e">
        <f t="shared" ca="1" si="49"/>
        <v>#REF!</v>
      </c>
      <c r="BD69" s="404" t="e">
        <f t="shared" ca="1" si="49"/>
        <v>#REF!</v>
      </c>
      <c r="BE69" s="404" t="e">
        <f t="shared" ca="1" si="49"/>
        <v>#REF!</v>
      </c>
      <c r="BF69" s="404" t="e">
        <f t="shared" ca="1" si="49"/>
        <v>#REF!</v>
      </c>
      <c r="BG69" s="404" t="e">
        <f t="shared" ca="1" si="49"/>
        <v>#REF!</v>
      </c>
      <c r="BH69" s="404" t="e">
        <f t="shared" ca="1" si="49"/>
        <v>#REF!</v>
      </c>
      <c r="BI69" s="404" t="e">
        <f t="shared" ca="1" si="49"/>
        <v>#REF!</v>
      </c>
      <c r="BJ69" s="404" t="e">
        <f t="shared" ca="1" si="49"/>
        <v>#REF!</v>
      </c>
      <c r="BK69" s="404" t="e">
        <f t="shared" ca="1" si="49"/>
        <v>#REF!</v>
      </c>
      <c r="BL69" s="404" t="e">
        <f t="shared" ca="1" si="49"/>
        <v>#REF!</v>
      </c>
      <c r="BM69" s="404" t="e">
        <f t="shared" ca="1" si="49"/>
        <v>#REF!</v>
      </c>
      <c r="BN69" s="404" t="e">
        <f t="shared" ca="1" si="49"/>
        <v>#REF!</v>
      </c>
      <c r="BO69" s="404" t="e">
        <f t="shared" ca="1" si="49"/>
        <v>#REF!</v>
      </c>
      <c r="BP69" s="404" t="e">
        <f t="shared" ca="1" si="49"/>
        <v>#REF!</v>
      </c>
      <c r="BQ69" s="404" t="e">
        <f t="shared" ca="1" si="49"/>
        <v>#REF!</v>
      </c>
      <c r="BR69" s="404" t="e">
        <f t="shared" ca="1" si="49"/>
        <v>#REF!</v>
      </c>
    </row>
    <row r="70" spans="1:70" ht="15.75" x14ac:dyDescent="0.3">
      <c r="B70" s="405" t="e">
        <f t="shared" ca="1" si="47"/>
        <v>#REF!</v>
      </c>
      <c r="C70" s="390" t="s">
        <v>3665</v>
      </c>
      <c r="D70" s="390" t="s">
        <v>3141</v>
      </c>
      <c r="E70" s="404" t="e">
        <f t="shared" ref="E70:AJ70" ca="1" si="50">E43</f>
        <v>#REF!</v>
      </c>
      <c r="F70" s="404" t="e">
        <f t="shared" ca="1" si="50"/>
        <v>#REF!</v>
      </c>
      <c r="G70" s="404" t="e">
        <f t="shared" ca="1" si="50"/>
        <v>#REF!</v>
      </c>
      <c r="H70" s="404" t="e">
        <f t="shared" ca="1" si="50"/>
        <v>#REF!</v>
      </c>
      <c r="I70" s="404" t="e">
        <f t="shared" ca="1" si="50"/>
        <v>#REF!</v>
      </c>
      <c r="J70" s="404" t="e">
        <f t="shared" ca="1" si="50"/>
        <v>#REF!</v>
      </c>
      <c r="K70" s="404" t="e">
        <f t="shared" ca="1" si="50"/>
        <v>#REF!</v>
      </c>
      <c r="L70" s="404" t="e">
        <f t="shared" ca="1" si="50"/>
        <v>#REF!</v>
      </c>
      <c r="M70" s="404" t="e">
        <f t="shared" ca="1" si="50"/>
        <v>#REF!</v>
      </c>
      <c r="N70" s="404" t="e">
        <f t="shared" ca="1" si="50"/>
        <v>#REF!</v>
      </c>
      <c r="O70" s="404" t="e">
        <f t="shared" ca="1" si="50"/>
        <v>#REF!</v>
      </c>
      <c r="P70" s="404" t="e">
        <f t="shared" ca="1" si="50"/>
        <v>#REF!</v>
      </c>
      <c r="Q70" s="404" t="e">
        <f t="shared" ca="1" si="50"/>
        <v>#REF!</v>
      </c>
      <c r="R70" s="404" t="e">
        <f t="shared" ca="1" si="50"/>
        <v>#REF!</v>
      </c>
      <c r="S70" s="404" t="e">
        <f t="shared" ca="1" si="50"/>
        <v>#REF!</v>
      </c>
      <c r="T70" s="404" t="e">
        <f t="shared" ca="1" si="50"/>
        <v>#REF!</v>
      </c>
      <c r="U70" s="404" t="e">
        <f t="shared" ca="1" si="50"/>
        <v>#REF!</v>
      </c>
      <c r="V70" s="404" t="e">
        <f t="shared" ca="1" si="50"/>
        <v>#REF!</v>
      </c>
      <c r="W70" s="404" t="e">
        <f t="shared" ca="1" si="50"/>
        <v>#REF!</v>
      </c>
      <c r="X70" s="404" t="e">
        <f t="shared" ca="1" si="50"/>
        <v>#REF!</v>
      </c>
      <c r="Y70" s="404" t="e">
        <f t="shared" ca="1" si="50"/>
        <v>#REF!</v>
      </c>
      <c r="Z70" s="404" t="e">
        <f t="shared" ca="1" si="50"/>
        <v>#REF!</v>
      </c>
      <c r="AA70" s="404" t="e">
        <f t="shared" ca="1" si="50"/>
        <v>#REF!</v>
      </c>
      <c r="AB70" s="404" t="e">
        <f t="shared" ca="1" si="50"/>
        <v>#REF!</v>
      </c>
      <c r="AC70" s="404" t="e">
        <f t="shared" ca="1" si="50"/>
        <v>#REF!</v>
      </c>
      <c r="AD70" s="404" t="e">
        <f t="shared" ca="1" si="50"/>
        <v>#REF!</v>
      </c>
      <c r="AE70" s="404" t="e">
        <f t="shared" ca="1" si="50"/>
        <v>#REF!</v>
      </c>
      <c r="AF70" s="404" t="e">
        <f t="shared" ca="1" si="50"/>
        <v>#REF!</v>
      </c>
      <c r="AG70" s="404" t="e">
        <f t="shared" ca="1" si="50"/>
        <v>#REF!</v>
      </c>
      <c r="AH70" s="404" t="e">
        <f t="shared" ca="1" si="50"/>
        <v>#REF!</v>
      </c>
      <c r="AI70" s="404" t="e">
        <f t="shared" ca="1" si="50"/>
        <v>#REF!</v>
      </c>
      <c r="AJ70" s="404" t="e">
        <f t="shared" ca="1" si="50"/>
        <v>#REF!</v>
      </c>
      <c r="AK70" s="404" t="e">
        <f t="shared" ref="AK70:BR70" ca="1" si="51">AK43</f>
        <v>#REF!</v>
      </c>
      <c r="AL70" s="404" t="e">
        <f t="shared" ca="1" si="51"/>
        <v>#REF!</v>
      </c>
      <c r="AM70" s="404" t="e">
        <f t="shared" ca="1" si="51"/>
        <v>#REF!</v>
      </c>
      <c r="AN70" s="404" t="e">
        <f t="shared" ca="1" si="51"/>
        <v>#REF!</v>
      </c>
      <c r="AO70" s="404" t="e">
        <f t="shared" ca="1" si="51"/>
        <v>#REF!</v>
      </c>
      <c r="AP70" s="404" t="e">
        <f t="shared" ca="1" si="51"/>
        <v>#REF!</v>
      </c>
      <c r="AQ70" s="404" t="e">
        <f t="shared" ca="1" si="51"/>
        <v>#REF!</v>
      </c>
      <c r="AR70" s="404" t="e">
        <f t="shared" ca="1" si="51"/>
        <v>#REF!</v>
      </c>
      <c r="AS70" s="404" t="e">
        <f t="shared" ca="1" si="51"/>
        <v>#REF!</v>
      </c>
      <c r="AT70" s="404" t="e">
        <f t="shared" ca="1" si="51"/>
        <v>#REF!</v>
      </c>
      <c r="AU70" s="404" t="e">
        <f t="shared" ca="1" si="51"/>
        <v>#REF!</v>
      </c>
      <c r="AV70" s="404" t="e">
        <f t="shared" ca="1" si="51"/>
        <v>#REF!</v>
      </c>
      <c r="AW70" s="404" t="e">
        <f t="shared" ca="1" si="51"/>
        <v>#REF!</v>
      </c>
      <c r="AX70" s="404" t="e">
        <f t="shared" ca="1" si="51"/>
        <v>#REF!</v>
      </c>
      <c r="AY70" s="404" t="e">
        <f t="shared" ca="1" si="51"/>
        <v>#REF!</v>
      </c>
      <c r="AZ70" s="404" t="e">
        <f t="shared" ca="1" si="51"/>
        <v>#REF!</v>
      </c>
      <c r="BA70" s="404" t="e">
        <f t="shared" ca="1" si="51"/>
        <v>#REF!</v>
      </c>
      <c r="BB70" s="404" t="e">
        <f t="shared" ca="1" si="51"/>
        <v>#REF!</v>
      </c>
      <c r="BC70" s="404" t="e">
        <f t="shared" ca="1" si="51"/>
        <v>#REF!</v>
      </c>
      <c r="BD70" s="404" t="e">
        <f t="shared" ca="1" si="51"/>
        <v>#REF!</v>
      </c>
      <c r="BE70" s="404" t="e">
        <f t="shared" ca="1" si="51"/>
        <v>#REF!</v>
      </c>
      <c r="BF70" s="404" t="e">
        <f t="shared" ca="1" si="51"/>
        <v>#REF!</v>
      </c>
      <c r="BG70" s="404" t="e">
        <f t="shared" ca="1" si="51"/>
        <v>#REF!</v>
      </c>
      <c r="BH70" s="404" t="e">
        <f t="shared" ca="1" si="51"/>
        <v>#REF!</v>
      </c>
      <c r="BI70" s="404" t="e">
        <f t="shared" ca="1" si="51"/>
        <v>#REF!</v>
      </c>
      <c r="BJ70" s="404" t="e">
        <f t="shared" ca="1" si="51"/>
        <v>#REF!</v>
      </c>
      <c r="BK70" s="404" t="e">
        <f t="shared" ca="1" si="51"/>
        <v>#REF!</v>
      </c>
      <c r="BL70" s="404" t="e">
        <f t="shared" ca="1" si="51"/>
        <v>#REF!</v>
      </c>
      <c r="BM70" s="404" t="e">
        <f t="shared" ca="1" si="51"/>
        <v>#REF!</v>
      </c>
      <c r="BN70" s="404" t="e">
        <f t="shared" ca="1" si="51"/>
        <v>#REF!</v>
      </c>
      <c r="BO70" s="404" t="e">
        <f t="shared" ca="1" si="51"/>
        <v>#REF!</v>
      </c>
      <c r="BP70" s="404" t="e">
        <f t="shared" ca="1" si="51"/>
        <v>#REF!</v>
      </c>
      <c r="BQ70" s="404" t="e">
        <f t="shared" ca="1" si="51"/>
        <v>#REF!</v>
      </c>
      <c r="BR70" s="404" t="e">
        <f t="shared" ca="1" si="51"/>
        <v>#REF!</v>
      </c>
    </row>
    <row r="71" spans="1:70" ht="15.75" x14ac:dyDescent="0.3">
      <c r="B71" s="405" t="e">
        <f t="shared" ca="1" si="47"/>
        <v>#REF!</v>
      </c>
      <c r="C71" s="390" t="s">
        <v>3665</v>
      </c>
      <c r="D71" s="390" t="s">
        <v>3625</v>
      </c>
      <c r="E71" s="404" t="e">
        <f t="shared" ref="E71:AJ71" ca="1" si="52">E45</f>
        <v>#REF!</v>
      </c>
      <c r="F71" s="404" t="e">
        <f t="shared" ca="1" si="52"/>
        <v>#REF!</v>
      </c>
      <c r="G71" s="404" t="e">
        <f t="shared" ca="1" si="52"/>
        <v>#REF!</v>
      </c>
      <c r="H71" s="404" t="e">
        <f t="shared" ca="1" si="52"/>
        <v>#REF!</v>
      </c>
      <c r="I71" s="404" t="e">
        <f t="shared" ca="1" si="52"/>
        <v>#REF!</v>
      </c>
      <c r="J71" s="404" t="e">
        <f t="shared" ca="1" si="52"/>
        <v>#REF!</v>
      </c>
      <c r="K71" s="404" t="e">
        <f t="shared" ca="1" si="52"/>
        <v>#REF!</v>
      </c>
      <c r="L71" s="404" t="e">
        <f t="shared" ca="1" si="52"/>
        <v>#REF!</v>
      </c>
      <c r="M71" s="404" t="e">
        <f t="shared" ca="1" si="52"/>
        <v>#REF!</v>
      </c>
      <c r="N71" s="404" t="e">
        <f t="shared" ca="1" si="52"/>
        <v>#REF!</v>
      </c>
      <c r="O71" s="404" t="e">
        <f t="shared" ca="1" si="52"/>
        <v>#REF!</v>
      </c>
      <c r="P71" s="404" t="e">
        <f t="shared" ca="1" si="52"/>
        <v>#REF!</v>
      </c>
      <c r="Q71" s="404" t="e">
        <f t="shared" ca="1" si="52"/>
        <v>#REF!</v>
      </c>
      <c r="R71" s="404" t="e">
        <f t="shared" ca="1" si="52"/>
        <v>#REF!</v>
      </c>
      <c r="S71" s="404" t="e">
        <f t="shared" ca="1" si="52"/>
        <v>#REF!</v>
      </c>
      <c r="T71" s="404" t="e">
        <f t="shared" ca="1" si="52"/>
        <v>#REF!</v>
      </c>
      <c r="U71" s="404" t="e">
        <f t="shared" ca="1" si="52"/>
        <v>#REF!</v>
      </c>
      <c r="V71" s="404" t="e">
        <f t="shared" ca="1" si="52"/>
        <v>#REF!</v>
      </c>
      <c r="W71" s="404" t="e">
        <f t="shared" ca="1" si="52"/>
        <v>#REF!</v>
      </c>
      <c r="X71" s="404" t="e">
        <f t="shared" ca="1" si="52"/>
        <v>#REF!</v>
      </c>
      <c r="Y71" s="404" t="e">
        <f t="shared" ca="1" si="52"/>
        <v>#REF!</v>
      </c>
      <c r="Z71" s="404" t="e">
        <f t="shared" ca="1" si="52"/>
        <v>#REF!</v>
      </c>
      <c r="AA71" s="404" t="e">
        <f t="shared" ca="1" si="52"/>
        <v>#REF!</v>
      </c>
      <c r="AB71" s="404" t="e">
        <f t="shared" ca="1" si="52"/>
        <v>#REF!</v>
      </c>
      <c r="AC71" s="404" t="e">
        <f t="shared" ca="1" si="52"/>
        <v>#REF!</v>
      </c>
      <c r="AD71" s="404" t="e">
        <f t="shared" ca="1" si="52"/>
        <v>#REF!</v>
      </c>
      <c r="AE71" s="404" t="e">
        <f t="shared" ca="1" si="52"/>
        <v>#REF!</v>
      </c>
      <c r="AF71" s="404" t="e">
        <f t="shared" ca="1" si="52"/>
        <v>#REF!</v>
      </c>
      <c r="AG71" s="404" t="e">
        <f t="shared" ca="1" si="52"/>
        <v>#REF!</v>
      </c>
      <c r="AH71" s="404" t="e">
        <f t="shared" ca="1" si="52"/>
        <v>#REF!</v>
      </c>
      <c r="AI71" s="404" t="e">
        <f t="shared" ca="1" si="52"/>
        <v>#REF!</v>
      </c>
      <c r="AJ71" s="404" t="e">
        <f t="shared" ca="1" si="52"/>
        <v>#REF!</v>
      </c>
      <c r="AK71" s="404" t="e">
        <f t="shared" ref="AK71:BR71" ca="1" si="53">AK45</f>
        <v>#REF!</v>
      </c>
      <c r="AL71" s="404" t="e">
        <f t="shared" ca="1" si="53"/>
        <v>#REF!</v>
      </c>
      <c r="AM71" s="404" t="e">
        <f t="shared" ca="1" si="53"/>
        <v>#REF!</v>
      </c>
      <c r="AN71" s="404" t="e">
        <f t="shared" ca="1" si="53"/>
        <v>#REF!</v>
      </c>
      <c r="AO71" s="404" t="e">
        <f t="shared" ca="1" si="53"/>
        <v>#REF!</v>
      </c>
      <c r="AP71" s="404" t="e">
        <f t="shared" ca="1" si="53"/>
        <v>#REF!</v>
      </c>
      <c r="AQ71" s="404" t="e">
        <f t="shared" ca="1" si="53"/>
        <v>#REF!</v>
      </c>
      <c r="AR71" s="404" t="e">
        <f t="shared" ca="1" si="53"/>
        <v>#REF!</v>
      </c>
      <c r="AS71" s="404" t="e">
        <f t="shared" ca="1" si="53"/>
        <v>#REF!</v>
      </c>
      <c r="AT71" s="404" t="e">
        <f t="shared" ca="1" si="53"/>
        <v>#REF!</v>
      </c>
      <c r="AU71" s="404" t="e">
        <f t="shared" ca="1" si="53"/>
        <v>#REF!</v>
      </c>
      <c r="AV71" s="404" t="e">
        <f t="shared" ca="1" si="53"/>
        <v>#REF!</v>
      </c>
      <c r="AW71" s="404" t="e">
        <f t="shared" ca="1" si="53"/>
        <v>#REF!</v>
      </c>
      <c r="AX71" s="404" t="e">
        <f t="shared" ca="1" si="53"/>
        <v>#REF!</v>
      </c>
      <c r="AY71" s="404" t="e">
        <f t="shared" ca="1" si="53"/>
        <v>#REF!</v>
      </c>
      <c r="AZ71" s="404" t="e">
        <f t="shared" ca="1" si="53"/>
        <v>#REF!</v>
      </c>
      <c r="BA71" s="404" t="e">
        <f t="shared" ca="1" si="53"/>
        <v>#REF!</v>
      </c>
      <c r="BB71" s="404" t="e">
        <f t="shared" ca="1" si="53"/>
        <v>#REF!</v>
      </c>
      <c r="BC71" s="404" t="e">
        <f t="shared" ca="1" si="53"/>
        <v>#REF!</v>
      </c>
      <c r="BD71" s="404" t="e">
        <f t="shared" ca="1" si="53"/>
        <v>#REF!</v>
      </c>
      <c r="BE71" s="404" t="e">
        <f t="shared" ca="1" si="53"/>
        <v>#REF!</v>
      </c>
      <c r="BF71" s="404" t="e">
        <f t="shared" ca="1" si="53"/>
        <v>#REF!</v>
      </c>
      <c r="BG71" s="404" t="e">
        <f t="shared" ca="1" si="53"/>
        <v>#REF!</v>
      </c>
      <c r="BH71" s="404" t="e">
        <f t="shared" ca="1" si="53"/>
        <v>#REF!</v>
      </c>
      <c r="BI71" s="404" t="e">
        <f t="shared" ca="1" si="53"/>
        <v>#REF!</v>
      </c>
      <c r="BJ71" s="404" t="e">
        <f t="shared" ca="1" si="53"/>
        <v>#REF!</v>
      </c>
      <c r="BK71" s="404" t="e">
        <f t="shared" ca="1" si="53"/>
        <v>#REF!</v>
      </c>
      <c r="BL71" s="404" t="e">
        <f t="shared" ca="1" si="53"/>
        <v>#REF!</v>
      </c>
      <c r="BM71" s="404" t="e">
        <f t="shared" ca="1" si="53"/>
        <v>#REF!</v>
      </c>
      <c r="BN71" s="404" t="e">
        <f t="shared" ca="1" si="53"/>
        <v>#REF!</v>
      </c>
      <c r="BO71" s="404" t="e">
        <f t="shared" ca="1" si="53"/>
        <v>#REF!</v>
      </c>
      <c r="BP71" s="404" t="e">
        <f t="shared" ca="1" si="53"/>
        <v>#REF!</v>
      </c>
      <c r="BQ71" s="404" t="e">
        <f t="shared" ca="1" si="53"/>
        <v>#REF!</v>
      </c>
      <c r="BR71" s="404" t="e">
        <f t="shared" ca="1" si="53"/>
        <v>#REF!</v>
      </c>
    </row>
    <row r="72" spans="1:70" ht="15.75" x14ac:dyDescent="0.3">
      <c r="B72" s="405" t="e">
        <f t="shared" ca="1" si="47"/>
        <v>#REF!</v>
      </c>
      <c r="C72" s="390" t="s">
        <v>3665</v>
      </c>
      <c r="D72" s="390" t="s">
        <v>3626</v>
      </c>
      <c r="E72" s="404" t="e">
        <f t="shared" ref="E72:AJ72" ca="1" si="54">E46</f>
        <v>#REF!</v>
      </c>
      <c r="F72" s="404" t="e">
        <f t="shared" ca="1" si="54"/>
        <v>#REF!</v>
      </c>
      <c r="G72" s="404" t="e">
        <f t="shared" ca="1" si="54"/>
        <v>#REF!</v>
      </c>
      <c r="H72" s="404" t="e">
        <f t="shared" ca="1" si="54"/>
        <v>#REF!</v>
      </c>
      <c r="I72" s="404" t="e">
        <f t="shared" ca="1" si="54"/>
        <v>#REF!</v>
      </c>
      <c r="J72" s="404" t="e">
        <f t="shared" ca="1" si="54"/>
        <v>#REF!</v>
      </c>
      <c r="K72" s="404" t="e">
        <f t="shared" ca="1" si="54"/>
        <v>#REF!</v>
      </c>
      <c r="L72" s="404" t="e">
        <f t="shared" ca="1" si="54"/>
        <v>#REF!</v>
      </c>
      <c r="M72" s="404" t="e">
        <f t="shared" ca="1" si="54"/>
        <v>#REF!</v>
      </c>
      <c r="N72" s="404" t="e">
        <f t="shared" ca="1" si="54"/>
        <v>#REF!</v>
      </c>
      <c r="O72" s="404" t="e">
        <f t="shared" ca="1" si="54"/>
        <v>#REF!</v>
      </c>
      <c r="P72" s="404" t="e">
        <f t="shared" ca="1" si="54"/>
        <v>#REF!</v>
      </c>
      <c r="Q72" s="404" t="e">
        <f t="shared" ca="1" si="54"/>
        <v>#REF!</v>
      </c>
      <c r="R72" s="404" t="e">
        <f t="shared" ca="1" si="54"/>
        <v>#REF!</v>
      </c>
      <c r="S72" s="404" t="e">
        <f t="shared" ca="1" si="54"/>
        <v>#REF!</v>
      </c>
      <c r="T72" s="404" t="e">
        <f t="shared" ca="1" si="54"/>
        <v>#REF!</v>
      </c>
      <c r="U72" s="404" t="e">
        <f t="shared" ca="1" si="54"/>
        <v>#REF!</v>
      </c>
      <c r="V72" s="404" t="e">
        <f t="shared" ca="1" si="54"/>
        <v>#REF!</v>
      </c>
      <c r="W72" s="404" t="e">
        <f t="shared" ca="1" si="54"/>
        <v>#REF!</v>
      </c>
      <c r="X72" s="404" t="e">
        <f t="shared" ca="1" si="54"/>
        <v>#REF!</v>
      </c>
      <c r="Y72" s="404" t="e">
        <f t="shared" ca="1" si="54"/>
        <v>#REF!</v>
      </c>
      <c r="Z72" s="404" t="e">
        <f t="shared" ca="1" si="54"/>
        <v>#REF!</v>
      </c>
      <c r="AA72" s="404" t="e">
        <f t="shared" ca="1" si="54"/>
        <v>#REF!</v>
      </c>
      <c r="AB72" s="404" t="e">
        <f t="shared" ca="1" si="54"/>
        <v>#REF!</v>
      </c>
      <c r="AC72" s="404" t="e">
        <f t="shared" ca="1" si="54"/>
        <v>#REF!</v>
      </c>
      <c r="AD72" s="404" t="e">
        <f t="shared" ca="1" si="54"/>
        <v>#REF!</v>
      </c>
      <c r="AE72" s="404" t="e">
        <f t="shared" ca="1" si="54"/>
        <v>#REF!</v>
      </c>
      <c r="AF72" s="404" t="e">
        <f t="shared" ca="1" si="54"/>
        <v>#REF!</v>
      </c>
      <c r="AG72" s="404" t="e">
        <f t="shared" ca="1" si="54"/>
        <v>#REF!</v>
      </c>
      <c r="AH72" s="404" t="e">
        <f t="shared" ca="1" si="54"/>
        <v>#REF!</v>
      </c>
      <c r="AI72" s="404" t="e">
        <f t="shared" ca="1" si="54"/>
        <v>#REF!</v>
      </c>
      <c r="AJ72" s="404" t="e">
        <f t="shared" ca="1" si="54"/>
        <v>#REF!</v>
      </c>
      <c r="AK72" s="404" t="e">
        <f t="shared" ref="AK72:BR72" ca="1" si="55">AK46</f>
        <v>#REF!</v>
      </c>
      <c r="AL72" s="404" t="e">
        <f t="shared" ca="1" si="55"/>
        <v>#REF!</v>
      </c>
      <c r="AM72" s="404" t="e">
        <f t="shared" ca="1" si="55"/>
        <v>#REF!</v>
      </c>
      <c r="AN72" s="404" t="e">
        <f t="shared" ca="1" si="55"/>
        <v>#REF!</v>
      </c>
      <c r="AO72" s="404" t="e">
        <f t="shared" ca="1" si="55"/>
        <v>#REF!</v>
      </c>
      <c r="AP72" s="404" t="e">
        <f t="shared" ca="1" si="55"/>
        <v>#REF!</v>
      </c>
      <c r="AQ72" s="404" t="e">
        <f t="shared" ca="1" si="55"/>
        <v>#REF!</v>
      </c>
      <c r="AR72" s="404" t="e">
        <f t="shared" ca="1" si="55"/>
        <v>#REF!</v>
      </c>
      <c r="AS72" s="404" t="e">
        <f t="shared" ca="1" si="55"/>
        <v>#REF!</v>
      </c>
      <c r="AT72" s="404" t="e">
        <f t="shared" ca="1" si="55"/>
        <v>#REF!</v>
      </c>
      <c r="AU72" s="404" t="e">
        <f t="shared" ca="1" si="55"/>
        <v>#REF!</v>
      </c>
      <c r="AV72" s="404" t="e">
        <f t="shared" ca="1" si="55"/>
        <v>#REF!</v>
      </c>
      <c r="AW72" s="404" t="e">
        <f t="shared" ca="1" si="55"/>
        <v>#REF!</v>
      </c>
      <c r="AX72" s="404" t="e">
        <f t="shared" ca="1" si="55"/>
        <v>#REF!</v>
      </c>
      <c r="AY72" s="404" t="e">
        <f t="shared" ca="1" si="55"/>
        <v>#REF!</v>
      </c>
      <c r="AZ72" s="404" t="e">
        <f t="shared" ca="1" si="55"/>
        <v>#REF!</v>
      </c>
      <c r="BA72" s="404" t="e">
        <f t="shared" ca="1" si="55"/>
        <v>#REF!</v>
      </c>
      <c r="BB72" s="404" t="e">
        <f t="shared" ca="1" si="55"/>
        <v>#REF!</v>
      </c>
      <c r="BC72" s="404" t="e">
        <f t="shared" ca="1" si="55"/>
        <v>#REF!</v>
      </c>
      <c r="BD72" s="404" t="e">
        <f t="shared" ca="1" si="55"/>
        <v>#REF!</v>
      </c>
      <c r="BE72" s="404" t="e">
        <f t="shared" ca="1" si="55"/>
        <v>#REF!</v>
      </c>
      <c r="BF72" s="404" t="e">
        <f t="shared" ca="1" si="55"/>
        <v>#REF!</v>
      </c>
      <c r="BG72" s="404" t="e">
        <f t="shared" ca="1" si="55"/>
        <v>#REF!</v>
      </c>
      <c r="BH72" s="404" t="e">
        <f t="shared" ca="1" si="55"/>
        <v>#REF!</v>
      </c>
      <c r="BI72" s="404" t="e">
        <f t="shared" ca="1" si="55"/>
        <v>#REF!</v>
      </c>
      <c r="BJ72" s="404" t="e">
        <f t="shared" ca="1" si="55"/>
        <v>#REF!</v>
      </c>
      <c r="BK72" s="404" t="e">
        <f t="shared" ca="1" si="55"/>
        <v>#REF!</v>
      </c>
      <c r="BL72" s="404" t="e">
        <f t="shared" ca="1" si="55"/>
        <v>#REF!</v>
      </c>
      <c r="BM72" s="404" t="e">
        <f t="shared" ca="1" si="55"/>
        <v>#REF!</v>
      </c>
      <c r="BN72" s="404" t="e">
        <f t="shared" ca="1" si="55"/>
        <v>#REF!</v>
      </c>
      <c r="BO72" s="404" t="e">
        <f t="shared" ca="1" si="55"/>
        <v>#REF!</v>
      </c>
      <c r="BP72" s="404" t="e">
        <f t="shared" ca="1" si="55"/>
        <v>#REF!</v>
      </c>
      <c r="BQ72" s="404" t="e">
        <f t="shared" ca="1" si="55"/>
        <v>#REF!</v>
      </c>
      <c r="BR72" s="404" t="e">
        <f t="shared" ca="1" si="55"/>
        <v>#REF!</v>
      </c>
    </row>
    <row r="73" spans="1:70" ht="15.75" x14ac:dyDescent="0.3">
      <c r="B73" s="405" t="e">
        <f t="shared" ca="1" si="47"/>
        <v>#VALUE!</v>
      </c>
      <c r="C73" s="390" t="s">
        <v>3665</v>
      </c>
      <c r="D73" s="390" t="s">
        <v>3627</v>
      </c>
      <c r="E73" s="404" t="e">
        <f t="shared" ref="E73:AJ73" ca="1" si="56">E66+E62+E54</f>
        <v>#VALUE!</v>
      </c>
      <c r="F73" s="404" t="e">
        <f t="shared" ca="1" si="56"/>
        <v>#VALUE!</v>
      </c>
      <c r="G73" s="404" t="e">
        <f t="shared" ca="1" si="56"/>
        <v>#VALUE!</v>
      </c>
      <c r="H73" s="404" t="e">
        <f t="shared" ca="1" si="56"/>
        <v>#VALUE!</v>
      </c>
      <c r="I73" s="404" t="e">
        <f t="shared" ca="1" si="56"/>
        <v>#VALUE!</v>
      </c>
      <c r="J73" s="404" t="e">
        <f t="shared" ca="1" si="56"/>
        <v>#VALUE!</v>
      </c>
      <c r="K73" s="404" t="e">
        <f t="shared" ca="1" si="56"/>
        <v>#VALUE!</v>
      </c>
      <c r="L73" s="404" t="e">
        <f t="shared" ca="1" si="56"/>
        <v>#VALUE!</v>
      </c>
      <c r="M73" s="404" t="e">
        <f t="shared" ca="1" si="56"/>
        <v>#VALUE!</v>
      </c>
      <c r="N73" s="404" t="e">
        <f t="shared" ca="1" si="56"/>
        <v>#VALUE!</v>
      </c>
      <c r="O73" s="404" t="e">
        <f t="shared" ca="1" si="56"/>
        <v>#VALUE!</v>
      </c>
      <c r="P73" s="404" t="e">
        <f t="shared" ca="1" si="56"/>
        <v>#VALUE!</v>
      </c>
      <c r="Q73" s="404" t="e">
        <f t="shared" ca="1" si="56"/>
        <v>#VALUE!</v>
      </c>
      <c r="R73" s="404" t="e">
        <f t="shared" ca="1" si="56"/>
        <v>#VALUE!</v>
      </c>
      <c r="S73" s="404" t="e">
        <f t="shared" ca="1" si="56"/>
        <v>#VALUE!</v>
      </c>
      <c r="T73" s="404" t="e">
        <f t="shared" ca="1" si="56"/>
        <v>#VALUE!</v>
      </c>
      <c r="U73" s="404" t="e">
        <f t="shared" ca="1" si="56"/>
        <v>#VALUE!</v>
      </c>
      <c r="V73" s="404" t="e">
        <f t="shared" ca="1" si="56"/>
        <v>#VALUE!</v>
      </c>
      <c r="W73" s="404" t="e">
        <f t="shared" ca="1" si="56"/>
        <v>#VALUE!</v>
      </c>
      <c r="X73" s="404" t="e">
        <f t="shared" ca="1" si="56"/>
        <v>#VALUE!</v>
      </c>
      <c r="Y73" s="404" t="e">
        <f t="shared" ca="1" si="56"/>
        <v>#VALUE!</v>
      </c>
      <c r="Z73" s="404" t="e">
        <f t="shared" ca="1" si="56"/>
        <v>#VALUE!</v>
      </c>
      <c r="AA73" s="404" t="e">
        <f t="shared" ca="1" si="56"/>
        <v>#VALUE!</v>
      </c>
      <c r="AB73" s="404" t="e">
        <f t="shared" ca="1" si="56"/>
        <v>#VALUE!</v>
      </c>
      <c r="AC73" s="404" t="e">
        <f t="shared" ca="1" si="56"/>
        <v>#VALUE!</v>
      </c>
      <c r="AD73" s="404" t="e">
        <f t="shared" ca="1" si="56"/>
        <v>#VALUE!</v>
      </c>
      <c r="AE73" s="404" t="e">
        <f t="shared" ca="1" si="56"/>
        <v>#VALUE!</v>
      </c>
      <c r="AF73" s="404" t="e">
        <f t="shared" ca="1" si="56"/>
        <v>#VALUE!</v>
      </c>
      <c r="AG73" s="404" t="e">
        <f t="shared" ca="1" si="56"/>
        <v>#VALUE!</v>
      </c>
      <c r="AH73" s="404" t="e">
        <f t="shared" ca="1" si="56"/>
        <v>#VALUE!</v>
      </c>
      <c r="AI73" s="404" t="e">
        <f t="shared" ca="1" si="56"/>
        <v>#VALUE!</v>
      </c>
      <c r="AJ73" s="404" t="e">
        <f t="shared" ca="1" si="56"/>
        <v>#VALUE!</v>
      </c>
      <c r="AK73" s="404" t="e">
        <f t="shared" ref="AK73:BR73" ca="1" si="57">AK66+AK62+AK54</f>
        <v>#VALUE!</v>
      </c>
      <c r="AL73" s="404" t="e">
        <f t="shared" ca="1" si="57"/>
        <v>#VALUE!</v>
      </c>
      <c r="AM73" s="404" t="e">
        <f t="shared" ca="1" si="57"/>
        <v>#VALUE!</v>
      </c>
      <c r="AN73" s="404" t="e">
        <f t="shared" ca="1" si="57"/>
        <v>#VALUE!</v>
      </c>
      <c r="AO73" s="404" t="e">
        <f t="shared" ca="1" si="57"/>
        <v>#VALUE!</v>
      </c>
      <c r="AP73" s="404" t="e">
        <f t="shared" ca="1" si="57"/>
        <v>#VALUE!</v>
      </c>
      <c r="AQ73" s="404" t="e">
        <f t="shared" ca="1" si="57"/>
        <v>#VALUE!</v>
      </c>
      <c r="AR73" s="404" t="e">
        <f t="shared" ca="1" si="57"/>
        <v>#VALUE!</v>
      </c>
      <c r="AS73" s="404" t="e">
        <f t="shared" ca="1" si="57"/>
        <v>#VALUE!</v>
      </c>
      <c r="AT73" s="404" t="e">
        <f t="shared" ca="1" si="57"/>
        <v>#VALUE!</v>
      </c>
      <c r="AU73" s="404" t="e">
        <f t="shared" ca="1" si="57"/>
        <v>#VALUE!</v>
      </c>
      <c r="AV73" s="404" t="e">
        <f t="shared" ca="1" si="57"/>
        <v>#VALUE!</v>
      </c>
      <c r="AW73" s="404" t="e">
        <f t="shared" ca="1" si="57"/>
        <v>#VALUE!</v>
      </c>
      <c r="AX73" s="404" t="e">
        <f t="shared" ca="1" si="57"/>
        <v>#VALUE!</v>
      </c>
      <c r="AY73" s="404" t="e">
        <f t="shared" ca="1" si="57"/>
        <v>#VALUE!</v>
      </c>
      <c r="AZ73" s="404" t="e">
        <f t="shared" ca="1" si="57"/>
        <v>#VALUE!</v>
      </c>
      <c r="BA73" s="404" t="e">
        <f t="shared" ca="1" si="57"/>
        <v>#VALUE!</v>
      </c>
      <c r="BB73" s="404" t="e">
        <f t="shared" ca="1" si="57"/>
        <v>#VALUE!</v>
      </c>
      <c r="BC73" s="404" t="e">
        <f t="shared" ca="1" si="57"/>
        <v>#VALUE!</v>
      </c>
      <c r="BD73" s="404" t="e">
        <f t="shared" ca="1" si="57"/>
        <v>#VALUE!</v>
      </c>
      <c r="BE73" s="404" t="e">
        <f t="shared" ca="1" si="57"/>
        <v>#VALUE!</v>
      </c>
      <c r="BF73" s="404" t="e">
        <f t="shared" ca="1" si="57"/>
        <v>#VALUE!</v>
      </c>
      <c r="BG73" s="404" t="e">
        <f t="shared" ca="1" si="57"/>
        <v>#VALUE!</v>
      </c>
      <c r="BH73" s="404" t="e">
        <f t="shared" ca="1" si="57"/>
        <v>#VALUE!</v>
      </c>
      <c r="BI73" s="404" t="e">
        <f t="shared" ca="1" si="57"/>
        <v>#VALUE!</v>
      </c>
      <c r="BJ73" s="404" t="e">
        <f t="shared" ca="1" si="57"/>
        <v>#REF!</v>
      </c>
      <c r="BK73" s="404" t="e">
        <f t="shared" ca="1" si="57"/>
        <v>#REF!</v>
      </c>
      <c r="BL73" s="404" t="e">
        <f t="shared" ca="1" si="57"/>
        <v>#REF!</v>
      </c>
      <c r="BM73" s="404" t="e">
        <f t="shared" ca="1" si="57"/>
        <v>#REF!</v>
      </c>
      <c r="BN73" s="404" t="e">
        <f t="shared" ca="1" si="57"/>
        <v>#REF!</v>
      </c>
      <c r="BO73" s="404" t="e">
        <f t="shared" ca="1" si="57"/>
        <v>#REF!</v>
      </c>
      <c r="BP73" s="404" t="e">
        <f t="shared" ca="1" si="57"/>
        <v>#REF!</v>
      </c>
      <c r="BQ73" s="404" t="e">
        <f t="shared" ca="1" si="57"/>
        <v>#REF!</v>
      </c>
      <c r="BR73" s="404" t="e">
        <f t="shared" ca="1" si="57"/>
        <v>#REF!</v>
      </c>
    </row>
    <row r="74" spans="1:70" ht="15.75" x14ac:dyDescent="0.3">
      <c r="B74" s="405" t="e">
        <f t="shared" ca="1" si="47"/>
        <v>#VALUE!</v>
      </c>
      <c r="C74" s="390" t="s">
        <v>3665</v>
      </c>
      <c r="D74" s="390" t="s">
        <v>3628</v>
      </c>
      <c r="E74" s="404" t="e">
        <f t="shared" ref="E74:AJ74" ca="1" si="58">E67+E63+E55</f>
        <v>#VALUE!</v>
      </c>
      <c r="F74" s="404" t="e">
        <f t="shared" ca="1" si="58"/>
        <v>#VALUE!</v>
      </c>
      <c r="G74" s="404" t="e">
        <f t="shared" ca="1" si="58"/>
        <v>#VALUE!</v>
      </c>
      <c r="H74" s="404" t="e">
        <f t="shared" ca="1" si="58"/>
        <v>#VALUE!</v>
      </c>
      <c r="I74" s="404" t="e">
        <f t="shared" ca="1" si="58"/>
        <v>#VALUE!</v>
      </c>
      <c r="J74" s="404" t="e">
        <f t="shared" ca="1" si="58"/>
        <v>#VALUE!</v>
      </c>
      <c r="K74" s="404" t="e">
        <f t="shared" ca="1" si="58"/>
        <v>#VALUE!</v>
      </c>
      <c r="L74" s="404" t="e">
        <f t="shared" ca="1" si="58"/>
        <v>#VALUE!</v>
      </c>
      <c r="M74" s="404" t="e">
        <f t="shared" ca="1" si="58"/>
        <v>#VALUE!</v>
      </c>
      <c r="N74" s="404" t="e">
        <f t="shared" ca="1" si="58"/>
        <v>#VALUE!</v>
      </c>
      <c r="O74" s="404" t="e">
        <f t="shared" ca="1" si="58"/>
        <v>#VALUE!</v>
      </c>
      <c r="P74" s="404" t="e">
        <f t="shared" ca="1" si="58"/>
        <v>#VALUE!</v>
      </c>
      <c r="Q74" s="404" t="e">
        <f t="shared" ca="1" si="58"/>
        <v>#VALUE!</v>
      </c>
      <c r="R74" s="404" t="e">
        <f t="shared" ca="1" si="58"/>
        <v>#VALUE!</v>
      </c>
      <c r="S74" s="404" t="e">
        <f t="shared" ca="1" si="58"/>
        <v>#VALUE!</v>
      </c>
      <c r="T74" s="404" t="e">
        <f t="shared" ca="1" si="58"/>
        <v>#VALUE!</v>
      </c>
      <c r="U74" s="404" t="e">
        <f t="shared" ca="1" si="58"/>
        <v>#VALUE!</v>
      </c>
      <c r="V74" s="404" t="e">
        <f t="shared" ca="1" si="58"/>
        <v>#VALUE!</v>
      </c>
      <c r="W74" s="404" t="e">
        <f t="shared" ca="1" si="58"/>
        <v>#VALUE!</v>
      </c>
      <c r="X74" s="404" t="e">
        <f t="shared" ca="1" si="58"/>
        <v>#VALUE!</v>
      </c>
      <c r="Y74" s="404" t="e">
        <f t="shared" ca="1" si="58"/>
        <v>#VALUE!</v>
      </c>
      <c r="Z74" s="404" t="e">
        <f t="shared" ca="1" si="58"/>
        <v>#VALUE!</v>
      </c>
      <c r="AA74" s="404" t="e">
        <f t="shared" ca="1" si="58"/>
        <v>#VALUE!</v>
      </c>
      <c r="AB74" s="404" t="e">
        <f t="shared" ca="1" si="58"/>
        <v>#VALUE!</v>
      </c>
      <c r="AC74" s="404" t="e">
        <f t="shared" ca="1" si="58"/>
        <v>#VALUE!</v>
      </c>
      <c r="AD74" s="404" t="e">
        <f t="shared" ca="1" si="58"/>
        <v>#VALUE!</v>
      </c>
      <c r="AE74" s="404" t="e">
        <f t="shared" ca="1" si="58"/>
        <v>#VALUE!</v>
      </c>
      <c r="AF74" s="404" t="e">
        <f t="shared" ca="1" si="58"/>
        <v>#VALUE!</v>
      </c>
      <c r="AG74" s="404" t="e">
        <f t="shared" ca="1" si="58"/>
        <v>#VALUE!</v>
      </c>
      <c r="AH74" s="404" t="e">
        <f t="shared" ca="1" si="58"/>
        <v>#VALUE!</v>
      </c>
      <c r="AI74" s="404" t="e">
        <f t="shared" ca="1" si="58"/>
        <v>#VALUE!</v>
      </c>
      <c r="AJ74" s="404" t="e">
        <f t="shared" ca="1" si="58"/>
        <v>#VALUE!</v>
      </c>
      <c r="AK74" s="404" t="e">
        <f t="shared" ref="AK74:BR74" ca="1" si="59">AK67+AK63+AK55</f>
        <v>#VALUE!</v>
      </c>
      <c r="AL74" s="404" t="e">
        <f t="shared" ca="1" si="59"/>
        <v>#VALUE!</v>
      </c>
      <c r="AM74" s="404" t="e">
        <f t="shared" ca="1" si="59"/>
        <v>#VALUE!</v>
      </c>
      <c r="AN74" s="404" t="e">
        <f t="shared" ca="1" si="59"/>
        <v>#VALUE!</v>
      </c>
      <c r="AO74" s="404" t="e">
        <f t="shared" ca="1" si="59"/>
        <v>#VALUE!</v>
      </c>
      <c r="AP74" s="404" t="e">
        <f t="shared" ca="1" si="59"/>
        <v>#VALUE!</v>
      </c>
      <c r="AQ74" s="404" t="e">
        <f t="shared" ca="1" si="59"/>
        <v>#VALUE!</v>
      </c>
      <c r="AR74" s="404" t="e">
        <f t="shared" ca="1" si="59"/>
        <v>#VALUE!</v>
      </c>
      <c r="AS74" s="404" t="e">
        <f t="shared" ca="1" si="59"/>
        <v>#VALUE!</v>
      </c>
      <c r="AT74" s="404" t="e">
        <f t="shared" ca="1" si="59"/>
        <v>#VALUE!</v>
      </c>
      <c r="AU74" s="404" t="e">
        <f t="shared" ca="1" si="59"/>
        <v>#VALUE!</v>
      </c>
      <c r="AV74" s="404" t="e">
        <f t="shared" ca="1" si="59"/>
        <v>#VALUE!</v>
      </c>
      <c r="AW74" s="404" t="e">
        <f t="shared" ca="1" si="59"/>
        <v>#VALUE!</v>
      </c>
      <c r="AX74" s="404" t="e">
        <f t="shared" ca="1" si="59"/>
        <v>#VALUE!</v>
      </c>
      <c r="AY74" s="404" t="e">
        <f t="shared" ca="1" si="59"/>
        <v>#VALUE!</v>
      </c>
      <c r="AZ74" s="404" t="e">
        <f t="shared" ca="1" si="59"/>
        <v>#VALUE!</v>
      </c>
      <c r="BA74" s="404" t="e">
        <f t="shared" ca="1" si="59"/>
        <v>#VALUE!</v>
      </c>
      <c r="BB74" s="404" t="e">
        <f t="shared" ca="1" si="59"/>
        <v>#VALUE!</v>
      </c>
      <c r="BC74" s="404" t="e">
        <f t="shared" ca="1" si="59"/>
        <v>#VALUE!</v>
      </c>
      <c r="BD74" s="404" t="e">
        <f t="shared" ca="1" si="59"/>
        <v>#VALUE!</v>
      </c>
      <c r="BE74" s="404" t="e">
        <f t="shared" ca="1" si="59"/>
        <v>#VALUE!</v>
      </c>
      <c r="BF74" s="404" t="e">
        <f t="shared" ca="1" si="59"/>
        <v>#VALUE!</v>
      </c>
      <c r="BG74" s="404" t="e">
        <f t="shared" ca="1" si="59"/>
        <v>#VALUE!</v>
      </c>
      <c r="BH74" s="404" t="e">
        <f t="shared" ca="1" si="59"/>
        <v>#VALUE!</v>
      </c>
      <c r="BI74" s="404" t="e">
        <f t="shared" ca="1" si="59"/>
        <v>#VALUE!</v>
      </c>
      <c r="BJ74" s="404" t="e">
        <f t="shared" ca="1" si="59"/>
        <v>#REF!</v>
      </c>
      <c r="BK74" s="404" t="e">
        <f t="shared" ca="1" si="59"/>
        <v>#REF!</v>
      </c>
      <c r="BL74" s="404" t="e">
        <f t="shared" ca="1" si="59"/>
        <v>#REF!</v>
      </c>
      <c r="BM74" s="404" t="e">
        <f t="shared" ca="1" si="59"/>
        <v>#REF!</v>
      </c>
      <c r="BN74" s="404" t="e">
        <f t="shared" ca="1" si="59"/>
        <v>#REF!</v>
      </c>
      <c r="BO74" s="404" t="e">
        <f t="shared" ca="1" si="59"/>
        <v>#REF!</v>
      </c>
      <c r="BP74" s="404" t="e">
        <f t="shared" ca="1" si="59"/>
        <v>#REF!</v>
      </c>
      <c r="BQ74" s="404" t="e">
        <f t="shared" ca="1" si="59"/>
        <v>#REF!</v>
      </c>
      <c r="BR74" s="404" t="e">
        <f t="shared" ca="1" si="59"/>
        <v>#REF!</v>
      </c>
    </row>
    <row r="75" spans="1:70" ht="15.75" x14ac:dyDescent="0.3">
      <c r="B75" s="405" t="e">
        <f t="shared" ca="1" si="47"/>
        <v>#REF!</v>
      </c>
      <c r="C75" s="390" t="s">
        <v>3665</v>
      </c>
      <c r="D75" s="390" t="s">
        <v>3629</v>
      </c>
      <c r="E75" s="404" t="e">
        <f t="shared" ref="E75:AJ75" ca="1" si="60">E69-E71-E73</f>
        <v>#REF!</v>
      </c>
      <c r="F75" s="404" t="e">
        <f t="shared" ca="1" si="60"/>
        <v>#REF!</v>
      </c>
      <c r="G75" s="404" t="e">
        <f t="shared" ca="1" si="60"/>
        <v>#REF!</v>
      </c>
      <c r="H75" s="404" t="e">
        <f t="shared" ca="1" si="60"/>
        <v>#REF!</v>
      </c>
      <c r="I75" s="404" t="e">
        <f t="shared" ca="1" si="60"/>
        <v>#REF!</v>
      </c>
      <c r="J75" s="404" t="e">
        <f t="shared" ca="1" si="60"/>
        <v>#REF!</v>
      </c>
      <c r="K75" s="404" t="e">
        <f t="shared" ca="1" si="60"/>
        <v>#REF!</v>
      </c>
      <c r="L75" s="404" t="e">
        <f t="shared" ca="1" si="60"/>
        <v>#REF!</v>
      </c>
      <c r="M75" s="404" t="e">
        <f t="shared" ca="1" si="60"/>
        <v>#REF!</v>
      </c>
      <c r="N75" s="404" t="e">
        <f t="shared" ca="1" si="60"/>
        <v>#REF!</v>
      </c>
      <c r="O75" s="404" t="e">
        <f t="shared" ca="1" si="60"/>
        <v>#REF!</v>
      </c>
      <c r="P75" s="404" t="e">
        <f t="shared" ca="1" si="60"/>
        <v>#REF!</v>
      </c>
      <c r="Q75" s="404" t="e">
        <f t="shared" ca="1" si="60"/>
        <v>#REF!</v>
      </c>
      <c r="R75" s="404" t="e">
        <f t="shared" ca="1" si="60"/>
        <v>#REF!</v>
      </c>
      <c r="S75" s="404" t="e">
        <f t="shared" ca="1" si="60"/>
        <v>#REF!</v>
      </c>
      <c r="T75" s="404" t="e">
        <f t="shared" ca="1" si="60"/>
        <v>#REF!</v>
      </c>
      <c r="U75" s="404" t="e">
        <f t="shared" ca="1" si="60"/>
        <v>#REF!</v>
      </c>
      <c r="V75" s="404" t="e">
        <f t="shared" ca="1" si="60"/>
        <v>#REF!</v>
      </c>
      <c r="W75" s="404" t="e">
        <f t="shared" ca="1" si="60"/>
        <v>#REF!</v>
      </c>
      <c r="X75" s="404" t="e">
        <f t="shared" ca="1" si="60"/>
        <v>#REF!</v>
      </c>
      <c r="Y75" s="404" t="e">
        <f t="shared" ca="1" si="60"/>
        <v>#REF!</v>
      </c>
      <c r="Z75" s="404" t="e">
        <f t="shared" ca="1" si="60"/>
        <v>#REF!</v>
      </c>
      <c r="AA75" s="404" t="e">
        <f t="shared" ca="1" si="60"/>
        <v>#REF!</v>
      </c>
      <c r="AB75" s="404" t="e">
        <f t="shared" ca="1" si="60"/>
        <v>#REF!</v>
      </c>
      <c r="AC75" s="404" t="e">
        <f t="shared" ca="1" si="60"/>
        <v>#REF!</v>
      </c>
      <c r="AD75" s="404" t="e">
        <f t="shared" ca="1" si="60"/>
        <v>#REF!</v>
      </c>
      <c r="AE75" s="404" t="e">
        <f t="shared" ca="1" si="60"/>
        <v>#REF!</v>
      </c>
      <c r="AF75" s="404" t="e">
        <f t="shared" ca="1" si="60"/>
        <v>#REF!</v>
      </c>
      <c r="AG75" s="404" t="e">
        <f t="shared" ca="1" si="60"/>
        <v>#REF!</v>
      </c>
      <c r="AH75" s="404" t="e">
        <f t="shared" ca="1" si="60"/>
        <v>#REF!</v>
      </c>
      <c r="AI75" s="404" t="e">
        <f t="shared" ca="1" si="60"/>
        <v>#REF!</v>
      </c>
      <c r="AJ75" s="404" t="e">
        <f t="shared" ca="1" si="60"/>
        <v>#REF!</v>
      </c>
      <c r="AK75" s="404" t="e">
        <f t="shared" ref="AK75:BR75" ca="1" si="61">AK69-AK71-AK73</f>
        <v>#REF!</v>
      </c>
      <c r="AL75" s="404" t="e">
        <f t="shared" ca="1" si="61"/>
        <v>#REF!</v>
      </c>
      <c r="AM75" s="404" t="e">
        <f t="shared" ca="1" si="61"/>
        <v>#REF!</v>
      </c>
      <c r="AN75" s="404" t="e">
        <f t="shared" ca="1" si="61"/>
        <v>#REF!</v>
      </c>
      <c r="AO75" s="404" t="e">
        <f t="shared" ca="1" si="61"/>
        <v>#REF!</v>
      </c>
      <c r="AP75" s="404" t="e">
        <f t="shared" ca="1" si="61"/>
        <v>#REF!</v>
      </c>
      <c r="AQ75" s="404" t="e">
        <f t="shared" ca="1" si="61"/>
        <v>#REF!</v>
      </c>
      <c r="AR75" s="404" t="e">
        <f t="shared" ca="1" si="61"/>
        <v>#REF!</v>
      </c>
      <c r="AS75" s="404" t="e">
        <f t="shared" ca="1" si="61"/>
        <v>#REF!</v>
      </c>
      <c r="AT75" s="404" t="e">
        <f t="shared" ca="1" si="61"/>
        <v>#REF!</v>
      </c>
      <c r="AU75" s="404" t="e">
        <f t="shared" ca="1" si="61"/>
        <v>#REF!</v>
      </c>
      <c r="AV75" s="404" t="e">
        <f t="shared" ca="1" si="61"/>
        <v>#REF!</v>
      </c>
      <c r="AW75" s="404" t="e">
        <f t="shared" ca="1" si="61"/>
        <v>#REF!</v>
      </c>
      <c r="AX75" s="404" t="e">
        <f t="shared" ca="1" si="61"/>
        <v>#REF!</v>
      </c>
      <c r="AY75" s="404" t="e">
        <f t="shared" ca="1" si="61"/>
        <v>#REF!</v>
      </c>
      <c r="AZ75" s="404" t="e">
        <f t="shared" ca="1" si="61"/>
        <v>#REF!</v>
      </c>
      <c r="BA75" s="404" t="e">
        <f t="shared" ca="1" si="61"/>
        <v>#REF!</v>
      </c>
      <c r="BB75" s="404" t="e">
        <f t="shared" ca="1" si="61"/>
        <v>#REF!</v>
      </c>
      <c r="BC75" s="404" t="e">
        <f t="shared" ca="1" si="61"/>
        <v>#REF!</v>
      </c>
      <c r="BD75" s="404" t="e">
        <f t="shared" ca="1" si="61"/>
        <v>#REF!</v>
      </c>
      <c r="BE75" s="404" t="e">
        <f t="shared" ca="1" si="61"/>
        <v>#REF!</v>
      </c>
      <c r="BF75" s="404" t="e">
        <f t="shared" ca="1" si="61"/>
        <v>#REF!</v>
      </c>
      <c r="BG75" s="404" t="e">
        <f t="shared" ca="1" si="61"/>
        <v>#REF!</v>
      </c>
      <c r="BH75" s="404" t="e">
        <f t="shared" ca="1" si="61"/>
        <v>#REF!</v>
      </c>
      <c r="BI75" s="404" t="e">
        <f t="shared" ca="1" si="61"/>
        <v>#REF!</v>
      </c>
      <c r="BJ75" s="404" t="e">
        <f t="shared" ca="1" si="61"/>
        <v>#REF!</v>
      </c>
      <c r="BK75" s="404" t="e">
        <f t="shared" ca="1" si="61"/>
        <v>#REF!</v>
      </c>
      <c r="BL75" s="404" t="e">
        <f t="shared" ca="1" si="61"/>
        <v>#REF!</v>
      </c>
      <c r="BM75" s="404" t="e">
        <f t="shared" ca="1" si="61"/>
        <v>#REF!</v>
      </c>
      <c r="BN75" s="404" t="e">
        <f t="shared" ca="1" si="61"/>
        <v>#REF!</v>
      </c>
      <c r="BO75" s="404" t="e">
        <f t="shared" ca="1" si="61"/>
        <v>#REF!</v>
      </c>
      <c r="BP75" s="404" t="e">
        <f t="shared" ca="1" si="61"/>
        <v>#REF!</v>
      </c>
      <c r="BQ75" s="404" t="e">
        <f t="shared" ca="1" si="61"/>
        <v>#REF!</v>
      </c>
      <c r="BR75" s="404" t="e">
        <f t="shared" ca="1" si="61"/>
        <v>#REF!</v>
      </c>
    </row>
    <row r="76" spans="1:70" ht="15.75" x14ac:dyDescent="0.3">
      <c r="B76" s="405" t="e">
        <f t="shared" ca="1" si="47"/>
        <v>#REF!</v>
      </c>
      <c r="C76" s="390" t="s">
        <v>3665</v>
      </c>
      <c r="D76" s="390" t="s">
        <v>3630</v>
      </c>
      <c r="E76" s="404" t="e">
        <f t="shared" ref="E76:AJ76" ca="1" si="62">E70-E72-E74</f>
        <v>#REF!</v>
      </c>
      <c r="F76" s="404" t="e">
        <f t="shared" ca="1" si="62"/>
        <v>#REF!</v>
      </c>
      <c r="G76" s="404" t="e">
        <f t="shared" ca="1" si="62"/>
        <v>#REF!</v>
      </c>
      <c r="H76" s="404" t="e">
        <f t="shared" ca="1" si="62"/>
        <v>#REF!</v>
      </c>
      <c r="I76" s="404" t="e">
        <f t="shared" ca="1" si="62"/>
        <v>#REF!</v>
      </c>
      <c r="J76" s="404" t="e">
        <f t="shared" ca="1" si="62"/>
        <v>#REF!</v>
      </c>
      <c r="K76" s="404" t="e">
        <f t="shared" ca="1" si="62"/>
        <v>#REF!</v>
      </c>
      <c r="L76" s="404" t="e">
        <f t="shared" ca="1" si="62"/>
        <v>#REF!</v>
      </c>
      <c r="M76" s="404" t="e">
        <f t="shared" ca="1" si="62"/>
        <v>#REF!</v>
      </c>
      <c r="N76" s="404" t="e">
        <f t="shared" ca="1" si="62"/>
        <v>#REF!</v>
      </c>
      <c r="O76" s="404" t="e">
        <f t="shared" ca="1" si="62"/>
        <v>#REF!</v>
      </c>
      <c r="P76" s="404" t="e">
        <f t="shared" ca="1" si="62"/>
        <v>#REF!</v>
      </c>
      <c r="Q76" s="404" t="e">
        <f t="shared" ca="1" si="62"/>
        <v>#REF!</v>
      </c>
      <c r="R76" s="404" t="e">
        <f t="shared" ca="1" si="62"/>
        <v>#REF!</v>
      </c>
      <c r="S76" s="404" t="e">
        <f t="shared" ca="1" si="62"/>
        <v>#REF!</v>
      </c>
      <c r="T76" s="404" t="e">
        <f t="shared" ca="1" si="62"/>
        <v>#REF!</v>
      </c>
      <c r="U76" s="404" t="e">
        <f t="shared" ca="1" si="62"/>
        <v>#REF!</v>
      </c>
      <c r="V76" s="404" t="e">
        <f t="shared" ca="1" si="62"/>
        <v>#REF!</v>
      </c>
      <c r="W76" s="404" t="e">
        <f t="shared" ca="1" si="62"/>
        <v>#REF!</v>
      </c>
      <c r="X76" s="404" t="e">
        <f t="shared" ca="1" si="62"/>
        <v>#REF!</v>
      </c>
      <c r="Y76" s="404" t="e">
        <f t="shared" ca="1" si="62"/>
        <v>#REF!</v>
      </c>
      <c r="Z76" s="404" t="e">
        <f t="shared" ca="1" si="62"/>
        <v>#REF!</v>
      </c>
      <c r="AA76" s="404" t="e">
        <f t="shared" ca="1" si="62"/>
        <v>#REF!</v>
      </c>
      <c r="AB76" s="404" t="e">
        <f t="shared" ca="1" si="62"/>
        <v>#REF!</v>
      </c>
      <c r="AC76" s="404" t="e">
        <f t="shared" ca="1" si="62"/>
        <v>#REF!</v>
      </c>
      <c r="AD76" s="404" t="e">
        <f t="shared" ca="1" si="62"/>
        <v>#REF!</v>
      </c>
      <c r="AE76" s="404" t="e">
        <f t="shared" ca="1" si="62"/>
        <v>#REF!</v>
      </c>
      <c r="AF76" s="404" t="e">
        <f t="shared" ca="1" si="62"/>
        <v>#REF!</v>
      </c>
      <c r="AG76" s="404" t="e">
        <f t="shared" ca="1" si="62"/>
        <v>#REF!</v>
      </c>
      <c r="AH76" s="404" t="e">
        <f t="shared" ca="1" si="62"/>
        <v>#REF!</v>
      </c>
      <c r="AI76" s="404" t="e">
        <f t="shared" ca="1" si="62"/>
        <v>#REF!</v>
      </c>
      <c r="AJ76" s="404" t="e">
        <f t="shared" ca="1" si="62"/>
        <v>#REF!</v>
      </c>
      <c r="AK76" s="404" t="e">
        <f t="shared" ref="AK76:BR76" ca="1" si="63">AK70-AK72-AK74</f>
        <v>#REF!</v>
      </c>
      <c r="AL76" s="404" t="e">
        <f t="shared" ca="1" si="63"/>
        <v>#REF!</v>
      </c>
      <c r="AM76" s="404" t="e">
        <f t="shared" ca="1" si="63"/>
        <v>#REF!</v>
      </c>
      <c r="AN76" s="404" t="e">
        <f t="shared" ca="1" si="63"/>
        <v>#REF!</v>
      </c>
      <c r="AO76" s="404" t="e">
        <f t="shared" ca="1" si="63"/>
        <v>#REF!</v>
      </c>
      <c r="AP76" s="404" t="e">
        <f t="shared" ca="1" si="63"/>
        <v>#REF!</v>
      </c>
      <c r="AQ76" s="404" t="e">
        <f t="shared" ca="1" si="63"/>
        <v>#REF!</v>
      </c>
      <c r="AR76" s="404" t="e">
        <f t="shared" ca="1" si="63"/>
        <v>#REF!</v>
      </c>
      <c r="AS76" s="404" t="e">
        <f t="shared" ca="1" si="63"/>
        <v>#REF!</v>
      </c>
      <c r="AT76" s="404" t="e">
        <f t="shared" ca="1" si="63"/>
        <v>#REF!</v>
      </c>
      <c r="AU76" s="404" t="e">
        <f t="shared" ca="1" si="63"/>
        <v>#REF!</v>
      </c>
      <c r="AV76" s="404" t="e">
        <f t="shared" ca="1" si="63"/>
        <v>#REF!</v>
      </c>
      <c r="AW76" s="404" t="e">
        <f t="shared" ca="1" si="63"/>
        <v>#REF!</v>
      </c>
      <c r="AX76" s="404" t="e">
        <f t="shared" ca="1" si="63"/>
        <v>#REF!</v>
      </c>
      <c r="AY76" s="404" t="e">
        <f t="shared" ca="1" si="63"/>
        <v>#REF!</v>
      </c>
      <c r="AZ76" s="404" t="e">
        <f t="shared" ca="1" si="63"/>
        <v>#REF!</v>
      </c>
      <c r="BA76" s="404" t="e">
        <f t="shared" ca="1" si="63"/>
        <v>#REF!</v>
      </c>
      <c r="BB76" s="404" t="e">
        <f t="shared" ca="1" si="63"/>
        <v>#REF!</v>
      </c>
      <c r="BC76" s="404" t="e">
        <f t="shared" ca="1" si="63"/>
        <v>#REF!</v>
      </c>
      <c r="BD76" s="404" t="e">
        <f t="shared" ca="1" si="63"/>
        <v>#REF!</v>
      </c>
      <c r="BE76" s="404" t="e">
        <f t="shared" ca="1" si="63"/>
        <v>#REF!</v>
      </c>
      <c r="BF76" s="404" t="e">
        <f t="shared" ca="1" si="63"/>
        <v>#REF!</v>
      </c>
      <c r="BG76" s="404" t="e">
        <f t="shared" ca="1" si="63"/>
        <v>#REF!</v>
      </c>
      <c r="BH76" s="404" t="e">
        <f t="shared" ca="1" si="63"/>
        <v>#REF!</v>
      </c>
      <c r="BI76" s="404" t="e">
        <f t="shared" ca="1" si="63"/>
        <v>#REF!</v>
      </c>
      <c r="BJ76" s="404" t="e">
        <f t="shared" ca="1" si="63"/>
        <v>#REF!</v>
      </c>
      <c r="BK76" s="404" t="e">
        <f t="shared" ca="1" si="63"/>
        <v>#REF!</v>
      </c>
      <c r="BL76" s="404" t="e">
        <f t="shared" ca="1" si="63"/>
        <v>#REF!</v>
      </c>
      <c r="BM76" s="404" t="e">
        <f t="shared" ca="1" si="63"/>
        <v>#REF!</v>
      </c>
      <c r="BN76" s="404" t="e">
        <f t="shared" ca="1" si="63"/>
        <v>#REF!</v>
      </c>
      <c r="BO76" s="404" t="e">
        <f t="shared" ca="1" si="63"/>
        <v>#REF!</v>
      </c>
      <c r="BP76" s="404" t="e">
        <f t="shared" ca="1" si="63"/>
        <v>#REF!</v>
      </c>
      <c r="BQ76" s="404" t="e">
        <f t="shared" ca="1" si="63"/>
        <v>#REF!</v>
      </c>
      <c r="BR76" s="404" t="e">
        <f t="shared" ca="1" si="63"/>
        <v>#REF!</v>
      </c>
    </row>
    <row r="77" spans="1:70" ht="15.75" x14ac:dyDescent="0.3">
      <c r="D77" s="390" t="s">
        <v>3631</v>
      </c>
      <c r="E77" s="404" t="e">
        <f t="shared" ref="E77:AJ77" ca="1" si="64">E69-E71</f>
        <v>#REF!</v>
      </c>
      <c r="F77" s="404" t="e">
        <f t="shared" ca="1" si="64"/>
        <v>#REF!</v>
      </c>
      <c r="G77" s="404" t="e">
        <f t="shared" ca="1" si="64"/>
        <v>#REF!</v>
      </c>
      <c r="H77" s="404" t="e">
        <f t="shared" ca="1" si="64"/>
        <v>#REF!</v>
      </c>
      <c r="I77" s="404" t="e">
        <f t="shared" ca="1" si="64"/>
        <v>#REF!</v>
      </c>
      <c r="J77" s="404" t="e">
        <f t="shared" ca="1" si="64"/>
        <v>#REF!</v>
      </c>
      <c r="K77" s="404" t="e">
        <f t="shared" ca="1" si="64"/>
        <v>#REF!</v>
      </c>
      <c r="L77" s="404" t="e">
        <f t="shared" ca="1" si="64"/>
        <v>#REF!</v>
      </c>
      <c r="M77" s="404" t="e">
        <f t="shared" ca="1" si="64"/>
        <v>#REF!</v>
      </c>
      <c r="N77" s="404" t="e">
        <f t="shared" ca="1" si="64"/>
        <v>#REF!</v>
      </c>
      <c r="O77" s="404" t="e">
        <f t="shared" ca="1" si="64"/>
        <v>#REF!</v>
      </c>
      <c r="P77" s="404" t="e">
        <f ca="1">P69-P71</f>
        <v>#REF!</v>
      </c>
      <c r="Q77" s="404" t="e">
        <f t="shared" ca="1" si="64"/>
        <v>#REF!</v>
      </c>
      <c r="R77" s="404" t="e">
        <f t="shared" ca="1" si="64"/>
        <v>#REF!</v>
      </c>
      <c r="S77" s="404" t="e">
        <f t="shared" ca="1" si="64"/>
        <v>#REF!</v>
      </c>
      <c r="T77" s="404" t="e">
        <f t="shared" ca="1" si="64"/>
        <v>#REF!</v>
      </c>
      <c r="U77" s="404" t="e">
        <f t="shared" ca="1" si="64"/>
        <v>#REF!</v>
      </c>
      <c r="V77" s="404" t="e">
        <f t="shared" ca="1" si="64"/>
        <v>#REF!</v>
      </c>
      <c r="W77" s="404" t="e">
        <f t="shared" ca="1" si="64"/>
        <v>#REF!</v>
      </c>
      <c r="X77" s="404" t="e">
        <f t="shared" ca="1" si="64"/>
        <v>#REF!</v>
      </c>
      <c r="Y77" s="404" t="e">
        <f t="shared" ca="1" si="64"/>
        <v>#REF!</v>
      </c>
      <c r="Z77" s="404" t="e">
        <f t="shared" ca="1" si="64"/>
        <v>#REF!</v>
      </c>
      <c r="AA77" s="404" t="e">
        <f t="shared" ca="1" si="64"/>
        <v>#REF!</v>
      </c>
      <c r="AB77" s="404" t="e">
        <f t="shared" ca="1" si="64"/>
        <v>#REF!</v>
      </c>
      <c r="AC77" s="404" t="e">
        <f t="shared" ca="1" si="64"/>
        <v>#REF!</v>
      </c>
      <c r="AD77" s="404" t="e">
        <f t="shared" ca="1" si="64"/>
        <v>#REF!</v>
      </c>
      <c r="AE77" s="404" t="e">
        <f t="shared" ca="1" si="64"/>
        <v>#REF!</v>
      </c>
      <c r="AF77" s="404" t="e">
        <f t="shared" ca="1" si="64"/>
        <v>#REF!</v>
      </c>
      <c r="AG77" s="404" t="e">
        <f t="shared" ca="1" si="64"/>
        <v>#REF!</v>
      </c>
      <c r="AH77" s="404" t="e">
        <f t="shared" ca="1" si="64"/>
        <v>#REF!</v>
      </c>
      <c r="AI77" s="404" t="e">
        <f t="shared" ca="1" si="64"/>
        <v>#REF!</v>
      </c>
      <c r="AJ77" s="404" t="e">
        <f t="shared" ca="1" si="64"/>
        <v>#REF!</v>
      </c>
      <c r="AK77" s="404" t="e">
        <f t="shared" ref="AK77:BR77" ca="1" si="65">AK69-AK71</f>
        <v>#REF!</v>
      </c>
      <c r="AL77" s="404" t="e">
        <f t="shared" ca="1" si="65"/>
        <v>#REF!</v>
      </c>
      <c r="AM77" s="404" t="e">
        <f t="shared" ca="1" si="65"/>
        <v>#REF!</v>
      </c>
      <c r="AN77" s="404" t="e">
        <f t="shared" ca="1" si="65"/>
        <v>#REF!</v>
      </c>
      <c r="AO77" s="404" t="e">
        <f t="shared" ca="1" si="65"/>
        <v>#REF!</v>
      </c>
      <c r="AP77" s="404" t="e">
        <f t="shared" ca="1" si="65"/>
        <v>#REF!</v>
      </c>
      <c r="AQ77" s="404" t="e">
        <f t="shared" ca="1" si="65"/>
        <v>#REF!</v>
      </c>
      <c r="AR77" s="404" t="e">
        <f t="shared" ca="1" si="65"/>
        <v>#REF!</v>
      </c>
      <c r="AS77" s="404" t="e">
        <f t="shared" ca="1" si="65"/>
        <v>#REF!</v>
      </c>
      <c r="AT77" s="404" t="e">
        <f t="shared" ca="1" si="65"/>
        <v>#REF!</v>
      </c>
      <c r="AU77" s="404" t="e">
        <f t="shared" ca="1" si="65"/>
        <v>#REF!</v>
      </c>
      <c r="AV77" s="404" t="e">
        <f t="shared" ca="1" si="65"/>
        <v>#REF!</v>
      </c>
      <c r="AW77" s="404" t="e">
        <f t="shared" ca="1" si="65"/>
        <v>#REF!</v>
      </c>
      <c r="AX77" s="404" t="e">
        <f t="shared" ca="1" si="65"/>
        <v>#REF!</v>
      </c>
      <c r="AY77" s="404" t="e">
        <f t="shared" ca="1" si="65"/>
        <v>#REF!</v>
      </c>
      <c r="AZ77" s="404" t="e">
        <f t="shared" ca="1" si="65"/>
        <v>#REF!</v>
      </c>
      <c r="BA77" s="404" t="e">
        <f t="shared" ca="1" si="65"/>
        <v>#REF!</v>
      </c>
      <c r="BB77" s="404" t="e">
        <f t="shared" ca="1" si="65"/>
        <v>#REF!</v>
      </c>
      <c r="BC77" s="404" t="e">
        <f t="shared" ca="1" si="65"/>
        <v>#REF!</v>
      </c>
      <c r="BD77" s="404" t="e">
        <f t="shared" ca="1" si="65"/>
        <v>#REF!</v>
      </c>
      <c r="BE77" s="404" t="e">
        <f t="shared" ca="1" si="65"/>
        <v>#REF!</v>
      </c>
      <c r="BF77" s="404" t="e">
        <f t="shared" ca="1" si="65"/>
        <v>#REF!</v>
      </c>
      <c r="BG77" s="404" t="e">
        <f t="shared" ca="1" si="65"/>
        <v>#REF!</v>
      </c>
      <c r="BH77" s="404" t="e">
        <f t="shared" ca="1" si="65"/>
        <v>#REF!</v>
      </c>
      <c r="BI77" s="404" t="e">
        <f t="shared" ca="1" si="65"/>
        <v>#REF!</v>
      </c>
      <c r="BJ77" s="404" t="e">
        <f t="shared" ca="1" si="65"/>
        <v>#REF!</v>
      </c>
      <c r="BK77" s="404" t="e">
        <f t="shared" ca="1" si="65"/>
        <v>#REF!</v>
      </c>
      <c r="BL77" s="404" t="e">
        <f t="shared" ca="1" si="65"/>
        <v>#REF!</v>
      </c>
      <c r="BM77" s="404" t="e">
        <f t="shared" ca="1" si="65"/>
        <v>#REF!</v>
      </c>
      <c r="BN77" s="404" t="e">
        <f t="shared" ca="1" si="65"/>
        <v>#REF!</v>
      </c>
      <c r="BO77" s="404" t="e">
        <f t="shared" ca="1" si="65"/>
        <v>#REF!</v>
      </c>
      <c r="BP77" s="404" t="e">
        <f t="shared" ca="1" si="65"/>
        <v>#REF!</v>
      </c>
      <c r="BQ77" s="404" t="e">
        <f t="shared" ca="1" si="65"/>
        <v>#REF!</v>
      </c>
      <c r="BR77" s="404" t="e">
        <f t="shared" ca="1" si="65"/>
        <v>#REF!</v>
      </c>
    </row>
    <row r="78" spans="1:70" ht="15.75" x14ac:dyDescent="0.3">
      <c r="D78" s="390" t="s">
        <v>3632</v>
      </c>
      <c r="E78" s="404" t="e">
        <f t="shared" ref="E78:AJ78" ca="1" si="66">E70-E72</f>
        <v>#REF!</v>
      </c>
      <c r="F78" s="404" t="e">
        <f t="shared" ca="1" si="66"/>
        <v>#REF!</v>
      </c>
      <c r="G78" s="404" t="e">
        <f t="shared" ca="1" si="66"/>
        <v>#REF!</v>
      </c>
      <c r="H78" s="404" t="e">
        <f t="shared" ca="1" si="66"/>
        <v>#REF!</v>
      </c>
      <c r="I78" s="404" t="e">
        <f t="shared" ca="1" si="66"/>
        <v>#REF!</v>
      </c>
      <c r="J78" s="404" t="e">
        <f t="shared" ca="1" si="66"/>
        <v>#REF!</v>
      </c>
      <c r="K78" s="404" t="e">
        <f t="shared" ca="1" si="66"/>
        <v>#REF!</v>
      </c>
      <c r="L78" s="404" t="e">
        <f t="shared" ca="1" si="66"/>
        <v>#REF!</v>
      </c>
      <c r="M78" s="404" t="e">
        <f t="shared" ca="1" si="66"/>
        <v>#REF!</v>
      </c>
      <c r="N78" s="404" t="e">
        <f t="shared" ca="1" si="66"/>
        <v>#REF!</v>
      </c>
      <c r="O78" s="404" t="e">
        <f t="shared" ca="1" si="66"/>
        <v>#REF!</v>
      </c>
      <c r="P78" s="404" t="e">
        <f t="shared" ca="1" si="66"/>
        <v>#REF!</v>
      </c>
      <c r="Q78" s="404" t="e">
        <f t="shared" ca="1" si="66"/>
        <v>#REF!</v>
      </c>
      <c r="R78" s="404" t="e">
        <f t="shared" ca="1" si="66"/>
        <v>#REF!</v>
      </c>
      <c r="S78" s="404" t="e">
        <f t="shared" ca="1" si="66"/>
        <v>#REF!</v>
      </c>
      <c r="T78" s="404" t="e">
        <f t="shared" ca="1" si="66"/>
        <v>#REF!</v>
      </c>
      <c r="U78" s="404" t="e">
        <f t="shared" ca="1" si="66"/>
        <v>#REF!</v>
      </c>
      <c r="V78" s="404" t="e">
        <f t="shared" ca="1" si="66"/>
        <v>#REF!</v>
      </c>
      <c r="W78" s="404" t="e">
        <f t="shared" ca="1" si="66"/>
        <v>#REF!</v>
      </c>
      <c r="X78" s="404" t="e">
        <f t="shared" ca="1" si="66"/>
        <v>#REF!</v>
      </c>
      <c r="Y78" s="404" t="e">
        <f t="shared" ca="1" si="66"/>
        <v>#REF!</v>
      </c>
      <c r="Z78" s="404" t="e">
        <f t="shared" ca="1" si="66"/>
        <v>#REF!</v>
      </c>
      <c r="AA78" s="404" t="e">
        <f t="shared" ca="1" si="66"/>
        <v>#REF!</v>
      </c>
      <c r="AB78" s="404" t="e">
        <f t="shared" ca="1" si="66"/>
        <v>#REF!</v>
      </c>
      <c r="AC78" s="404" t="e">
        <f t="shared" ca="1" si="66"/>
        <v>#REF!</v>
      </c>
      <c r="AD78" s="404" t="e">
        <f t="shared" ca="1" si="66"/>
        <v>#REF!</v>
      </c>
      <c r="AE78" s="404" t="e">
        <f t="shared" ca="1" si="66"/>
        <v>#REF!</v>
      </c>
      <c r="AF78" s="404" t="e">
        <f t="shared" ca="1" si="66"/>
        <v>#REF!</v>
      </c>
      <c r="AG78" s="404" t="e">
        <f t="shared" ca="1" si="66"/>
        <v>#REF!</v>
      </c>
      <c r="AH78" s="404" t="e">
        <f t="shared" ca="1" si="66"/>
        <v>#REF!</v>
      </c>
      <c r="AI78" s="404" t="e">
        <f t="shared" ca="1" si="66"/>
        <v>#REF!</v>
      </c>
      <c r="AJ78" s="404" t="e">
        <f t="shared" ca="1" si="66"/>
        <v>#REF!</v>
      </c>
      <c r="AK78" s="404" t="e">
        <f t="shared" ref="AK78:BR78" ca="1" si="67">AK70-AK72</f>
        <v>#REF!</v>
      </c>
      <c r="AL78" s="404" t="e">
        <f t="shared" ca="1" si="67"/>
        <v>#REF!</v>
      </c>
      <c r="AM78" s="404" t="e">
        <f t="shared" ca="1" si="67"/>
        <v>#REF!</v>
      </c>
      <c r="AN78" s="404" t="e">
        <f t="shared" ca="1" si="67"/>
        <v>#REF!</v>
      </c>
      <c r="AO78" s="404" t="e">
        <f t="shared" ca="1" si="67"/>
        <v>#REF!</v>
      </c>
      <c r="AP78" s="404" t="e">
        <f t="shared" ca="1" si="67"/>
        <v>#REF!</v>
      </c>
      <c r="AQ78" s="404" t="e">
        <f t="shared" ca="1" si="67"/>
        <v>#REF!</v>
      </c>
      <c r="AR78" s="404" t="e">
        <f t="shared" ca="1" si="67"/>
        <v>#REF!</v>
      </c>
      <c r="AS78" s="404" t="e">
        <f t="shared" ca="1" si="67"/>
        <v>#REF!</v>
      </c>
      <c r="AT78" s="404" t="e">
        <f t="shared" ca="1" si="67"/>
        <v>#REF!</v>
      </c>
      <c r="AU78" s="404" t="e">
        <f t="shared" ca="1" si="67"/>
        <v>#REF!</v>
      </c>
      <c r="AV78" s="404" t="e">
        <f t="shared" ca="1" si="67"/>
        <v>#REF!</v>
      </c>
      <c r="AW78" s="404" t="e">
        <f t="shared" ca="1" si="67"/>
        <v>#REF!</v>
      </c>
      <c r="AX78" s="404" t="e">
        <f t="shared" ca="1" si="67"/>
        <v>#REF!</v>
      </c>
      <c r="AY78" s="404" t="e">
        <f t="shared" ca="1" si="67"/>
        <v>#REF!</v>
      </c>
      <c r="AZ78" s="404" t="e">
        <f t="shared" ca="1" si="67"/>
        <v>#REF!</v>
      </c>
      <c r="BA78" s="404" t="e">
        <f t="shared" ca="1" si="67"/>
        <v>#REF!</v>
      </c>
      <c r="BB78" s="404" t="e">
        <f t="shared" ca="1" si="67"/>
        <v>#REF!</v>
      </c>
      <c r="BC78" s="404" t="e">
        <f t="shared" ca="1" si="67"/>
        <v>#REF!</v>
      </c>
      <c r="BD78" s="404" t="e">
        <f t="shared" ca="1" si="67"/>
        <v>#REF!</v>
      </c>
      <c r="BE78" s="404" t="e">
        <f t="shared" ca="1" si="67"/>
        <v>#REF!</v>
      </c>
      <c r="BF78" s="404" t="e">
        <f t="shared" ca="1" si="67"/>
        <v>#REF!</v>
      </c>
      <c r="BG78" s="404" t="e">
        <f t="shared" ca="1" si="67"/>
        <v>#REF!</v>
      </c>
      <c r="BH78" s="404" t="e">
        <f t="shared" ca="1" si="67"/>
        <v>#REF!</v>
      </c>
      <c r="BI78" s="404" t="e">
        <f t="shared" ca="1" si="67"/>
        <v>#REF!</v>
      </c>
      <c r="BJ78" s="404" t="e">
        <f t="shared" ca="1" si="67"/>
        <v>#REF!</v>
      </c>
      <c r="BK78" s="404" t="e">
        <f t="shared" ca="1" si="67"/>
        <v>#REF!</v>
      </c>
      <c r="BL78" s="404" t="e">
        <f t="shared" ca="1" si="67"/>
        <v>#REF!</v>
      </c>
      <c r="BM78" s="404" t="e">
        <f t="shared" ca="1" si="67"/>
        <v>#REF!</v>
      </c>
      <c r="BN78" s="404" t="e">
        <f t="shared" ca="1" si="67"/>
        <v>#REF!</v>
      </c>
      <c r="BO78" s="404" t="e">
        <f t="shared" ca="1" si="67"/>
        <v>#REF!</v>
      </c>
      <c r="BP78" s="404" t="e">
        <f t="shared" ca="1" si="67"/>
        <v>#REF!</v>
      </c>
      <c r="BQ78" s="404" t="e">
        <f t="shared" ca="1" si="67"/>
        <v>#REF!</v>
      </c>
      <c r="BR78" s="404" t="e">
        <f t="shared" ca="1" si="67"/>
        <v>#REF!</v>
      </c>
    </row>
    <row r="79" spans="1:70" s="416" customFormat="1" ht="15.75" x14ac:dyDescent="0.3">
      <c r="A79" s="673"/>
      <c r="B79" s="416" t="s">
        <v>3221</v>
      </c>
      <c r="C79" s="416" t="s">
        <v>3650</v>
      </c>
      <c r="D79" s="416" t="s">
        <v>3633</v>
      </c>
      <c r="E79" s="417" t="e">
        <f t="shared" ref="E79:AJ79" ca="1" si="68">IF(E7&gt;0,E77/E7,0)</f>
        <v>#REF!</v>
      </c>
      <c r="F79" s="417" t="e">
        <f t="shared" ca="1" si="68"/>
        <v>#REF!</v>
      </c>
      <c r="G79" s="417" t="e">
        <f t="shared" ca="1" si="68"/>
        <v>#REF!</v>
      </c>
      <c r="H79" s="417" t="e">
        <f t="shared" ca="1" si="68"/>
        <v>#REF!</v>
      </c>
      <c r="I79" s="417" t="e">
        <f t="shared" ca="1" si="68"/>
        <v>#REF!</v>
      </c>
      <c r="J79" s="417" t="e">
        <f t="shared" ca="1" si="68"/>
        <v>#REF!</v>
      </c>
      <c r="K79" s="417" t="e">
        <f t="shared" ca="1" si="68"/>
        <v>#REF!</v>
      </c>
      <c r="L79" s="417" t="e">
        <f t="shared" ca="1" si="68"/>
        <v>#REF!</v>
      </c>
      <c r="M79" s="417" t="e">
        <f t="shared" ca="1" si="68"/>
        <v>#REF!</v>
      </c>
      <c r="N79" s="417" t="e">
        <f t="shared" ca="1" si="68"/>
        <v>#REF!</v>
      </c>
      <c r="O79" s="417" t="e">
        <f t="shared" ca="1" si="68"/>
        <v>#REF!</v>
      </c>
      <c r="P79" s="417" t="e">
        <f t="shared" ca="1" si="68"/>
        <v>#REF!</v>
      </c>
      <c r="Q79" s="417" t="e">
        <f t="shared" ca="1" si="68"/>
        <v>#REF!</v>
      </c>
      <c r="R79" s="417" t="e">
        <f t="shared" ca="1" si="68"/>
        <v>#REF!</v>
      </c>
      <c r="S79" s="417" t="e">
        <f t="shared" ca="1" si="68"/>
        <v>#REF!</v>
      </c>
      <c r="T79" s="417" t="e">
        <f t="shared" ca="1" si="68"/>
        <v>#REF!</v>
      </c>
      <c r="U79" s="417" t="e">
        <f t="shared" ca="1" si="68"/>
        <v>#REF!</v>
      </c>
      <c r="V79" s="417" t="e">
        <f t="shared" ca="1" si="68"/>
        <v>#REF!</v>
      </c>
      <c r="W79" s="417" t="e">
        <f t="shared" ca="1" si="68"/>
        <v>#REF!</v>
      </c>
      <c r="X79" s="417" t="e">
        <f t="shared" ca="1" si="68"/>
        <v>#REF!</v>
      </c>
      <c r="Y79" s="417" t="e">
        <f t="shared" ca="1" si="68"/>
        <v>#REF!</v>
      </c>
      <c r="Z79" s="417" t="e">
        <f t="shared" ca="1" si="68"/>
        <v>#REF!</v>
      </c>
      <c r="AA79" s="417" t="e">
        <f t="shared" ca="1" si="68"/>
        <v>#REF!</v>
      </c>
      <c r="AB79" s="417" t="e">
        <f t="shared" ca="1" si="68"/>
        <v>#REF!</v>
      </c>
      <c r="AC79" s="417" t="e">
        <f t="shared" ca="1" si="68"/>
        <v>#REF!</v>
      </c>
      <c r="AD79" s="417" t="e">
        <f t="shared" ca="1" si="68"/>
        <v>#REF!</v>
      </c>
      <c r="AE79" s="417" t="e">
        <f t="shared" ca="1" si="68"/>
        <v>#REF!</v>
      </c>
      <c r="AF79" s="417" t="e">
        <f t="shared" ca="1" si="68"/>
        <v>#REF!</v>
      </c>
      <c r="AG79" s="417" t="e">
        <f t="shared" ca="1" si="68"/>
        <v>#REF!</v>
      </c>
      <c r="AH79" s="417" t="e">
        <f t="shared" ca="1" si="68"/>
        <v>#REF!</v>
      </c>
      <c r="AI79" s="417" t="e">
        <f t="shared" ca="1" si="68"/>
        <v>#REF!</v>
      </c>
      <c r="AJ79" s="417" t="e">
        <f t="shared" ca="1" si="68"/>
        <v>#REF!</v>
      </c>
      <c r="AK79" s="417" t="e">
        <f t="shared" ref="AK79:BR79" ca="1" si="69">IF(AK7&gt;0,AK77/AK7,0)</f>
        <v>#REF!</v>
      </c>
      <c r="AL79" s="417" t="e">
        <f t="shared" ca="1" si="69"/>
        <v>#REF!</v>
      </c>
      <c r="AM79" s="417" t="e">
        <f t="shared" ca="1" si="69"/>
        <v>#REF!</v>
      </c>
      <c r="AN79" s="417" t="e">
        <f t="shared" ca="1" si="69"/>
        <v>#REF!</v>
      </c>
      <c r="AO79" s="417" t="e">
        <f t="shared" ca="1" si="69"/>
        <v>#REF!</v>
      </c>
      <c r="AP79" s="417" t="e">
        <f t="shared" ca="1" si="69"/>
        <v>#REF!</v>
      </c>
      <c r="AQ79" s="417" t="e">
        <f t="shared" ca="1" si="69"/>
        <v>#REF!</v>
      </c>
      <c r="AR79" s="417" t="e">
        <f t="shared" ca="1" si="69"/>
        <v>#REF!</v>
      </c>
      <c r="AS79" s="417" t="e">
        <f t="shared" ca="1" si="69"/>
        <v>#REF!</v>
      </c>
      <c r="AT79" s="417" t="e">
        <f t="shared" ca="1" si="69"/>
        <v>#REF!</v>
      </c>
      <c r="AU79" s="417" t="e">
        <f t="shared" ca="1" si="69"/>
        <v>#REF!</v>
      </c>
      <c r="AV79" s="417" t="e">
        <f t="shared" ca="1" si="69"/>
        <v>#REF!</v>
      </c>
      <c r="AW79" s="417" t="e">
        <f t="shared" ca="1" si="69"/>
        <v>#REF!</v>
      </c>
      <c r="AX79" s="417" t="e">
        <f t="shared" ca="1" si="69"/>
        <v>#REF!</v>
      </c>
      <c r="AY79" s="417" t="e">
        <f t="shared" ca="1" si="69"/>
        <v>#REF!</v>
      </c>
      <c r="AZ79" s="417" t="e">
        <f t="shared" ca="1" si="69"/>
        <v>#REF!</v>
      </c>
      <c r="BA79" s="417" t="e">
        <f t="shared" ca="1" si="69"/>
        <v>#REF!</v>
      </c>
      <c r="BB79" s="417" t="e">
        <f t="shared" ca="1" si="69"/>
        <v>#REF!</v>
      </c>
      <c r="BC79" s="417" t="e">
        <f t="shared" ca="1" si="69"/>
        <v>#REF!</v>
      </c>
      <c r="BD79" s="417" t="e">
        <f t="shared" ca="1" si="69"/>
        <v>#REF!</v>
      </c>
      <c r="BE79" s="417" t="e">
        <f t="shared" ca="1" si="69"/>
        <v>#REF!</v>
      </c>
      <c r="BF79" s="417" t="e">
        <f t="shared" ca="1" si="69"/>
        <v>#REF!</v>
      </c>
      <c r="BG79" s="417" t="e">
        <f t="shared" ca="1" si="69"/>
        <v>#REF!</v>
      </c>
      <c r="BH79" s="417" t="e">
        <f t="shared" ca="1" si="69"/>
        <v>#REF!</v>
      </c>
      <c r="BI79" s="417" t="e">
        <f t="shared" ca="1" si="69"/>
        <v>#REF!</v>
      </c>
      <c r="BJ79" s="417" t="e">
        <f t="shared" ca="1" si="69"/>
        <v>#REF!</v>
      </c>
      <c r="BK79" s="417" t="e">
        <f t="shared" ca="1" si="69"/>
        <v>#REF!</v>
      </c>
      <c r="BL79" s="417" t="e">
        <f t="shared" ca="1" si="69"/>
        <v>#REF!</v>
      </c>
      <c r="BM79" s="417" t="e">
        <f t="shared" ca="1" si="69"/>
        <v>#REF!</v>
      </c>
      <c r="BN79" s="417" t="e">
        <f t="shared" ca="1" si="69"/>
        <v>#REF!</v>
      </c>
      <c r="BO79" s="417" t="e">
        <f t="shared" ca="1" si="69"/>
        <v>#REF!</v>
      </c>
      <c r="BP79" s="417" t="e">
        <f t="shared" ca="1" si="69"/>
        <v>#REF!</v>
      </c>
      <c r="BQ79" s="417" t="e">
        <f t="shared" ca="1" si="69"/>
        <v>#REF!</v>
      </c>
      <c r="BR79" s="417" t="e">
        <f t="shared" ca="1" si="69"/>
        <v>#REF!</v>
      </c>
    </row>
    <row r="80" spans="1:70" ht="15.75" x14ac:dyDescent="0.3">
      <c r="D80" s="390" t="s">
        <v>3634</v>
      </c>
      <c r="E80" s="404" t="e">
        <f t="shared" ref="E80:AJ80" ca="1" si="70">IF(E8&gt;0,E78/E8,0)</f>
        <v>#REF!</v>
      </c>
      <c r="F80" s="404" t="e">
        <f t="shared" ca="1" si="70"/>
        <v>#REF!</v>
      </c>
      <c r="G80" s="404" t="e">
        <f t="shared" ca="1" si="70"/>
        <v>#REF!</v>
      </c>
      <c r="H80" s="404" t="e">
        <f t="shared" ca="1" si="70"/>
        <v>#REF!</v>
      </c>
      <c r="I80" s="404" t="e">
        <f t="shared" ca="1" si="70"/>
        <v>#REF!</v>
      </c>
      <c r="J80" s="404" t="e">
        <f t="shared" ca="1" si="70"/>
        <v>#REF!</v>
      </c>
      <c r="K80" s="404" t="e">
        <f t="shared" ca="1" si="70"/>
        <v>#REF!</v>
      </c>
      <c r="L80" s="404" t="e">
        <f t="shared" ca="1" si="70"/>
        <v>#REF!</v>
      </c>
      <c r="M80" s="404" t="e">
        <f t="shared" ca="1" si="70"/>
        <v>#REF!</v>
      </c>
      <c r="N80" s="404" t="e">
        <f t="shared" ca="1" si="70"/>
        <v>#REF!</v>
      </c>
      <c r="O80" s="404" t="e">
        <f t="shared" ca="1" si="70"/>
        <v>#REF!</v>
      </c>
      <c r="P80" s="404" t="e">
        <f t="shared" ca="1" si="70"/>
        <v>#REF!</v>
      </c>
      <c r="Q80" s="404" t="e">
        <f t="shared" ca="1" si="70"/>
        <v>#REF!</v>
      </c>
      <c r="R80" s="404" t="e">
        <f t="shared" ca="1" si="70"/>
        <v>#REF!</v>
      </c>
      <c r="S80" s="404" t="e">
        <f t="shared" ca="1" si="70"/>
        <v>#REF!</v>
      </c>
      <c r="T80" s="404" t="e">
        <f t="shared" ca="1" si="70"/>
        <v>#REF!</v>
      </c>
      <c r="U80" s="404" t="e">
        <f t="shared" ca="1" si="70"/>
        <v>#REF!</v>
      </c>
      <c r="V80" s="404" t="e">
        <f t="shared" ca="1" si="70"/>
        <v>#REF!</v>
      </c>
      <c r="W80" s="404" t="e">
        <f t="shared" ca="1" si="70"/>
        <v>#REF!</v>
      </c>
      <c r="X80" s="404" t="e">
        <f t="shared" ca="1" si="70"/>
        <v>#REF!</v>
      </c>
      <c r="Y80" s="404" t="e">
        <f t="shared" ca="1" si="70"/>
        <v>#REF!</v>
      </c>
      <c r="Z80" s="404" t="e">
        <f t="shared" ca="1" si="70"/>
        <v>#REF!</v>
      </c>
      <c r="AA80" s="404" t="e">
        <f t="shared" ca="1" si="70"/>
        <v>#REF!</v>
      </c>
      <c r="AB80" s="404" t="e">
        <f t="shared" ca="1" si="70"/>
        <v>#REF!</v>
      </c>
      <c r="AC80" s="404" t="e">
        <f t="shared" ca="1" si="70"/>
        <v>#REF!</v>
      </c>
      <c r="AD80" s="404" t="e">
        <f t="shared" ca="1" si="70"/>
        <v>#REF!</v>
      </c>
      <c r="AE80" s="404" t="e">
        <f t="shared" ca="1" si="70"/>
        <v>#REF!</v>
      </c>
      <c r="AF80" s="404" t="e">
        <f t="shared" ca="1" si="70"/>
        <v>#REF!</v>
      </c>
      <c r="AG80" s="404" t="e">
        <f t="shared" ca="1" si="70"/>
        <v>#REF!</v>
      </c>
      <c r="AH80" s="404" t="e">
        <f t="shared" ca="1" si="70"/>
        <v>#REF!</v>
      </c>
      <c r="AI80" s="404" t="e">
        <f t="shared" ca="1" si="70"/>
        <v>#REF!</v>
      </c>
      <c r="AJ80" s="404" t="e">
        <f t="shared" ca="1" si="70"/>
        <v>#REF!</v>
      </c>
      <c r="AK80" s="404" t="e">
        <f t="shared" ref="AK80:BR80" ca="1" si="71">IF(AK8&gt;0,AK78/AK8,0)</f>
        <v>#REF!</v>
      </c>
      <c r="AL80" s="404" t="e">
        <f t="shared" ca="1" si="71"/>
        <v>#REF!</v>
      </c>
      <c r="AM80" s="404" t="e">
        <f t="shared" ca="1" si="71"/>
        <v>#REF!</v>
      </c>
      <c r="AN80" s="404" t="e">
        <f t="shared" ca="1" si="71"/>
        <v>#REF!</v>
      </c>
      <c r="AO80" s="404" t="e">
        <f t="shared" ca="1" si="71"/>
        <v>#REF!</v>
      </c>
      <c r="AP80" s="404" t="e">
        <f t="shared" ca="1" si="71"/>
        <v>#REF!</v>
      </c>
      <c r="AQ80" s="404" t="e">
        <f t="shared" ca="1" si="71"/>
        <v>#REF!</v>
      </c>
      <c r="AR80" s="404" t="e">
        <f t="shared" ca="1" si="71"/>
        <v>#REF!</v>
      </c>
      <c r="AS80" s="404" t="e">
        <f t="shared" ca="1" si="71"/>
        <v>#REF!</v>
      </c>
      <c r="AT80" s="404" t="e">
        <f t="shared" ca="1" si="71"/>
        <v>#REF!</v>
      </c>
      <c r="AU80" s="404" t="e">
        <f t="shared" ca="1" si="71"/>
        <v>#REF!</v>
      </c>
      <c r="AV80" s="404" t="e">
        <f t="shared" ca="1" si="71"/>
        <v>#REF!</v>
      </c>
      <c r="AW80" s="404" t="e">
        <f t="shared" ca="1" si="71"/>
        <v>#REF!</v>
      </c>
      <c r="AX80" s="404" t="e">
        <f t="shared" ca="1" si="71"/>
        <v>#REF!</v>
      </c>
      <c r="AY80" s="404" t="e">
        <f t="shared" ca="1" si="71"/>
        <v>#REF!</v>
      </c>
      <c r="AZ80" s="404" t="e">
        <f t="shared" ca="1" si="71"/>
        <v>#REF!</v>
      </c>
      <c r="BA80" s="404" t="e">
        <f t="shared" ca="1" si="71"/>
        <v>#REF!</v>
      </c>
      <c r="BB80" s="404" t="e">
        <f t="shared" ca="1" si="71"/>
        <v>#REF!</v>
      </c>
      <c r="BC80" s="404" t="e">
        <f t="shared" ca="1" si="71"/>
        <v>#REF!</v>
      </c>
      <c r="BD80" s="404" t="e">
        <f t="shared" ca="1" si="71"/>
        <v>#REF!</v>
      </c>
      <c r="BE80" s="404" t="e">
        <f t="shared" ca="1" si="71"/>
        <v>#REF!</v>
      </c>
      <c r="BF80" s="404" t="e">
        <f t="shared" ca="1" si="71"/>
        <v>#REF!</v>
      </c>
      <c r="BG80" s="404" t="e">
        <f t="shared" ca="1" si="71"/>
        <v>#REF!</v>
      </c>
      <c r="BH80" s="404" t="e">
        <f t="shared" ca="1" si="71"/>
        <v>#REF!</v>
      </c>
      <c r="BI80" s="404" t="e">
        <f t="shared" ca="1" si="71"/>
        <v>#REF!</v>
      </c>
      <c r="BJ80" s="404" t="e">
        <f t="shared" ca="1" si="71"/>
        <v>#REF!</v>
      </c>
      <c r="BK80" s="404" t="e">
        <f t="shared" ca="1" si="71"/>
        <v>#REF!</v>
      </c>
      <c r="BL80" s="404" t="e">
        <f t="shared" ca="1" si="71"/>
        <v>#REF!</v>
      </c>
      <c r="BM80" s="404" t="e">
        <f t="shared" ca="1" si="71"/>
        <v>#REF!</v>
      </c>
      <c r="BN80" s="404" t="e">
        <f t="shared" ca="1" si="71"/>
        <v>#REF!</v>
      </c>
      <c r="BO80" s="404" t="e">
        <f t="shared" ca="1" si="71"/>
        <v>#REF!</v>
      </c>
      <c r="BP80" s="404" t="e">
        <f t="shared" ca="1" si="71"/>
        <v>#REF!</v>
      </c>
      <c r="BQ80" s="404" t="e">
        <f t="shared" ca="1" si="71"/>
        <v>#REF!</v>
      </c>
      <c r="BR80" s="404" t="e">
        <f t="shared" ca="1" si="71"/>
        <v>#REF!</v>
      </c>
    </row>
    <row r="81" spans="1:72" ht="15.75" x14ac:dyDescent="0.3">
      <c r="A81" s="673"/>
      <c r="B81" s="416" t="s">
        <v>1122</v>
      </c>
      <c r="C81" s="416" t="s">
        <v>3666</v>
      </c>
      <c r="D81" s="416" t="s">
        <v>702</v>
      </c>
      <c r="E81" s="417" t="e">
        <f ca="1">IF(E77&gt;0,(E75/E77)*E7,0)</f>
        <v>#REF!</v>
      </c>
      <c r="F81" s="417" t="e">
        <f t="shared" ref="F81:BQ82" ca="1" si="72">IF(F77&gt;0,(F75/F77)*F7,0)</f>
        <v>#REF!</v>
      </c>
      <c r="G81" s="417" t="e">
        <f t="shared" ca="1" si="72"/>
        <v>#REF!</v>
      </c>
      <c r="H81" s="417" t="e">
        <f t="shared" ca="1" si="72"/>
        <v>#REF!</v>
      </c>
      <c r="I81" s="417" t="e">
        <f t="shared" ca="1" si="72"/>
        <v>#REF!</v>
      </c>
      <c r="J81" s="417" t="e">
        <f t="shared" ca="1" si="72"/>
        <v>#REF!</v>
      </c>
      <c r="K81" s="417" t="e">
        <f t="shared" ca="1" si="72"/>
        <v>#REF!</v>
      </c>
      <c r="L81" s="417" t="e">
        <f t="shared" ca="1" si="72"/>
        <v>#REF!</v>
      </c>
      <c r="M81" s="417" t="e">
        <f t="shared" ca="1" si="72"/>
        <v>#REF!</v>
      </c>
      <c r="N81" s="417" t="e">
        <f t="shared" ca="1" si="72"/>
        <v>#REF!</v>
      </c>
      <c r="O81" s="417" t="e">
        <f t="shared" ca="1" si="72"/>
        <v>#REF!</v>
      </c>
      <c r="P81" s="417" t="e">
        <f t="shared" ca="1" si="72"/>
        <v>#REF!</v>
      </c>
      <c r="Q81" s="417" t="e">
        <f t="shared" ca="1" si="72"/>
        <v>#REF!</v>
      </c>
      <c r="R81" s="417" t="e">
        <f t="shared" ca="1" si="72"/>
        <v>#REF!</v>
      </c>
      <c r="S81" s="417" t="e">
        <f t="shared" ca="1" si="72"/>
        <v>#REF!</v>
      </c>
      <c r="T81" s="417" t="e">
        <f t="shared" ca="1" si="72"/>
        <v>#REF!</v>
      </c>
      <c r="U81" s="417" t="e">
        <f t="shared" ca="1" si="72"/>
        <v>#REF!</v>
      </c>
      <c r="V81" s="417" t="e">
        <f t="shared" ca="1" si="72"/>
        <v>#REF!</v>
      </c>
      <c r="W81" s="417" t="e">
        <f t="shared" ca="1" si="72"/>
        <v>#REF!</v>
      </c>
      <c r="X81" s="417" t="e">
        <f t="shared" ca="1" si="72"/>
        <v>#REF!</v>
      </c>
      <c r="Y81" s="417" t="e">
        <f t="shared" ca="1" si="72"/>
        <v>#REF!</v>
      </c>
      <c r="Z81" s="417" t="e">
        <f t="shared" ca="1" si="72"/>
        <v>#REF!</v>
      </c>
      <c r="AA81" s="417" t="e">
        <f t="shared" ca="1" si="72"/>
        <v>#REF!</v>
      </c>
      <c r="AB81" s="417" t="e">
        <f t="shared" ca="1" si="72"/>
        <v>#REF!</v>
      </c>
      <c r="AC81" s="417" t="e">
        <f t="shared" ca="1" si="72"/>
        <v>#REF!</v>
      </c>
      <c r="AD81" s="417" t="e">
        <f t="shared" ca="1" si="72"/>
        <v>#REF!</v>
      </c>
      <c r="AE81" s="417" t="e">
        <f t="shared" ca="1" si="72"/>
        <v>#REF!</v>
      </c>
      <c r="AF81" s="417" t="e">
        <f t="shared" ca="1" si="72"/>
        <v>#REF!</v>
      </c>
      <c r="AG81" s="417" t="e">
        <f t="shared" ca="1" si="72"/>
        <v>#REF!</v>
      </c>
      <c r="AH81" s="417" t="e">
        <f t="shared" ca="1" si="72"/>
        <v>#REF!</v>
      </c>
      <c r="AI81" s="417" t="e">
        <f t="shared" ca="1" si="72"/>
        <v>#REF!</v>
      </c>
      <c r="AJ81" s="417" t="e">
        <f t="shared" ca="1" si="72"/>
        <v>#REF!</v>
      </c>
      <c r="AK81" s="417" t="e">
        <f t="shared" ca="1" si="72"/>
        <v>#REF!</v>
      </c>
      <c r="AL81" s="417" t="e">
        <f t="shared" ca="1" si="72"/>
        <v>#REF!</v>
      </c>
      <c r="AM81" s="417" t="e">
        <f t="shared" ca="1" si="72"/>
        <v>#REF!</v>
      </c>
      <c r="AN81" s="417" t="e">
        <f t="shared" ca="1" si="72"/>
        <v>#REF!</v>
      </c>
      <c r="AO81" s="417" t="e">
        <f t="shared" ca="1" si="72"/>
        <v>#REF!</v>
      </c>
      <c r="AP81" s="417" t="e">
        <f t="shared" ca="1" si="72"/>
        <v>#REF!</v>
      </c>
      <c r="AQ81" s="417" t="e">
        <f t="shared" ca="1" si="72"/>
        <v>#REF!</v>
      </c>
      <c r="AR81" s="417" t="e">
        <f t="shared" ca="1" si="72"/>
        <v>#REF!</v>
      </c>
      <c r="AS81" s="417" t="e">
        <f t="shared" ca="1" si="72"/>
        <v>#REF!</v>
      </c>
      <c r="AT81" s="417" t="e">
        <f t="shared" ca="1" si="72"/>
        <v>#REF!</v>
      </c>
      <c r="AU81" s="417" t="e">
        <f t="shared" ca="1" si="72"/>
        <v>#REF!</v>
      </c>
      <c r="AV81" s="417" t="e">
        <f t="shared" ca="1" si="72"/>
        <v>#REF!</v>
      </c>
      <c r="AW81" s="417" t="e">
        <f t="shared" ca="1" si="72"/>
        <v>#REF!</v>
      </c>
      <c r="AX81" s="417" t="e">
        <f t="shared" ca="1" si="72"/>
        <v>#REF!</v>
      </c>
      <c r="AY81" s="417" t="e">
        <f t="shared" ca="1" si="72"/>
        <v>#REF!</v>
      </c>
      <c r="AZ81" s="417" t="e">
        <f t="shared" ca="1" si="72"/>
        <v>#REF!</v>
      </c>
      <c r="BA81" s="417" t="e">
        <f t="shared" ca="1" si="72"/>
        <v>#REF!</v>
      </c>
      <c r="BB81" s="417" t="e">
        <f t="shared" ca="1" si="72"/>
        <v>#REF!</v>
      </c>
      <c r="BC81" s="417" t="e">
        <f t="shared" ca="1" si="72"/>
        <v>#REF!</v>
      </c>
      <c r="BD81" s="417" t="e">
        <f t="shared" ca="1" si="72"/>
        <v>#REF!</v>
      </c>
      <c r="BE81" s="417" t="e">
        <f t="shared" ca="1" si="72"/>
        <v>#REF!</v>
      </c>
      <c r="BF81" s="417" t="e">
        <f t="shared" ca="1" si="72"/>
        <v>#REF!</v>
      </c>
      <c r="BG81" s="417" t="e">
        <f t="shared" ca="1" si="72"/>
        <v>#REF!</v>
      </c>
      <c r="BH81" s="417" t="e">
        <f t="shared" ca="1" si="72"/>
        <v>#REF!</v>
      </c>
      <c r="BI81" s="417" t="e">
        <f t="shared" ca="1" si="72"/>
        <v>#REF!</v>
      </c>
      <c r="BJ81" s="417" t="e">
        <f t="shared" ca="1" si="72"/>
        <v>#REF!</v>
      </c>
      <c r="BK81" s="417" t="e">
        <f t="shared" ca="1" si="72"/>
        <v>#REF!</v>
      </c>
      <c r="BL81" s="417" t="e">
        <f t="shared" ca="1" si="72"/>
        <v>#REF!</v>
      </c>
      <c r="BM81" s="417" t="e">
        <f t="shared" ca="1" si="72"/>
        <v>#REF!</v>
      </c>
      <c r="BN81" s="417" t="e">
        <f t="shared" ca="1" si="72"/>
        <v>#REF!</v>
      </c>
      <c r="BO81" s="417" t="e">
        <f t="shared" ca="1" si="72"/>
        <v>#REF!</v>
      </c>
      <c r="BP81" s="417" t="e">
        <f t="shared" ca="1" si="72"/>
        <v>#REF!</v>
      </c>
      <c r="BQ81" s="417" t="e">
        <f t="shared" ca="1" si="72"/>
        <v>#REF!</v>
      </c>
      <c r="BR81" s="417" t="e">
        <f ca="1">IF(BR77&gt;0,(BR75/BR77)*BR7,0)</f>
        <v>#REF!</v>
      </c>
      <c r="BS81" s="416"/>
      <c r="BT81" s="416" t="e">
        <f ca="1">SUM(E81:BR81)</f>
        <v>#REF!</v>
      </c>
    </row>
    <row r="82" spans="1:72" ht="15.75" x14ac:dyDescent="0.3">
      <c r="D82" s="390" t="s">
        <v>1352</v>
      </c>
      <c r="E82" s="404" t="e">
        <f ca="1">IF(E78&gt;0,(E76/E78)*E8,0)</f>
        <v>#REF!</v>
      </c>
      <c r="F82" s="404" t="e">
        <f t="shared" ca="1" si="72"/>
        <v>#REF!</v>
      </c>
      <c r="G82" s="404" t="e">
        <f t="shared" ca="1" si="72"/>
        <v>#REF!</v>
      </c>
      <c r="H82" s="404" t="e">
        <f t="shared" ca="1" si="72"/>
        <v>#REF!</v>
      </c>
      <c r="I82" s="404" t="e">
        <f t="shared" ca="1" si="72"/>
        <v>#REF!</v>
      </c>
      <c r="J82" s="404" t="e">
        <f t="shared" ca="1" si="72"/>
        <v>#REF!</v>
      </c>
      <c r="K82" s="404" t="e">
        <f t="shared" ca="1" si="72"/>
        <v>#REF!</v>
      </c>
      <c r="L82" s="404" t="e">
        <f t="shared" ca="1" si="72"/>
        <v>#REF!</v>
      </c>
      <c r="M82" s="404" t="e">
        <f t="shared" ca="1" si="72"/>
        <v>#REF!</v>
      </c>
      <c r="N82" s="404" t="e">
        <f t="shared" ca="1" si="72"/>
        <v>#REF!</v>
      </c>
      <c r="O82" s="404" t="e">
        <f t="shared" ca="1" si="72"/>
        <v>#REF!</v>
      </c>
      <c r="P82" s="404" t="e">
        <f t="shared" ca="1" si="72"/>
        <v>#REF!</v>
      </c>
      <c r="Q82" s="404" t="e">
        <f t="shared" ca="1" si="72"/>
        <v>#REF!</v>
      </c>
      <c r="R82" s="404" t="e">
        <f t="shared" ca="1" si="72"/>
        <v>#REF!</v>
      </c>
      <c r="S82" s="404" t="e">
        <f t="shared" ca="1" si="72"/>
        <v>#REF!</v>
      </c>
      <c r="T82" s="404" t="e">
        <f t="shared" ca="1" si="72"/>
        <v>#REF!</v>
      </c>
      <c r="U82" s="404" t="e">
        <f t="shared" ca="1" si="72"/>
        <v>#REF!</v>
      </c>
      <c r="V82" s="404" t="e">
        <f t="shared" ca="1" si="72"/>
        <v>#REF!</v>
      </c>
      <c r="W82" s="404" t="e">
        <f t="shared" ca="1" si="72"/>
        <v>#REF!</v>
      </c>
      <c r="X82" s="404" t="e">
        <f t="shared" ca="1" si="72"/>
        <v>#REF!</v>
      </c>
      <c r="Y82" s="404" t="e">
        <f t="shared" ca="1" si="72"/>
        <v>#REF!</v>
      </c>
      <c r="Z82" s="404" t="e">
        <f t="shared" ca="1" si="72"/>
        <v>#REF!</v>
      </c>
      <c r="AA82" s="404" t="e">
        <f t="shared" ca="1" si="72"/>
        <v>#REF!</v>
      </c>
      <c r="AB82" s="404" t="e">
        <f t="shared" ca="1" si="72"/>
        <v>#REF!</v>
      </c>
      <c r="AC82" s="404" t="e">
        <f t="shared" ca="1" si="72"/>
        <v>#REF!</v>
      </c>
      <c r="AD82" s="404" t="e">
        <f t="shared" ca="1" si="72"/>
        <v>#REF!</v>
      </c>
      <c r="AE82" s="404" t="e">
        <f t="shared" ca="1" si="72"/>
        <v>#REF!</v>
      </c>
      <c r="AF82" s="404" t="e">
        <f t="shared" ca="1" si="72"/>
        <v>#REF!</v>
      </c>
      <c r="AG82" s="404" t="e">
        <f t="shared" ca="1" si="72"/>
        <v>#REF!</v>
      </c>
      <c r="AH82" s="404" t="e">
        <f t="shared" ca="1" si="72"/>
        <v>#REF!</v>
      </c>
      <c r="AI82" s="404" t="e">
        <f t="shared" ca="1" si="72"/>
        <v>#REF!</v>
      </c>
      <c r="AJ82" s="404" t="e">
        <f t="shared" ca="1" si="72"/>
        <v>#REF!</v>
      </c>
      <c r="AK82" s="404" t="e">
        <f t="shared" ca="1" si="72"/>
        <v>#REF!</v>
      </c>
      <c r="AL82" s="404" t="e">
        <f t="shared" ca="1" si="72"/>
        <v>#REF!</v>
      </c>
      <c r="AM82" s="404" t="e">
        <f t="shared" ca="1" si="72"/>
        <v>#REF!</v>
      </c>
      <c r="AN82" s="404" t="e">
        <f t="shared" ca="1" si="72"/>
        <v>#REF!</v>
      </c>
      <c r="AO82" s="404" t="e">
        <f t="shared" ca="1" si="72"/>
        <v>#REF!</v>
      </c>
      <c r="AP82" s="404" t="e">
        <f t="shared" ca="1" si="72"/>
        <v>#REF!</v>
      </c>
      <c r="AQ82" s="404" t="e">
        <f t="shared" ca="1" si="72"/>
        <v>#REF!</v>
      </c>
      <c r="AR82" s="404" t="e">
        <f t="shared" ca="1" si="72"/>
        <v>#REF!</v>
      </c>
      <c r="AS82" s="404" t="e">
        <f t="shared" ca="1" si="72"/>
        <v>#REF!</v>
      </c>
      <c r="AT82" s="404" t="e">
        <f t="shared" ca="1" si="72"/>
        <v>#REF!</v>
      </c>
      <c r="AU82" s="404" t="e">
        <f t="shared" ca="1" si="72"/>
        <v>#REF!</v>
      </c>
      <c r="AV82" s="404" t="e">
        <f t="shared" ca="1" si="72"/>
        <v>#REF!</v>
      </c>
      <c r="AW82" s="404" t="e">
        <f t="shared" ca="1" si="72"/>
        <v>#REF!</v>
      </c>
      <c r="AX82" s="404" t="e">
        <f t="shared" ca="1" si="72"/>
        <v>#REF!</v>
      </c>
      <c r="AY82" s="404" t="e">
        <f t="shared" ca="1" si="72"/>
        <v>#REF!</v>
      </c>
      <c r="AZ82" s="404" t="e">
        <f t="shared" ca="1" si="72"/>
        <v>#REF!</v>
      </c>
      <c r="BA82" s="404" t="e">
        <f t="shared" ca="1" si="72"/>
        <v>#REF!</v>
      </c>
      <c r="BB82" s="404" t="e">
        <f t="shared" ca="1" si="72"/>
        <v>#REF!</v>
      </c>
      <c r="BC82" s="404" t="e">
        <f t="shared" ca="1" si="72"/>
        <v>#REF!</v>
      </c>
      <c r="BD82" s="404" t="e">
        <f t="shared" ca="1" si="72"/>
        <v>#REF!</v>
      </c>
      <c r="BE82" s="404" t="e">
        <f t="shared" ca="1" si="72"/>
        <v>#REF!</v>
      </c>
      <c r="BF82" s="404" t="e">
        <f t="shared" ca="1" si="72"/>
        <v>#REF!</v>
      </c>
      <c r="BG82" s="404" t="e">
        <f t="shared" ca="1" si="72"/>
        <v>#REF!</v>
      </c>
      <c r="BH82" s="404" t="e">
        <f t="shared" ca="1" si="72"/>
        <v>#REF!</v>
      </c>
      <c r="BI82" s="404" t="e">
        <f t="shared" ca="1" si="72"/>
        <v>#REF!</v>
      </c>
      <c r="BJ82" s="404" t="e">
        <f t="shared" ca="1" si="72"/>
        <v>#REF!</v>
      </c>
      <c r="BK82" s="404" t="e">
        <f t="shared" ca="1" si="72"/>
        <v>#REF!</v>
      </c>
      <c r="BL82" s="404" t="e">
        <f t="shared" ca="1" si="72"/>
        <v>#REF!</v>
      </c>
      <c r="BM82" s="404" t="e">
        <f t="shared" ca="1" si="72"/>
        <v>#REF!</v>
      </c>
      <c r="BN82" s="404" t="e">
        <f t="shared" ca="1" si="72"/>
        <v>#REF!</v>
      </c>
      <c r="BO82" s="404" t="e">
        <f t="shared" ca="1" si="72"/>
        <v>#REF!</v>
      </c>
      <c r="BP82" s="404" t="e">
        <f t="shared" ca="1" si="72"/>
        <v>#REF!</v>
      </c>
      <c r="BQ82" s="404" t="e">
        <f t="shared" ca="1" si="72"/>
        <v>#REF!</v>
      </c>
      <c r="BR82" s="404" t="e">
        <f ca="1">IF(BR78&gt;0,(BR76/BR78)*BR8,0)</f>
        <v>#REF!</v>
      </c>
    </row>
    <row r="83" spans="1:72" x14ac:dyDescent="0.2">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row>
    <row r="84" spans="1:72" x14ac:dyDescent="0.2">
      <c r="B84" s="405" t="e">
        <f ca="1">SUM(E84:BR84)</f>
        <v>#REF!</v>
      </c>
      <c r="C84" s="390" t="s">
        <v>3665</v>
      </c>
      <c r="E84" s="404" t="e">
        <f ca="1">E79*E81</f>
        <v>#REF!</v>
      </c>
      <c r="F84" s="404" t="e">
        <f t="shared" ref="F84:BQ84" ca="1" si="73">F79*F81</f>
        <v>#REF!</v>
      </c>
      <c r="G84" s="404" t="e">
        <f t="shared" ca="1" si="73"/>
        <v>#REF!</v>
      </c>
      <c r="H84" s="404" t="e">
        <f t="shared" ca="1" si="73"/>
        <v>#REF!</v>
      </c>
      <c r="I84" s="404" t="e">
        <f t="shared" ca="1" si="73"/>
        <v>#REF!</v>
      </c>
      <c r="J84" s="404" t="e">
        <f t="shared" ca="1" si="73"/>
        <v>#REF!</v>
      </c>
      <c r="K84" s="404" t="e">
        <f t="shared" ca="1" si="73"/>
        <v>#REF!</v>
      </c>
      <c r="L84" s="404" t="e">
        <f t="shared" ca="1" si="73"/>
        <v>#REF!</v>
      </c>
      <c r="M84" s="404" t="e">
        <f t="shared" ca="1" si="73"/>
        <v>#REF!</v>
      </c>
      <c r="N84" s="404" t="e">
        <f t="shared" ca="1" si="73"/>
        <v>#REF!</v>
      </c>
      <c r="O84" s="404" t="e">
        <f t="shared" ca="1" si="73"/>
        <v>#REF!</v>
      </c>
      <c r="P84" s="404" t="e">
        <f t="shared" ca="1" si="73"/>
        <v>#REF!</v>
      </c>
      <c r="Q84" s="404" t="e">
        <f t="shared" ca="1" si="73"/>
        <v>#REF!</v>
      </c>
      <c r="R84" s="404" t="e">
        <f t="shared" ca="1" si="73"/>
        <v>#REF!</v>
      </c>
      <c r="S84" s="404" t="e">
        <f t="shared" ca="1" si="73"/>
        <v>#REF!</v>
      </c>
      <c r="T84" s="404" t="e">
        <f t="shared" ca="1" si="73"/>
        <v>#REF!</v>
      </c>
      <c r="U84" s="404" t="e">
        <f t="shared" ca="1" si="73"/>
        <v>#REF!</v>
      </c>
      <c r="V84" s="404" t="e">
        <f t="shared" ca="1" si="73"/>
        <v>#REF!</v>
      </c>
      <c r="W84" s="404" t="e">
        <f t="shared" ca="1" si="73"/>
        <v>#REF!</v>
      </c>
      <c r="X84" s="404" t="e">
        <f t="shared" ca="1" si="73"/>
        <v>#REF!</v>
      </c>
      <c r="Y84" s="404" t="e">
        <f t="shared" ca="1" si="73"/>
        <v>#REF!</v>
      </c>
      <c r="Z84" s="404" t="e">
        <f t="shared" ca="1" si="73"/>
        <v>#REF!</v>
      </c>
      <c r="AA84" s="404" t="e">
        <f t="shared" ca="1" si="73"/>
        <v>#REF!</v>
      </c>
      <c r="AB84" s="404" t="e">
        <f t="shared" ca="1" si="73"/>
        <v>#REF!</v>
      </c>
      <c r="AC84" s="404" t="e">
        <f t="shared" ca="1" si="73"/>
        <v>#REF!</v>
      </c>
      <c r="AD84" s="404" t="e">
        <f t="shared" ca="1" si="73"/>
        <v>#REF!</v>
      </c>
      <c r="AE84" s="404" t="e">
        <f t="shared" ca="1" si="73"/>
        <v>#REF!</v>
      </c>
      <c r="AF84" s="404" t="e">
        <f t="shared" ca="1" si="73"/>
        <v>#REF!</v>
      </c>
      <c r="AG84" s="404" t="e">
        <f t="shared" ca="1" si="73"/>
        <v>#REF!</v>
      </c>
      <c r="AH84" s="404" t="e">
        <f t="shared" ca="1" si="73"/>
        <v>#REF!</v>
      </c>
      <c r="AI84" s="404" t="e">
        <f t="shared" ca="1" si="73"/>
        <v>#REF!</v>
      </c>
      <c r="AJ84" s="404" t="e">
        <f t="shared" ca="1" si="73"/>
        <v>#REF!</v>
      </c>
      <c r="AK84" s="404" t="e">
        <f t="shared" ca="1" si="73"/>
        <v>#REF!</v>
      </c>
      <c r="AL84" s="404" t="e">
        <f t="shared" ca="1" si="73"/>
        <v>#REF!</v>
      </c>
      <c r="AM84" s="404" t="e">
        <f t="shared" ca="1" si="73"/>
        <v>#REF!</v>
      </c>
      <c r="AN84" s="404" t="e">
        <f t="shared" ca="1" si="73"/>
        <v>#REF!</v>
      </c>
      <c r="AO84" s="404" t="e">
        <f t="shared" ca="1" si="73"/>
        <v>#REF!</v>
      </c>
      <c r="AP84" s="404" t="e">
        <f t="shared" ca="1" si="73"/>
        <v>#REF!</v>
      </c>
      <c r="AQ84" s="404" t="e">
        <f t="shared" ca="1" si="73"/>
        <v>#REF!</v>
      </c>
      <c r="AR84" s="404" t="e">
        <f t="shared" ca="1" si="73"/>
        <v>#REF!</v>
      </c>
      <c r="AS84" s="404" t="e">
        <f t="shared" ca="1" si="73"/>
        <v>#REF!</v>
      </c>
      <c r="AT84" s="404" t="e">
        <f t="shared" ca="1" si="73"/>
        <v>#REF!</v>
      </c>
      <c r="AU84" s="404" t="e">
        <f t="shared" ca="1" si="73"/>
        <v>#REF!</v>
      </c>
      <c r="AV84" s="404" t="e">
        <f t="shared" ca="1" si="73"/>
        <v>#REF!</v>
      </c>
      <c r="AW84" s="404" t="e">
        <f t="shared" ca="1" si="73"/>
        <v>#REF!</v>
      </c>
      <c r="AX84" s="404" t="e">
        <f t="shared" ca="1" si="73"/>
        <v>#REF!</v>
      </c>
      <c r="AY84" s="404" t="e">
        <f t="shared" ca="1" si="73"/>
        <v>#REF!</v>
      </c>
      <c r="AZ84" s="404" t="e">
        <f t="shared" ca="1" si="73"/>
        <v>#REF!</v>
      </c>
      <c r="BA84" s="404" t="e">
        <f t="shared" ca="1" si="73"/>
        <v>#REF!</v>
      </c>
      <c r="BB84" s="404" t="e">
        <f t="shared" ca="1" si="73"/>
        <v>#REF!</v>
      </c>
      <c r="BC84" s="404" t="e">
        <f t="shared" ca="1" si="73"/>
        <v>#REF!</v>
      </c>
      <c r="BD84" s="404" t="e">
        <f t="shared" ca="1" si="73"/>
        <v>#REF!</v>
      </c>
      <c r="BE84" s="404" t="e">
        <f t="shared" ca="1" si="73"/>
        <v>#REF!</v>
      </c>
      <c r="BF84" s="404" t="e">
        <f t="shared" ca="1" si="73"/>
        <v>#REF!</v>
      </c>
      <c r="BG84" s="404" t="e">
        <f t="shared" ca="1" si="73"/>
        <v>#REF!</v>
      </c>
      <c r="BH84" s="404" t="e">
        <f t="shared" ca="1" si="73"/>
        <v>#REF!</v>
      </c>
      <c r="BI84" s="404" t="e">
        <f t="shared" ca="1" si="73"/>
        <v>#REF!</v>
      </c>
      <c r="BJ84" s="404" t="e">
        <f t="shared" ca="1" si="73"/>
        <v>#REF!</v>
      </c>
      <c r="BK84" s="404" t="e">
        <f t="shared" ca="1" si="73"/>
        <v>#REF!</v>
      </c>
      <c r="BL84" s="404" t="e">
        <f t="shared" ca="1" si="73"/>
        <v>#REF!</v>
      </c>
      <c r="BM84" s="404" t="e">
        <f t="shared" ca="1" si="73"/>
        <v>#REF!</v>
      </c>
      <c r="BN84" s="404" t="e">
        <f t="shared" ca="1" si="73"/>
        <v>#REF!</v>
      </c>
      <c r="BO84" s="404" t="e">
        <f t="shared" ca="1" si="73"/>
        <v>#REF!</v>
      </c>
      <c r="BP84" s="404" t="e">
        <f t="shared" ca="1" si="73"/>
        <v>#REF!</v>
      </c>
      <c r="BQ84" s="404" t="e">
        <f t="shared" ca="1" si="73"/>
        <v>#REF!</v>
      </c>
      <c r="BR84" s="404" t="e">
        <f ca="1">BR79*BR81</f>
        <v>#REF!</v>
      </c>
    </row>
    <row r="85" spans="1:72" x14ac:dyDescent="0.2">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row>
    <row r="86" spans="1:72" x14ac:dyDescent="0.2">
      <c r="E86" s="404"/>
      <c r="F86" s="404"/>
      <c r="G86" s="404"/>
      <c r="H86" s="404"/>
      <c r="I86" s="404"/>
      <c r="J86" s="404"/>
      <c r="K86" s="404"/>
      <c r="L86" s="404"/>
      <c r="M86" s="404"/>
      <c r="N86" s="404"/>
      <c r="O86" s="404" t="e">
        <f ca="1">SUM(O7:S7)</f>
        <v>#REF!</v>
      </c>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row>
    <row r="87" spans="1:72" x14ac:dyDescent="0.2">
      <c r="A87" s="672" t="s">
        <v>687</v>
      </c>
      <c r="B87" s="390" t="s">
        <v>3518</v>
      </c>
      <c r="D87" s="390" t="s">
        <v>3519</v>
      </c>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row>
    <row r="88" spans="1:72" x14ac:dyDescent="0.2">
      <c r="C88" s="390" t="s">
        <v>3520</v>
      </c>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row>
    <row r="89" spans="1:72" x14ac:dyDescent="0.2">
      <c r="A89" s="672" t="s">
        <v>688</v>
      </c>
      <c r="B89" s="674">
        <f>Azimut</f>
        <v>0</v>
      </c>
      <c r="D89" s="390" t="s">
        <v>3635</v>
      </c>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row>
    <row r="90" spans="1:72" x14ac:dyDescent="0.2">
      <c r="A90" s="672" t="s">
        <v>688</v>
      </c>
      <c r="B90" s="674">
        <f>Neigung</f>
        <v>0</v>
      </c>
      <c r="D90" s="390" t="s">
        <v>3636</v>
      </c>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row>
    <row r="91" spans="1:72" x14ac:dyDescent="0.2">
      <c r="A91" s="672" t="s">
        <v>3351</v>
      </c>
      <c r="B91" s="743">
        <v>15</v>
      </c>
      <c r="D91" s="390" t="s">
        <v>3637</v>
      </c>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row>
    <row r="92" spans="1:72" x14ac:dyDescent="0.2">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row>
    <row r="93" spans="1:72" x14ac:dyDescent="0.2">
      <c r="C93" s="409">
        <f>COS(RADIANS(a))</f>
        <v>1</v>
      </c>
      <c r="D93" s="390" t="s">
        <v>3638</v>
      </c>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row>
    <row r="94" spans="1:72" x14ac:dyDescent="0.2">
      <c r="C94" s="409">
        <f>COS(RADIANS(a-180))</f>
        <v>-1</v>
      </c>
      <c r="D94" s="390" t="s">
        <v>3279</v>
      </c>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row>
    <row r="95" spans="1:72" x14ac:dyDescent="0.2">
      <c r="C95" s="409">
        <f>SIN(RADIANS(2*v))</f>
        <v>0</v>
      </c>
      <c r="D95" s="390" t="s">
        <v>3280</v>
      </c>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row>
    <row r="96" spans="1:72" x14ac:dyDescent="0.2">
      <c r="C96" s="409">
        <f>COS(RADIANS(a-b))</f>
        <v>0.96592582628906831</v>
      </c>
      <c r="D96" s="390" t="s">
        <v>3281</v>
      </c>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row>
    <row r="97" spans="1:70" x14ac:dyDescent="0.2">
      <c r="A97" s="672" t="s">
        <v>689</v>
      </c>
      <c r="B97" s="390" t="s">
        <v>3521</v>
      </c>
      <c r="C97" s="390">
        <f>1+0.16*sin_2v*cos_a_b</f>
        <v>1</v>
      </c>
      <c r="D97" s="390" t="s">
        <v>3282</v>
      </c>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row>
    <row r="98" spans="1:70" x14ac:dyDescent="0.2">
      <c r="A98" s="672" t="s">
        <v>690</v>
      </c>
      <c r="B98" s="390" t="s">
        <v>210</v>
      </c>
      <c r="C98" s="409">
        <f>B90/90</f>
        <v>0</v>
      </c>
      <c r="D98" s="390" t="s">
        <v>3283</v>
      </c>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row>
    <row r="99" spans="1:70" ht="14.25" x14ac:dyDescent="0.2">
      <c r="A99" s="672" t="s">
        <v>691</v>
      </c>
      <c r="B99" s="390" t="s">
        <v>3284</v>
      </c>
      <c r="C99" s="409">
        <f>C98^2</f>
        <v>0</v>
      </c>
      <c r="D99" s="390" t="s">
        <v>3285</v>
      </c>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row>
    <row r="100" spans="1:70" x14ac:dyDescent="0.2">
      <c r="C100" s="390" t="s">
        <v>206</v>
      </c>
      <c r="D100" s="390" t="e">
        <f t="shared" ref="D100:AI100" ca="1" si="74">D11</f>
        <v>#REF!</v>
      </c>
      <c r="E100" s="407" t="e">
        <f t="shared" ca="1" si="74"/>
        <v>#REF!</v>
      </c>
      <c r="F100" s="407" t="e">
        <f t="shared" ca="1" si="74"/>
        <v>#REF!</v>
      </c>
      <c r="G100" s="407" t="e">
        <f t="shared" ca="1" si="74"/>
        <v>#REF!</v>
      </c>
      <c r="H100" s="407" t="e">
        <f t="shared" ca="1" si="74"/>
        <v>#REF!</v>
      </c>
      <c r="I100" s="407" t="e">
        <f t="shared" ca="1" si="74"/>
        <v>#REF!</v>
      </c>
      <c r="J100" s="407" t="e">
        <f t="shared" ca="1" si="74"/>
        <v>#REF!</v>
      </c>
      <c r="K100" s="407" t="e">
        <f t="shared" ca="1" si="74"/>
        <v>#REF!</v>
      </c>
      <c r="L100" s="407" t="e">
        <f t="shared" ca="1" si="74"/>
        <v>#REF!</v>
      </c>
      <c r="M100" s="407" t="e">
        <f t="shared" ca="1" si="74"/>
        <v>#REF!</v>
      </c>
      <c r="N100" s="407" t="e">
        <f t="shared" ca="1" si="74"/>
        <v>#REF!</v>
      </c>
      <c r="O100" s="407" t="e">
        <f t="shared" ca="1" si="74"/>
        <v>#REF!</v>
      </c>
      <c r="P100" s="407" t="e">
        <f t="shared" ca="1" si="74"/>
        <v>#REF!</v>
      </c>
      <c r="Q100" s="407" t="e">
        <f t="shared" ca="1" si="74"/>
        <v>#REF!</v>
      </c>
      <c r="R100" s="407" t="e">
        <f t="shared" ca="1" si="74"/>
        <v>#REF!</v>
      </c>
      <c r="S100" s="407" t="e">
        <f t="shared" ca="1" si="74"/>
        <v>#REF!</v>
      </c>
      <c r="T100" s="407" t="e">
        <f t="shared" ca="1" si="74"/>
        <v>#REF!</v>
      </c>
      <c r="U100" s="407" t="e">
        <f t="shared" ca="1" si="74"/>
        <v>#REF!</v>
      </c>
      <c r="V100" s="407" t="e">
        <f t="shared" ca="1" si="74"/>
        <v>#REF!</v>
      </c>
      <c r="W100" s="407" t="e">
        <f t="shared" ca="1" si="74"/>
        <v>#REF!</v>
      </c>
      <c r="X100" s="407" t="e">
        <f t="shared" ca="1" si="74"/>
        <v>#REF!</v>
      </c>
      <c r="Y100" s="407" t="e">
        <f t="shared" ca="1" si="74"/>
        <v>#REF!</v>
      </c>
      <c r="Z100" s="407" t="e">
        <f t="shared" ca="1" si="74"/>
        <v>#REF!</v>
      </c>
      <c r="AA100" s="407" t="e">
        <f t="shared" ca="1" si="74"/>
        <v>#REF!</v>
      </c>
      <c r="AB100" s="407" t="e">
        <f t="shared" ca="1" si="74"/>
        <v>#REF!</v>
      </c>
      <c r="AC100" s="407" t="e">
        <f t="shared" ca="1" si="74"/>
        <v>#REF!</v>
      </c>
      <c r="AD100" s="407" t="e">
        <f t="shared" ca="1" si="74"/>
        <v>#REF!</v>
      </c>
      <c r="AE100" s="407" t="e">
        <f t="shared" ca="1" si="74"/>
        <v>#REF!</v>
      </c>
      <c r="AF100" s="407" t="e">
        <f t="shared" ca="1" si="74"/>
        <v>#REF!</v>
      </c>
      <c r="AG100" s="407" t="e">
        <f t="shared" ca="1" si="74"/>
        <v>#REF!</v>
      </c>
      <c r="AH100" s="407" t="e">
        <f t="shared" ca="1" si="74"/>
        <v>#REF!</v>
      </c>
      <c r="AI100" s="407" t="e">
        <f t="shared" ca="1" si="74"/>
        <v>#REF!</v>
      </c>
      <c r="AJ100" s="407" t="e">
        <f t="shared" ref="AJ100:BR100" ca="1" si="75">AJ11</f>
        <v>#REF!</v>
      </c>
      <c r="AK100" s="407" t="e">
        <f t="shared" ca="1" si="75"/>
        <v>#REF!</v>
      </c>
      <c r="AL100" s="407" t="e">
        <f t="shared" ca="1" si="75"/>
        <v>#REF!</v>
      </c>
      <c r="AM100" s="407" t="e">
        <f t="shared" ca="1" si="75"/>
        <v>#REF!</v>
      </c>
      <c r="AN100" s="407" t="e">
        <f t="shared" ca="1" si="75"/>
        <v>#REF!</v>
      </c>
      <c r="AO100" s="407" t="e">
        <f t="shared" ca="1" si="75"/>
        <v>#REF!</v>
      </c>
      <c r="AP100" s="407" t="e">
        <f t="shared" ca="1" si="75"/>
        <v>#REF!</v>
      </c>
      <c r="AQ100" s="407" t="e">
        <f t="shared" ca="1" si="75"/>
        <v>#REF!</v>
      </c>
      <c r="AR100" s="407" t="e">
        <f t="shared" ca="1" si="75"/>
        <v>#REF!</v>
      </c>
      <c r="AS100" s="407" t="e">
        <f t="shared" ca="1" si="75"/>
        <v>#REF!</v>
      </c>
      <c r="AT100" s="407" t="e">
        <f t="shared" ca="1" si="75"/>
        <v>#REF!</v>
      </c>
      <c r="AU100" s="407" t="e">
        <f t="shared" ca="1" si="75"/>
        <v>#REF!</v>
      </c>
      <c r="AV100" s="407" t="e">
        <f t="shared" ca="1" si="75"/>
        <v>#REF!</v>
      </c>
      <c r="AW100" s="407" t="e">
        <f t="shared" ca="1" si="75"/>
        <v>#REF!</v>
      </c>
      <c r="AX100" s="407" t="e">
        <f t="shared" ca="1" si="75"/>
        <v>#REF!</v>
      </c>
      <c r="AY100" s="407" t="e">
        <f t="shared" ca="1" si="75"/>
        <v>#REF!</v>
      </c>
      <c r="AZ100" s="407" t="e">
        <f t="shared" ca="1" si="75"/>
        <v>#REF!</v>
      </c>
      <c r="BA100" s="407" t="e">
        <f t="shared" ca="1" si="75"/>
        <v>#REF!</v>
      </c>
      <c r="BB100" s="407" t="e">
        <f t="shared" ca="1" si="75"/>
        <v>#REF!</v>
      </c>
      <c r="BC100" s="407" t="e">
        <f t="shared" ca="1" si="75"/>
        <v>#REF!</v>
      </c>
      <c r="BD100" s="407" t="e">
        <f t="shared" ca="1" si="75"/>
        <v>#REF!</v>
      </c>
      <c r="BE100" s="407" t="e">
        <f t="shared" ca="1" si="75"/>
        <v>#REF!</v>
      </c>
      <c r="BF100" s="407" t="e">
        <f t="shared" ca="1" si="75"/>
        <v>#REF!</v>
      </c>
      <c r="BG100" s="407" t="e">
        <f t="shared" ca="1" si="75"/>
        <v>#REF!</v>
      </c>
      <c r="BH100" s="407" t="e">
        <f t="shared" ca="1" si="75"/>
        <v>#REF!</v>
      </c>
      <c r="BI100" s="407" t="e">
        <f t="shared" ca="1" si="75"/>
        <v>#REF!</v>
      </c>
      <c r="BJ100" s="407" t="e">
        <f t="shared" ca="1" si="75"/>
        <v>#REF!</v>
      </c>
      <c r="BK100" s="407" t="e">
        <f t="shared" ca="1" si="75"/>
        <v>#REF!</v>
      </c>
      <c r="BL100" s="407" t="e">
        <f t="shared" ca="1" si="75"/>
        <v>#REF!</v>
      </c>
      <c r="BM100" s="407" t="e">
        <f t="shared" ca="1" si="75"/>
        <v>#REF!</v>
      </c>
      <c r="BN100" s="407" t="e">
        <f t="shared" ca="1" si="75"/>
        <v>#REF!</v>
      </c>
      <c r="BO100" s="407" t="e">
        <f t="shared" ca="1" si="75"/>
        <v>#REF!</v>
      </c>
      <c r="BP100" s="407" t="e">
        <f t="shared" ca="1" si="75"/>
        <v>#REF!</v>
      </c>
      <c r="BQ100" s="407" t="e">
        <f t="shared" ca="1" si="75"/>
        <v>#REF!</v>
      </c>
      <c r="BR100" s="407" t="e">
        <f t="shared" ca="1" si="75"/>
        <v>#REF!</v>
      </c>
    </row>
    <row r="101" spans="1:70" x14ac:dyDescent="0.2">
      <c r="B101" s="390">
        <f>(a&gt;0)*2</f>
        <v>0</v>
      </c>
      <c r="C101" s="390" t="s">
        <v>206</v>
      </c>
      <c r="D101" s="407" t="e">
        <f t="shared" ref="D101:AI101" ca="1" si="76">OFFSET(D10,$B$101,0)</f>
        <v>#REF!</v>
      </c>
      <c r="E101" s="407" t="e">
        <f t="shared" ca="1" si="76"/>
        <v>#REF!</v>
      </c>
      <c r="F101" s="407" t="e">
        <f t="shared" ca="1" si="76"/>
        <v>#REF!</v>
      </c>
      <c r="G101" s="407" t="e">
        <f t="shared" ca="1" si="76"/>
        <v>#REF!</v>
      </c>
      <c r="H101" s="407" t="e">
        <f t="shared" ca="1" si="76"/>
        <v>#REF!</v>
      </c>
      <c r="I101" s="407" t="e">
        <f t="shared" ca="1" si="76"/>
        <v>#REF!</v>
      </c>
      <c r="J101" s="407" t="e">
        <f t="shared" ca="1" si="76"/>
        <v>#REF!</v>
      </c>
      <c r="K101" s="407" t="e">
        <f t="shared" ca="1" si="76"/>
        <v>#REF!</v>
      </c>
      <c r="L101" s="407" t="e">
        <f t="shared" ca="1" si="76"/>
        <v>#REF!</v>
      </c>
      <c r="M101" s="407" t="e">
        <f t="shared" ca="1" si="76"/>
        <v>#REF!</v>
      </c>
      <c r="N101" s="407" t="e">
        <f t="shared" ca="1" si="76"/>
        <v>#REF!</v>
      </c>
      <c r="O101" s="407" t="e">
        <f t="shared" ca="1" si="76"/>
        <v>#REF!</v>
      </c>
      <c r="P101" s="407" t="e">
        <f t="shared" ca="1" si="76"/>
        <v>#REF!</v>
      </c>
      <c r="Q101" s="407" t="e">
        <f t="shared" ca="1" si="76"/>
        <v>#REF!</v>
      </c>
      <c r="R101" s="407" t="e">
        <f t="shared" ca="1" si="76"/>
        <v>#REF!</v>
      </c>
      <c r="S101" s="407" t="e">
        <f t="shared" ca="1" si="76"/>
        <v>#REF!</v>
      </c>
      <c r="T101" s="407" t="e">
        <f t="shared" ca="1" si="76"/>
        <v>#REF!</v>
      </c>
      <c r="U101" s="407" t="e">
        <f t="shared" ca="1" si="76"/>
        <v>#REF!</v>
      </c>
      <c r="V101" s="407" t="e">
        <f t="shared" ca="1" si="76"/>
        <v>#REF!</v>
      </c>
      <c r="W101" s="407" t="e">
        <f t="shared" ca="1" si="76"/>
        <v>#REF!</v>
      </c>
      <c r="X101" s="407" t="e">
        <f t="shared" ca="1" si="76"/>
        <v>#REF!</v>
      </c>
      <c r="Y101" s="407" t="e">
        <f t="shared" ca="1" si="76"/>
        <v>#REF!</v>
      </c>
      <c r="Z101" s="407" t="e">
        <f t="shared" ca="1" si="76"/>
        <v>#REF!</v>
      </c>
      <c r="AA101" s="407" t="e">
        <f t="shared" ca="1" si="76"/>
        <v>#REF!</v>
      </c>
      <c r="AB101" s="407" t="e">
        <f t="shared" ca="1" si="76"/>
        <v>#REF!</v>
      </c>
      <c r="AC101" s="407" t="e">
        <f t="shared" ca="1" si="76"/>
        <v>#REF!</v>
      </c>
      <c r="AD101" s="407" t="e">
        <f t="shared" ca="1" si="76"/>
        <v>#REF!</v>
      </c>
      <c r="AE101" s="407" t="e">
        <f t="shared" ca="1" si="76"/>
        <v>#REF!</v>
      </c>
      <c r="AF101" s="407" t="e">
        <f t="shared" ca="1" si="76"/>
        <v>#REF!</v>
      </c>
      <c r="AG101" s="407" t="e">
        <f t="shared" ca="1" si="76"/>
        <v>#REF!</v>
      </c>
      <c r="AH101" s="407" t="e">
        <f t="shared" ca="1" si="76"/>
        <v>#REF!</v>
      </c>
      <c r="AI101" s="407" t="e">
        <f t="shared" ca="1" si="76"/>
        <v>#REF!</v>
      </c>
      <c r="AJ101" s="407" t="e">
        <f t="shared" ref="AJ101:BR101" ca="1" si="77">OFFSET(AJ10,$B$101,0)</f>
        <v>#REF!</v>
      </c>
      <c r="AK101" s="407" t="e">
        <f t="shared" ca="1" si="77"/>
        <v>#REF!</v>
      </c>
      <c r="AL101" s="407" t="e">
        <f t="shared" ca="1" si="77"/>
        <v>#REF!</v>
      </c>
      <c r="AM101" s="407" t="e">
        <f t="shared" ca="1" si="77"/>
        <v>#REF!</v>
      </c>
      <c r="AN101" s="407" t="e">
        <f t="shared" ca="1" si="77"/>
        <v>#REF!</v>
      </c>
      <c r="AO101" s="407" t="e">
        <f t="shared" ca="1" si="77"/>
        <v>#REF!</v>
      </c>
      <c r="AP101" s="407" t="e">
        <f t="shared" ca="1" si="77"/>
        <v>#REF!</v>
      </c>
      <c r="AQ101" s="407" t="e">
        <f t="shared" ca="1" si="77"/>
        <v>#REF!</v>
      </c>
      <c r="AR101" s="407" t="e">
        <f t="shared" ca="1" si="77"/>
        <v>#REF!</v>
      </c>
      <c r="AS101" s="407" t="e">
        <f t="shared" ca="1" si="77"/>
        <v>#REF!</v>
      </c>
      <c r="AT101" s="407" t="e">
        <f t="shared" ca="1" si="77"/>
        <v>#REF!</v>
      </c>
      <c r="AU101" s="407" t="e">
        <f t="shared" ca="1" si="77"/>
        <v>#REF!</v>
      </c>
      <c r="AV101" s="407" t="e">
        <f t="shared" ca="1" si="77"/>
        <v>#REF!</v>
      </c>
      <c r="AW101" s="407" t="e">
        <f t="shared" ca="1" si="77"/>
        <v>#REF!</v>
      </c>
      <c r="AX101" s="407" t="e">
        <f t="shared" ca="1" si="77"/>
        <v>#REF!</v>
      </c>
      <c r="AY101" s="407" t="e">
        <f t="shared" ca="1" si="77"/>
        <v>#REF!</v>
      </c>
      <c r="AZ101" s="407" t="e">
        <f t="shared" ca="1" si="77"/>
        <v>#REF!</v>
      </c>
      <c r="BA101" s="407" t="e">
        <f t="shared" ca="1" si="77"/>
        <v>#REF!</v>
      </c>
      <c r="BB101" s="407" t="e">
        <f t="shared" ca="1" si="77"/>
        <v>#REF!</v>
      </c>
      <c r="BC101" s="407" t="e">
        <f t="shared" ca="1" si="77"/>
        <v>#REF!</v>
      </c>
      <c r="BD101" s="407" t="e">
        <f t="shared" ca="1" si="77"/>
        <v>#REF!</v>
      </c>
      <c r="BE101" s="407" t="e">
        <f t="shared" ca="1" si="77"/>
        <v>#REF!</v>
      </c>
      <c r="BF101" s="407" t="e">
        <f t="shared" ca="1" si="77"/>
        <v>#REF!</v>
      </c>
      <c r="BG101" s="407" t="e">
        <f t="shared" ca="1" si="77"/>
        <v>#REF!</v>
      </c>
      <c r="BH101" s="407" t="e">
        <f t="shared" ca="1" si="77"/>
        <v>#REF!</v>
      </c>
      <c r="BI101" s="407" t="e">
        <f t="shared" ca="1" si="77"/>
        <v>#REF!</v>
      </c>
      <c r="BJ101" s="407" t="e">
        <f t="shared" ca="1" si="77"/>
        <v>#REF!</v>
      </c>
      <c r="BK101" s="407" t="e">
        <f t="shared" ca="1" si="77"/>
        <v>#REF!</v>
      </c>
      <c r="BL101" s="407" t="e">
        <f t="shared" ca="1" si="77"/>
        <v>#REF!</v>
      </c>
      <c r="BM101" s="407" t="e">
        <f t="shared" ca="1" si="77"/>
        <v>#REF!</v>
      </c>
      <c r="BN101" s="407" t="e">
        <f t="shared" ca="1" si="77"/>
        <v>#REF!</v>
      </c>
      <c r="BO101" s="407" t="e">
        <f t="shared" ca="1" si="77"/>
        <v>#REF!</v>
      </c>
      <c r="BP101" s="407" t="e">
        <f t="shared" ca="1" si="77"/>
        <v>#REF!</v>
      </c>
      <c r="BQ101" s="407" t="e">
        <f t="shared" ca="1" si="77"/>
        <v>#REF!</v>
      </c>
      <c r="BR101" s="407" t="e">
        <f t="shared" ca="1" si="77"/>
        <v>#REF!</v>
      </c>
    </row>
    <row r="102" spans="1:70" ht="15.75" x14ac:dyDescent="0.3">
      <c r="A102" s="676" t="s">
        <v>692</v>
      </c>
      <c r="C102" s="390" t="s">
        <v>206</v>
      </c>
      <c r="D102" s="390" t="s">
        <v>3286</v>
      </c>
      <c r="E102" s="407" t="e">
        <f t="shared" ref="E102:AJ102" ca="1" si="78">E101+(E100-E101)*cos_a</f>
        <v>#REF!</v>
      </c>
      <c r="F102" s="407" t="e">
        <f t="shared" ca="1" si="78"/>
        <v>#REF!</v>
      </c>
      <c r="G102" s="407" t="e">
        <f t="shared" ca="1" si="78"/>
        <v>#REF!</v>
      </c>
      <c r="H102" s="407" t="e">
        <f t="shared" ca="1" si="78"/>
        <v>#REF!</v>
      </c>
      <c r="I102" s="407" t="e">
        <f t="shared" ca="1" si="78"/>
        <v>#REF!</v>
      </c>
      <c r="J102" s="407" t="e">
        <f t="shared" ca="1" si="78"/>
        <v>#REF!</v>
      </c>
      <c r="K102" s="407" t="e">
        <f t="shared" ca="1" si="78"/>
        <v>#REF!</v>
      </c>
      <c r="L102" s="407" t="e">
        <f t="shared" ca="1" si="78"/>
        <v>#REF!</v>
      </c>
      <c r="M102" s="407" t="e">
        <f t="shared" ca="1" si="78"/>
        <v>#REF!</v>
      </c>
      <c r="N102" s="407" t="e">
        <f t="shared" ca="1" si="78"/>
        <v>#REF!</v>
      </c>
      <c r="O102" s="407" t="e">
        <f t="shared" ca="1" si="78"/>
        <v>#REF!</v>
      </c>
      <c r="P102" s="407" t="e">
        <f t="shared" ca="1" si="78"/>
        <v>#REF!</v>
      </c>
      <c r="Q102" s="407" t="e">
        <f t="shared" ca="1" si="78"/>
        <v>#REF!</v>
      </c>
      <c r="R102" s="407" t="e">
        <f t="shared" ca="1" si="78"/>
        <v>#REF!</v>
      </c>
      <c r="S102" s="407" t="e">
        <f t="shared" ca="1" si="78"/>
        <v>#REF!</v>
      </c>
      <c r="T102" s="407" t="e">
        <f t="shared" ca="1" si="78"/>
        <v>#REF!</v>
      </c>
      <c r="U102" s="407" t="e">
        <f t="shared" ca="1" si="78"/>
        <v>#REF!</v>
      </c>
      <c r="V102" s="407" t="e">
        <f t="shared" ca="1" si="78"/>
        <v>#REF!</v>
      </c>
      <c r="W102" s="407" t="e">
        <f t="shared" ca="1" si="78"/>
        <v>#REF!</v>
      </c>
      <c r="X102" s="407" t="e">
        <f t="shared" ca="1" si="78"/>
        <v>#REF!</v>
      </c>
      <c r="Y102" s="407" t="e">
        <f t="shared" ca="1" si="78"/>
        <v>#REF!</v>
      </c>
      <c r="Z102" s="407" t="e">
        <f t="shared" ca="1" si="78"/>
        <v>#REF!</v>
      </c>
      <c r="AA102" s="407" t="e">
        <f t="shared" ca="1" si="78"/>
        <v>#REF!</v>
      </c>
      <c r="AB102" s="407" t="e">
        <f t="shared" ca="1" si="78"/>
        <v>#REF!</v>
      </c>
      <c r="AC102" s="407" t="e">
        <f t="shared" ca="1" si="78"/>
        <v>#REF!</v>
      </c>
      <c r="AD102" s="407" t="e">
        <f t="shared" ca="1" si="78"/>
        <v>#REF!</v>
      </c>
      <c r="AE102" s="407" t="e">
        <f t="shared" ca="1" si="78"/>
        <v>#REF!</v>
      </c>
      <c r="AF102" s="407" t="e">
        <f t="shared" ca="1" si="78"/>
        <v>#REF!</v>
      </c>
      <c r="AG102" s="407" t="e">
        <f t="shared" ca="1" si="78"/>
        <v>#REF!</v>
      </c>
      <c r="AH102" s="407" t="e">
        <f t="shared" ca="1" si="78"/>
        <v>#REF!</v>
      </c>
      <c r="AI102" s="407" t="e">
        <f t="shared" ca="1" si="78"/>
        <v>#REF!</v>
      </c>
      <c r="AJ102" s="407" t="e">
        <f t="shared" ca="1" si="78"/>
        <v>#REF!</v>
      </c>
      <c r="AK102" s="407" t="e">
        <f t="shared" ref="AK102:BP102" ca="1" si="79">AK101+(AK100-AK101)*cos_a</f>
        <v>#REF!</v>
      </c>
      <c r="AL102" s="407" t="e">
        <f t="shared" ca="1" si="79"/>
        <v>#REF!</v>
      </c>
      <c r="AM102" s="407" t="e">
        <f t="shared" ca="1" si="79"/>
        <v>#REF!</v>
      </c>
      <c r="AN102" s="407" t="e">
        <f t="shared" ca="1" si="79"/>
        <v>#REF!</v>
      </c>
      <c r="AO102" s="407" t="e">
        <f t="shared" ca="1" si="79"/>
        <v>#REF!</v>
      </c>
      <c r="AP102" s="407" t="e">
        <f t="shared" ca="1" si="79"/>
        <v>#REF!</v>
      </c>
      <c r="AQ102" s="407" t="e">
        <f t="shared" ca="1" si="79"/>
        <v>#REF!</v>
      </c>
      <c r="AR102" s="407" t="e">
        <f t="shared" ca="1" si="79"/>
        <v>#REF!</v>
      </c>
      <c r="AS102" s="407" t="e">
        <f t="shared" ca="1" si="79"/>
        <v>#REF!</v>
      </c>
      <c r="AT102" s="407" t="e">
        <f t="shared" ca="1" si="79"/>
        <v>#REF!</v>
      </c>
      <c r="AU102" s="407" t="e">
        <f t="shared" ca="1" si="79"/>
        <v>#REF!</v>
      </c>
      <c r="AV102" s="407" t="e">
        <f t="shared" ca="1" si="79"/>
        <v>#REF!</v>
      </c>
      <c r="AW102" s="407" t="e">
        <f t="shared" ca="1" si="79"/>
        <v>#REF!</v>
      </c>
      <c r="AX102" s="407" t="e">
        <f t="shared" ca="1" si="79"/>
        <v>#REF!</v>
      </c>
      <c r="AY102" s="407" t="e">
        <f t="shared" ca="1" si="79"/>
        <v>#REF!</v>
      </c>
      <c r="AZ102" s="407" t="e">
        <f t="shared" ca="1" si="79"/>
        <v>#REF!</v>
      </c>
      <c r="BA102" s="407" t="e">
        <f t="shared" ca="1" si="79"/>
        <v>#REF!</v>
      </c>
      <c r="BB102" s="407" t="e">
        <f t="shared" ca="1" si="79"/>
        <v>#REF!</v>
      </c>
      <c r="BC102" s="407" t="e">
        <f t="shared" ca="1" si="79"/>
        <v>#REF!</v>
      </c>
      <c r="BD102" s="407" t="e">
        <f t="shared" ca="1" si="79"/>
        <v>#REF!</v>
      </c>
      <c r="BE102" s="407" t="e">
        <f t="shared" ca="1" si="79"/>
        <v>#REF!</v>
      </c>
      <c r="BF102" s="407" t="e">
        <f t="shared" ca="1" si="79"/>
        <v>#REF!</v>
      </c>
      <c r="BG102" s="407" t="e">
        <f t="shared" ca="1" si="79"/>
        <v>#REF!</v>
      </c>
      <c r="BH102" s="407" t="e">
        <f t="shared" ca="1" si="79"/>
        <v>#REF!</v>
      </c>
      <c r="BI102" s="407" t="e">
        <f t="shared" ca="1" si="79"/>
        <v>#REF!</v>
      </c>
      <c r="BJ102" s="407" t="e">
        <f t="shared" ca="1" si="79"/>
        <v>#REF!</v>
      </c>
      <c r="BK102" s="407" t="e">
        <f t="shared" ca="1" si="79"/>
        <v>#REF!</v>
      </c>
      <c r="BL102" s="407" t="e">
        <f t="shared" ca="1" si="79"/>
        <v>#REF!</v>
      </c>
      <c r="BM102" s="407" t="e">
        <f t="shared" ca="1" si="79"/>
        <v>#REF!</v>
      </c>
      <c r="BN102" s="407" t="e">
        <f t="shared" ca="1" si="79"/>
        <v>#REF!</v>
      </c>
      <c r="BO102" s="407" t="e">
        <f t="shared" ca="1" si="79"/>
        <v>#REF!</v>
      </c>
      <c r="BP102" s="407" t="e">
        <f t="shared" ca="1" si="79"/>
        <v>#REF!</v>
      </c>
      <c r="BQ102" s="407" t="e">
        <f ca="1">BQ101+(BQ100-BQ101)*cos_a</f>
        <v>#REF!</v>
      </c>
      <c r="BR102" s="407" t="e">
        <f ca="1">BR101+(BR100-BR101)*cos_a</f>
        <v>#REF!</v>
      </c>
    </row>
    <row r="103" spans="1:70" x14ac:dyDescent="0.2">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row>
    <row r="104" spans="1:70" x14ac:dyDescent="0.2">
      <c r="C104" s="390" t="s">
        <v>206</v>
      </c>
      <c r="D104" s="390" t="e">
        <f t="shared" ref="D104:AI104" ca="1" si="80">D13</f>
        <v>#REF!</v>
      </c>
      <c r="E104" s="407" t="e">
        <f t="shared" ca="1" si="80"/>
        <v>#REF!</v>
      </c>
      <c r="F104" s="407" t="e">
        <f t="shared" ca="1" si="80"/>
        <v>#REF!</v>
      </c>
      <c r="G104" s="407" t="e">
        <f t="shared" ca="1" si="80"/>
        <v>#REF!</v>
      </c>
      <c r="H104" s="407" t="e">
        <f t="shared" ca="1" si="80"/>
        <v>#REF!</v>
      </c>
      <c r="I104" s="407" t="e">
        <f t="shared" ca="1" si="80"/>
        <v>#REF!</v>
      </c>
      <c r="J104" s="407" t="e">
        <f t="shared" ca="1" si="80"/>
        <v>#REF!</v>
      </c>
      <c r="K104" s="407" t="e">
        <f t="shared" ca="1" si="80"/>
        <v>#REF!</v>
      </c>
      <c r="L104" s="407" t="e">
        <f t="shared" ca="1" si="80"/>
        <v>#REF!</v>
      </c>
      <c r="M104" s="407" t="e">
        <f t="shared" ca="1" si="80"/>
        <v>#REF!</v>
      </c>
      <c r="N104" s="407" t="e">
        <f t="shared" ca="1" si="80"/>
        <v>#REF!</v>
      </c>
      <c r="O104" s="407" t="e">
        <f t="shared" ca="1" si="80"/>
        <v>#REF!</v>
      </c>
      <c r="P104" s="407" t="e">
        <f t="shared" ca="1" si="80"/>
        <v>#REF!</v>
      </c>
      <c r="Q104" s="407" t="e">
        <f t="shared" ca="1" si="80"/>
        <v>#REF!</v>
      </c>
      <c r="R104" s="407" t="e">
        <f t="shared" ca="1" si="80"/>
        <v>#REF!</v>
      </c>
      <c r="S104" s="407" t="e">
        <f t="shared" ca="1" si="80"/>
        <v>#REF!</v>
      </c>
      <c r="T104" s="407" t="e">
        <f t="shared" ca="1" si="80"/>
        <v>#REF!</v>
      </c>
      <c r="U104" s="407" t="e">
        <f t="shared" ca="1" si="80"/>
        <v>#REF!</v>
      </c>
      <c r="V104" s="407" t="e">
        <f t="shared" ca="1" si="80"/>
        <v>#REF!</v>
      </c>
      <c r="W104" s="407" t="e">
        <f t="shared" ca="1" si="80"/>
        <v>#REF!</v>
      </c>
      <c r="X104" s="407" t="e">
        <f t="shared" ca="1" si="80"/>
        <v>#REF!</v>
      </c>
      <c r="Y104" s="407" t="e">
        <f t="shared" ca="1" si="80"/>
        <v>#REF!</v>
      </c>
      <c r="Z104" s="407" t="e">
        <f t="shared" ca="1" si="80"/>
        <v>#REF!</v>
      </c>
      <c r="AA104" s="407" t="e">
        <f t="shared" ca="1" si="80"/>
        <v>#REF!</v>
      </c>
      <c r="AB104" s="407" t="e">
        <f t="shared" ca="1" si="80"/>
        <v>#REF!</v>
      </c>
      <c r="AC104" s="407" t="e">
        <f t="shared" ca="1" si="80"/>
        <v>#REF!</v>
      </c>
      <c r="AD104" s="407" t="e">
        <f t="shared" ca="1" si="80"/>
        <v>#REF!</v>
      </c>
      <c r="AE104" s="407" t="e">
        <f t="shared" ca="1" si="80"/>
        <v>#REF!</v>
      </c>
      <c r="AF104" s="407" t="e">
        <f t="shared" ca="1" si="80"/>
        <v>#REF!</v>
      </c>
      <c r="AG104" s="407" t="e">
        <f t="shared" ca="1" si="80"/>
        <v>#REF!</v>
      </c>
      <c r="AH104" s="407" t="e">
        <f t="shared" ca="1" si="80"/>
        <v>#REF!</v>
      </c>
      <c r="AI104" s="407" t="e">
        <f t="shared" ca="1" si="80"/>
        <v>#REF!</v>
      </c>
      <c r="AJ104" s="407" t="e">
        <f t="shared" ref="AJ104:BR104" ca="1" si="81">AJ13</f>
        <v>#REF!</v>
      </c>
      <c r="AK104" s="407" t="e">
        <f t="shared" ca="1" si="81"/>
        <v>#REF!</v>
      </c>
      <c r="AL104" s="407" t="e">
        <f t="shared" ca="1" si="81"/>
        <v>#REF!</v>
      </c>
      <c r="AM104" s="407" t="e">
        <f t="shared" ca="1" si="81"/>
        <v>#REF!</v>
      </c>
      <c r="AN104" s="407" t="e">
        <f t="shared" ca="1" si="81"/>
        <v>#REF!</v>
      </c>
      <c r="AO104" s="407" t="e">
        <f t="shared" ca="1" si="81"/>
        <v>#REF!</v>
      </c>
      <c r="AP104" s="407" t="e">
        <f t="shared" ca="1" si="81"/>
        <v>#REF!</v>
      </c>
      <c r="AQ104" s="407" t="e">
        <f t="shared" ca="1" si="81"/>
        <v>#REF!</v>
      </c>
      <c r="AR104" s="407" t="e">
        <f t="shared" ca="1" si="81"/>
        <v>#REF!</v>
      </c>
      <c r="AS104" s="407" t="e">
        <f t="shared" ca="1" si="81"/>
        <v>#REF!</v>
      </c>
      <c r="AT104" s="407" t="e">
        <f t="shared" ca="1" si="81"/>
        <v>#REF!</v>
      </c>
      <c r="AU104" s="407" t="e">
        <f t="shared" ca="1" si="81"/>
        <v>#REF!</v>
      </c>
      <c r="AV104" s="407" t="e">
        <f t="shared" ca="1" si="81"/>
        <v>#REF!</v>
      </c>
      <c r="AW104" s="407" t="e">
        <f t="shared" ca="1" si="81"/>
        <v>#REF!</v>
      </c>
      <c r="AX104" s="407" t="e">
        <f t="shared" ca="1" si="81"/>
        <v>#REF!</v>
      </c>
      <c r="AY104" s="407" t="e">
        <f t="shared" ca="1" si="81"/>
        <v>#REF!</v>
      </c>
      <c r="AZ104" s="407" t="e">
        <f t="shared" ca="1" si="81"/>
        <v>#REF!</v>
      </c>
      <c r="BA104" s="407" t="e">
        <f t="shared" ca="1" si="81"/>
        <v>#REF!</v>
      </c>
      <c r="BB104" s="407" t="e">
        <f t="shared" ca="1" si="81"/>
        <v>#REF!</v>
      </c>
      <c r="BC104" s="407" t="e">
        <f t="shared" ca="1" si="81"/>
        <v>#REF!</v>
      </c>
      <c r="BD104" s="407" t="e">
        <f t="shared" ca="1" si="81"/>
        <v>#REF!</v>
      </c>
      <c r="BE104" s="407" t="e">
        <f t="shared" ca="1" si="81"/>
        <v>#REF!</v>
      </c>
      <c r="BF104" s="407" t="e">
        <f t="shared" ca="1" si="81"/>
        <v>#REF!</v>
      </c>
      <c r="BG104" s="407" t="e">
        <f t="shared" ca="1" si="81"/>
        <v>#REF!</v>
      </c>
      <c r="BH104" s="407" t="e">
        <f t="shared" ca="1" si="81"/>
        <v>#REF!</v>
      </c>
      <c r="BI104" s="407" t="e">
        <f t="shared" ca="1" si="81"/>
        <v>#REF!</v>
      </c>
      <c r="BJ104" s="407" t="e">
        <f t="shared" ca="1" si="81"/>
        <v>#REF!</v>
      </c>
      <c r="BK104" s="407" t="e">
        <f t="shared" ca="1" si="81"/>
        <v>#REF!</v>
      </c>
      <c r="BL104" s="407" t="e">
        <f t="shared" ca="1" si="81"/>
        <v>#REF!</v>
      </c>
      <c r="BM104" s="407" t="e">
        <f t="shared" ca="1" si="81"/>
        <v>#REF!</v>
      </c>
      <c r="BN104" s="407" t="e">
        <f t="shared" ca="1" si="81"/>
        <v>#REF!</v>
      </c>
      <c r="BO104" s="407" t="e">
        <f t="shared" ca="1" si="81"/>
        <v>#REF!</v>
      </c>
      <c r="BP104" s="407" t="e">
        <f t="shared" ca="1" si="81"/>
        <v>#REF!</v>
      </c>
      <c r="BQ104" s="407" t="e">
        <f t="shared" ca="1" si="81"/>
        <v>#REF!</v>
      </c>
      <c r="BR104" s="407" t="e">
        <f t="shared" ca="1" si="81"/>
        <v>#REF!</v>
      </c>
    </row>
    <row r="105" spans="1:70" x14ac:dyDescent="0.2">
      <c r="B105" s="390">
        <f>2-B101</f>
        <v>2</v>
      </c>
      <c r="C105" s="390" t="s">
        <v>206</v>
      </c>
      <c r="D105" s="407" t="e">
        <f t="shared" ref="D105:AI105" ca="1" si="82">OFFSET(D10,$B$105,0)</f>
        <v>#REF!</v>
      </c>
      <c r="E105" s="407" t="e">
        <f t="shared" ca="1" si="82"/>
        <v>#REF!</v>
      </c>
      <c r="F105" s="407" t="e">
        <f t="shared" ca="1" si="82"/>
        <v>#REF!</v>
      </c>
      <c r="G105" s="407" t="e">
        <f t="shared" ca="1" si="82"/>
        <v>#REF!</v>
      </c>
      <c r="H105" s="407" t="e">
        <f t="shared" ca="1" si="82"/>
        <v>#REF!</v>
      </c>
      <c r="I105" s="407" t="e">
        <f t="shared" ca="1" si="82"/>
        <v>#REF!</v>
      </c>
      <c r="J105" s="407" t="e">
        <f t="shared" ca="1" si="82"/>
        <v>#REF!</v>
      </c>
      <c r="K105" s="407" t="e">
        <f t="shared" ca="1" si="82"/>
        <v>#REF!</v>
      </c>
      <c r="L105" s="407" t="e">
        <f t="shared" ca="1" si="82"/>
        <v>#REF!</v>
      </c>
      <c r="M105" s="407" t="e">
        <f t="shared" ca="1" si="82"/>
        <v>#REF!</v>
      </c>
      <c r="N105" s="407" t="e">
        <f t="shared" ca="1" si="82"/>
        <v>#REF!</v>
      </c>
      <c r="O105" s="407" t="e">
        <f t="shared" ca="1" si="82"/>
        <v>#REF!</v>
      </c>
      <c r="P105" s="407" t="e">
        <f t="shared" ca="1" si="82"/>
        <v>#REF!</v>
      </c>
      <c r="Q105" s="407" t="e">
        <f t="shared" ca="1" si="82"/>
        <v>#REF!</v>
      </c>
      <c r="R105" s="407" t="e">
        <f t="shared" ca="1" si="82"/>
        <v>#REF!</v>
      </c>
      <c r="S105" s="407" t="e">
        <f t="shared" ca="1" si="82"/>
        <v>#REF!</v>
      </c>
      <c r="T105" s="407" t="e">
        <f t="shared" ca="1" si="82"/>
        <v>#REF!</v>
      </c>
      <c r="U105" s="407" t="e">
        <f t="shared" ca="1" si="82"/>
        <v>#REF!</v>
      </c>
      <c r="V105" s="407" t="e">
        <f t="shared" ca="1" si="82"/>
        <v>#REF!</v>
      </c>
      <c r="W105" s="407" t="e">
        <f t="shared" ca="1" si="82"/>
        <v>#REF!</v>
      </c>
      <c r="X105" s="407" t="e">
        <f t="shared" ca="1" si="82"/>
        <v>#REF!</v>
      </c>
      <c r="Y105" s="407" t="e">
        <f t="shared" ca="1" si="82"/>
        <v>#REF!</v>
      </c>
      <c r="Z105" s="407" t="e">
        <f t="shared" ca="1" si="82"/>
        <v>#REF!</v>
      </c>
      <c r="AA105" s="407" t="e">
        <f t="shared" ca="1" si="82"/>
        <v>#REF!</v>
      </c>
      <c r="AB105" s="407" t="e">
        <f t="shared" ca="1" si="82"/>
        <v>#REF!</v>
      </c>
      <c r="AC105" s="407" t="e">
        <f t="shared" ca="1" si="82"/>
        <v>#REF!</v>
      </c>
      <c r="AD105" s="407" t="e">
        <f t="shared" ca="1" si="82"/>
        <v>#REF!</v>
      </c>
      <c r="AE105" s="407" t="e">
        <f t="shared" ca="1" si="82"/>
        <v>#REF!</v>
      </c>
      <c r="AF105" s="407" t="e">
        <f t="shared" ca="1" si="82"/>
        <v>#REF!</v>
      </c>
      <c r="AG105" s="407" t="e">
        <f t="shared" ca="1" si="82"/>
        <v>#REF!</v>
      </c>
      <c r="AH105" s="407" t="e">
        <f t="shared" ca="1" si="82"/>
        <v>#REF!</v>
      </c>
      <c r="AI105" s="407" t="e">
        <f t="shared" ca="1" si="82"/>
        <v>#REF!</v>
      </c>
      <c r="AJ105" s="407" t="e">
        <f t="shared" ref="AJ105:BR105" ca="1" si="83">OFFSET(AJ10,$B$105,0)</f>
        <v>#REF!</v>
      </c>
      <c r="AK105" s="407" t="e">
        <f t="shared" ca="1" si="83"/>
        <v>#REF!</v>
      </c>
      <c r="AL105" s="407" t="e">
        <f t="shared" ca="1" si="83"/>
        <v>#REF!</v>
      </c>
      <c r="AM105" s="407" t="e">
        <f t="shared" ca="1" si="83"/>
        <v>#REF!</v>
      </c>
      <c r="AN105" s="407" t="e">
        <f t="shared" ca="1" si="83"/>
        <v>#REF!</v>
      </c>
      <c r="AO105" s="407" t="e">
        <f t="shared" ca="1" si="83"/>
        <v>#REF!</v>
      </c>
      <c r="AP105" s="407" t="e">
        <f t="shared" ca="1" si="83"/>
        <v>#REF!</v>
      </c>
      <c r="AQ105" s="407" t="e">
        <f t="shared" ca="1" si="83"/>
        <v>#REF!</v>
      </c>
      <c r="AR105" s="407" t="e">
        <f t="shared" ca="1" si="83"/>
        <v>#REF!</v>
      </c>
      <c r="AS105" s="407" t="e">
        <f t="shared" ca="1" si="83"/>
        <v>#REF!</v>
      </c>
      <c r="AT105" s="407" t="e">
        <f t="shared" ca="1" si="83"/>
        <v>#REF!</v>
      </c>
      <c r="AU105" s="407" t="e">
        <f t="shared" ca="1" si="83"/>
        <v>#REF!</v>
      </c>
      <c r="AV105" s="407" t="e">
        <f t="shared" ca="1" si="83"/>
        <v>#REF!</v>
      </c>
      <c r="AW105" s="407" t="e">
        <f t="shared" ca="1" si="83"/>
        <v>#REF!</v>
      </c>
      <c r="AX105" s="407" t="e">
        <f t="shared" ca="1" si="83"/>
        <v>#REF!</v>
      </c>
      <c r="AY105" s="407" t="e">
        <f t="shared" ca="1" si="83"/>
        <v>#REF!</v>
      </c>
      <c r="AZ105" s="407" t="e">
        <f t="shared" ca="1" si="83"/>
        <v>#REF!</v>
      </c>
      <c r="BA105" s="407" t="e">
        <f t="shared" ca="1" si="83"/>
        <v>#REF!</v>
      </c>
      <c r="BB105" s="407" t="e">
        <f t="shared" ca="1" si="83"/>
        <v>#REF!</v>
      </c>
      <c r="BC105" s="407" t="e">
        <f t="shared" ca="1" si="83"/>
        <v>#REF!</v>
      </c>
      <c r="BD105" s="407" t="e">
        <f t="shared" ca="1" si="83"/>
        <v>#REF!</v>
      </c>
      <c r="BE105" s="407" t="e">
        <f t="shared" ca="1" si="83"/>
        <v>#REF!</v>
      </c>
      <c r="BF105" s="407" t="e">
        <f t="shared" ca="1" si="83"/>
        <v>#REF!</v>
      </c>
      <c r="BG105" s="407" t="e">
        <f t="shared" ca="1" si="83"/>
        <v>#REF!</v>
      </c>
      <c r="BH105" s="407" t="e">
        <f t="shared" ca="1" si="83"/>
        <v>#REF!</v>
      </c>
      <c r="BI105" s="407" t="e">
        <f t="shared" ca="1" si="83"/>
        <v>#REF!</v>
      </c>
      <c r="BJ105" s="407" t="e">
        <f t="shared" ca="1" si="83"/>
        <v>#REF!</v>
      </c>
      <c r="BK105" s="407" t="e">
        <f t="shared" ca="1" si="83"/>
        <v>#REF!</v>
      </c>
      <c r="BL105" s="407" t="e">
        <f t="shared" ca="1" si="83"/>
        <v>#REF!</v>
      </c>
      <c r="BM105" s="407" t="e">
        <f t="shared" ca="1" si="83"/>
        <v>#REF!</v>
      </c>
      <c r="BN105" s="407" t="e">
        <f t="shared" ca="1" si="83"/>
        <v>#REF!</v>
      </c>
      <c r="BO105" s="407" t="e">
        <f t="shared" ca="1" si="83"/>
        <v>#REF!</v>
      </c>
      <c r="BP105" s="407" t="e">
        <f t="shared" ca="1" si="83"/>
        <v>#REF!</v>
      </c>
      <c r="BQ105" s="407" t="e">
        <f t="shared" ca="1" si="83"/>
        <v>#REF!</v>
      </c>
      <c r="BR105" s="407" t="e">
        <f t="shared" ca="1" si="83"/>
        <v>#REF!</v>
      </c>
    </row>
    <row r="106" spans="1:70" ht="15.75" x14ac:dyDescent="0.3">
      <c r="A106" s="676" t="s">
        <v>693</v>
      </c>
      <c r="C106" s="390" t="s">
        <v>206</v>
      </c>
      <c r="D106" s="390" t="s">
        <v>3287</v>
      </c>
      <c r="E106" s="407" t="e">
        <f t="shared" ref="E106:AJ106" ca="1" si="84">E105+(E105-E104)*cos_a_180</f>
        <v>#REF!</v>
      </c>
      <c r="F106" s="407" t="e">
        <f t="shared" ca="1" si="84"/>
        <v>#REF!</v>
      </c>
      <c r="G106" s="407" t="e">
        <f t="shared" ca="1" si="84"/>
        <v>#REF!</v>
      </c>
      <c r="H106" s="407" t="e">
        <f t="shared" ca="1" si="84"/>
        <v>#REF!</v>
      </c>
      <c r="I106" s="407" t="e">
        <f t="shared" ca="1" si="84"/>
        <v>#REF!</v>
      </c>
      <c r="J106" s="407" t="e">
        <f t="shared" ca="1" si="84"/>
        <v>#REF!</v>
      </c>
      <c r="K106" s="407" t="e">
        <f t="shared" ca="1" si="84"/>
        <v>#REF!</v>
      </c>
      <c r="L106" s="407" t="e">
        <f t="shared" ca="1" si="84"/>
        <v>#REF!</v>
      </c>
      <c r="M106" s="407" t="e">
        <f t="shared" ca="1" si="84"/>
        <v>#REF!</v>
      </c>
      <c r="N106" s="407" t="e">
        <f t="shared" ca="1" si="84"/>
        <v>#REF!</v>
      </c>
      <c r="O106" s="407" t="e">
        <f t="shared" ca="1" si="84"/>
        <v>#REF!</v>
      </c>
      <c r="P106" s="407" t="e">
        <f t="shared" ca="1" si="84"/>
        <v>#REF!</v>
      </c>
      <c r="Q106" s="407" t="e">
        <f t="shared" ca="1" si="84"/>
        <v>#REF!</v>
      </c>
      <c r="R106" s="407" t="e">
        <f t="shared" ca="1" si="84"/>
        <v>#REF!</v>
      </c>
      <c r="S106" s="407" t="e">
        <f t="shared" ca="1" si="84"/>
        <v>#REF!</v>
      </c>
      <c r="T106" s="407" t="e">
        <f t="shared" ca="1" si="84"/>
        <v>#REF!</v>
      </c>
      <c r="U106" s="407" t="e">
        <f t="shared" ca="1" si="84"/>
        <v>#REF!</v>
      </c>
      <c r="V106" s="407" t="e">
        <f t="shared" ca="1" si="84"/>
        <v>#REF!</v>
      </c>
      <c r="W106" s="407" t="e">
        <f t="shared" ca="1" si="84"/>
        <v>#REF!</v>
      </c>
      <c r="X106" s="407" t="e">
        <f t="shared" ca="1" si="84"/>
        <v>#REF!</v>
      </c>
      <c r="Y106" s="407" t="e">
        <f t="shared" ca="1" si="84"/>
        <v>#REF!</v>
      </c>
      <c r="Z106" s="407" t="e">
        <f t="shared" ca="1" si="84"/>
        <v>#REF!</v>
      </c>
      <c r="AA106" s="407" t="e">
        <f t="shared" ca="1" si="84"/>
        <v>#REF!</v>
      </c>
      <c r="AB106" s="407" t="e">
        <f t="shared" ca="1" si="84"/>
        <v>#REF!</v>
      </c>
      <c r="AC106" s="407" t="e">
        <f t="shared" ca="1" si="84"/>
        <v>#REF!</v>
      </c>
      <c r="AD106" s="407" t="e">
        <f t="shared" ca="1" si="84"/>
        <v>#REF!</v>
      </c>
      <c r="AE106" s="407" t="e">
        <f t="shared" ca="1" si="84"/>
        <v>#REF!</v>
      </c>
      <c r="AF106" s="407" t="e">
        <f t="shared" ca="1" si="84"/>
        <v>#REF!</v>
      </c>
      <c r="AG106" s="407" t="e">
        <f t="shared" ca="1" si="84"/>
        <v>#REF!</v>
      </c>
      <c r="AH106" s="407" t="e">
        <f t="shared" ca="1" si="84"/>
        <v>#REF!</v>
      </c>
      <c r="AI106" s="407" t="e">
        <f t="shared" ca="1" si="84"/>
        <v>#REF!</v>
      </c>
      <c r="AJ106" s="407" t="e">
        <f t="shared" ca="1" si="84"/>
        <v>#REF!</v>
      </c>
      <c r="AK106" s="407" t="e">
        <f t="shared" ref="AK106:BP106" ca="1" si="85">AK105+(AK105-AK104)*cos_a_180</f>
        <v>#REF!</v>
      </c>
      <c r="AL106" s="407" t="e">
        <f t="shared" ca="1" si="85"/>
        <v>#REF!</v>
      </c>
      <c r="AM106" s="407" t="e">
        <f t="shared" ca="1" si="85"/>
        <v>#REF!</v>
      </c>
      <c r="AN106" s="407" t="e">
        <f t="shared" ca="1" si="85"/>
        <v>#REF!</v>
      </c>
      <c r="AO106" s="407" t="e">
        <f t="shared" ca="1" si="85"/>
        <v>#REF!</v>
      </c>
      <c r="AP106" s="407" t="e">
        <f t="shared" ca="1" si="85"/>
        <v>#REF!</v>
      </c>
      <c r="AQ106" s="407" t="e">
        <f t="shared" ca="1" si="85"/>
        <v>#REF!</v>
      </c>
      <c r="AR106" s="407" t="e">
        <f t="shared" ca="1" si="85"/>
        <v>#REF!</v>
      </c>
      <c r="AS106" s="407" t="e">
        <f t="shared" ca="1" si="85"/>
        <v>#REF!</v>
      </c>
      <c r="AT106" s="407" t="e">
        <f t="shared" ca="1" si="85"/>
        <v>#REF!</v>
      </c>
      <c r="AU106" s="407" t="e">
        <f t="shared" ca="1" si="85"/>
        <v>#REF!</v>
      </c>
      <c r="AV106" s="407" t="e">
        <f t="shared" ca="1" si="85"/>
        <v>#REF!</v>
      </c>
      <c r="AW106" s="407" t="e">
        <f t="shared" ca="1" si="85"/>
        <v>#REF!</v>
      </c>
      <c r="AX106" s="407" t="e">
        <f t="shared" ca="1" si="85"/>
        <v>#REF!</v>
      </c>
      <c r="AY106" s="407" t="e">
        <f t="shared" ca="1" si="85"/>
        <v>#REF!</v>
      </c>
      <c r="AZ106" s="407" t="e">
        <f t="shared" ca="1" si="85"/>
        <v>#REF!</v>
      </c>
      <c r="BA106" s="407" t="e">
        <f t="shared" ca="1" si="85"/>
        <v>#REF!</v>
      </c>
      <c r="BB106" s="407" t="e">
        <f t="shared" ca="1" si="85"/>
        <v>#REF!</v>
      </c>
      <c r="BC106" s="407" t="e">
        <f t="shared" ca="1" si="85"/>
        <v>#REF!</v>
      </c>
      <c r="BD106" s="407" t="e">
        <f t="shared" ca="1" si="85"/>
        <v>#REF!</v>
      </c>
      <c r="BE106" s="407" t="e">
        <f t="shared" ca="1" si="85"/>
        <v>#REF!</v>
      </c>
      <c r="BF106" s="407" t="e">
        <f t="shared" ca="1" si="85"/>
        <v>#REF!</v>
      </c>
      <c r="BG106" s="407" t="e">
        <f t="shared" ca="1" si="85"/>
        <v>#REF!</v>
      </c>
      <c r="BH106" s="407" t="e">
        <f t="shared" ca="1" si="85"/>
        <v>#REF!</v>
      </c>
      <c r="BI106" s="407" t="e">
        <f t="shared" ca="1" si="85"/>
        <v>#REF!</v>
      </c>
      <c r="BJ106" s="407" t="e">
        <f t="shared" ca="1" si="85"/>
        <v>#REF!</v>
      </c>
      <c r="BK106" s="407" t="e">
        <f t="shared" ca="1" si="85"/>
        <v>#REF!</v>
      </c>
      <c r="BL106" s="407" t="e">
        <f t="shared" ca="1" si="85"/>
        <v>#REF!</v>
      </c>
      <c r="BM106" s="407" t="e">
        <f t="shared" ca="1" si="85"/>
        <v>#REF!</v>
      </c>
      <c r="BN106" s="407" t="e">
        <f t="shared" ca="1" si="85"/>
        <v>#REF!</v>
      </c>
      <c r="BO106" s="407" t="e">
        <f t="shared" ca="1" si="85"/>
        <v>#REF!</v>
      </c>
      <c r="BP106" s="407" t="e">
        <f t="shared" ca="1" si="85"/>
        <v>#REF!</v>
      </c>
      <c r="BQ106" s="407" t="e">
        <f ca="1">BQ105+(BQ105-BQ104)*cos_a_180</f>
        <v>#REF!</v>
      </c>
      <c r="BR106" s="407" t="e">
        <f ca="1">BR105+(BR105-BR104)*cos_a_180</f>
        <v>#REF!</v>
      </c>
    </row>
    <row r="107" spans="1:70" x14ac:dyDescent="0.2">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row>
    <row r="108" spans="1:70" x14ac:dyDescent="0.2">
      <c r="A108" s="672" t="s">
        <v>687</v>
      </c>
      <c r="C108" s="390" t="s">
        <v>206</v>
      </c>
      <c r="D108" s="390" t="e">
        <f t="shared" ref="D108:AI108" ca="1" si="86">D9</f>
        <v>#REF!</v>
      </c>
      <c r="E108" s="407" t="e">
        <f t="shared" ca="1" si="86"/>
        <v>#REF!</v>
      </c>
      <c r="F108" s="407" t="e">
        <f t="shared" ca="1" si="86"/>
        <v>#REF!</v>
      </c>
      <c r="G108" s="407" t="e">
        <f t="shared" ca="1" si="86"/>
        <v>#REF!</v>
      </c>
      <c r="H108" s="407" t="e">
        <f t="shared" ca="1" si="86"/>
        <v>#REF!</v>
      </c>
      <c r="I108" s="407" t="e">
        <f t="shared" ca="1" si="86"/>
        <v>#REF!</v>
      </c>
      <c r="J108" s="407" t="e">
        <f t="shared" ca="1" si="86"/>
        <v>#REF!</v>
      </c>
      <c r="K108" s="407" t="e">
        <f t="shared" ca="1" si="86"/>
        <v>#REF!</v>
      </c>
      <c r="L108" s="407" t="e">
        <f t="shared" ca="1" si="86"/>
        <v>#REF!</v>
      </c>
      <c r="M108" s="407" t="e">
        <f t="shared" ca="1" si="86"/>
        <v>#REF!</v>
      </c>
      <c r="N108" s="407" t="e">
        <f t="shared" ca="1" si="86"/>
        <v>#REF!</v>
      </c>
      <c r="O108" s="407" t="e">
        <f t="shared" ca="1" si="86"/>
        <v>#REF!</v>
      </c>
      <c r="P108" s="407" t="e">
        <f t="shared" ca="1" si="86"/>
        <v>#REF!</v>
      </c>
      <c r="Q108" s="407" t="e">
        <f t="shared" ca="1" si="86"/>
        <v>#REF!</v>
      </c>
      <c r="R108" s="407" t="e">
        <f t="shared" ca="1" si="86"/>
        <v>#REF!</v>
      </c>
      <c r="S108" s="407" t="e">
        <f t="shared" ca="1" si="86"/>
        <v>#REF!</v>
      </c>
      <c r="T108" s="407" t="e">
        <f t="shared" ca="1" si="86"/>
        <v>#REF!</v>
      </c>
      <c r="U108" s="407" t="e">
        <f t="shared" ca="1" si="86"/>
        <v>#REF!</v>
      </c>
      <c r="V108" s="407" t="e">
        <f t="shared" ca="1" si="86"/>
        <v>#REF!</v>
      </c>
      <c r="W108" s="407" t="e">
        <f t="shared" ca="1" si="86"/>
        <v>#REF!</v>
      </c>
      <c r="X108" s="407" t="e">
        <f t="shared" ca="1" si="86"/>
        <v>#REF!</v>
      </c>
      <c r="Y108" s="407" t="e">
        <f t="shared" ca="1" si="86"/>
        <v>#REF!</v>
      </c>
      <c r="Z108" s="407" t="e">
        <f t="shared" ca="1" si="86"/>
        <v>#REF!</v>
      </c>
      <c r="AA108" s="407" t="e">
        <f t="shared" ca="1" si="86"/>
        <v>#REF!</v>
      </c>
      <c r="AB108" s="407" t="e">
        <f t="shared" ca="1" si="86"/>
        <v>#REF!</v>
      </c>
      <c r="AC108" s="407" t="e">
        <f t="shared" ca="1" si="86"/>
        <v>#REF!</v>
      </c>
      <c r="AD108" s="407" t="e">
        <f t="shared" ca="1" si="86"/>
        <v>#REF!</v>
      </c>
      <c r="AE108" s="407" t="e">
        <f t="shared" ca="1" si="86"/>
        <v>#REF!</v>
      </c>
      <c r="AF108" s="407" t="e">
        <f t="shared" ca="1" si="86"/>
        <v>#REF!</v>
      </c>
      <c r="AG108" s="407" t="e">
        <f t="shared" ca="1" si="86"/>
        <v>#REF!</v>
      </c>
      <c r="AH108" s="407" t="e">
        <f t="shared" ca="1" si="86"/>
        <v>#REF!</v>
      </c>
      <c r="AI108" s="407" t="e">
        <f t="shared" ca="1" si="86"/>
        <v>#REF!</v>
      </c>
      <c r="AJ108" s="407" t="e">
        <f t="shared" ref="AJ108:BR108" ca="1" si="87">AJ9</f>
        <v>#REF!</v>
      </c>
      <c r="AK108" s="407" t="e">
        <f t="shared" ca="1" si="87"/>
        <v>#REF!</v>
      </c>
      <c r="AL108" s="407" t="e">
        <f t="shared" ca="1" si="87"/>
        <v>#REF!</v>
      </c>
      <c r="AM108" s="407" t="e">
        <f t="shared" ca="1" si="87"/>
        <v>#REF!</v>
      </c>
      <c r="AN108" s="407" t="e">
        <f t="shared" ca="1" si="87"/>
        <v>#REF!</v>
      </c>
      <c r="AO108" s="407" t="e">
        <f t="shared" ca="1" si="87"/>
        <v>#REF!</v>
      </c>
      <c r="AP108" s="407" t="e">
        <f t="shared" ca="1" si="87"/>
        <v>#REF!</v>
      </c>
      <c r="AQ108" s="407" t="e">
        <f t="shared" ca="1" si="87"/>
        <v>#REF!</v>
      </c>
      <c r="AR108" s="407" t="e">
        <f t="shared" ca="1" si="87"/>
        <v>#REF!</v>
      </c>
      <c r="AS108" s="407" t="e">
        <f t="shared" ca="1" si="87"/>
        <v>#REF!</v>
      </c>
      <c r="AT108" s="407" t="e">
        <f t="shared" ca="1" si="87"/>
        <v>#REF!</v>
      </c>
      <c r="AU108" s="407" t="e">
        <f t="shared" ca="1" si="87"/>
        <v>#REF!</v>
      </c>
      <c r="AV108" s="407" t="e">
        <f t="shared" ca="1" si="87"/>
        <v>#REF!</v>
      </c>
      <c r="AW108" s="407" t="e">
        <f t="shared" ca="1" si="87"/>
        <v>#REF!</v>
      </c>
      <c r="AX108" s="407" t="e">
        <f t="shared" ca="1" si="87"/>
        <v>#REF!</v>
      </c>
      <c r="AY108" s="407" t="e">
        <f t="shared" ca="1" si="87"/>
        <v>#REF!</v>
      </c>
      <c r="AZ108" s="407" t="e">
        <f t="shared" ca="1" si="87"/>
        <v>#REF!</v>
      </c>
      <c r="BA108" s="407" t="e">
        <f t="shared" ca="1" si="87"/>
        <v>#REF!</v>
      </c>
      <c r="BB108" s="407" t="e">
        <f t="shared" ca="1" si="87"/>
        <v>#REF!</v>
      </c>
      <c r="BC108" s="407" t="e">
        <f t="shared" ca="1" si="87"/>
        <v>#REF!</v>
      </c>
      <c r="BD108" s="407" t="e">
        <f t="shared" ca="1" si="87"/>
        <v>#REF!</v>
      </c>
      <c r="BE108" s="407" t="e">
        <f t="shared" ca="1" si="87"/>
        <v>#REF!</v>
      </c>
      <c r="BF108" s="407" t="e">
        <f t="shared" ca="1" si="87"/>
        <v>#REF!</v>
      </c>
      <c r="BG108" s="407" t="e">
        <f t="shared" ca="1" si="87"/>
        <v>#REF!</v>
      </c>
      <c r="BH108" s="407" t="e">
        <f t="shared" ca="1" si="87"/>
        <v>#REF!</v>
      </c>
      <c r="BI108" s="407" t="e">
        <f t="shared" ca="1" si="87"/>
        <v>#REF!</v>
      </c>
      <c r="BJ108" s="407" t="e">
        <f t="shared" ca="1" si="87"/>
        <v>#REF!</v>
      </c>
      <c r="BK108" s="407" t="e">
        <f t="shared" ca="1" si="87"/>
        <v>#REF!</v>
      </c>
      <c r="BL108" s="407" t="e">
        <f t="shared" ca="1" si="87"/>
        <v>#REF!</v>
      </c>
      <c r="BM108" s="407" t="e">
        <f t="shared" ca="1" si="87"/>
        <v>#REF!</v>
      </c>
      <c r="BN108" s="407" t="e">
        <f t="shared" ca="1" si="87"/>
        <v>#REF!</v>
      </c>
      <c r="BO108" s="407" t="e">
        <f t="shared" ca="1" si="87"/>
        <v>#REF!</v>
      </c>
      <c r="BP108" s="407" t="e">
        <f t="shared" ca="1" si="87"/>
        <v>#REF!</v>
      </c>
      <c r="BQ108" s="407" t="e">
        <f t="shared" ca="1" si="87"/>
        <v>#REF!</v>
      </c>
      <c r="BR108" s="407" t="e">
        <f t="shared" ca="1" si="87"/>
        <v>#REF!</v>
      </c>
    </row>
    <row r="109" spans="1:70" ht="15.75" x14ac:dyDescent="0.3">
      <c r="A109" s="675" t="s">
        <v>694</v>
      </c>
      <c r="B109" s="410" t="s">
        <v>3522</v>
      </c>
      <c r="C109" s="409"/>
      <c r="D109" s="390" t="s">
        <v>3288</v>
      </c>
      <c r="E109" s="407" t="e">
        <f t="shared" ref="E109:AJ109" ca="1" si="88">(((E102+E106-2*E108)/2)*y_2+((E102-E106)/2)*y+E108)*x</f>
        <v>#REF!</v>
      </c>
      <c r="F109" s="407" t="e">
        <f t="shared" ca="1" si="88"/>
        <v>#REF!</v>
      </c>
      <c r="G109" s="407" t="e">
        <f t="shared" ca="1" si="88"/>
        <v>#REF!</v>
      </c>
      <c r="H109" s="407" t="e">
        <f t="shared" ca="1" si="88"/>
        <v>#REF!</v>
      </c>
      <c r="I109" s="407" t="e">
        <f t="shared" ca="1" si="88"/>
        <v>#REF!</v>
      </c>
      <c r="J109" s="407" t="e">
        <f t="shared" ca="1" si="88"/>
        <v>#REF!</v>
      </c>
      <c r="K109" s="407" t="e">
        <f t="shared" ca="1" si="88"/>
        <v>#REF!</v>
      </c>
      <c r="L109" s="407" t="e">
        <f t="shared" ca="1" si="88"/>
        <v>#REF!</v>
      </c>
      <c r="M109" s="407" t="e">
        <f t="shared" ca="1" si="88"/>
        <v>#REF!</v>
      </c>
      <c r="N109" s="407" t="e">
        <f t="shared" ca="1" si="88"/>
        <v>#REF!</v>
      </c>
      <c r="O109" s="407" t="e">
        <f t="shared" ca="1" si="88"/>
        <v>#REF!</v>
      </c>
      <c r="P109" s="407" t="e">
        <f t="shared" ca="1" si="88"/>
        <v>#REF!</v>
      </c>
      <c r="Q109" s="407" t="e">
        <f t="shared" ca="1" si="88"/>
        <v>#REF!</v>
      </c>
      <c r="R109" s="407" t="e">
        <f t="shared" ca="1" si="88"/>
        <v>#REF!</v>
      </c>
      <c r="S109" s="407" t="e">
        <f t="shared" ca="1" si="88"/>
        <v>#REF!</v>
      </c>
      <c r="T109" s="407" t="e">
        <f t="shared" ca="1" si="88"/>
        <v>#REF!</v>
      </c>
      <c r="U109" s="407" t="e">
        <f t="shared" ca="1" si="88"/>
        <v>#REF!</v>
      </c>
      <c r="V109" s="407" t="e">
        <f t="shared" ca="1" si="88"/>
        <v>#REF!</v>
      </c>
      <c r="W109" s="407" t="e">
        <f t="shared" ca="1" si="88"/>
        <v>#REF!</v>
      </c>
      <c r="X109" s="407" t="e">
        <f t="shared" ca="1" si="88"/>
        <v>#REF!</v>
      </c>
      <c r="Y109" s="407" t="e">
        <f t="shared" ca="1" si="88"/>
        <v>#REF!</v>
      </c>
      <c r="Z109" s="407" t="e">
        <f t="shared" ca="1" si="88"/>
        <v>#REF!</v>
      </c>
      <c r="AA109" s="407" t="e">
        <f t="shared" ca="1" si="88"/>
        <v>#REF!</v>
      </c>
      <c r="AB109" s="407" t="e">
        <f t="shared" ca="1" si="88"/>
        <v>#REF!</v>
      </c>
      <c r="AC109" s="407" t="e">
        <f t="shared" ca="1" si="88"/>
        <v>#REF!</v>
      </c>
      <c r="AD109" s="407" t="e">
        <f t="shared" ca="1" si="88"/>
        <v>#REF!</v>
      </c>
      <c r="AE109" s="407" t="e">
        <f t="shared" ca="1" si="88"/>
        <v>#REF!</v>
      </c>
      <c r="AF109" s="407" t="e">
        <f t="shared" ca="1" si="88"/>
        <v>#REF!</v>
      </c>
      <c r="AG109" s="407" t="e">
        <f t="shared" ca="1" si="88"/>
        <v>#REF!</v>
      </c>
      <c r="AH109" s="407" t="e">
        <f t="shared" ca="1" si="88"/>
        <v>#REF!</v>
      </c>
      <c r="AI109" s="407" t="e">
        <f t="shared" ca="1" si="88"/>
        <v>#REF!</v>
      </c>
      <c r="AJ109" s="407" t="e">
        <f t="shared" ca="1" si="88"/>
        <v>#REF!</v>
      </c>
      <c r="AK109" s="407" t="e">
        <f t="shared" ref="AK109:BP109" ca="1" si="89">(((AK102+AK106-2*AK108)/2)*y_2+((AK102-AK106)/2)*y+AK108)*x</f>
        <v>#REF!</v>
      </c>
      <c r="AL109" s="407" t="e">
        <f t="shared" ca="1" si="89"/>
        <v>#REF!</v>
      </c>
      <c r="AM109" s="407" t="e">
        <f t="shared" ca="1" si="89"/>
        <v>#REF!</v>
      </c>
      <c r="AN109" s="407" t="e">
        <f t="shared" ca="1" si="89"/>
        <v>#REF!</v>
      </c>
      <c r="AO109" s="407" t="e">
        <f t="shared" ca="1" si="89"/>
        <v>#REF!</v>
      </c>
      <c r="AP109" s="407" t="e">
        <f t="shared" ca="1" si="89"/>
        <v>#REF!</v>
      </c>
      <c r="AQ109" s="407" t="e">
        <f t="shared" ca="1" si="89"/>
        <v>#REF!</v>
      </c>
      <c r="AR109" s="407" t="e">
        <f t="shared" ca="1" si="89"/>
        <v>#REF!</v>
      </c>
      <c r="AS109" s="407" t="e">
        <f t="shared" ca="1" si="89"/>
        <v>#REF!</v>
      </c>
      <c r="AT109" s="407" t="e">
        <f t="shared" ca="1" si="89"/>
        <v>#REF!</v>
      </c>
      <c r="AU109" s="407" t="e">
        <f t="shared" ca="1" si="89"/>
        <v>#REF!</v>
      </c>
      <c r="AV109" s="407" t="e">
        <f t="shared" ca="1" si="89"/>
        <v>#REF!</v>
      </c>
      <c r="AW109" s="407" t="e">
        <f t="shared" ca="1" si="89"/>
        <v>#REF!</v>
      </c>
      <c r="AX109" s="407" t="e">
        <f t="shared" ca="1" si="89"/>
        <v>#REF!</v>
      </c>
      <c r="AY109" s="407" t="e">
        <f t="shared" ca="1" si="89"/>
        <v>#REF!</v>
      </c>
      <c r="AZ109" s="407" t="e">
        <f t="shared" ca="1" si="89"/>
        <v>#REF!</v>
      </c>
      <c r="BA109" s="407" t="e">
        <f t="shared" ca="1" si="89"/>
        <v>#REF!</v>
      </c>
      <c r="BB109" s="407" t="e">
        <f t="shared" ca="1" si="89"/>
        <v>#REF!</v>
      </c>
      <c r="BC109" s="407" t="e">
        <f t="shared" ca="1" si="89"/>
        <v>#REF!</v>
      </c>
      <c r="BD109" s="407" t="e">
        <f t="shared" ca="1" si="89"/>
        <v>#REF!</v>
      </c>
      <c r="BE109" s="407" t="e">
        <f t="shared" ca="1" si="89"/>
        <v>#REF!</v>
      </c>
      <c r="BF109" s="407" t="e">
        <f t="shared" ca="1" si="89"/>
        <v>#REF!</v>
      </c>
      <c r="BG109" s="407" t="e">
        <f t="shared" ca="1" si="89"/>
        <v>#REF!</v>
      </c>
      <c r="BH109" s="407" t="e">
        <f t="shared" ca="1" si="89"/>
        <v>#REF!</v>
      </c>
      <c r="BI109" s="407" t="e">
        <f t="shared" ca="1" si="89"/>
        <v>#REF!</v>
      </c>
      <c r="BJ109" s="407" t="e">
        <f t="shared" ca="1" si="89"/>
        <v>#REF!</v>
      </c>
      <c r="BK109" s="407" t="e">
        <f t="shared" ca="1" si="89"/>
        <v>#REF!</v>
      </c>
      <c r="BL109" s="407" t="e">
        <f t="shared" ca="1" si="89"/>
        <v>#REF!</v>
      </c>
      <c r="BM109" s="407" t="e">
        <f t="shared" ca="1" si="89"/>
        <v>#REF!</v>
      </c>
      <c r="BN109" s="407" t="e">
        <f t="shared" ca="1" si="89"/>
        <v>#REF!</v>
      </c>
      <c r="BO109" s="407" t="e">
        <f t="shared" ca="1" si="89"/>
        <v>#REF!</v>
      </c>
      <c r="BP109" s="407" t="e">
        <f t="shared" ca="1" si="89"/>
        <v>#REF!</v>
      </c>
      <c r="BQ109" s="407" t="e">
        <f ca="1">(((BQ102+BQ106-2*BQ108)/2)*y_2+((BQ102-BQ106)/2)*y+BQ108)*x</f>
        <v>#REF!</v>
      </c>
      <c r="BR109" s="407" t="e">
        <f ca="1">(((BR102+BR106-2*BR108)/2)*y_2+((BR102-BR106)/2)*y+BR108)*x</f>
        <v>#REF!</v>
      </c>
    </row>
    <row r="110" spans="1:70" x14ac:dyDescent="0.2">
      <c r="C110" s="409"/>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row>
    <row r="111" spans="1:70" x14ac:dyDescent="0.2">
      <c r="B111" s="390" t="s">
        <v>3523</v>
      </c>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row>
    <row r="112" spans="1:70" x14ac:dyDescent="0.2">
      <c r="C112" s="390" t="s">
        <v>3524</v>
      </c>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row>
    <row r="113" spans="1:70" ht="15.75" x14ac:dyDescent="0.3">
      <c r="A113" s="672" t="s">
        <v>688</v>
      </c>
      <c r="B113" s="416">
        <f>'WP1'!D52</f>
        <v>0</v>
      </c>
      <c r="D113" s="390" t="s">
        <v>3639</v>
      </c>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row>
    <row r="114" spans="1:70" ht="15.75" x14ac:dyDescent="0.3">
      <c r="A114" s="672" t="s">
        <v>688</v>
      </c>
      <c r="B114" s="416">
        <f>'WP1'!F52</f>
        <v>0</v>
      </c>
      <c r="D114" s="390" t="s">
        <v>3640</v>
      </c>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row>
    <row r="115" spans="1:70" ht="15.75" x14ac:dyDescent="0.3">
      <c r="A115" s="672" t="s">
        <v>688</v>
      </c>
      <c r="B115" s="416">
        <f>muM</f>
        <v>1.0000000000000001E-5</v>
      </c>
      <c r="D115" s="390" t="s">
        <v>3263</v>
      </c>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c r="BO115" s="404"/>
      <c r="BP115" s="404"/>
      <c r="BQ115" s="404"/>
      <c r="BR115" s="404"/>
    </row>
    <row r="116" spans="1:70" ht="15.75" x14ac:dyDescent="0.3">
      <c r="A116" s="672" t="s">
        <v>688</v>
      </c>
      <c r="B116" s="416" t="str">
        <f>'WP1'!H49</f>
        <v/>
      </c>
      <c r="C116" s="390" t="s">
        <v>219</v>
      </c>
      <c r="D116" s="390" t="s">
        <v>3264</v>
      </c>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row>
    <row r="117" spans="1:70" ht="15.75" x14ac:dyDescent="0.3">
      <c r="A117" s="675" t="s">
        <v>698</v>
      </c>
      <c r="D117" s="390" t="s">
        <v>3265</v>
      </c>
      <c r="E117" s="404" t="e">
        <f ca="1">E6-0.5*(a_1/a_2)+SQRT((0.25*(a_1/a_2)^2)+((1/a_2)*n_0*400))</f>
        <v>#REF!</v>
      </c>
      <c r="F117" s="404" t="e">
        <f t="shared" ref="F117:AK117" ca="1" si="90">$E$117+F6-$E$6</f>
        <v>#REF!</v>
      </c>
      <c r="G117" s="404" t="e">
        <f t="shared" ca="1" si="90"/>
        <v>#REF!</v>
      </c>
      <c r="H117" s="404" t="e">
        <f t="shared" ca="1" si="90"/>
        <v>#REF!</v>
      </c>
      <c r="I117" s="404" t="e">
        <f t="shared" ca="1" si="90"/>
        <v>#REF!</v>
      </c>
      <c r="J117" s="404" t="e">
        <f t="shared" ca="1" si="90"/>
        <v>#REF!</v>
      </c>
      <c r="K117" s="404" t="e">
        <f t="shared" ca="1" si="90"/>
        <v>#REF!</v>
      </c>
      <c r="L117" s="404" t="e">
        <f t="shared" ca="1" si="90"/>
        <v>#REF!</v>
      </c>
      <c r="M117" s="404" t="e">
        <f t="shared" ca="1" si="90"/>
        <v>#REF!</v>
      </c>
      <c r="N117" s="404" t="e">
        <f t="shared" ca="1" si="90"/>
        <v>#REF!</v>
      </c>
      <c r="O117" s="404" t="e">
        <f t="shared" ca="1" si="90"/>
        <v>#REF!</v>
      </c>
      <c r="P117" s="404" t="e">
        <f t="shared" ca="1" si="90"/>
        <v>#REF!</v>
      </c>
      <c r="Q117" s="404" t="e">
        <f t="shared" ca="1" si="90"/>
        <v>#REF!</v>
      </c>
      <c r="R117" s="404" t="e">
        <f t="shared" ca="1" si="90"/>
        <v>#REF!</v>
      </c>
      <c r="S117" s="404" t="e">
        <f t="shared" ca="1" si="90"/>
        <v>#REF!</v>
      </c>
      <c r="T117" s="404" t="e">
        <f t="shared" ca="1" si="90"/>
        <v>#REF!</v>
      </c>
      <c r="U117" s="404" t="e">
        <f t="shared" ca="1" si="90"/>
        <v>#REF!</v>
      </c>
      <c r="V117" s="404" t="e">
        <f t="shared" ca="1" si="90"/>
        <v>#REF!</v>
      </c>
      <c r="W117" s="404" t="e">
        <f t="shared" ca="1" si="90"/>
        <v>#REF!</v>
      </c>
      <c r="X117" s="404" t="e">
        <f t="shared" ca="1" si="90"/>
        <v>#REF!</v>
      </c>
      <c r="Y117" s="404" t="e">
        <f t="shared" ca="1" si="90"/>
        <v>#REF!</v>
      </c>
      <c r="Z117" s="404" t="e">
        <f t="shared" ca="1" si="90"/>
        <v>#REF!</v>
      </c>
      <c r="AA117" s="404" t="e">
        <f t="shared" ca="1" si="90"/>
        <v>#REF!</v>
      </c>
      <c r="AB117" s="404" t="e">
        <f t="shared" ca="1" si="90"/>
        <v>#REF!</v>
      </c>
      <c r="AC117" s="404" t="e">
        <f t="shared" ca="1" si="90"/>
        <v>#REF!</v>
      </c>
      <c r="AD117" s="404" t="e">
        <f t="shared" ca="1" si="90"/>
        <v>#REF!</v>
      </c>
      <c r="AE117" s="404" t="e">
        <f t="shared" ca="1" si="90"/>
        <v>#REF!</v>
      </c>
      <c r="AF117" s="404" t="e">
        <f t="shared" ca="1" si="90"/>
        <v>#REF!</v>
      </c>
      <c r="AG117" s="404" t="e">
        <f t="shared" ca="1" si="90"/>
        <v>#REF!</v>
      </c>
      <c r="AH117" s="404" t="e">
        <f t="shared" ca="1" si="90"/>
        <v>#REF!</v>
      </c>
      <c r="AI117" s="404" t="e">
        <f t="shared" ca="1" si="90"/>
        <v>#REF!</v>
      </c>
      <c r="AJ117" s="404" t="e">
        <f t="shared" ca="1" si="90"/>
        <v>#REF!</v>
      </c>
      <c r="AK117" s="404" t="e">
        <f t="shared" ca="1" si="90"/>
        <v>#REF!</v>
      </c>
      <c r="AL117" s="404" t="e">
        <f t="shared" ref="AL117:BR117" ca="1" si="91">$E$117+AL6-$E$6</f>
        <v>#REF!</v>
      </c>
      <c r="AM117" s="404" t="e">
        <f t="shared" ca="1" si="91"/>
        <v>#REF!</v>
      </c>
      <c r="AN117" s="404" t="e">
        <f t="shared" ca="1" si="91"/>
        <v>#REF!</v>
      </c>
      <c r="AO117" s="404" t="e">
        <f t="shared" ca="1" si="91"/>
        <v>#REF!</v>
      </c>
      <c r="AP117" s="404" t="e">
        <f t="shared" ca="1" si="91"/>
        <v>#REF!</v>
      </c>
      <c r="AQ117" s="404" t="e">
        <f t="shared" ca="1" si="91"/>
        <v>#REF!</v>
      </c>
      <c r="AR117" s="404" t="e">
        <f t="shared" ca="1" si="91"/>
        <v>#REF!</v>
      </c>
      <c r="AS117" s="404" t="e">
        <f t="shared" ca="1" si="91"/>
        <v>#REF!</v>
      </c>
      <c r="AT117" s="404" t="e">
        <f t="shared" ca="1" si="91"/>
        <v>#REF!</v>
      </c>
      <c r="AU117" s="404" t="e">
        <f t="shared" ca="1" si="91"/>
        <v>#REF!</v>
      </c>
      <c r="AV117" s="404" t="e">
        <f t="shared" ca="1" si="91"/>
        <v>#REF!</v>
      </c>
      <c r="AW117" s="404" t="e">
        <f t="shared" ca="1" si="91"/>
        <v>#REF!</v>
      </c>
      <c r="AX117" s="404" t="e">
        <f t="shared" ca="1" si="91"/>
        <v>#REF!</v>
      </c>
      <c r="AY117" s="404" t="e">
        <f t="shared" ca="1" si="91"/>
        <v>#REF!</v>
      </c>
      <c r="AZ117" s="404" t="e">
        <f t="shared" ca="1" si="91"/>
        <v>#REF!</v>
      </c>
      <c r="BA117" s="404" t="e">
        <f t="shared" ca="1" si="91"/>
        <v>#REF!</v>
      </c>
      <c r="BB117" s="404" t="e">
        <f t="shared" ca="1" si="91"/>
        <v>#REF!</v>
      </c>
      <c r="BC117" s="404" t="e">
        <f t="shared" ca="1" si="91"/>
        <v>#REF!</v>
      </c>
      <c r="BD117" s="404" t="e">
        <f t="shared" ca="1" si="91"/>
        <v>#REF!</v>
      </c>
      <c r="BE117" s="404" t="e">
        <f t="shared" ca="1" si="91"/>
        <v>#REF!</v>
      </c>
      <c r="BF117" s="404" t="e">
        <f t="shared" ca="1" si="91"/>
        <v>#REF!</v>
      </c>
      <c r="BG117" s="404" t="e">
        <f t="shared" ca="1" si="91"/>
        <v>#REF!</v>
      </c>
      <c r="BH117" s="404" t="e">
        <f t="shared" ca="1" si="91"/>
        <v>#REF!</v>
      </c>
      <c r="BI117" s="404" t="e">
        <f t="shared" ca="1" si="91"/>
        <v>#REF!</v>
      </c>
      <c r="BJ117" s="404" t="e">
        <f t="shared" ca="1" si="91"/>
        <v>#REF!</v>
      </c>
      <c r="BK117" s="404" t="e">
        <f t="shared" ca="1" si="91"/>
        <v>#REF!</v>
      </c>
      <c r="BL117" s="404" t="e">
        <f t="shared" ca="1" si="91"/>
        <v>#REF!</v>
      </c>
      <c r="BM117" s="404" t="e">
        <f t="shared" ca="1" si="91"/>
        <v>#REF!</v>
      </c>
      <c r="BN117" s="404" t="e">
        <f t="shared" ca="1" si="91"/>
        <v>#REF!</v>
      </c>
      <c r="BO117" s="404" t="e">
        <f t="shared" ca="1" si="91"/>
        <v>#REF!</v>
      </c>
      <c r="BP117" s="404" t="e">
        <f t="shared" ca="1" si="91"/>
        <v>#REF!</v>
      </c>
      <c r="BQ117" s="404" t="e">
        <f t="shared" ca="1" si="91"/>
        <v>#REF!</v>
      </c>
      <c r="BR117" s="404" t="e">
        <f t="shared" ca="1" si="91"/>
        <v>#REF!</v>
      </c>
    </row>
    <row r="118" spans="1:70" ht="15.75" x14ac:dyDescent="0.3">
      <c r="A118" s="672" t="s">
        <v>2071</v>
      </c>
      <c r="B118" s="409" t="e">
        <f>B130/8760</f>
        <v>#VALUE!</v>
      </c>
      <c r="C118" s="390" t="s">
        <v>3650</v>
      </c>
      <c r="D118" s="390" t="s">
        <v>2450</v>
      </c>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row>
    <row r="119" spans="1:70" ht="14.25" x14ac:dyDescent="0.25">
      <c r="A119" s="675" t="s">
        <v>695</v>
      </c>
      <c r="B119" s="411" t="e">
        <f>(n_0*0.4*A_A)/(P_W_dis)</f>
        <v>#VALUE!</v>
      </c>
      <c r="D119" s="390" t="s">
        <v>2452</v>
      </c>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row>
    <row r="120" spans="1:70" ht="15.75" x14ac:dyDescent="0.3">
      <c r="A120" s="675" t="s">
        <v>697</v>
      </c>
      <c r="C120" s="390" t="s">
        <v>2948</v>
      </c>
      <c r="D120" s="390" t="s">
        <v>3266</v>
      </c>
      <c r="E120" s="404" t="e">
        <f t="shared" ref="E120:AJ120" ca="1" si="92">MAX(E6,20)</f>
        <v>#REF!</v>
      </c>
      <c r="F120" s="404" t="e">
        <f t="shared" ca="1" si="92"/>
        <v>#REF!</v>
      </c>
      <c r="G120" s="404" t="e">
        <f t="shared" ca="1" si="92"/>
        <v>#REF!</v>
      </c>
      <c r="H120" s="404" t="e">
        <f t="shared" ca="1" si="92"/>
        <v>#REF!</v>
      </c>
      <c r="I120" s="404" t="e">
        <f t="shared" ca="1" si="92"/>
        <v>#REF!</v>
      </c>
      <c r="J120" s="404" t="e">
        <f t="shared" ca="1" si="92"/>
        <v>#REF!</v>
      </c>
      <c r="K120" s="404" t="e">
        <f t="shared" ca="1" si="92"/>
        <v>#REF!</v>
      </c>
      <c r="L120" s="404" t="e">
        <f t="shared" ca="1" si="92"/>
        <v>#REF!</v>
      </c>
      <c r="M120" s="404" t="e">
        <f t="shared" ca="1" si="92"/>
        <v>#REF!</v>
      </c>
      <c r="N120" s="404" t="e">
        <f t="shared" ca="1" si="92"/>
        <v>#REF!</v>
      </c>
      <c r="O120" s="404" t="e">
        <f t="shared" ca="1" si="92"/>
        <v>#REF!</v>
      </c>
      <c r="P120" s="404" t="e">
        <f t="shared" ca="1" si="92"/>
        <v>#REF!</v>
      </c>
      <c r="Q120" s="404" t="e">
        <f t="shared" ca="1" si="92"/>
        <v>#REF!</v>
      </c>
      <c r="R120" s="404" t="e">
        <f t="shared" ca="1" si="92"/>
        <v>#REF!</v>
      </c>
      <c r="S120" s="404" t="e">
        <f t="shared" ca="1" si="92"/>
        <v>#REF!</v>
      </c>
      <c r="T120" s="404" t="e">
        <f t="shared" ca="1" si="92"/>
        <v>#REF!</v>
      </c>
      <c r="U120" s="404" t="e">
        <f t="shared" ca="1" si="92"/>
        <v>#REF!</v>
      </c>
      <c r="V120" s="404" t="e">
        <f t="shared" ca="1" si="92"/>
        <v>#REF!</v>
      </c>
      <c r="W120" s="404" t="e">
        <f t="shared" ca="1" si="92"/>
        <v>#REF!</v>
      </c>
      <c r="X120" s="404" t="e">
        <f t="shared" ca="1" si="92"/>
        <v>#REF!</v>
      </c>
      <c r="Y120" s="404" t="e">
        <f t="shared" ca="1" si="92"/>
        <v>#REF!</v>
      </c>
      <c r="Z120" s="404" t="e">
        <f t="shared" ca="1" si="92"/>
        <v>#REF!</v>
      </c>
      <c r="AA120" s="404" t="e">
        <f t="shared" ca="1" si="92"/>
        <v>#REF!</v>
      </c>
      <c r="AB120" s="404" t="e">
        <f t="shared" ca="1" si="92"/>
        <v>#REF!</v>
      </c>
      <c r="AC120" s="404" t="e">
        <f t="shared" ca="1" si="92"/>
        <v>#REF!</v>
      </c>
      <c r="AD120" s="404" t="e">
        <f t="shared" ca="1" si="92"/>
        <v>#REF!</v>
      </c>
      <c r="AE120" s="404" t="e">
        <f t="shared" ca="1" si="92"/>
        <v>#REF!</v>
      </c>
      <c r="AF120" s="404" t="e">
        <f t="shared" ca="1" si="92"/>
        <v>#REF!</v>
      </c>
      <c r="AG120" s="404" t="e">
        <f t="shared" ca="1" si="92"/>
        <v>#REF!</v>
      </c>
      <c r="AH120" s="404" t="e">
        <f t="shared" ca="1" si="92"/>
        <v>#REF!</v>
      </c>
      <c r="AI120" s="404" t="e">
        <f t="shared" ca="1" si="92"/>
        <v>#REF!</v>
      </c>
      <c r="AJ120" s="404" t="e">
        <f t="shared" ca="1" si="92"/>
        <v>#REF!</v>
      </c>
      <c r="AK120" s="404" t="e">
        <f t="shared" ref="AK120:BR120" ca="1" si="93">MAX(AK6,20)</f>
        <v>#REF!</v>
      </c>
      <c r="AL120" s="404" t="e">
        <f t="shared" ca="1" si="93"/>
        <v>#REF!</v>
      </c>
      <c r="AM120" s="404" t="e">
        <f t="shared" ca="1" si="93"/>
        <v>#REF!</v>
      </c>
      <c r="AN120" s="404" t="e">
        <f t="shared" ca="1" si="93"/>
        <v>#REF!</v>
      </c>
      <c r="AO120" s="404" t="e">
        <f t="shared" ca="1" si="93"/>
        <v>#REF!</v>
      </c>
      <c r="AP120" s="404" t="e">
        <f t="shared" ca="1" si="93"/>
        <v>#REF!</v>
      </c>
      <c r="AQ120" s="404" t="e">
        <f t="shared" ca="1" si="93"/>
        <v>#REF!</v>
      </c>
      <c r="AR120" s="404" t="e">
        <f t="shared" ca="1" si="93"/>
        <v>#REF!</v>
      </c>
      <c r="AS120" s="404" t="e">
        <f t="shared" ca="1" si="93"/>
        <v>#REF!</v>
      </c>
      <c r="AT120" s="404" t="e">
        <f t="shared" ca="1" si="93"/>
        <v>#REF!</v>
      </c>
      <c r="AU120" s="404" t="e">
        <f t="shared" ca="1" si="93"/>
        <v>#REF!</v>
      </c>
      <c r="AV120" s="404" t="e">
        <f t="shared" ca="1" si="93"/>
        <v>#REF!</v>
      </c>
      <c r="AW120" s="404" t="e">
        <f t="shared" ca="1" si="93"/>
        <v>#REF!</v>
      </c>
      <c r="AX120" s="404" t="e">
        <f t="shared" ca="1" si="93"/>
        <v>#REF!</v>
      </c>
      <c r="AY120" s="404" t="e">
        <f t="shared" ca="1" si="93"/>
        <v>#REF!</v>
      </c>
      <c r="AZ120" s="404" t="e">
        <f t="shared" ca="1" si="93"/>
        <v>#REF!</v>
      </c>
      <c r="BA120" s="404" t="e">
        <f t="shared" ca="1" si="93"/>
        <v>#REF!</v>
      </c>
      <c r="BB120" s="404" t="e">
        <f t="shared" ca="1" si="93"/>
        <v>#REF!</v>
      </c>
      <c r="BC120" s="404" t="e">
        <f t="shared" ca="1" si="93"/>
        <v>#REF!</v>
      </c>
      <c r="BD120" s="404" t="e">
        <f t="shared" ca="1" si="93"/>
        <v>#REF!</v>
      </c>
      <c r="BE120" s="404" t="e">
        <f t="shared" ca="1" si="93"/>
        <v>#REF!</v>
      </c>
      <c r="BF120" s="404" t="e">
        <f t="shared" ca="1" si="93"/>
        <v>#REF!</v>
      </c>
      <c r="BG120" s="404" t="e">
        <f t="shared" ca="1" si="93"/>
        <v>#REF!</v>
      </c>
      <c r="BH120" s="404" t="e">
        <f t="shared" ca="1" si="93"/>
        <v>#REF!</v>
      </c>
      <c r="BI120" s="404" t="e">
        <f t="shared" ca="1" si="93"/>
        <v>#REF!</v>
      </c>
      <c r="BJ120" s="404" t="e">
        <f t="shared" ca="1" si="93"/>
        <v>#REF!</v>
      </c>
      <c r="BK120" s="404" t="e">
        <f t="shared" ca="1" si="93"/>
        <v>#REF!</v>
      </c>
      <c r="BL120" s="404" t="e">
        <f t="shared" ca="1" si="93"/>
        <v>#REF!</v>
      </c>
      <c r="BM120" s="404" t="e">
        <f t="shared" ca="1" si="93"/>
        <v>#REF!</v>
      </c>
      <c r="BN120" s="404" t="e">
        <f t="shared" ca="1" si="93"/>
        <v>#REF!</v>
      </c>
      <c r="BO120" s="404" t="e">
        <f t="shared" ca="1" si="93"/>
        <v>#REF!</v>
      </c>
      <c r="BP120" s="404" t="e">
        <f t="shared" ca="1" si="93"/>
        <v>#REF!</v>
      </c>
      <c r="BQ120" s="404" t="e">
        <f t="shared" ca="1" si="93"/>
        <v>#REF!</v>
      </c>
      <c r="BR120" s="404" t="e">
        <f t="shared" ca="1" si="93"/>
        <v>#REF!</v>
      </c>
    </row>
    <row r="121" spans="1:70" ht="14.25" x14ac:dyDescent="0.2">
      <c r="A121" s="672" t="s">
        <v>696</v>
      </c>
      <c r="B121" s="390" t="e">
        <f>EXP(-0.17*f_phi)</f>
        <v>#VALUE!</v>
      </c>
      <c r="D121" s="390" t="s">
        <v>3267</v>
      </c>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row>
    <row r="122" spans="1:70" ht="15.75" x14ac:dyDescent="0.3">
      <c r="A122" s="675" t="s">
        <v>696</v>
      </c>
      <c r="D122" s="390" t="s">
        <v>699</v>
      </c>
      <c r="E122" s="404" t="e">
        <f t="shared" ref="E122:AJ122" ca="1" si="94">E117-(E117-E120)*e_k_f_phi</f>
        <v>#REF!</v>
      </c>
      <c r="F122" s="404" t="e">
        <f t="shared" ca="1" si="94"/>
        <v>#REF!</v>
      </c>
      <c r="G122" s="404" t="e">
        <f t="shared" ca="1" si="94"/>
        <v>#REF!</v>
      </c>
      <c r="H122" s="404" t="e">
        <f t="shared" ca="1" si="94"/>
        <v>#REF!</v>
      </c>
      <c r="I122" s="404" t="e">
        <f t="shared" ca="1" si="94"/>
        <v>#REF!</v>
      </c>
      <c r="J122" s="404" t="e">
        <f t="shared" ca="1" si="94"/>
        <v>#REF!</v>
      </c>
      <c r="K122" s="404" t="e">
        <f t="shared" ca="1" si="94"/>
        <v>#REF!</v>
      </c>
      <c r="L122" s="404" t="e">
        <f t="shared" ca="1" si="94"/>
        <v>#REF!</v>
      </c>
      <c r="M122" s="404" t="e">
        <f t="shared" ca="1" si="94"/>
        <v>#REF!</v>
      </c>
      <c r="N122" s="404" t="e">
        <f t="shared" ca="1" si="94"/>
        <v>#REF!</v>
      </c>
      <c r="O122" s="404" t="e">
        <f t="shared" ca="1" si="94"/>
        <v>#REF!</v>
      </c>
      <c r="P122" s="404" t="e">
        <f t="shared" ca="1" si="94"/>
        <v>#REF!</v>
      </c>
      <c r="Q122" s="404" t="e">
        <f t="shared" ca="1" si="94"/>
        <v>#REF!</v>
      </c>
      <c r="R122" s="404" t="e">
        <f t="shared" ca="1" si="94"/>
        <v>#REF!</v>
      </c>
      <c r="S122" s="404" t="e">
        <f t="shared" ca="1" si="94"/>
        <v>#REF!</v>
      </c>
      <c r="T122" s="404" t="e">
        <f t="shared" ca="1" si="94"/>
        <v>#REF!</v>
      </c>
      <c r="U122" s="404" t="e">
        <f t="shared" ca="1" si="94"/>
        <v>#REF!</v>
      </c>
      <c r="V122" s="404" t="e">
        <f t="shared" ca="1" si="94"/>
        <v>#REF!</v>
      </c>
      <c r="W122" s="404" t="e">
        <f t="shared" ca="1" si="94"/>
        <v>#REF!</v>
      </c>
      <c r="X122" s="404" t="e">
        <f t="shared" ca="1" si="94"/>
        <v>#REF!</v>
      </c>
      <c r="Y122" s="404" t="e">
        <f t="shared" ca="1" si="94"/>
        <v>#REF!</v>
      </c>
      <c r="Z122" s="404" t="e">
        <f t="shared" ca="1" si="94"/>
        <v>#REF!</v>
      </c>
      <c r="AA122" s="404" t="e">
        <f t="shared" ca="1" si="94"/>
        <v>#REF!</v>
      </c>
      <c r="AB122" s="404" t="e">
        <f t="shared" ca="1" si="94"/>
        <v>#REF!</v>
      </c>
      <c r="AC122" s="404" t="e">
        <f t="shared" ca="1" si="94"/>
        <v>#REF!</v>
      </c>
      <c r="AD122" s="404" t="e">
        <f t="shared" ca="1" si="94"/>
        <v>#REF!</v>
      </c>
      <c r="AE122" s="404" t="e">
        <f t="shared" ca="1" si="94"/>
        <v>#REF!</v>
      </c>
      <c r="AF122" s="404" t="e">
        <f t="shared" ca="1" si="94"/>
        <v>#REF!</v>
      </c>
      <c r="AG122" s="404" t="e">
        <f t="shared" ca="1" si="94"/>
        <v>#REF!</v>
      </c>
      <c r="AH122" s="404" t="e">
        <f t="shared" ca="1" si="94"/>
        <v>#REF!</v>
      </c>
      <c r="AI122" s="404" t="e">
        <f t="shared" ca="1" si="94"/>
        <v>#REF!</v>
      </c>
      <c r="AJ122" s="404" t="e">
        <f t="shared" ca="1" si="94"/>
        <v>#REF!</v>
      </c>
      <c r="AK122" s="404" t="e">
        <f t="shared" ref="AK122:BR122" ca="1" si="95">AK117-(AK117-AK120)*e_k_f_phi</f>
        <v>#REF!</v>
      </c>
      <c r="AL122" s="404" t="e">
        <f t="shared" ca="1" si="95"/>
        <v>#REF!</v>
      </c>
      <c r="AM122" s="404" t="e">
        <f t="shared" ca="1" si="95"/>
        <v>#REF!</v>
      </c>
      <c r="AN122" s="404" t="e">
        <f t="shared" ca="1" si="95"/>
        <v>#REF!</v>
      </c>
      <c r="AO122" s="404" t="e">
        <f t="shared" ca="1" si="95"/>
        <v>#REF!</v>
      </c>
      <c r="AP122" s="404" t="e">
        <f t="shared" ca="1" si="95"/>
        <v>#REF!</v>
      </c>
      <c r="AQ122" s="404" t="e">
        <f t="shared" ca="1" si="95"/>
        <v>#REF!</v>
      </c>
      <c r="AR122" s="404" t="e">
        <f t="shared" ca="1" si="95"/>
        <v>#REF!</v>
      </c>
      <c r="AS122" s="404" t="e">
        <f t="shared" ca="1" si="95"/>
        <v>#REF!</v>
      </c>
      <c r="AT122" s="404" t="e">
        <f t="shared" ca="1" si="95"/>
        <v>#REF!</v>
      </c>
      <c r="AU122" s="404" t="e">
        <f t="shared" ca="1" si="95"/>
        <v>#REF!</v>
      </c>
      <c r="AV122" s="404" t="e">
        <f t="shared" ca="1" si="95"/>
        <v>#REF!</v>
      </c>
      <c r="AW122" s="404" t="e">
        <f t="shared" ca="1" si="95"/>
        <v>#REF!</v>
      </c>
      <c r="AX122" s="404" t="e">
        <f t="shared" ca="1" si="95"/>
        <v>#REF!</v>
      </c>
      <c r="AY122" s="404" t="e">
        <f t="shared" ca="1" si="95"/>
        <v>#REF!</v>
      </c>
      <c r="AZ122" s="404" t="e">
        <f t="shared" ca="1" si="95"/>
        <v>#REF!</v>
      </c>
      <c r="BA122" s="404" t="e">
        <f t="shared" ca="1" si="95"/>
        <v>#REF!</v>
      </c>
      <c r="BB122" s="404" t="e">
        <f t="shared" ca="1" si="95"/>
        <v>#REF!</v>
      </c>
      <c r="BC122" s="404" t="e">
        <f t="shared" ca="1" si="95"/>
        <v>#REF!</v>
      </c>
      <c r="BD122" s="404" t="e">
        <f t="shared" ca="1" si="95"/>
        <v>#REF!</v>
      </c>
      <c r="BE122" s="404" t="e">
        <f t="shared" ca="1" si="95"/>
        <v>#REF!</v>
      </c>
      <c r="BF122" s="404" t="e">
        <f t="shared" ca="1" si="95"/>
        <v>#REF!</v>
      </c>
      <c r="BG122" s="404" t="e">
        <f t="shared" ca="1" si="95"/>
        <v>#REF!</v>
      </c>
      <c r="BH122" s="404" t="e">
        <f t="shared" ca="1" si="95"/>
        <v>#REF!</v>
      </c>
      <c r="BI122" s="404" t="e">
        <f t="shared" ca="1" si="95"/>
        <v>#REF!</v>
      </c>
      <c r="BJ122" s="404" t="e">
        <f t="shared" ca="1" si="95"/>
        <v>#REF!</v>
      </c>
      <c r="BK122" s="404" t="e">
        <f t="shared" ca="1" si="95"/>
        <v>#REF!</v>
      </c>
      <c r="BL122" s="404" t="e">
        <f t="shared" ca="1" si="95"/>
        <v>#REF!</v>
      </c>
      <c r="BM122" s="404" t="e">
        <f t="shared" ca="1" si="95"/>
        <v>#REF!</v>
      </c>
      <c r="BN122" s="404" t="e">
        <f t="shared" ca="1" si="95"/>
        <v>#REF!</v>
      </c>
      <c r="BO122" s="404" t="e">
        <f t="shared" ca="1" si="95"/>
        <v>#REF!</v>
      </c>
      <c r="BP122" s="404" t="e">
        <f t="shared" ca="1" si="95"/>
        <v>#REF!</v>
      </c>
      <c r="BQ122" s="404" t="e">
        <f t="shared" ca="1" si="95"/>
        <v>#REF!</v>
      </c>
      <c r="BR122" s="404" t="e">
        <f t="shared" ca="1" si="95"/>
        <v>#REF!</v>
      </c>
    </row>
    <row r="123" spans="1:70" x14ac:dyDescent="0.2">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c r="BO123" s="404"/>
      <c r="BP123" s="404"/>
      <c r="BQ123" s="404"/>
      <c r="BR123" s="404"/>
    </row>
    <row r="124" spans="1:70" x14ac:dyDescent="0.2">
      <c r="B124" s="410" t="s">
        <v>2066</v>
      </c>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row>
    <row r="125" spans="1:70" x14ac:dyDescent="0.2">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row>
    <row r="126" spans="1:70" ht="15.75" x14ac:dyDescent="0.3">
      <c r="A126" s="675" t="s">
        <v>701</v>
      </c>
      <c r="D126" s="390" t="s">
        <v>700</v>
      </c>
      <c r="E126" s="404" t="e">
        <f ca="1">(E122-E6)/400</f>
        <v>#REF!</v>
      </c>
      <c r="F126" s="404" t="e">
        <f t="shared" ref="F126:BQ126" ca="1" si="96">(F122-F6)/400</f>
        <v>#REF!</v>
      </c>
      <c r="G126" s="404" t="e">
        <f t="shared" ca="1" si="96"/>
        <v>#REF!</v>
      </c>
      <c r="H126" s="404" t="e">
        <f t="shared" ca="1" si="96"/>
        <v>#REF!</v>
      </c>
      <c r="I126" s="404" t="e">
        <f t="shared" ca="1" si="96"/>
        <v>#REF!</v>
      </c>
      <c r="J126" s="404" t="e">
        <f t="shared" ca="1" si="96"/>
        <v>#REF!</v>
      </c>
      <c r="K126" s="404" t="e">
        <f t="shared" ca="1" si="96"/>
        <v>#REF!</v>
      </c>
      <c r="L126" s="404" t="e">
        <f t="shared" ca="1" si="96"/>
        <v>#REF!</v>
      </c>
      <c r="M126" s="404" t="e">
        <f t="shared" ca="1" si="96"/>
        <v>#REF!</v>
      </c>
      <c r="N126" s="404" t="e">
        <f t="shared" ca="1" si="96"/>
        <v>#REF!</v>
      </c>
      <c r="O126" s="404" t="e">
        <f t="shared" ca="1" si="96"/>
        <v>#REF!</v>
      </c>
      <c r="P126" s="404" t="e">
        <f t="shared" ca="1" si="96"/>
        <v>#REF!</v>
      </c>
      <c r="Q126" s="404" t="e">
        <f t="shared" ca="1" si="96"/>
        <v>#REF!</v>
      </c>
      <c r="R126" s="404" t="e">
        <f t="shared" ca="1" si="96"/>
        <v>#REF!</v>
      </c>
      <c r="S126" s="404" t="e">
        <f t="shared" ca="1" si="96"/>
        <v>#REF!</v>
      </c>
      <c r="T126" s="404" t="e">
        <f t="shared" ca="1" si="96"/>
        <v>#REF!</v>
      </c>
      <c r="U126" s="404" t="e">
        <f t="shared" ca="1" si="96"/>
        <v>#REF!</v>
      </c>
      <c r="V126" s="404" t="e">
        <f t="shared" ca="1" si="96"/>
        <v>#REF!</v>
      </c>
      <c r="W126" s="404" t="e">
        <f t="shared" ca="1" si="96"/>
        <v>#REF!</v>
      </c>
      <c r="X126" s="404" t="e">
        <f t="shared" ca="1" si="96"/>
        <v>#REF!</v>
      </c>
      <c r="Y126" s="404" t="e">
        <f t="shared" ca="1" si="96"/>
        <v>#REF!</v>
      </c>
      <c r="Z126" s="404" t="e">
        <f t="shared" ca="1" si="96"/>
        <v>#REF!</v>
      </c>
      <c r="AA126" s="404" t="e">
        <f t="shared" ca="1" si="96"/>
        <v>#REF!</v>
      </c>
      <c r="AB126" s="404" t="e">
        <f t="shared" ca="1" si="96"/>
        <v>#REF!</v>
      </c>
      <c r="AC126" s="404" t="e">
        <f t="shared" ca="1" si="96"/>
        <v>#REF!</v>
      </c>
      <c r="AD126" s="404" t="e">
        <f t="shared" ca="1" si="96"/>
        <v>#REF!</v>
      </c>
      <c r="AE126" s="404" t="e">
        <f t="shared" ca="1" si="96"/>
        <v>#REF!</v>
      </c>
      <c r="AF126" s="404" t="e">
        <f t="shared" ca="1" si="96"/>
        <v>#REF!</v>
      </c>
      <c r="AG126" s="404" t="e">
        <f t="shared" ca="1" si="96"/>
        <v>#REF!</v>
      </c>
      <c r="AH126" s="404" t="e">
        <f t="shared" ca="1" si="96"/>
        <v>#REF!</v>
      </c>
      <c r="AI126" s="404" t="e">
        <f t="shared" ca="1" si="96"/>
        <v>#REF!</v>
      </c>
      <c r="AJ126" s="404" t="e">
        <f t="shared" ca="1" si="96"/>
        <v>#REF!</v>
      </c>
      <c r="AK126" s="404" t="e">
        <f t="shared" ca="1" si="96"/>
        <v>#REF!</v>
      </c>
      <c r="AL126" s="404" t="e">
        <f t="shared" ca="1" si="96"/>
        <v>#REF!</v>
      </c>
      <c r="AM126" s="404" t="e">
        <f t="shared" ca="1" si="96"/>
        <v>#REF!</v>
      </c>
      <c r="AN126" s="404" t="e">
        <f t="shared" ca="1" si="96"/>
        <v>#REF!</v>
      </c>
      <c r="AO126" s="404" t="e">
        <f t="shared" ca="1" si="96"/>
        <v>#REF!</v>
      </c>
      <c r="AP126" s="404" t="e">
        <f t="shared" ca="1" si="96"/>
        <v>#REF!</v>
      </c>
      <c r="AQ126" s="404" t="e">
        <f t="shared" ca="1" si="96"/>
        <v>#REF!</v>
      </c>
      <c r="AR126" s="404" t="e">
        <f t="shared" ca="1" si="96"/>
        <v>#REF!</v>
      </c>
      <c r="AS126" s="404" t="e">
        <f t="shared" ca="1" si="96"/>
        <v>#REF!</v>
      </c>
      <c r="AT126" s="404" t="e">
        <f t="shared" ca="1" si="96"/>
        <v>#REF!</v>
      </c>
      <c r="AU126" s="404" t="e">
        <f t="shared" ca="1" si="96"/>
        <v>#REF!</v>
      </c>
      <c r="AV126" s="404" t="e">
        <f t="shared" ca="1" si="96"/>
        <v>#REF!</v>
      </c>
      <c r="AW126" s="404" t="e">
        <f t="shared" ca="1" si="96"/>
        <v>#REF!</v>
      </c>
      <c r="AX126" s="404" t="e">
        <f t="shared" ca="1" si="96"/>
        <v>#REF!</v>
      </c>
      <c r="AY126" s="404" t="e">
        <f t="shared" ca="1" si="96"/>
        <v>#REF!</v>
      </c>
      <c r="AZ126" s="404" t="e">
        <f t="shared" ca="1" si="96"/>
        <v>#REF!</v>
      </c>
      <c r="BA126" s="404" t="e">
        <f t="shared" ca="1" si="96"/>
        <v>#REF!</v>
      </c>
      <c r="BB126" s="404" t="e">
        <f t="shared" ca="1" si="96"/>
        <v>#REF!</v>
      </c>
      <c r="BC126" s="404" t="e">
        <f t="shared" ca="1" si="96"/>
        <v>#REF!</v>
      </c>
      <c r="BD126" s="404" t="e">
        <f t="shared" ca="1" si="96"/>
        <v>#REF!</v>
      </c>
      <c r="BE126" s="404" t="e">
        <f t="shared" ca="1" si="96"/>
        <v>#REF!</v>
      </c>
      <c r="BF126" s="404" t="e">
        <f t="shared" ca="1" si="96"/>
        <v>#REF!</v>
      </c>
      <c r="BG126" s="404" t="e">
        <f t="shared" ca="1" si="96"/>
        <v>#REF!</v>
      </c>
      <c r="BH126" s="404" t="e">
        <f t="shared" ca="1" si="96"/>
        <v>#REF!</v>
      </c>
      <c r="BI126" s="404" t="e">
        <f t="shared" ca="1" si="96"/>
        <v>#REF!</v>
      </c>
      <c r="BJ126" s="404" t="e">
        <f t="shared" ca="1" si="96"/>
        <v>#REF!</v>
      </c>
      <c r="BK126" s="404" t="e">
        <f t="shared" ca="1" si="96"/>
        <v>#REF!</v>
      </c>
      <c r="BL126" s="404" t="e">
        <f t="shared" ca="1" si="96"/>
        <v>#REF!</v>
      </c>
      <c r="BM126" s="404" t="e">
        <f t="shared" ca="1" si="96"/>
        <v>#REF!</v>
      </c>
      <c r="BN126" s="404" t="e">
        <f t="shared" ca="1" si="96"/>
        <v>#REF!</v>
      </c>
      <c r="BO126" s="404" t="e">
        <f t="shared" ca="1" si="96"/>
        <v>#REF!</v>
      </c>
      <c r="BP126" s="404" t="e">
        <f t="shared" ca="1" si="96"/>
        <v>#REF!</v>
      </c>
      <c r="BQ126" s="404" t="e">
        <f t="shared" ca="1" si="96"/>
        <v>#REF!</v>
      </c>
      <c r="BR126" s="404" t="e">
        <f ca="1">(BR122-BR6)/400</f>
        <v>#REF!</v>
      </c>
    </row>
    <row r="127" spans="1:70" ht="15.75" x14ac:dyDescent="0.3">
      <c r="A127" s="675" t="s">
        <v>2065</v>
      </c>
      <c r="D127" s="390" t="s">
        <v>2064</v>
      </c>
      <c r="E127" s="404" t="e">
        <f t="shared" ref="E127:AJ127" ca="1" si="97">n_0-(a_1*E126)-(a_2*(E126^2)*400)</f>
        <v>#REF!</v>
      </c>
      <c r="F127" s="404" t="e">
        <f t="shared" ca="1" si="97"/>
        <v>#REF!</v>
      </c>
      <c r="G127" s="404" t="e">
        <f t="shared" ca="1" si="97"/>
        <v>#REF!</v>
      </c>
      <c r="H127" s="404" t="e">
        <f t="shared" ca="1" si="97"/>
        <v>#REF!</v>
      </c>
      <c r="I127" s="404" t="e">
        <f t="shared" ca="1" si="97"/>
        <v>#REF!</v>
      </c>
      <c r="J127" s="404" t="e">
        <f t="shared" ca="1" si="97"/>
        <v>#REF!</v>
      </c>
      <c r="K127" s="404" t="e">
        <f t="shared" ca="1" si="97"/>
        <v>#REF!</v>
      </c>
      <c r="L127" s="404" t="e">
        <f t="shared" ca="1" si="97"/>
        <v>#REF!</v>
      </c>
      <c r="M127" s="404" t="e">
        <f t="shared" ca="1" si="97"/>
        <v>#REF!</v>
      </c>
      <c r="N127" s="404" t="e">
        <f t="shared" ca="1" si="97"/>
        <v>#REF!</v>
      </c>
      <c r="O127" s="404" t="e">
        <f t="shared" ca="1" si="97"/>
        <v>#REF!</v>
      </c>
      <c r="P127" s="404" t="e">
        <f t="shared" ca="1" si="97"/>
        <v>#REF!</v>
      </c>
      <c r="Q127" s="404" t="e">
        <f t="shared" ca="1" si="97"/>
        <v>#REF!</v>
      </c>
      <c r="R127" s="404" t="e">
        <f t="shared" ca="1" si="97"/>
        <v>#REF!</v>
      </c>
      <c r="S127" s="404" t="e">
        <f t="shared" ca="1" si="97"/>
        <v>#REF!</v>
      </c>
      <c r="T127" s="404" t="e">
        <f t="shared" ca="1" si="97"/>
        <v>#REF!</v>
      </c>
      <c r="U127" s="404" t="e">
        <f t="shared" ca="1" si="97"/>
        <v>#REF!</v>
      </c>
      <c r="V127" s="404" t="e">
        <f t="shared" ca="1" si="97"/>
        <v>#REF!</v>
      </c>
      <c r="W127" s="404" t="e">
        <f t="shared" ca="1" si="97"/>
        <v>#REF!</v>
      </c>
      <c r="X127" s="404" t="e">
        <f t="shared" ca="1" si="97"/>
        <v>#REF!</v>
      </c>
      <c r="Y127" s="404" t="e">
        <f t="shared" ca="1" si="97"/>
        <v>#REF!</v>
      </c>
      <c r="Z127" s="404" t="e">
        <f t="shared" ca="1" si="97"/>
        <v>#REF!</v>
      </c>
      <c r="AA127" s="404" t="e">
        <f t="shared" ca="1" si="97"/>
        <v>#REF!</v>
      </c>
      <c r="AB127" s="404" t="e">
        <f t="shared" ca="1" si="97"/>
        <v>#REF!</v>
      </c>
      <c r="AC127" s="404" t="e">
        <f t="shared" ca="1" si="97"/>
        <v>#REF!</v>
      </c>
      <c r="AD127" s="404" t="e">
        <f t="shared" ca="1" si="97"/>
        <v>#REF!</v>
      </c>
      <c r="AE127" s="404" t="e">
        <f t="shared" ca="1" si="97"/>
        <v>#REF!</v>
      </c>
      <c r="AF127" s="404" t="e">
        <f t="shared" ca="1" si="97"/>
        <v>#REF!</v>
      </c>
      <c r="AG127" s="404" t="e">
        <f t="shared" ca="1" si="97"/>
        <v>#REF!</v>
      </c>
      <c r="AH127" s="404" t="e">
        <f t="shared" ca="1" si="97"/>
        <v>#REF!</v>
      </c>
      <c r="AI127" s="404" t="e">
        <f t="shared" ca="1" si="97"/>
        <v>#REF!</v>
      </c>
      <c r="AJ127" s="404" t="e">
        <f t="shared" ca="1" si="97"/>
        <v>#REF!</v>
      </c>
      <c r="AK127" s="404" t="e">
        <f t="shared" ref="AK127:BP127" ca="1" si="98">n_0-(a_1*AK126)-(a_2*(AK126^2)*400)</f>
        <v>#REF!</v>
      </c>
      <c r="AL127" s="404" t="e">
        <f t="shared" ca="1" si="98"/>
        <v>#REF!</v>
      </c>
      <c r="AM127" s="404" t="e">
        <f t="shared" ca="1" si="98"/>
        <v>#REF!</v>
      </c>
      <c r="AN127" s="404" t="e">
        <f t="shared" ca="1" si="98"/>
        <v>#REF!</v>
      </c>
      <c r="AO127" s="404" t="e">
        <f t="shared" ca="1" si="98"/>
        <v>#REF!</v>
      </c>
      <c r="AP127" s="404" t="e">
        <f t="shared" ca="1" si="98"/>
        <v>#REF!</v>
      </c>
      <c r="AQ127" s="404" t="e">
        <f t="shared" ca="1" si="98"/>
        <v>#REF!</v>
      </c>
      <c r="AR127" s="404" t="e">
        <f t="shared" ca="1" si="98"/>
        <v>#REF!</v>
      </c>
      <c r="AS127" s="404" t="e">
        <f t="shared" ca="1" si="98"/>
        <v>#REF!</v>
      </c>
      <c r="AT127" s="404" t="e">
        <f t="shared" ca="1" si="98"/>
        <v>#REF!</v>
      </c>
      <c r="AU127" s="404" t="e">
        <f t="shared" ca="1" si="98"/>
        <v>#REF!</v>
      </c>
      <c r="AV127" s="404" t="e">
        <f t="shared" ca="1" si="98"/>
        <v>#REF!</v>
      </c>
      <c r="AW127" s="404" t="e">
        <f t="shared" ca="1" si="98"/>
        <v>#REF!</v>
      </c>
      <c r="AX127" s="404" t="e">
        <f t="shared" ca="1" si="98"/>
        <v>#REF!</v>
      </c>
      <c r="AY127" s="404" t="e">
        <f t="shared" ca="1" si="98"/>
        <v>#REF!</v>
      </c>
      <c r="AZ127" s="404" t="e">
        <f t="shared" ca="1" si="98"/>
        <v>#REF!</v>
      </c>
      <c r="BA127" s="404" t="e">
        <f t="shared" ca="1" si="98"/>
        <v>#REF!</v>
      </c>
      <c r="BB127" s="404" t="e">
        <f t="shared" ca="1" si="98"/>
        <v>#REF!</v>
      </c>
      <c r="BC127" s="404" t="e">
        <f t="shared" ca="1" si="98"/>
        <v>#REF!</v>
      </c>
      <c r="BD127" s="404" t="e">
        <f t="shared" ca="1" si="98"/>
        <v>#REF!</v>
      </c>
      <c r="BE127" s="404" t="e">
        <f t="shared" ca="1" si="98"/>
        <v>#REF!</v>
      </c>
      <c r="BF127" s="404" t="e">
        <f t="shared" ca="1" si="98"/>
        <v>#REF!</v>
      </c>
      <c r="BG127" s="404" t="e">
        <f t="shared" ca="1" si="98"/>
        <v>#REF!</v>
      </c>
      <c r="BH127" s="404" t="e">
        <f t="shared" ca="1" si="98"/>
        <v>#REF!</v>
      </c>
      <c r="BI127" s="404" t="e">
        <f t="shared" ca="1" si="98"/>
        <v>#REF!</v>
      </c>
      <c r="BJ127" s="404" t="e">
        <f t="shared" ca="1" si="98"/>
        <v>#REF!</v>
      </c>
      <c r="BK127" s="404" t="e">
        <f t="shared" ca="1" si="98"/>
        <v>#REF!</v>
      </c>
      <c r="BL127" s="404" t="e">
        <f t="shared" ca="1" si="98"/>
        <v>#REF!</v>
      </c>
      <c r="BM127" s="404" t="e">
        <f t="shared" ca="1" si="98"/>
        <v>#REF!</v>
      </c>
      <c r="BN127" s="404" t="e">
        <f t="shared" ca="1" si="98"/>
        <v>#REF!</v>
      </c>
      <c r="BO127" s="404" t="e">
        <f t="shared" ca="1" si="98"/>
        <v>#REF!</v>
      </c>
      <c r="BP127" s="404" t="e">
        <f t="shared" ca="1" si="98"/>
        <v>#REF!</v>
      </c>
      <c r="BQ127" s="404" t="e">
        <f ca="1">n_0-(a_1*BQ126)-(a_2*(BQ126^2)*400)</f>
        <v>#REF!</v>
      </c>
      <c r="BR127" s="404" t="e">
        <f ca="1">n_0-(a_1*BR126)-(a_2*(BR126^2)*400)</f>
        <v>#REF!</v>
      </c>
    </row>
    <row r="128" spans="1:70" ht="15.75" x14ac:dyDescent="0.3">
      <c r="A128" s="675" t="s">
        <v>2067</v>
      </c>
      <c r="D128" s="390" t="s">
        <v>2072</v>
      </c>
      <c r="E128" s="404" t="e">
        <f t="shared" ref="E128:AJ128" ca="1" si="99">E109*A_A*E127</f>
        <v>#REF!</v>
      </c>
      <c r="F128" s="404" t="e">
        <f t="shared" ca="1" si="99"/>
        <v>#REF!</v>
      </c>
      <c r="G128" s="404" t="e">
        <f t="shared" ca="1" si="99"/>
        <v>#REF!</v>
      </c>
      <c r="H128" s="404" t="e">
        <f t="shared" ca="1" si="99"/>
        <v>#REF!</v>
      </c>
      <c r="I128" s="404" t="e">
        <f t="shared" ca="1" si="99"/>
        <v>#REF!</v>
      </c>
      <c r="J128" s="404" t="e">
        <f t="shared" ca="1" si="99"/>
        <v>#REF!</v>
      </c>
      <c r="K128" s="404" t="e">
        <f t="shared" ca="1" si="99"/>
        <v>#REF!</v>
      </c>
      <c r="L128" s="404" t="e">
        <f t="shared" ca="1" si="99"/>
        <v>#REF!</v>
      </c>
      <c r="M128" s="404" t="e">
        <f t="shared" ca="1" si="99"/>
        <v>#REF!</v>
      </c>
      <c r="N128" s="404" t="e">
        <f t="shared" ca="1" si="99"/>
        <v>#REF!</v>
      </c>
      <c r="O128" s="404" t="e">
        <f t="shared" ca="1" si="99"/>
        <v>#REF!</v>
      </c>
      <c r="P128" s="404" t="e">
        <f t="shared" ca="1" si="99"/>
        <v>#REF!</v>
      </c>
      <c r="Q128" s="404" t="e">
        <f t="shared" ca="1" si="99"/>
        <v>#REF!</v>
      </c>
      <c r="R128" s="404" t="e">
        <f t="shared" ca="1" si="99"/>
        <v>#REF!</v>
      </c>
      <c r="S128" s="404" t="e">
        <f t="shared" ca="1" si="99"/>
        <v>#REF!</v>
      </c>
      <c r="T128" s="404" t="e">
        <f t="shared" ca="1" si="99"/>
        <v>#REF!</v>
      </c>
      <c r="U128" s="404" t="e">
        <f t="shared" ca="1" si="99"/>
        <v>#REF!</v>
      </c>
      <c r="V128" s="404" t="e">
        <f t="shared" ca="1" si="99"/>
        <v>#REF!</v>
      </c>
      <c r="W128" s="404" t="e">
        <f t="shared" ca="1" si="99"/>
        <v>#REF!</v>
      </c>
      <c r="X128" s="404" t="e">
        <f t="shared" ca="1" si="99"/>
        <v>#REF!</v>
      </c>
      <c r="Y128" s="404" t="e">
        <f t="shared" ca="1" si="99"/>
        <v>#REF!</v>
      </c>
      <c r="Z128" s="404" t="e">
        <f t="shared" ca="1" si="99"/>
        <v>#REF!</v>
      </c>
      <c r="AA128" s="404" t="e">
        <f t="shared" ca="1" si="99"/>
        <v>#REF!</v>
      </c>
      <c r="AB128" s="404" t="e">
        <f t="shared" ca="1" si="99"/>
        <v>#REF!</v>
      </c>
      <c r="AC128" s="404" t="e">
        <f t="shared" ca="1" si="99"/>
        <v>#REF!</v>
      </c>
      <c r="AD128" s="404" t="e">
        <f t="shared" ca="1" si="99"/>
        <v>#REF!</v>
      </c>
      <c r="AE128" s="404" t="e">
        <f t="shared" ca="1" si="99"/>
        <v>#REF!</v>
      </c>
      <c r="AF128" s="404" t="e">
        <f t="shared" ca="1" si="99"/>
        <v>#REF!</v>
      </c>
      <c r="AG128" s="404" t="e">
        <f t="shared" ca="1" si="99"/>
        <v>#REF!</v>
      </c>
      <c r="AH128" s="404" t="e">
        <f t="shared" ca="1" si="99"/>
        <v>#REF!</v>
      </c>
      <c r="AI128" s="404" t="e">
        <f t="shared" ca="1" si="99"/>
        <v>#REF!</v>
      </c>
      <c r="AJ128" s="404" t="e">
        <f t="shared" ca="1" si="99"/>
        <v>#REF!</v>
      </c>
      <c r="AK128" s="404" t="e">
        <f t="shared" ref="AK128:BP128" ca="1" si="100">AK109*A_A*AK127</f>
        <v>#REF!</v>
      </c>
      <c r="AL128" s="404" t="e">
        <f t="shared" ca="1" si="100"/>
        <v>#REF!</v>
      </c>
      <c r="AM128" s="404" t="e">
        <f t="shared" ca="1" si="100"/>
        <v>#REF!</v>
      </c>
      <c r="AN128" s="404" t="e">
        <f t="shared" ca="1" si="100"/>
        <v>#REF!</v>
      </c>
      <c r="AO128" s="404" t="e">
        <f t="shared" ca="1" si="100"/>
        <v>#REF!</v>
      </c>
      <c r="AP128" s="404" t="e">
        <f t="shared" ca="1" si="100"/>
        <v>#REF!</v>
      </c>
      <c r="AQ128" s="404" t="e">
        <f t="shared" ca="1" si="100"/>
        <v>#REF!</v>
      </c>
      <c r="AR128" s="404" t="e">
        <f t="shared" ca="1" si="100"/>
        <v>#REF!</v>
      </c>
      <c r="AS128" s="404" t="e">
        <f t="shared" ca="1" si="100"/>
        <v>#REF!</v>
      </c>
      <c r="AT128" s="404" t="e">
        <f t="shared" ca="1" si="100"/>
        <v>#REF!</v>
      </c>
      <c r="AU128" s="404" t="e">
        <f t="shared" ca="1" si="100"/>
        <v>#REF!</v>
      </c>
      <c r="AV128" s="404" t="e">
        <f t="shared" ca="1" si="100"/>
        <v>#REF!</v>
      </c>
      <c r="AW128" s="404" t="e">
        <f t="shared" ca="1" si="100"/>
        <v>#REF!</v>
      </c>
      <c r="AX128" s="404" t="e">
        <f t="shared" ca="1" si="100"/>
        <v>#REF!</v>
      </c>
      <c r="AY128" s="404" t="e">
        <f t="shared" ca="1" si="100"/>
        <v>#REF!</v>
      </c>
      <c r="AZ128" s="404" t="e">
        <f t="shared" ca="1" si="100"/>
        <v>#REF!</v>
      </c>
      <c r="BA128" s="404" t="e">
        <f t="shared" ca="1" si="100"/>
        <v>#REF!</v>
      </c>
      <c r="BB128" s="404" t="e">
        <f t="shared" ca="1" si="100"/>
        <v>#REF!</v>
      </c>
      <c r="BC128" s="404" t="e">
        <f t="shared" ca="1" si="100"/>
        <v>#REF!</v>
      </c>
      <c r="BD128" s="404" t="e">
        <f t="shared" ca="1" si="100"/>
        <v>#REF!</v>
      </c>
      <c r="BE128" s="404" t="e">
        <f t="shared" ca="1" si="100"/>
        <v>#REF!</v>
      </c>
      <c r="BF128" s="404" t="e">
        <f t="shared" ca="1" si="100"/>
        <v>#REF!</v>
      </c>
      <c r="BG128" s="404" t="e">
        <f t="shared" ca="1" si="100"/>
        <v>#REF!</v>
      </c>
      <c r="BH128" s="404" t="e">
        <f t="shared" ca="1" si="100"/>
        <v>#REF!</v>
      </c>
      <c r="BI128" s="404" t="e">
        <f t="shared" ca="1" si="100"/>
        <v>#REF!</v>
      </c>
      <c r="BJ128" s="404" t="e">
        <f t="shared" ca="1" si="100"/>
        <v>#REF!</v>
      </c>
      <c r="BK128" s="404" t="e">
        <f t="shared" ca="1" si="100"/>
        <v>#REF!</v>
      </c>
      <c r="BL128" s="404" t="e">
        <f t="shared" ca="1" si="100"/>
        <v>#REF!</v>
      </c>
      <c r="BM128" s="404" t="e">
        <f t="shared" ca="1" si="100"/>
        <v>#REF!</v>
      </c>
      <c r="BN128" s="404" t="e">
        <f t="shared" ca="1" si="100"/>
        <v>#REF!</v>
      </c>
      <c r="BO128" s="404" t="e">
        <f t="shared" ca="1" si="100"/>
        <v>#REF!</v>
      </c>
      <c r="BP128" s="404" t="e">
        <f t="shared" ca="1" si="100"/>
        <v>#REF!</v>
      </c>
      <c r="BQ128" s="404" t="e">
        <f ca="1">BQ109*A_A*BQ127</f>
        <v>#REF!</v>
      </c>
      <c r="BR128" s="404" t="e">
        <f ca="1">BR109*A_A*BR127</f>
        <v>#REF!</v>
      </c>
    </row>
    <row r="129" spans="1:70" x14ac:dyDescent="0.2">
      <c r="B129" s="410" t="s">
        <v>1453</v>
      </c>
      <c r="E129" s="404"/>
      <c r="F129" s="404"/>
      <c r="G129" s="404"/>
      <c r="H129" s="404"/>
      <c r="I129" s="404"/>
      <c r="J129" s="404"/>
      <c r="K129" s="404"/>
      <c r="L129" s="404"/>
      <c r="M129" s="404"/>
      <c r="N129" s="404"/>
      <c r="O129" s="404"/>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row>
    <row r="130" spans="1:70" ht="15.75" x14ac:dyDescent="0.3">
      <c r="A130" s="672" t="s">
        <v>2070</v>
      </c>
      <c r="B130" s="677" t="e">
        <f>Qww*EBF/3.6</f>
        <v>#VALUE!</v>
      </c>
      <c r="C130" s="390" t="s">
        <v>2069</v>
      </c>
      <c r="D130" s="390" t="s">
        <v>2068</v>
      </c>
      <c r="E130" s="404"/>
      <c r="F130" s="404"/>
      <c r="G130" s="404"/>
      <c r="H130" s="404"/>
      <c r="I130" s="404"/>
      <c r="J130" s="404"/>
      <c r="K130" s="404"/>
      <c r="L130" s="404"/>
      <c r="M130" s="404"/>
      <c r="N130" s="404"/>
      <c r="O130" s="404"/>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row>
    <row r="131" spans="1:70" ht="15.75" x14ac:dyDescent="0.3">
      <c r="A131" s="672" t="s">
        <v>2071</v>
      </c>
      <c r="B131" s="409" t="e">
        <f>P_W_dis</f>
        <v>#VALUE!</v>
      </c>
      <c r="C131" s="390" t="s">
        <v>3650</v>
      </c>
      <c r="D131" s="390" t="s">
        <v>2450</v>
      </c>
      <c r="E131" s="404"/>
      <c r="F131" s="404"/>
      <c r="G131" s="404"/>
      <c r="H131" s="404"/>
      <c r="I131" s="404"/>
      <c r="J131" s="404"/>
      <c r="K131" s="404"/>
      <c r="L131" s="404"/>
      <c r="M131" s="404"/>
      <c r="N131" s="404"/>
      <c r="O131" s="404"/>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row>
    <row r="132" spans="1:70" ht="15.75" x14ac:dyDescent="0.3">
      <c r="B132" s="402" t="e">
        <f ca="1">SUM(E132:BR132)</f>
        <v>#VALUE!</v>
      </c>
      <c r="C132" s="390" t="s">
        <v>3665</v>
      </c>
      <c r="D132" s="390" t="s">
        <v>2073</v>
      </c>
      <c r="E132" s="404" t="e">
        <f t="shared" ref="E132:AJ132" ca="1" si="101">Phi_WW*E7</f>
        <v>#VALUE!</v>
      </c>
      <c r="F132" s="404" t="e">
        <f t="shared" ca="1" si="101"/>
        <v>#VALUE!</v>
      </c>
      <c r="G132" s="404" t="e">
        <f t="shared" ca="1" si="101"/>
        <v>#VALUE!</v>
      </c>
      <c r="H132" s="404" t="e">
        <f t="shared" ca="1" si="101"/>
        <v>#VALUE!</v>
      </c>
      <c r="I132" s="404" t="e">
        <f t="shared" ca="1" si="101"/>
        <v>#VALUE!</v>
      </c>
      <c r="J132" s="404" t="e">
        <f t="shared" ca="1" si="101"/>
        <v>#VALUE!</v>
      </c>
      <c r="K132" s="404" t="e">
        <f t="shared" ca="1" si="101"/>
        <v>#VALUE!</v>
      </c>
      <c r="L132" s="404" t="e">
        <f t="shared" ca="1" si="101"/>
        <v>#VALUE!</v>
      </c>
      <c r="M132" s="404" t="e">
        <f t="shared" ca="1" si="101"/>
        <v>#VALUE!</v>
      </c>
      <c r="N132" s="404" t="e">
        <f t="shared" ca="1" si="101"/>
        <v>#VALUE!</v>
      </c>
      <c r="O132" s="404" t="e">
        <f t="shared" ca="1" si="101"/>
        <v>#VALUE!</v>
      </c>
      <c r="P132" s="404" t="e">
        <f t="shared" ca="1" si="101"/>
        <v>#VALUE!</v>
      </c>
      <c r="Q132" s="404" t="e">
        <f t="shared" ca="1" si="101"/>
        <v>#VALUE!</v>
      </c>
      <c r="R132" s="404" t="e">
        <f t="shared" ca="1" si="101"/>
        <v>#VALUE!</v>
      </c>
      <c r="S132" s="404" t="e">
        <f t="shared" ca="1" si="101"/>
        <v>#VALUE!</v>
      </c>
      <c r="T132" s="404" t="e">
        <f t="shared" ca="1" si="101"/>
        <v>#VALUE!</v>
      </c>
      <c r="U132" s="404" t="e">
        <f t="shared" ca="1" si="101"/>
        <v>#VALUE!</v>
      </c>
      <c r="V132" s="404" t="e">
        <f t="shared" ca="1" si="101"/>
        <v>#VALUE!</v>
      </c>
      <c r="W132" s="404" t="e">
        <f t="shared" ca="1" si="101"/>
        <v>#VALUE!</v>
      </c>
      <c r="X132" s="404" t="e">
        <f t="shared" ca="1" si="101"/>
        <v>#VALUE!</v>
      </c>
      <c r="Y132" s="404" t="e">
        <f t="shared" ca="1" si="101"/>
        <v>#VALUE!</v>
      </c>
      <c r="Z132" s="404" t="e">
        <f t="shared" ca="1" si="101"/>
        <v>#VALUE!</v>
      </c>
      <c r="AA132" s="404" t="e">
        <f t="shared" ca="1" si="101"/>
        <v>#VALUE!</v>
      </c>
      <c r="AB132" s="404" t="e">
        <f t="shared" ca="1" si="101"/>
        <v>#VALUE!</v>
      </c>
      <c r="AC132" s="404" t="e">
        <f t="shared" ca="1" si="101"/>
        <v>#VALUE!</v>
      </c>
      <c r="AD132" s="404" t="e">
        <f t="shared" ca="1" si="101"/>
        <v>#VALUE!</v>
      </c>
      <c r="AE132" s="404" t="e">
        <f t="shared" ca="1" si="101"/>
        <v>#VALUE!</v>
      </c>
      <c r="AF132" s="404" t="e">
        <f t="shared" ca="1" si="101"/>
        <v>#VALUE!</v>
      </c>
      <c r="AG132" s="404" t="e">
        <f t="shared" ca="1" si="101"/>
        <v>#VALUE!</v>
      </c>
      <c r="AH132" s="404" t="e">
        <f t="shared" ca="1" si="101"/>
        <v>#VALUE!</v>
      </c>
      <c r="AI132" s="404" t="e">
        <f t="shared" ca="1" si="101"/>
        <v>#VALUE!</v>
      </c>
      <c r="AJ132" s="404" t="e">
        <f t="shared" ca="1" si="101"/>
        <v>#VALUE!</v>
      </c>
      <c r="AK132" s="404" t="e">
        <f t="shared" ref="AK132:BR132" ca="1" si="102">Phi_WW*AK7</f>
        <v>#VALUE!</v>
      </c>
      <c r="AL132" s="404" t="e">
        <f t="shared" ca="1" si="102"/>
        <v>#VALUE!</v>
      </c>
      <c r="AM132" s="404" t="e">
        <f t="shared" ca="1" si="102"/>
        <v>#VALUE!</v>
      </c>
      <c r="AN132" s="404" t="e">
        <f t="shared" ca="1" si="102"/>
        <v>#VALUE!</v>
      </c>
      <c r="AO132" s="404" t="e">
        <f t="shared" ca="1" si="102"/>
        <v>#VALUE!</v>
      </c>
      <c r="AP132" s="404" t="e">
        <f t="shared" ca="1" si="102"/>
        <v>#VALUE!</v>
      </c>
      <c r="AQ132" s="404" t="e">
        <f t="shared" ca="1" si="102"/>
        <v>#VALUE!</v>
      </c>
      <c r="AR132" s="404" t="e">
        <f t="shared" ca="1" si="102"/>
        <v>#VALUE!</v>
      </c>
      <c r="AS132" s="404" t="e">
        <f t="shared" ca="1" si="102"/>
        <v>#VALUE!</v>
      </c>
      <c r="AT132" s="404" t="e">
        <f t="shared" ca="1" si="102"/>
        <v>#VALUE!</v>
      </c>
      <c r="AU132" s="404" t="e">
        <f t="shared" ca="1" si="102"/>
        <v>#VALUE!</v>
      </c>
      <c r="AV132" s="404" t="e">
        <f t="shared" ca="1" si="102"/>
        <v>#VALUE!</v>
      </c>
      <c r="AW132" s="404" t="e">
        <f t="shared" ca="1" si="102"/>
        <v>#VALUE!</v>
      </c>
      <c r="AX132" s="404" t="e">
        <f t="shared" ca="1" si="102"/>
        <v>#VALUE!</v>
      </c>
      <c r="AY132" s="404" t="e">
        <f t="shared" ca="1" si="102"/>
        <v>#VALUE!</v>
      </c>
      <c r="AZ132" s="404" t="e">
        <f t="shared" ca="1" si="102"/>
        <v>#VALUE!</v>
      </c>
      <c r="BA132" s="404" t="e">
        <f t="shared" ca="1" si="102"/>
        <v>#VALUE!</v>
      </c>
      <c r="BB132" s="404" t="e">
        <f t="shared" ca="1" si="102"/>
        <v>#VALUE!</v>
      </c>
      <c r="BC132" s="404" t="e">
        <f t="shared" ca="1" si="102"/>
        <v>#VALUE!</v>
      </c>
      <c r="BD132" s="404" t="e">
        <f t="shared" ca="1" si="102"/>
        <v>#VALUE!</v>
      </c>
      <c r="BE132" s="404" t="e">
        <f t="shared" ca="1" si="102"/>
        <v>#VALUE!</v>
      </c>
      <c r="BF132" s="404" t="e">
        <f t="shared" ca="1" si="102"/>
        <v>#VALUE!</v>
      </c>
      <c r="BG132" s="404" t="e">
        <f t="shared" ca="1" si="102"/>
        <v>#VALUE!</v>
      </c>
      <c r="BH132" s="404" t="e">
        <f t="shared" ca="1" si="102"/>
        <v>#VALUE!</v>
      </c>
      <c r="BI132" s="404" t="e">
        <f t="shared" ca="1" si="102"/>
        <v>#VALUE!</v>
      </c>
      <c r="BJ132" s="404" t="e">
        <f t="shared" ca="1" si="102"/>
        <v>#VALUE!</v>
      </c>
      <c r="BK132" s="404" t="e">
        <f t="shared" ca="1" si="102"/>
        <v>#VALUE!</v>
      </c>
      <c r="BL132" s="404" t="e">
        <f t="shared" ca="1" si="102"/>
        <v>#VALUE!</v>
      </c>
      <c r="BM132" s="404" t="e">
        <f t="shared" ca="1" si="102"/>
        <v>#VALUE!</v>
      </c>
      <c r="BN132" s="404" t="e">
        <f t="shared" ca="1" si="102"/>
        <v>#VALUE!</v>
      </c>
      <c r="BO132" s="404" t="e">
        <f t="shared" ca="1" si="102"/>
        <v>#VALUE!</v>
      </c>
      <c r="BP132" s="404" t="e">
        <f t="shared" ca="1" si="102"/>
        <v>#VALUE!</v>
      </c>
      <c r="BQ132" s="404" t="e">
        <f t="shared" ca="1" si="102"/>
        <v>#VALUE!</v>
      </c>
      <c r="BR132" s="404" t="e">
        <f t="shared" ca="1" si="102"/>
        <v>#VALUE!</v>
      </c>
    </row>
    <row r="133" spans="1:70" ht="15.75" x14ac:dyDescent="0.3">
      <c r="A133" s="675" t="s">
        <v>279</v>
      </c>
      <c r="B133" s="402" t="e">
        <f ca="1">SUM(E133:BR133)</f>
        <v>#VALUE!</v>
      </c>
      <c r="C133" s="390" t="s">
        <v>3665</v>
      </c>
      <c r="D133" s="390" t="s">
        <v>2447</v>
      </c>
      <c r="E133" s="404" t="e">
        <f ca="1">MIN(E128,E132*2.5)</f>
        <v>#VALUE!</v>
      </c>
      <c r="F133" s="404" t="e">
        <f t="shared" ref="F133:BQ133" ca="1" si="103">MIN(F128,F132*2.5)</f>
        <v>#VALUE!</v>
      </c>
      <c r="G133" s="404" t="e">
        <f t="shared" ca="1" si="103"/>
        <v>#VALUE!</v>
      </c>
      <c r="H133" s="404" t="e">
        <f t="shared" ca="1" si="103"/>
        <v>#VALUE!</v>
      </c>
      <c r="I133" s="404" t="e">
        <f t="shared" ca="1" si="103"/>
        <v>#VALUE!</v>
      </c>
      <c r="J133" s="404" t="e">
        <f t="shared" ca="1" si="103"/>
        <v>#VALUE!</v>
      </c>
      <c r="K133" s="404" t="e">
        <f t="shared" ca="1" si="103"/>
        <v>#VALUE!</v>
      </c>
      <c r="L133" s="404" t="e">
        <f t="shared" ca="1" si="103"/>
        <v>#VALUE!</v>
      </c>
      <c r="M133" s="404" t="e">
        <f t="shared" ca="1" si="103"/>
        <v>#VALUE!</v>
      </c>
      <c r="N133" s="404" t="e">
        <f t="shared" ca="1" si="103"/>
        <v>#VALUE!</v>
      </c>
      <c r="O133" s="404" t="e">
        <f t="shared" ca="1" si="103"/>
        <v>#VALUE!</v>
      </c>
      <c r="P133" s="404" t="e">
        <f t="shared" ca="1" si="103"/>
        <v>#VALUE!</v>
      </c>
      <c r="Q133" s="404" t="e">
        <f t="shared" ca="1" si="103"/>
        <v>#VALUE!</v>
      </c>
      <c r="R133" s="404" t="e">
        <f t="shared" ca="1" si="103"/>
        <v>#VALUE!</v>
      </c>
      <c r="S133" s="404" t="e">
        <f t="shared" ca="1" si="103"/>
        <v>#VALUE!</v>
      </c>
      <c r="T133" s="404" t="e">
        <f t="shared" ca="1" si="103"/>
        <v>#VALUE!</v>
      </c>
      <c r="U133" s="404" t="e">
        <f t="shared" ca="1" si="103"/>
        <v>#VALUE!</v>
      </c>
      <c r="V133" s="404" t="e">
        <f t="shared" ca="1" si="103"/>
        <v>#VALUE!</v>
      </c>
      <c r="W133" s="404" t="e">
        <f t="shared" ca="1" si="103"/>
        <v>#VALUE!</v>
      </c>
      <c r="X133" s="404" t="e">
        <f t="shared" ca="1" si="103"/>
        <v>#VALUE!</v>
      </c>
      <c r="Y133" s="404" t="e">
        <f t="shared" ca="1" si="103"/>
        <v>#VALUE!</v>
      </c>
      <c r="Z133" s="404" t="e">
        <f t="shared" ca="1" si="103"/>
        <v>#VALUE!</v>
      </c>
      <c r="AA133" s="404" t="e">
        <f t="shared" ca="1" si="103"/>
        <v>#VALUE!</v>
      </c>
      <c r="AB133" s="404" t="e">
        <f t="shared" ca="1" si="103"/>
        <v>#VALUE!</v>
      </c>
      <c r="AC133" s="404" t="e">
        <f t="shared" ca="1" si="103"/>
        <v>#VALUE!</v>
      </c>
      <c r="AD133" s="404" t="e">
        <f t="shared" ca="1" si="103"/>
        <v>#VALUE!</v>
      </c>
      <c r="AE133" s="404" t="e">
        <f t="shared" ca="1" si="103"/>
        <v>#VALUE!</v>
      </c>
      <c r="AF133" s="404" t="e">
        <f t="shared" ca="1" si="103"/>
        <v>#VALUE!</v>
      </c>
      <c r="AG133" s="404" t="e">
        <f t="shared" ca="1" si="103"/>
        <v>#VALUE!</v>
      </c>
      <c r="AH133" s="404" t="e">
        <f t="shared" ca="1" si="103"/>
        <v>#VALUE!</v>
      </c>
      <c r="AI133" s="404" t="e">
        <f t="shared" ca="1" si="103"/>
        <v>#VALUE!</v>
      </c>
      <c r="AJ133" s="404" t="e">
        <f t="shared" ca="1" si="103"/>
        <v>#VALUE!</v>
      </c>
      <c r="AK133" s="404" t="e">
        <f t="shared" ca="1" si="103"/>
        <v>#VALUE!</v>
      </c>
      <c r="AL133" s="404" t="e">
        <f t="shared" ca="1" si="103"/>
        <v>#VALUE!</v>
      </c>
      <c r="AM133" s="404" t="e">
        <f t="shared" ca="1" si="103"/>
        <v>#VALUE!</v>
      </c>
      <c r="AN133" s="404" t="e">
        <f t="shared" ca="1" si="103"/>
        <v>#VALUE!</v>
      </c>
      <c r="AO133" s="404" t="e">
        <f t="shared" ca="1" si="103"/>
        <v>#VALUE!</v>
      </c>
      <c r="AP133" s="404" t="e">
        <f t="shared" ca="1" si="103"/>
        <v>#VALUE!</v>
      </c>
      <c r="AQ133" s="404" t="e">
        <f t="shared" ca="1" si="103"/>
        <v>#VALUE!</v>
      </c>
      <c r="AR133" s="404" t="e">
        <f t="shared" ca="1" si="103"/>
        <v>#VALUE!</v>
      </c>
      <c r="AS133" s="404" t="e">
        <f t="shared" ca="1" si="103"/>
        <v>#VALUE!</v>
      </c>
      <c r="AT133" s="404" t="e">
        <f t="shared" ca="1" si="103"/>
        <v>#VALUE!</v>
      </c>
      <c r="AU133" s="404" t="e">
        <f t="shared" ca="1" si="103"/>
        <v>#VALUE!</v>
      </c>
      <c r="AV133" s="404" t="e">
        <f t="shared" ca="1" si="103"/>
        <v>#VALUE!</v>
      </c>
      <c r="AW133" s="404" t="e">
        <f t="shared" ca="1" si="103"/>
        <v>#VALUE!</v>
      </c>
      <c r="AX133" s="404" t="e">
        <f t="shared" ca="1" si="103"/>
        <v>#VALUE!</v>
      </c>
      <c r="AY133" s="404" t="e">
        <f t="shared" ca="1" si="103"/>
        <v>#VALUE!</v>
      </c>
      <c r="AZ133" s="404" t="e">
        <f t="shared" ca="1" si="103"/>
        <v>#VALUE!</v>
      </c>
      <c r="BA133" s="404" t="e">
        <f t="shared" ca="1" si="103"/>
        <v>#VALUE!</v>
      </c>
      <c r="BB133" s="404" t="e">
        <f t="shared" ca="1" si="103"/>
        <v>#VALUE!</v>
      </c>
      <c r="BC133" s="404" t="e">
        <f t="shared" ca="1" si="103"/>
        <v>#VALUE!</v>
      </c>
      <c r="BD133" s="404" t="e">
        <f t="shared" ca="1" si="103"/>
        <v>#VALUE!</v>
      </c>
      <c r="BE133" s="404" t="e">
        <f t="shared" ca="1" si="103"/>
        <v>#VALUE!</v>
      </c>
      <c r="BF133" s="404" t="e">
        <f t="shared" ca="1" si="103"/>
        <v>#VALUE!</v>
      </c>
      <c r="BG133" s="404" t="e">
        <f t="shared" ca="1" si="103"/>
        <v>#VALUE!</v>
      </c>
      <c r="BH133" s="404" t="e">
        <f t="shared" ca="1" si="103"/>
        <v>#VALUE!</v>
      </c>
      <c r="BI133" s="404" t="e">
        <f t="shared" ca="1" si="103"/>
        <v>#VALUE!</v>
      </c>
      <c r="BJ133" s="404" t="e">
        <f t="shared" ca="1" si="103"/>
        <v>#VALUE!</v>
      </c>
      <c r="BK133" s="404" t="e">
        <f t="shared" ca="1" si="103"/>
        <v>#VALUE!</v>
      </c>
      <c r="BL133" s="404" t="e">
        <f t="shared" ca="1" si="103"/>
        <v>#VALUE!</v>
      </c>
      <c r="BM133" s="404" t="e">
        <f t="shared" ca="1" si="103"/>
        <v>#VALUE!</v>
      </c>
      <c r="BN133" s="404" t="e">
        <f t="shared" ca="1" si="103"/>
        <v>#VALUE!</v>
      </c>
      <c r="BO133" s="404" t="e">
        <f t="shared" ca="1" si="103"/>
        <v>#VALUE!</v>
      </c>
      <c r="BP133" s="404" t="e">
        <f t="shared" ca="1" si="103"/>
        <v>#VALUE!</v>
      </c>
      <c r="BQ133" s="404" t="e">
        <f t="shared" ca="1" si="103"/>
        <v>#VALUE!</v>
      </c>
      <c r="BR133" s="404" t="e">
        <f ca="1">MIN(BR128,BR132*2.5)</f>
        <v>#VALUE!</v>
      </c>
    </row>
    <row r="134" spans="1:70" x14ac:dyDescent="0.2">
      <c r="E134" s="404"/>
      <c r="F134" s="404"/>
      <c r="G134" s="404"/>
      <c r="H134" s="404"/>
      <c r="I134" s="404"/>
      <c r="J134" s="404"/>
      <c r="K134" s="404"/>
      <c r="L134" s="404"/>
      <c r="M134" s="404"/>
      <c r="N134" s="404"/>
      <c r="O134" s="404"/>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404"/>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row>
    <row r="135" spans="1:70" x14ac:dyDescent="0.2">
      <c r="B135" s="410" t="s">
        <v>2448</v>
      </c>
      <c r="E135" s="404"/>
      <c r="F135" s="404"/>
      <c r="G135" s="404"/>
      <c r="H135" s="404"/>
      <c r="I135" s="404"/>
      <c r="J135" s="404"/>
      <c r="K135" s="404"/>
      <c r="L135" s="404"/>
      <c r="M135" s="404"/>
      <c r="N135" s="404"/>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row>
    <row r="136" spans="1:70" ht="15.75" x14ac:dyDescent="0.3">
      <c r="A136" s="675" t="s">
        <v>1123</v>
      </c>
      <c r="B136" s="402" t="e">
        <f ca="1">SUM(E136:BR136)</f>
        <v>#VALUE!</v>
      </c>
      <c r="C136" s="390" t="s">
        <v>3665</v>
      </c>
      <c r="D136" s="390" t="s">
        <v>2455</v>
      </c>
      <c r="E136" s="404" t="e">
        <f ca="1">MIN(E133,E132)</f>
        <v>#VALUE!</v>
      </c>
      <c r="F136" s="404" t="e">
        <f t="shared" ref="F136:BQ136" ca="1" si="104">MIN(F133,F132)</f>
        <v>#VALUE!</v>
      </c>
      <c r="G136" s="404" t="e">
        <f t="shared" ca="1" si="104"/>
        <v>#VALUE!</v>
      </c>
      <c r="H136" s="404" t="e">
        <f t="shared" ca="1" si="104"/>
        <v>#VALUE!</v>
      </c>
      <c r="I136" s="404" t="e">
        <f t="shared" ca="1" si="104"/>
        <v>#VALUE!</v>
      </c>
      <c r="J136" s="404" t="e">
        <f t="shared" ca="1" si="104"/>
        <v>#VALUE!</v>
      </c>
      <c r="K136" s="404" t="e">
        <f t="shared" ca="1" si="104"/>
        <v>#VALUE!</v>
      </c>
      <c r="L136" s="404" t="e">
        <f t="shared" ca="1" si="104"/>
        <v>#VALUE!</v>
      </c>
      <c r="M136" s="404" t="e">
        <f t="shared" ca="1" si="104"/>
        <v>#VALUE!</v>
      </c>
      <c r="N136" s="404" t="e">
        <f t="shared" ca="1" si="104"/>
        <v>#VALUE!</v>
      </c>
      <c r="O136" s="404" t="e">
        <f t="shared" ca="1" si="104"/>
        <v>#VALUE!</v>
      </c>
      <c r="P136" s="404" t="e">
        <f t="shared" ca="1" si="104"/>
        <v>#VALUE!</v>
      </c>
      <c r="Q136" s="404" t="e">
        <f t="shared" ca="1" si="104"/>
        <v>#VALUE!</v>
      </c>
      <c r="R136" s="404" t="e">
        <f t="shared" ca="1" si="104"/>
        <v>#VALUE!</v>
      </c>
      <c r="S136" s="404" t="e">
        <f t="shared" ca="1" si="104"/>
        <v>#VALUE!</v>
      </c>
      <c r="T136" s="404" t="e">
        <f t="shared" ca="1" si="104"/>
        <v>#VALUE!</v>
      </c>
      <c r="U136" s="404" t="e">
        <f t="shared" ca="1" si="104"/>
        <v>#VALUE!</v>
      </c>
      <c r="V136" s="404" t="e">
        <f t="shared" ca="1" si="104"/>
        <v>#VALUE!</v>
      </c>
      <c r="W136" s="404" t="e">
        <f t="shared" ca="1" si="104"/>
        <v>#VALUE!</v>
      </c>
      <c r="X136" s="404" t="e">
        <f t="shared" ca="1" si="104"/>
        <v>#VALUE!</v>
      </c>
      <c r="Y136" s="404" t="e">
        <f t="shared" ca="1" si="104"/>
        <v>#VALUE!</v>
      </c>
      <c r="Z136" s="404" t="e">
        <f t="shared" ca="1" si="104"/>
        <v>#VALUE!</v>
      </c>
      <c r="AA136" s="404" t="e">
        <f t="shared" ca="1" si="104"/>
        <v>#VALUE!</v>
      </c>
      <c r="AB136" s="404" t="e">
        <f t="shared" ca="1" si="104"/>
        <v>#VALUE!</v>
      </c>
      <c r="AC136" s="404" t="e">
        <f t="shared" ca="1" si="104"/>
        <v>#VALUE!</v>
      </c>
      <c r="AD136" s="404" t="e">
        <f t="shared" ca="1" si="104"/>
        <v>#VALUE!</v>
      </c>
      <c r="AE136" s="404" t="e">
        <f t="shared" ca="1" si="104"/>
        <v>#VALUE!</v>
      </c>
      <c r="AF136" s="404" t="e">
        <f t="shared" ca="1" si="104"/>
        <v>#VALUE!</v>
      </c>
      <c r="AG136" s="404" t="e">
        <f t="shared" ca="1" si="104"/>
        <v>#VALUE!</v>
      </c>
      <c r="AH136" s="404" t="e">
        <f t="shared" ca="1" si="104"/>
        <v>#VALUE!</v>
      </c>
      <c r="AI136" s="404" t="e">
        <f t="shared" ca="1" si="104"/>
        <v>#VALUE!</v>
      </c>
      <c r="AJ136" s="404" t="e">
        <f t="shared" ca="1" si="104"/>
        <v>#VALUE!</v>
      </c>
      <c r="AK136" s="404" t="e">
        <f t="shared" ca="1" si="104"/>
        <v>#VALUE!</v>
      </c>
      <c r="AL136" s="404" t="e">
        <f t="shared" ca="1" si="104"/>
        <v>#VALUE!</v>
      </c>
      <c r="AM136" s="404" t="e">
        <f t="shared" ca="1" si="104"/>
        <v>#VALUE!</v>
      </c>
      <c r="AN136" s="404" t="e">
        <f t="shared" ca="1" si="104"/>
        <v>#VALUE!</v>
      </c>
      <c r="AO136" s="404" t="e">
        <f t="shared" ca="1" si="104"/>
        <v>#VALUE!</v>
      </c>
      <c r="AP136" s="404" t="e">
        <f t="shared" ca="1" si="104"/>
        <v>#VALUE!</v>
      </c>
      <c r="AQ136" s="404" t="e">
        <f t="shared" ca="1" si="104"/>
        <v>#VALUE!</v>
      </c>
      <c r="AR136" s="404" t="e">
        <f t="shared" ca="1" si="104"/>
        <v>#VALUE!</v>
      </c>
      <c r="AS136" s="404" t="e">
        <f t="shared" ca="1" si="104"/>
        <v>#VALUE!</v>
      </c>
      <c r="AT136" s="404" t="e">
        <f t="shared" ca="1" si="104"/>
        <v>#VALUE!</v>
      </c>
      <c r="AU136" s="404" t="e">
        <f t="shared" ca="1" si="104"/>
        <v>#VALUE!</v>
      </c>
      <c r="AV136" s="404" t="e">
        <f t="shared" ca="1" si="104"/>
        <v>#VALUE!</v>
      </c>
      <c r="AW136" s="404" t="e">
        <f t="shared" ca="1" si="104"/>
        <v>#VALUE!</v>
      </c>
      <c r="AX136" s="404" t="e">
        <f t="shared" ca="1" si="104"/>
        <v>#VALUE!</v>
      </c>
      <c r="AY136" s="404" t="e">
        <f t="shared" ca="1" si="104"/>
        <v>#VALUE!</v>
      </c>
      <c r="AZ136" s="404" t="e">
        <f t="shared" ca="1" si="104"/>
        <v>#VALUE!</v>
      </c>
      <c r="BA136" s="404" t="e">
        <f t="shared" ca="1" si="104"/>
        <v>#VALUE!</v>
      </c>
      <c r="BB136" s="404" t="e">
        <f t="shared" ca="1" si="104"/>
        <v>#VALUE!</v>
      </c>
      <c r="BC136" s="404" t="e">
        <f t="shared" ca="1" si="104"/>
        <v>#VALUE!</v>
      </c>
      <c r="BD136" s="404" t="e">
        <f t="shared" ca="1" si="104"/>
        <v>#VALUE!</v>
      </c>
      <c r="BE136" s="404" t="e">
        <f t="shared" ca="1" si="104"/>
        <v>#VALUE!</v>
      </c>
      <c r="BF136" s="404" t="e">
        <f t="shared" ca="1" si="104"/>
        <v>#VALUE!</v>
      </c>
      <c r="BG136" s="404" t="e">
        <f t="shared" ca="1" si="104"/>
        <v>#VALUE!</v>
      </c>
      <c r="BH136" s="404" t="e">
        <f t="shared" ca="1" si="104"/>
        <v>#VALUE!</v>
      </c>
      <c r="BI136" s="404" t="e">
        <f t="shared" ca="1" si="104"/>
        <v>#VALUE!</v>
      </c>
      <c r="BJ136" s="404" t="e">
        <f t="shared" ca="1" si="104"/>
        <v>#VALUE!</v>
      </c>
      <c r="BK136" s="404" t="e">
        <f t="shared" ca="1" si="104"/>
        <v>#VALUE!</v>
      </c>
      <c r="BL136" s="404" t="e">
        <f t="shared" ca="1" si="104"/>
        <v>#VALUE!</v>
      </c>
      <c r="BM136" s="404" t="e">
        <f t="shared" ca="1" si="104"/>
        <v>#VALUE!</v>
      </c>
      <c r="BN136" s="404" t="e">
        <f t="shared" ca="1" si="104"/>
        <v>#VALUE!</v>
      </c>
      <c r="BO136" s="404" t="e">
        <f t="shared" ca="1" si="104"/>
        <v>#VALUE!</v>
      </c>
      <c r="BP136" s="404" t="e">
        <f t="shared" ca="1" si="104"/>
        <v>#VALUE!</v>
      </c>
      <c r="BQ136" s="404" t="e">
        <f t="shared" ca="1" si="104"/>
        <v>#VALUE!</v>
      </c>
      <c r="BR136" s="404" t="e">
        <f ca="1">MIN(BR133,BR132)</f>
        <v>#VALUE!</v>
      </c>
    </row>
    <row r="137" spans="1:70" ht="15.75" x14ac:dyDescent="0.3">
      <c r="A137" s="672" t="s">
        <v>1124</v>
      </c>
      <c r="B137" s="402" t="e">
        <f ca="1">SUM(E137:BR137)</f>
        <v>#VALUE!</v>
      </c>
      <c r="C137" s="390" t="s">
        <v>3665</v>
      </c>
      <c r="D137" s="390" t="s">
        <v>2453</v>
      </c>
      <c r="E137" s="404" t="e">
        <f ca="1">E133-E136</f>
        <v>#VALUE!</v>
      </c>
      <c r="F137" s="404" t="e">
        <f t="shared" ref="F137:BQ137" ca="1" si="105">F133-F136</f>
        <v>#VALUE!</v>
      </c>
      <c r="G137" s="404" t="e">
        <f t="shared" ca="1" si="105"/>
        <v>#VALUE!</v>
      </c>
      <c r="H137" s="404" t="e">
        <f t="shared" ca="1" si="105"/>
        <v>#VALUE!</v>
      </c>
      <c r="I137" s="404" t="e">
        <f t="shared" ca="1" si="105"/>
        <v>#VALUE!</v>
      </c>
      <c r="J137" s="404" t="e">
        <f t="shared" ca="1" si="105"/>
        <v>#VALUE!</v>
      </c>
      <c r="K137" s="404" t="e">
        <f t="shared" ca="1" si="105"/>
        <v>#VALUE!</v>
      </c>
      <c r="L137" s="404" t="e">
        <f t="shared" ca="1" si="105"/>
        <v>#VALUE!</v>
      </c>
      <c r="M137" s="404" t="e">
        <f t="shared" ca="1" si="105"/>
        <v>#VALUE!</v>
      </c>
      <c r="N137" s="404" t="e">
        <f t="shared" ca="1" si="105"/>
        <v>#VALUE!</v>
      </c>
      <c r="O137" s="404" t="e">
        <f t="shared" ca="1" si="105"/>
        <v>#VALUE!</v>
      </c>
      <c r="P137" s="404" t="e">
        <f t="shared" ca="1" si="105"/>
        <v>#VALUE!</v>
      </c>
      <c r="Q137" s="404" t="e">
        <f t="shared" ca="1" si="105"/>
        <v>#VALUE!</v>
      </c>
      <c r="R137" s="404" t="e">
        <f t="shared" ca="1" si="105"/>
        <v>#VALUE!</v>
      </c>
      <c r="S137" s="404" t="e">
        <f t="shared" ca="1" si="105"/>
        <v>#VALUE!</v>
      </c>
      <c r="T137" s="404" t="e">
        <f t="shared" ca="1" si="105"/>
        <v>#VALUE!</v>
      </c>
      <c r="U137" s="404" t="e">
        <f t="shared" ca="1" si="105"/>
        <v>#VALUE!</v>
      </c>
      <c r="V137" s="404" t="e">
        <f t="shared" ca="1" si="105"/>
        <v>#VALUE!</v>
      </c>
      <c r="W137" s="404" t="e">
        <f t="shared" ca="1" si="105"/>
        <v>#VALUE!</v>
      </c>
      <c r="X137" s="404" t="e">
        <f t="shared" ca="1" si="105"/>
        <v>#VALUE!</v>
      </c>
      <c r="Y137" s="404" t="e">
        <f t="shared" ca="1" si="105"/>
        <v>#VALUE!</v>
      </c>
      <c r="Z137" s="404" t="e">
        <f t="shared" ca="1" si="105"/>
        <v>#VALUE!</v>
      </c>
      <c r="AA137" s="404" t="e">
        <f t="shared" ca="1" si="105"/>
        <v>#VALUE!</v>
      </c>
      <c r="AB137" s="404" t="e">
        <f t="shared" ca="1" si="105"/>
        <v>#VALUE!</v>
      </c>
      <c r="AC137" s="404" t="e">
        <f t="shared" ca="1" si="105"/>
        <v>#VALUE!</v>
      </c>
      <c r="AD137" s="404" t="e">
        <f t="shared" ca="1" si="105"/>
        <v>#VALUE!</v>
      </c>
      <c r="AE137" s="404" t="e">
        <f t="shared" ca="1" si="105"/>
        <v>#VALUE!</v>
      </c>
      <c r="AF137" s="404" t="e">
        <f t="shared" ca="1" si="105"/>
        <v>#VALUE!</v>
      </c>
      <c r="AG137" s="404" t="e">
        <f t="shared" ca="1" si="105"/>
        <v>#VALUE!</v>
      </c>
      <c r="AH137" s="404" t="e">
        <f t="shared" ca="1" si="105"/>
        <v>#VALUE!</v>
      </c>
      <c r="AI137" s="404" t="e">
        <f t="shared" ca="1" si="105"/>
        <v>#VALUE!</v>
      </c>
      <c r="AJ137" s="404" t="e">
        <f t="shared" ca="1" si="105"/>
        <v>#VALUE!</v>
      </c>
      <c r="AK137" s="404" t="e">
        <f t="shared" ca="1" si="105"/>
        <v>#VALUE!</v>
      </c>
      <c r="AL137" s="404" t="e">
        <f t="shared" ca="1" si="105"/>
        <v>#VALUE!</v>
      </c>
      <c r="AM137" s="404" t="e">
        <f t="shared" ca="1" si="105"/>
        <v>#VALUE!</v>
      </c>
      <c r="AN137" s="404" t="e">
        <f t="shared" ca="1" si="105"/>
        <v>#VALUE!</v>
      </c>
      <c r="AO137" s="404" t="e">
        <f t="shared" ca="1" si="105"/>
        <v>#VALUE!</v>
      </c>
      <c r="AP137" s="404" t="e">
        <f t="shared" ca="1" si="105"/>
        <v>#VALUE!</v>
      </c>
      <c r="AQ137" s="404" t="e">
        <f t="shared" ca="1" si="105"/>
        <v>#VALUE!</v>
      </c>
      <c r="AR137" s="404" t="e">
        <f t="shared" ca="1" si="105"/>
        <v>#VALUE!</v>
      </c>
      <c r="AS137" s="404" t="e">
        <f t="shared" ca="1" si="105"/>
        <v>#VALUE!</v>
      </c>
      <c r="AT137" s="404" t="e">
        <f t="shared" ca="1" si="105"/>
        <v>#VALUE!</v>
      </c>
      <c r="AU137" s="404" t="e">
        <f t="shared" ca="1" si="105"/>
        <v>#VALUE!</v>
      </c>
      <c r="AV137" s="404" t="e">
        <f t="shared" ca="1" si="105"/>
        <v>#VALUE!</v>
      </c>
      <c r="AW137" s="404" t="e">
        <f t="shared" ca="1" si="105"/>
        <v>#VALUE!</v>
      </c>
      <c r="AX137" s="404" t="e">
        <f t="shared" ca="1" si="105"/>
        <v>#VALUE!</v>
      </c>
      <c r="AY137" s="404" t="e">
        <f t="shared" ca="1" si="105"/>
        <v>#VALUE!</v>
      </c>
      <c r="AZ137" s="404" t="e">
        <f t="shared" ca="1" si="105"/>
        <v>#VALUE!</v>
      </c>
      <c r="BA137" s="404" t="e">
        <f t="shared" ca="1" si="105"/>
        <v>#VALUE!</v>
      </c>
      <c r="BB137" s="404" t="e">
        <f t="shared" ca="1" si="105"/>
        <v>#VALUE!</v>
      </c>
      <c r="BC137" s="404" t="e">
        <f t="shared" ca="1" si="105"/>
        <v>#VALUE!</v>
      </c>
      <c r="BD137" s="404" t="e">
        <f t="shared" ca="1" si="105"/>
        <v>#VALUE!</v>
      </c>
      <c r="BE137" s="404" t="e">
        <f t="shared" ca="1" si="105"/>
        <v>#VALUE!</v>
      </c>
      <c r="BF137" s="404" t="e">
        <f t="shared" ca="1" si="105"/>
        <v>#VALUE!</v>
      </c>
      <c r="BG137" s="404" t="e">
        <f t="shared" ca="1" si="105"/>
        <v>#VALUE!</v>
      </c>
      <c r="BH137" s="404" t="e">
        <f t="shared" ca="1" si="105"/>
        <v>#VALUE!</v>
      </c>
      <c r="BI137" s="404" t="e">
        <f t="shared" ca="1" si="105"/>
        <v>#VALUE!</v>
      </c>
      <c r="BJ137" s="404" t="e">
        <f t="shared" ca="1" si="105"/>
        <v>#VALUE!</v>
      </c>
      <c r="BK137" s="404" t="e">
        <f t="shared" ca="1" si="105"/>
        <v>#VALUE!</v>
      </c>
      <c r="BL137" s="404" t="e">
        <f t="shared" ca="1" si="105"/>
        <v>#VALUE!</v>
      </c>
      <c r="BM137" s="404" t="e">
        <f t="shared" ca="1" si="105"/>
        <v>#VALUE!</v>
      </c>
      <c r="BN137" s="404" t="e">
        <f t="shared" ca="1" si="105"/>
        <v>#VALUE!</v>
      </c>
      <c r="BO137" s="404" t="e">
        <f t="shared" ca="1" si="105"/>
        <v>#VALUE!</v>
      </c>
      <c r="BP137" s="404" t="e">
        <f t="shared" ca="1" si="105"/>
        <v>#VALUE!</v>
      </c>
      <c r="BQ137" s="404" t="e">
        <f t="shared" ca="1" si="105"/>
        <v>#VALUE!</v>
      </c>
      <c r="BR137" s="404" t="e">
        <f ca="1">BR133-BR136</f>
        <v>#VALUE!</v>
      </c>
    </row>
    <row r="138" spans="1:70" x14ac:dyDescent="0.2">
      <c r="B138" s="402" t="e">
        <f ca="1">SUM(E138:BR138)</f>
        <v>#VALUE!</v>
      </c>
      <c r="C138" s="390" t="s">
        <v>3666</v>
      </c>
      <c r="D138" s="390" t="s">
        <v>2449</v>
      </c>
      <c r="E138" s="404"/>
      <c r="F138" s="404"/>
      <c r="G138" s="404"/>
      <c r="H138" s="404"/>
      <c r="I138" s="404"/>
      <c r="J138" s="404"/>
      <c r="K138" s="404"/>
      <c r="L138" s="404"/>
      <c r="M138" s="404"/>
      <c r="N138" s="404"/>
      <c r="O138" s="404"/>
      <c r="P138" s="404"/>
      <c r="Q138" s="404"/>
      <c r="R138" s="404"/>
      <c r="S138" s="404"/>
      <c r="T138" s="404"/>
      <c r="U138" s="404"/>
      <c r="V138" s="404"/>
      <c r="W138" s="404"/>
      <c r="X138" s="404"/>
      <c r="Y138" s="404"/>
      <c r="Z138" s="404"/>
      <c r="AA138" s="404"/>
      <c r="AB138" s="404"/>
      <c r="AC138" s="404"/>
      <c r="AD138" s="404" t="e">
        <f ca="1">(AD137=0)*AD7</f>
        <v>#VALUE!</v>
      </c>
      <c r="AE138" s="404" t="e">
        <f t="shared" ref="AE138:BR138" ca="1" si="106">(AE137=0)*AE7</f>
        <v>#VALUE!</v>
      </c>
      <c r="AF138" s="404" t="e">
        <f t="shared" ca="1" si="106"/>
        <v>#VALUE!</v>
      </c>
      <c r="AG138" s="404" t="e">
        <f t="shared" ca="1" si="106"/>
        <v>#VALUE!</v>
      </c>
      <c r="AH138" s="404" t="e">
        <f t="shared" ca="1" si="106"/>
        <v>#VALUE!</v>
      </c>
      <c r="AI138" s="404" t="e">
        <f t="shared" ca="1" si="106"/>
        <v>#VALUE!</v>
      </c>
      <c r="AJ138" s="404" t="e">
        <f t="shared" ca="1" si="106"/>
        <v>#VALUE!</v>
      </c>
      <c r="AK138" s="404" t="e">
        <f t="shared" ca="1" si="106"/>
        <v>#VALUE!</v>
      </c>
      <c r="AL138" s="404" t="e">
        <f t="shared" ca="1" si="106"/>
        <v>#VALUE!</v>
      </c>
      <c r="AM138" s="404" t="e">
        <f t="shared" ca="1" si="106"/>
        <v>#VALUE!</v>
      </c>
      <c r="AN138" s="404" t="e">
        <f t="shared" ca="1" si="106"/>
        <v>#VALUE!</v>
      </c>
      <c r="AO138" s="404" t="e">
        <f t="shared" ca="1" si="106"/>
        <v>#VALUE!</v>
      </c>
      <c r="AP138" s="404" t="e">
        <f t="shared" ca="1" si="106"/>
        <v>#VALUE!</v>
      </c>
      <c r="AQ138" s="404" t="e">
        <f t="shared" ca="1" si="106"/>
        <v>#VALUE!</v>
      </c>
      <c r="AR138" s="404" t="e">
        <f t="shared" ca="1" si="106"/>
        <v>#VALUE!</v>
      </c>
      <c r="AS138" s="404" t="e">
        <f t="shared" ca="1" si="106"/>
        <v>#VALUE!</v>
      </c>
      <c r="AT138" s="404" t="e">
        <f t="shared" ca="1" si="106"/>
        <v>#VALUE!</v>
      </c>
      <c r="AU138" s="404" t="e">
        <f t="shared" ca="1" si="106"/>
        <v>#VALUE!</v>
      </c>
      <c r="AV138" s="404" t="e">
        <f t="shared" ca="1" si="106"/>
        <v>#VALUE!</v>
      </c>
      <c r="AW138" s="404" t="e">
        <f t="shared" ca="1" si="106"/>
        <v>#VALUE!</v>
      </c>
      <c r="AX138" s="404" t="e">
        <f t="shared" ca="1" si="106"/>
        <v>#VALUE!</v>
      </c>
      <c r="AY138" s="404" t="e">
        <f t="shared" ca="1" si="106"/>
        <v>#VALUE!</v>
      </c>
      <c r="AZ138" s="404" t="e">
        <f t="shared" ca="1" si="106"/>
        <v>#VALUE!</v>
      </c>
      <c r="BA138" s="404" t="e">
        <f t="shared" ca="1" si="106"/>
        <v>#VALUE!</v>
      </c>
      <c r="BB138" s="404" t="e">
        <f t="shared" ca="1" si="106"/>
        <v>#VALUE!</v>
      </c>
      <c r="BC138" s="404" t="e">
        <f t="shared" ca="1" si="106"/>
        <v>#VALUE!</v>
      </c>
      <c r="BD138" s="404" t="e">
        <f t="shared" ca="1" si="106"/>
        <v>#VALUE!</v>
      </c>
      <c r="BE138" s="404" t="e">
        <f t="shared" ca="1" si="106"/>
        <v>#VALUE!</v>
      </c>
      <c r="BF138" s="404" t="e">
        <f t="shared" ca="1" si="106"/>
        <v>#VALUE!</v>
      </c>
      <c r="BG138" s="404" t="e">
        <f t="shared" ca="1" si="106"/>
        <v>#VALUE!</v>
      </c>
      <c r="BH138" s="404" t="e">
        <f t="shared" ca="1" si="106"/>
        <v>#VALUE!</v>
      </c>
      <c r="BI138" s="404" t="e">
        <f t="shared" ca="1" si="106"/>
        <v>#VALUE!</v>
      </c>
      <c r="BJ138" s="404" t="e">
        <f t="shared" ca="1" si="106"/>
        <v>#VALUE!</v>
      </c>
      <c r="BK138" s="404" t="e">
        <f t="shared" ca="1" si="106"/>
        <v>#VALUE!</v>
      </c>
      <c r="BL138" s="404" t="e">
        <f t="shared" ca="1" si="106"/>
        <v>#VALUE!</v>
      </c>
      <c r="BM138" s="404" t="e">
        <f t="shared" ca="1" si="106"/>
        <v>#VALUE!</v>
      </c>
      <c r="BN138" s="404" t="e">
        <f t="shared" ca="1" si="106"/>
        <v>#VALUE!</v>
      </c>
      <c r="BO138" s="404" t="e">
        <f t="shared" ca="1" si="106"/>
        <v>#VALUE!</v>
      </c>
      <c r="BP138" s="404" t="e">
        <f t="shared" ca="1" si="106"/>
        <v>#VALUE!</v>
      </c>
      <c r="BQ138" s="404" t="e">
        <f t="shared" ca="1" si="106"/>
        <v>#VALUE!</v>
      </c>
      <c r="BR138" s="404" t="e">
        <f t="shared" ca="1" si="106"/>
        <v>#VALUE!</v>
      </c>
    </row>
    <row r="139" spans="1:70" ht="15.75" x14ac:dyDescent="0.3">
      <c r="A139" s="672" t="s">
        <v>1124</v>
      </c>
      <c r="B139" s="411" t="e">
        <f ca="1">B137/B138</f>
        <v>#VALUE!</v>
      </c>
      <c r="C139" s="390" t="s">
        <v>3650</v>
      </c>
      <c r="D139" s="390" t="s">
        <v>2454</v>
      </c>
      <c r="E139" s="404"/>
      <c r="F139" s="404"/>
      <c r="G139" s="404"/>
      <c r="H139" s="404"/>
      <c r="I139" s="404"/>
      <c r="J139" s="404"/>
      <c r="K139" s="404"/>
      <c r="L139" s="404"/>
      <c r="M139" s="404"/>
      <c r="N139" s="404"/>
      <c r="O139" s="404"/>
      <c r="P139" s="404"/>
      <c r="Q139" s="404"/>
      <c r="R139" s="404"/>
      <c r="S139" s="404"/>
      <c r="T139" s="404"/>
      <c r="U139" s="404"/>
      <c r="V139" s="404"/>
      <c r="W139" s="404"/>
      <c r="X139" s="404"/>
      <c r="Y139" s="404"/>
      <c r="Z139" s="404"/>
      <c r="AA139" s="404"/>
      <c r="AB139" s="404"/>
      <c r="AC139" s="404"/>
    </row>
    <row r="140" spans="1:70" ht="15.75" x14ac:dyDescent="0.3">
      <c r="A140" s="672" t="s">
        <v>1124</v>
      </c>
      <c r="B140" s="402" t="e">
        <f ca="1">SUM(E140:BR140)</f>
        <v>#VALUE!</v>
      </c>
      <c r="C140" s="390" t="s">
        <v>3665</v>
      </c>
      <c r="D140" s="390" t="s">
        <v>2451</v>
      </c>
      <c r="E140" s="404"/>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t="e">
        <f t="shared" ref="AD140:BR140" ca="1" si="107">AD138*Phi_S_Ü</f>
        <v>#VALUE!</v>
      </c>
      <c r="AE140" s="404" t="e">
        <f t="shared" ca="1" si="107"/>
        <v>#VALUE!</v>
      </c>
      <c r="AF140" s="404" t="e">
        <f t="shared" ca="1" si="107"/>
        <v>#VALUE!</v>
      </c>
      <c r="AG140" s="404" t="e">
        <f t="shared" ca="1" si="107"/>
        <v>#VALUE!</v>
      </c>
      <c r="AH140" s="404" t="e">
        <f t="shared" ca="1" si="107"/>
        <v>#VALUE!</v>
      </c>
      <c r="AI140" s="404" t="e">
        <f t="shared" ca="1" si="107"/>
        <v>#VALUE!</v>
      </c>
      <c r="AJ140" s="404" t="e">
        <f t="shared" ca="1" si="107"/>
        <v>#VALUE!</v>
      </c>
      <c r="AK140" s="404" t="e">
        <f t="shared" ca="1" si="107"/>
        <v>#VALUE!</v>
      </c>
      <c r="AL140" s="404" t="e">
        <f t="shared" ca="1" si="107"/>
        <v>#VALUE!</v>
      </c>
      <c r="AM140" s="404" t="e">
        <f t="shared" ca="1" si="107"/>
        <v>#VALUE!</v>
      </c>
      <c r="AN140" s="404" t="e">
        <f t="shared" ca="1" si="107"/>
        <v>#VALUE!</v>
      </c>
      <c r="AO140" s="404" t="e">
        <f t="shared" ca="1" si="107"/>
        <v>#VALUE!</v>
      </c>
      <c r="AP140" s="404" t="e">
        <f t="shared" ca="1" si="107"/>
        <v>#VALUE!</v>
      </c>
      <c r="AQ140" s="404" t="e">
        <f t="shared" ca="1" si="107"/>
        <v>#VALUE!</v>
      </c>
      <c r="AR140" s="404" t="e">
        <f t="shared" ca="1" si="107"/>
        <v>#VALUE!</v>
      </c>
      <c r="AS140" s="404" t="e">
        <f t="shared" ca="1" si="107"/>
        <v>#VALUE!</v>
      </c>
      <c r="AT140" s="404" t="e">
        <f t="shared" ca="1" si="107"/>
        <v>#VALUE!</v>
      </c>
      <c r="AU140" s="404" t="e">
        <f t="shared" ca="1" si="107"/>
        <v>#VALUE!</v>
      </c>
      <c r="AV140" s="404" t="e">
        <f t="shared" ca="1" si="107"/>
        <v>#VALUE!</v>
      </c>
      <c r="AW140" s="404" t="e">
        <f t="shared" ca="1" si="107"/>
        <v>#VALUE!</v>
      </c>
      <c r="AX140" s="404" t="e">
        <f t="shared" ca="1" si="107"/>
        <v>#VALUE!</v>
      </c>
      <c r="AY140" s="404" t="e">
        <f t="shared" ca="1" si="107"/>
        <v>#VALUE!</v>
      </c>
      <c r="AZ140" s="404" t="e">
        <f t="shared" ca="1" si="107"/>
        <v>#VALUE!</v>
      </c>
      <c r="BA140" s="404" t="e">
        <f t="shared" ca="1" si="107"/>
        <v>#VALUE!</v>
      </c>
      <c r="BB140" s="404" t="e">
        <f t="shared" ca="1" si="107"/>
        <v>#VALUE!</v>
      </c>
      <c r="BC140" s="404" t="e">
        <f t="shared" ca="1" si="107"/>
        <v>#VALUE!</v>
      </c>
      <c r="BD140" s="404" t="e">
        <f t="shared" ca="1" si="107"/>
        <v>#VALUE!</v>
      </c>
      <c r="BE140" s="404" t="e">
        <f t="shared" ca="1" si="107"/>
        <v>#VALUE!</v>
      </c>
      <c r="BF140" s="404" t="e">
        <f t="shared" ca="1" si="107"/>
        <v>#VALUE!</v>
      </c>
      <c r="BG140" s="404" t="e">
        <f t="shared" ca="1" si="107"/>
        <v>#VALUE!</v>
      </c>
      <c r="BH140" s="404" t="e">
        <f t="shared" ca="1" si="107"/>
        <v>#VALUE!</v>
      </c>
      <c r="BI140" s="404" t="e">
        <f t="shared" ca="1" si="107"/>
        <v>#VALUE!</v>
      </c>
      <c r="BJ140" s="404" t="e">
        <f t="shared" ca="1" si="107"/>
        <v>#VALUE!</v>
      </c>
      <c r="BK140" s="404" t="e">
        <f t="shared" ca="1" si="107"/>
        <v>#VALUE!</v>
      </c>
      <c r="BL140" s="404" t="e">
        <f t="shared" ca="1" si="107"/>
        <v>#VALUE!</v>
      </c>
      <c r="BM140" s="404" t="e">
        <f t="shared" ca="1" si="107"/>
        <v>#VALUE!</v>
      </c>
      <c r="BN140" s="404" t="e">
        <f t="shared" ca="1" si="107"/>
        <v>#VALUE!</v>
      </c>
      <c r="BO140" s="404" t="e">
        <f t="shared" ca="1" si="107"/>
        <v>#VALUE!</v>
      </c>
      <c r="BP140" s="404" t="e">
        <f t="shared" ca="1" si="107"/>
        <v>#VALUE!</v>
      </c>
      <c r="BQ140" s="404" t="e">
        <f t="shared" ca="1" si="107"/>
        <v>#VALUE!</v>
      </c>
      <c r="BR140" s="404" t="e">
        <f t="shared" ca="1" si="107"/>
        <v>#VALUE!</v>
      </c>
    </row>
    <row r="141" spans="1:70" ht="15.75" x14ac:dyDescent="0.3">
      <c r="A141" s="675" t="s">
        <v>1125</v>
      </c>
      <c r="B141" s="402" t="e">
        <f ca="1">SUM(E141:BR141)</f>
        <v>#VALUE!</v>
      </c>
      <c r="C141" s="390" t="s">
        <v>3665</v>
      </c>
      <c r="D141" s="390" t="s">
        <v>466</v>
      </c>
      <c r="E141" s="404"/>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t="e">
        <f ca="1">MIN(AD133+AD140,AD132)</f>
        <v>#VALUE!</v>
      </c>
      <c r="AE141" s="404" t="e">
        <f t="shared" ref="AE141:BR141" ca="1" si="108">MIN(AE133+AE140,AE132)</f>
        <v>#VALUE!</v>
      </c>
      <c r="AF141" s="404" t="e">
        <f t="shared" ca="1" si="108"/>
        <v>#VALUE!</v>
      </c>
      <c r="AG141" s="404" t="e">
        <f t="shared" ca="1" si="108"/>
        <v>#VALUE!</v>
      </c>
      <c r="AH141" s="404" t="e">
        <f t="shared" ca="1" si="108"/>
        <v>#VALUE!</v>
      </c>
      <c r="AI141" s="404" t="e">
        <f t="shared" ca="1" si="108"/>
        <v>#VALUE!</v>
      </c>
      <c r="AJ141" s="404" t="e">
        <f t="shared" ca="1" si="108"/>
        <v>#VALUE!</v>
      </c>
      <c r="AK141" s="404" t="e">
        <f t="shared" ca="1" si="108"/>
        <v>#VALUE!</v>
      </c>
      <c r="AL141" s="404" t="e">
        <f t="shared" ca="1" si="108"/>
        <v>#VALUE!</v>
      </c>
      <c r="AM141" s="404" t="e">
        <f t="shared" ca="1" si="108"/>
        <v>#VALUE!</v>
      </c>
      <c r="AN141" s="404" t="e">
        <f t="shared" ca="1" si="108"/>
        <v>#VALUE!</v>
      </c>
      <c r="AO141" s="404" t="e">
        <f t="shared" ca="1" si="108"/>
        <v>#VALUE!</v>
      </c>
      <c r="AP141" s="404" t="e">
        <f t="shared" ca="1" si="108"/>
        <v>#VALUE!</v>
      </c>
      <c r="AQ141" s="404" t="e">
        <f t="shared" ca="1" si="108"/>
        <v>#VALUE!</v>
      </c>
      <c r="AR141" s="404" t="e">
        <f t="shared" ca="1" si="108"/>
        <v>#VALUE!</v>
      </c>
      <c r="AS141" s="404" t="e">
        <f t="shared" ca="1" si="108"/>
        <v>#VALUE!</v>
      </c>
      <c r="AT141" s="404" t="e">
        <f t="shared" ca="1" si="108"/>
        <v>#VALUE!</v>
      </c>
      <c r="AU141" s="404" t="e">
        <f t="shared" ca="1" si="108"/>
        <v>#VALUE!</v>
      </c>
      <c r="AV141" s="404" t="e">
        <f t="shared" ca="1" si="108"/>
        <v>#VALUE!</v>
      </c>
      <c r="AW141" s="404" t="e">
        <f t="shared" ca="1" si="108"/>
        <v>#VALUE!</v>
      </c>
      <c r="AX141" s="404" t="e">
        <f t="shared" ca="1" si="108"/>
        <v>#VALUE!</v>
      </c>
      <c r="AY141" s="404" t="e">
        <f t="shared" ca="1" si="108"/>
        <v>#VALUE!</v>
      </c>
      <c r="AZ141" s="404" t="e">
        <f t="shared" ca="1" si="108"/>
        <v>#VALUE!</v>
      </c>
      <c r="BA141" s="404" t="e">
        <f t="shared" ca="1" si="108"/>
        <v>#VALUE!</v>
      </c>
      <c r="BB141" s="404" t="e">
        <f t="shared" ca="1" si="108"/>
        <v>#VALUE!</v>
      </c>
      <c r="BC141" s="404" t="e">
        <f t="shared" ca="1" si="108"/>
        <v>#VALUE!</v>
      </c>
      <c r="BD141" s="404" t="e">
        <f t="shared" ca="1" si="108"/>
        <v>#VALUE!</v>
      </c>
      <c r="BE141" s="404" t="e">
        <f t="shared" ca="1" si="108"/>
        <v>#VALUE!</v>
      </c>
      <c r="BF141" s="404" t="e">
        <f t="shared" ca="1" si="108"/>
        <v>#VALUE!</v>
      </c>
      <c r="BG141" s="404" t="e">
        <f t="shared" ca="1" si="108"/>
        <v>#VALUE!</v>
      </c>
      <c r="BH141" s="404" t="e">
        <f t="shared" ca="1" si="108"/>
        <v>#VALUE!</v>
      </c>
      <c r="BI141" s="404" t="e">
        <f t="shared" ca="1" si="108"/>
        <v>#VALUE!</v>
      </c>
      <c r="BJ141" s="404" t="e">
        <f t="shared" ca="1" si="108"/>
        <v>#VALUE!</v>
      </c>
      <c r="BK141" s="404" t="e">
        <f t="shared" ca="1" si="108"/>
        <v>#VALUE!</v>
      </c>
      <c r="BL141" s="404" t="e">
        <f t="shared" ca="1" si="108"/>
        <v>#VALUE!</v>
      </c>
      <c r="BM141" s="404" t="e">
        <f t="shared" ca="1" si="108"/>
        <v>#VALUE!</v>
      </c>
      <c r="BN141" s="404" t="e">
        <f t="shared" ca="1" si="108"/>
        <v>#VALUE!</v>
      </c>
      <c r="BO141" s="404" t="e">
        <f t="shared" ca="1" si="108"/>
        <v>#VALUE!</v>
      </c>
      <c r="BP141" s="404" t="e">
        <f t="shared" ca="1" si="108"/>
        <v>#VALUE!</v>
      </c>
      <c r="BQ141" s="404" t="e">
        <f t="shared" ca="1" si="108"/>
        <v>#VALUE!</v>
      </c>
      <c r="BR141" s="404" t="e">
        <f t="shared" ca="1" si="108"/>
        <v>#VALUE!</v>
      </c>
    </row>
    <row r="142" spans="1:70" ht="15.75" x14ac:dyDescent="0.3">
      <c r="A142" s="672" t="s">
        <v>1126</v>
      </c>
      <c r="B142" s="402" t="e">
        <f ca="1">SUM(E142:BR142)</f>
        <v>#VALUE!</v>
      </c>
      <c r="C142" s="390" t="s">
        <v>3665</v>
      </c>
      <c r="D142" s="390" t="s">
        <v>467</v>
      </c>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t="e">
        <f ca="1">MAX(0,AD140-(AD132-AD136))</f>
        <v>#VALUE!</v>
      </c>
      <c r="AE142" s="404" t="e">
        <f t="shared" ref="AE142:BR142" ca="1" si="109">MAX(0,AE140-(AE132-AE136))</f>
        <v>#VALUE!</v>
      </c>
      <c r="AF142" s="404" t="e">
        <f t="shared" ca="1" si="109"/>
        <v>#VALUE!</v>
      </c>
      <c r="AG142" s="404" t="e">
        <f t="shared" ca="1" si="109"/>
        <v>#VALUE!</v>
      </c>
      <c r="AH142" s="404" t="e">
        <f t="shared" ca="1" si="109"/>
        <v>#VALUE!</v>
      </c>
      <c r="AI142" s="404" t="e">
        <f t="shared" ca="1" si="109"/>
        <v>#VALUE!</v>
      </c>
      <c r="AJ142" s="404" t="e">
        <f t="shared" ca="1" si="109"/>
        <v>#VALUE!</v>
      </c>
      <c r="AK142" s="404" t="e">
        <f t="shared" ca="1" si="109"/>
        <v>#VALUE!</v>
      </c>
      <c r="AL142" s="404" t="e">
        <f t="shared" ca="1" si="109"/>
        <v>#VALUE!</v>
      </c>
      <c r="AM142" s="404" t="e">
        <f t="shared" ca="1" si="109"/>
        <v>#VALUE!</v>
      </c>
      <c r="AN142" s="404" t="e">
        <f t="shared" ca="1" si="109"/>
        <v>#VALUE!</v>
      </c>
      <c r="AO142" s="404" t="e">
        <f t="shared" ca="1" si="109"/>
        <v>#VALUE!</v>
      </c>
      <c r="AP142" s="404" t="e">
        <f t="shared" ca="1" si="109"/>
        <v>#VALUE!</v>
      </c>
      <c r="AQ142" s="404" t="e">
        <f t="shared" ca="1" si="109"/>
        <v>#VALUE!</v>
      </c>
      <c r="AR142" s="404" t="e">
        <f t="shared" ca="1" si="109"/>
        <v>#VALUE!</v>
      </c>
      <c r="AS142" s="404" t="e">
        <f t="shared" ca="1" si="109"/>
        <v>#VALUE!</v>
      </c>
      <c r="AT142" s="404" t="e">
        <f t="shared" ca="1" si="109"/>
        <v>#VALUE!</v>
      </c>
      <c r="AU142" s="404" t="e">
        <f t="shared" ca="1" si="109"/>
        <v>#VALUE!</v>
      </c>
      <c r="AV142" s="404" t="e">
        <f t="shared" ca="1" si="109"/>
        <v>#VALUE!</v>
      </c>
      <c r="AW142" s="404" t="e">
        <f t="shared" ca="1" si="109"/>
        <v>#VALUE!</v>
      </c>
      <c r="AX142" s="404" t="e">
        <f t="shared" ca="1" si="109"/>
        <v>#VALUE!</v>
      </c>
      <c r="AY142" s="404" t="e">
        <f t="shared" ca="1" si="109"/>
        <v>#VALUE!</v>
      </c>
      <c r="AZ142" s="404" t="e">
        <f t="shared" ca="1" si="109"/>
        <v>#VALUE!</v>
      </c>
      <c r="BA142" s="404" t="e">
        <f t="shared" ca="1" si="109"/>
        <v>#VALUE!</v>
      </c>
      <c r="BB142" s="404" t="e">
        <f t="shared" ca="1" si="109"/>
        <v>#VALUE!</v>
      </c>
      <c r="BC142" s="404" t="e">
        <f t="shared" ca="1" si="109"/>
        <v>#VALUE!</v>
      </c>
      <c r="BD142" s="404" t="e">
        <f t="shared" ca="1" si="109"/>
        <v>#VALUE!</v>
      </c>
      <c r="BE142" s="404" t="e">
        <f t="shared" ca="1" si="109"/>
        <v>#VALUE!</v>
      </c>
      <c r="BF142" s="404" t="e">
        <f t="shared" ca="1" si="109"/>
        <v>#VALUE!</v>
      </c>
      <c r="BG142" s="404" t="e">
        <f t="shared" ca="1" si="109"/>
        <v>#VALUE!</v>
      </c>
      <c r="BH142" s="404" t="e">
        <f t="shared" ca="1" si="109"/>
        <v>#VALUE!</v>
      </c>
      <c r="BI142" s="404" t="e">
        <f t="shared" ca="1" si="109"/>
        <v>#VALUE!</v>
      </c>
      <c r="BJ142" s="404" t="e">
        <f t="shared" ca="1" si="109"/>
        <v>#VALUE!</v>
      </c>
      <c r="BK142" s="404" t="e">
        <f t="shared" ca="1" si="109"/>
        <v>#VALUE!</v>
      </c>
      <c r="BL142" s="404" t="e">
        <f t="shared" ca="1" si="109"/>
        <v>#VALUE!</v>
      </c>
      <c r="BM142" s="404" t="e">
        <f t="shared" ca="1" si="109"/>
        <v>#VALUE!</v>
      </c>
      <c r="BN142" s="404" t="e">
        <f t="shared" ca="1" si="109"/>
        <v>#VALUE!</v>
      </c>
      <c r="BO142" s="404" t="e">
        <f t="shared" ca="1" si="109"/>
        <v>#VALUE!</v>
      </c>
      <c r="BP142" s="404" t="e">
        <f t="shared" ca="1" si="109"/>
        <v>#VALUE!</v>
      </c>
      <c r="BQ142" s="404" t="e">
        <f t="shared" ca="1" si="109"/>
        <v>#VALUE!</v>
      </c>
      <c r="BR142" s="404" t="e">
        <f t="shared" ca="1" si="109"/>
        <v>#VALUE!</v>
      </c>
    </row>
    <row r="143" spans="1:70" x14ac:dyDescent="0.2">
      <c r="B143" s="402" t="e">
        <f ca="1">SUM(E143:BR143)</f>
        <v>#VALUE!</v>
      </c>
      <c r="C143" s="390" t="s">
        <v>3666</v>
      </c>
      <c r="D143" s="390" t="s">
        <v>468</v>
      </c>
      <c r="E143" s="404" t="e">
        <f ca="1">(E137=0)*E7</f>
        <v>#VALUE!</v>
      </c>
      <c r="F143" s="404" t="e">
        <f t="shared" ref="F143:AC143" ca="1" si="110">(F137=0)*F7</f>
        <v>#VALUE!</v>
      </c>
      <c r="G143" s="404" t="e">
        <f t="shared" ca="1" si="110"/>
        <v>#VALUE!</v>
      </c>
      <c r="H143" s="404" t="e">
        <f t="shared" ca="1" si="110"/>
        <v>#VALUE!</v>
      </c>
      <c r="I143" s="404" t="e">
        <f t="shared" ca="1" si="110"/>
        <v>#VALUE!</v>
      </c>
      <c r="J143" s="404" t="e">
        <f t="shared" ca="1" si="110"/>
        <v>#VALUE!</v>
      </c>
      <c r="K143" s="404" t="e">
        <f t="shared" ca="1" si="110"/>
        <v>#VALUE!</v>
      </c>
      <c r="L143" s="404" t="e">
        <f t="shared" ca="1" si="110"/>
        <v>#VALUE!</v>
      </c>
      <c r="M143" s="404" t="e">
        <f t="shared" ca="1" si="110"/>
        <v>#VALUE!</v>
      </c>
      <c r="N143" s="404" t="e">
        <f t="shared" ca="1" si="110"/>
        <v>#VALUE!</v>
      </c>
      <c r="O143" s="404" t="e">
        <f t="shared" ca="1" si="110"/>
        <v>#VALUE!</v>
      </c>
      <c r="P143" s="404" t="e">
        <f t="shared" ca="1" si="110"/>
        <v>#VALUE!</v>
      </c>
      <c r="Q143" s="404" t="e">
        <f t="shared" ca="1" si="110"/>
        <v>#VALUE!</v>
      </c>
      <c r="R143" s="404" t="e">
        <f t="shared" ca="1" si="110"/>
        <v>#VALUE!</v>
      </c>
      <c r="S143" s="404" t="e">
        <f t="shared" ca="1" si="110"/>
        <v>#VALUE!</v>
      </c>
      <c r="T143" s="404" t="e">
        <f t="shared" ca="1" si="110"/>
        <v>#VALUE!</v>
      </c>
      <c r="U143" s="404" t="e">
        <f t="shared" ca="1" si="110"/>
        <v>#VALUE!</v>
      </c>
      <c r="V143" s="404" t="e">
        <f t="shared" ca="1" si="110"/>
        <v>#VALUE!</v>
      </c>
      <c r="W143" s="404" t="e">
        <f t="shared" ca="1" si="110"/>
        <v>#VALUE!</v>
      </c>
      <c r="X143" s="404" t="e">
        <f t="shared" ca="1" si="110"/>
        <v>#VALUE!</v>
      </c>
      <c r="Y143" s="404" t="e">
        <f t="shared" ca="1" si="110"/>
        <v>#VALUE!</v>
      </c>
      <c r="Z143" s="404" t="e">
        <f t="shared" ca="1" si="110"/>
        <v>#VALUE!</v>
      </c>
      <c r="AA143" s="404" t="e">
        <f t="shared" ca="1" si="110"/>
        <v>#VALUE!</v>
      </c>
      <c r="AB143" s="404" t="e">
        <f t="shared" ca="1" si="110"/>
        <v>#VALUE!</v>
      </c>
      <c r="AC143" s="404" t="e">
        <f t="shared" ca="1" si="110"/>
        <v>#VALUE!</v>
      </c>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row>
    <row r="144" spans="1:70" ht="15.75" x14ac:dyDescent="0.3">
      <c r="A144" s="672" t="s">
        <v>1126</v>
      </c>
      <c r="B144" s="411" t="e">
        <f ca="1">B142/B143</f>
        <v>#VALUE!</v>
      </c>
      <c r="C144" s="390" t="s">
        <v>3650</v>
      </c>
      <c r="D144" s="390" t="s">
        <v>278</v>
      </c>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row>
    <row r="145" spans="1:70" ht="15.75" x14ac:dyDescent="0.3">
      <c r="A145" s="672" t="s">
        <v>1126</v>
      </c>
      <c r="B145" s="402" t="e">
        <f ca="1">SUM(E145:BR145)</f>
        <v>#VALUE!</v>
      </c>
      <c r="C145" s="390" t="s">
        <v>3665</v>
      </c>
      <c r="D145" s="390" t="s">
        <v>2451</v>
      </c>
      <c r="E145" s="404" t="e">
        <f t="shared" ref="E145:AC145" ca="1" si="111">Phi_S_Ü2*E143</f>
        <v>#VALUE!</v>
      </c>
      <c r="F145" s="404" t="e">
        <f t="shared" ca="1" si="111"/>
        <v>#VALUE!</v>
      </c>
      <c r="G145" s="404" t="e">
        <f t="shared" ca="1" si="111"/>
        <v>#VALUE!</v>
      </c>
      <c r="H145" s="404" t="e">
        <f t="shared" ca="1" si="111"/>
        <v>#VALUE!</v>
      </c>
      <c r="I145" s="404" t="e">
        <f t="shared" ca="1" si="111"/>
        <v>#VALUE!</v>
      </c>
      <c r="J145" s="404" t="e">
        <f t="shared" ca="1" si="111"/>
        <v>#VALUE!</v>
      </c>
      <c r="K145" s="404" t="e">
        <f t="shared" ca="1" si="111"/>
        <v>#VALUE!</v>
      </c>
      <c r="L145" s="404" t="e">
        <f t="shared" ca="1" si="111"/>
        <v>#VALUE!</v>
      </c>
      <c r="M145" s="404" t="e">
        <f t="shared" ca="1" si="111"/>
        <v>#VALUE!</v>
      </c>
      <c r="N145" s="404" t="e">
        <f t="shared" ca="1" si="111"/>
        <v>#VALUE!</v>
      </c>
      <c r="O145" s="404" t="e">
        <f t="shared" ca="1" si="111"/>
        <v>#VALUE!</v>
      </c>
      <c r="P145" s="404" t="e">
        <f t="shared" ca="1" si="111"/>
        <v>#VALUE!</v>
      </c>
      <c r="Q145" s="404" t="e">
        <f t="shared" ca="1" si="111"/>
        <v>#VALUE!</v>
      </c>
      <c r="R145" s="404" t="e">
        <f t="shared" ca="1" si="111"/>
        <v>#VALUE!</v>
      </c>
      <c r="S145" s="404" t="e">
        <f t="shared" ca="1" si="111"/>
        <v>#VALUE!</v>
      </c>
      <c r="T145" s="404" t="e">
        <f t="shared" ca="1" si="111"/>
        <v>#VALUE!</v>
      </c>
      <c r="U145" s="404" t="e">
        <f t="shared" ca="1" si="111"/>
        <v>#VALUE!</v>
      </c>
      <c r="V145" s="404" t="e">
        <f t="shared" ca="1" si="111"/>
        <v>#VALUE!</v>
      </c>
      <c r="W145" s="404" t="e">
        <f t="shared" ca="1" si="111"/>
        <v>#VALUE!</v>
      </c>
      <c r="X145" s="404" t="e">
        <f t="shared" ca="1" si="111"/>
        <v>#VALUE!</v>
      </c>
      <c r="Y145" s="404" t="e">
        <f t="shared" ca="1" si="111"/>
        <v>#VALUE!</v>
      </c>
      <c r="Z145" s="404" t="e">
        <f t="shared" ca="1" si="111"/>
        <v>#VALUE!</v>
      </c>
      <c r="AA145" s="404" t="e">
        <f t="shared" ca="1" si="111"/>
        <v>#VALUE!</v>
      </c>
      <c r="AB145" s="404" t="e">
        <f t="shared" ca="1" si="111"/>
        <v>#VALUE!</v>
      </c>
      <c r="AC145" s="404" t="e">
        <f t="shared" ca="1" si="111"/>
        <v>#VALUE!</v>
      </c>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row>
    <row r="146" spans="1:70" ht="15.75" x14ac:dyDescent="0.3">
      <c r="A146" s="675" t="s">
        <v>1125</v>
      </c>
      <c r="B146" s="402"/>
      <c r="D146" s="390" t="s">
        <v>2893</v>
      </c>
      <c r="E146" s="404" t="e">
        <f t="shared" ref="E146:AC146" ca="1" si="112">MIN(E133+E145,E132)</f>
        <v>#VALUE!</v>
      </c>
      <c r="F146" s="404" t="e">
        <f t="shared" ca="1" si="112"/>
        <v>#VALUE!</v>
      </c>
      <c r="G146" s="404" t="e">
        <f t="shared" ca="1" si="112"/>
        <v>#VALUE!</v>
      </c>
      <c r="H146" s="404" t="e">
        <f t="shared" ca="1" si="112"/>
        <v>#VALUE!</v>
      </c>
      <c r="I146" s="404" t="e">
        <f t="shared" ca="1" si="112"/>
        <v>#VALUE!</v>
      </c>
      <c r="J146" s="404" t="e">
        <f t="shared" ca="1" si="112"/>
        <v>#VALUE!</v>
      </c>
      <c r="K146" s="404" t="e">
        <f t="shared" ca="1" si="112"/>
        <v>#VALUE!</v>
      </c>
      <c r="L146" s="404" t="e">
        <f t="shared" ca="1" si="112"/>
        <v>#VALUE!</v>
      </c>
      <c r="M146" s="404" t="e">
        <f t="shared" ca="1" si="112"/>
        <v>#VALUE!</v>
      </c>
      <c r="N146" s="404" t="e">
        <f t="shared" ca="1" si="112"/>
        <v>#VALUE!</v>
      </c>
      <c r="O146" s="404" t="e">
        <f t="shared" ca="1" si="112"/>
        <v>#VALUE!</v>
      </c>
      <c r="P146" s="404" t="e">
        <f t="shared" ca="1" si="112"/>
        <v>#VALUE!</v>
      </c>
      <c r="Q146" s="404" t="e">
        <f t="shared" ca="1" si="112"/>
        <v>#VALUE!</v>
      </c>
      <c r="R146" s="404" t="e">
        <f t="shared" ca="1" si="112"/>
        <v>#VALUE!</v>
      </c>
      <c r="S146" s="404" t="e">
        <f t="shared" ca="1" si="112"/>
        <v>#VALUE!</v>
      </c>
      <c r="T146" s="404" t="e">
        <f t="shared" ca="1" si="112"/>
        <v>#VALUE!</v>
      </c>
      <c r="U146" s="404" t="e">
        <f t="shared" ca="1" si="112"/>
        <v>#VALUE!</v>
      </c>
      <c r="V146" s="404" t="e">
        <f t="shared" ca="1" si="112"/>
        <v>#VALUE!</v>
      </c>
      <c r="W146" s="404" t="e">
        <f t="shared" ca="1" si="112"/>
        <v>#VALUE!</v>
      </c>
      <c r="X146" s="404" t="e">
        <f t="shared" ca="1" si="112"/>
        <v>#VALUE!</v>
      </c>
      <c r="Y146" s="404" t="e">
        <f t="shared" ca="1" si="112"/>
        <v>#VALUE!</v>
      </c>
      <c r="Z146" s="404" t="e">
        <f t="shared" ca="1" si="112"/>
        <v>#VALUE!</v>
      </c>
      <c r="AA146" s="404" t="e">
        <f t="shared" ca="1" si="112"/>
        <v>#VALUE!</v>
      </c>
      <c r="AB146" s="404" t="e">
        <f t="shared" ca="1" si="112"/>
        <v>#VALUE!</v>
      </c>
      <c r="AC146" s="404" t="e">
        <f t="shared" ca="1" si="112"/>
        <v>#VALUE!</v>
      </c>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row>
    <row r="147" spans="1:70" ht="15.75" x14ac:dyDescent="0.3">
      <c r="A147" s="675" t="s">
        <v>1125</v>
      </c>
      <c r="B147" s="677" t="e">
        <f ca="1">SUM(E147:BR147)</f>
        <v>#VALUE!</v>
      </c>
      <c r="C147" s="390" t="s">
        <v>3665</v>
      </c>
      <c r="D147" s="390" t="s">
        <v>2894</v>
      </c>
      <c r="E147" s="404" t="e">
        <f t="shared" ref="E147:AJ147" ca="1" si="113">E146+E141</f>
        <v>#VALUE!</v>
      </c>
      <c r="F147" s="404" t="e">
        <f t="shared" ca="1" si="113"/>
        <v>#VALUE!</v>
      </c>
      <c r="G147" s="404" t="e">
        <f t="shared" ca="1" si="113"/>
        <v>#VALUE!</v>
      </c>
      <c r="H147" s="404" t="e">
        <f t="shared" ca="1" si="113"/>
        <v>#VALUE!</v>
      </c>
      <c r="I147" s="404" t="e">
        <f t="shared" ca="1" si="113"/>
        <v>#VALUE!</v>
      </c>
      <c r="J147" s="404" t="e">
        <f t="shared" ca="1" si="113"/>
        <v>#VALUE!</v>
      </c>
      <c r="K147" s="404" t="e">
        <f t="shared" ca="1" si="113"/>
        <v>#VALUE!</v>
      </c>
      <c r="L147" s="404" t="e">
        <f t="shared" ca="1" si="113"/>
        <v>#VALUE!</v>
      </c>
      <c r="M147" s="404" t="e">
        <f t="shared" ca="1" si="113"/>
        <v>#VALUE!</v>
      </c>
      <c r="N147" s="404" t="e">
        <f t="shared" ca="1" si="113"/>
        <v>#VALUE!</v>
      </c>
      <c r="O147" s="404" t="e">
        <f t="shared" ca="1" si="113"/>
        <v>#VALUE!</v>
      </c>
      <c r="P147" s="404" t="e">
        <f t="shared" ca="1" si="113"/>
        <v>#VALUE!</v>
      </c>
      <c r="Q147" s="404" t="e">
        <f t="shared" ca="1" si="113"/>
        <v>#VALUE!</v>
      </c>
      <c r="R147" s="404" t="e">
        <f t="shared" ca="1" si="113"/>
        <v>#VALUE!</v>
      </c>
      <c r="S147" s="404" t="e">
        <f t="shared" ca="1" si="113"/>
        <v>#VALUE!</v>
      </c>
      <c r="T147" s="404" t="e">
        <f t="shared" ca="1" si="113"/>
        <v>#VALUE!</v>
      </c>
      <c r="U147" s="404" t="e">
        <f t="shared" ca="1" si="113"/>
        <v>#VALUE!</v>
      </c>
      <c r="V147" s="404" t="e">
        <f t="shared" ca="1" si="113"/>
        <v>#VALUE!</v>
      </c>
      <c r="W147" s="404" t="e">
        <f t="shared" ca="1" si="113"/>
        <v>#VALUE!</v>
      </c>
      <c r="X147" s="404" t="e">
        <f t="shared" ca="1" si="113"/>
        <v>#VALUE!</v>
      </c>
      <c r="Y147" s="404" t="e">
        <f t="shared" ca="1" si="113"/>
        <v>#VALUE!</v>
      </c>
      <c r="Z147" s="404" t="e">
        <f t="shared" ca="1" si="113"/>
        <v>#VALUE!</v>
      </c>
      <c r="AA147" s="404" t="e">
        <f t="shared" ca="1" si="113"/>
        <v>#VALUE!</v>
      </c>
      <c r="AB147" s="404" t="e">
        <f t="shared" ca="1" si="113"/>
        <v>#VALUE!</v>
      </c>
      <c r="AC147" s="404" t="e">
        <f t="shared" ca="1" si="113"/>
        <v>#VALUE!</v>
      </c>
      <c r="AD147" s="404" t="e">
        <f t="shared" ca="1" si="113"/>
        <v>#VALUE!</v>
      </c>
      <c r="AE147" s="404" t="e">
        <f t="shared" ca="1" si="113"/>
        <v>#VALUE!</v>
      </c>
      <c r="AF147" s="404" t="e">
        <f t="shared" ca="1" si="113"/>
        <v>#VALUE!</v>
      </c>
      <c r="AG147" s="404" t="e">
        <f t="shared" ca="1" si="113"/>
        <v>#VALUE!</v>
      </c>
      <c r="AH147" s="404" t="e">
        <f t="shared" ca="1" si="113"/>
        <v>#VALUE!</v>
      </c>
      <c r="AI147" s="404" t="e">
        <f t="shared" ca="1" si="113"/>
        <v>#VALUE!</v>
      </c>
      <c r="AJ147" s="404" t="e">
        <f t="shared" ca="1" si="113"/>
        <v>#VALUE!</v>
      </c>
      <c r="AK147" s="404" t="e">
        <f t="shared" ref="AK147:BP147" ca="1" si="114">AK146+AK141</f>
        <v>#VALUE!</v>
      </c>
      <c r="AL147" s="404" t="e">
        <f t="shared" ca="1" si="114"/>
        <v>#VALUE!</v>
      </c>
      <c r="AM147" s="404" t="e">
        <f t="shared" ca="1" si="114"/>
        <v>#VALUE!</v>
      </c>
      <c r="AN147" s="404" t="e">
        <f t="shared" ca="1" si="114"/>
        <v>#VALUE!</v>
      </c>
      <c r="AO147" s="404" t="e">
        <f t="shared" ca="1" si="114"/>
        <v>#VALUE!</v>
      </c>
      <c r="AP147" s="404" t="e">
        <f t="shared" ca="1" si="114"/>
        <v>#VALUE!</v>
      </c>
      <c r="AQ147" s="404" t="e">
        <f t="shared" ca="1" si="114"/>
        <v>#VALUE!</v>
      </c>
      <c r="AR147" s="404" t="e">
        <f t="shared" ca="1" si="114"/>
        <v>#VALUE!</v>
      </c>
      <c r="AS147" s="404" t="e">
        <f t="shared" ca="1" si="114"/>
        <v>#VALUE!</v>
      </c>
      <c r="AT147" s="404" t="e">
        <f t="shared" ca="1" si="114"/>
        <v>#VALUE!</v>
      </c>
      <c r="AU147" s="404" t="e">
        <f t="shared" ca="1" si="114"/>
        <v>#VALUE!</v>
      </c>
      <c r="AV147" s="404" t="e">
        <f t="shared" ca="1" si="114"/>
        <v>#VALUE!</v>
      </c>
      <c r="AW147" s="404" t="e">
        <f t="shared" ca="1" si="114"/>
        <v>#VALUE!</v>
      </c>
      <c r="AX147" s="404" t="e">
        <f t="shared" ca="1" si="114"/>
        <v>#VALUE!</v>
      </c>
      <c r="AY147" s="404" t="e">
        <f t="shared" ca="1" si="114"/>
        <v>#VALUE!</v>
      </c>
      <c r="AZ147" s="404" t="e">
        <f t="shared" ca="1" si="114"/>
        <v>#VALUE!</v>
      </c>
      <c r="BA147" s="404" t="e">
        <f t="shared" ca="1" si="114"/>
        <v>#VALUE!</v>
      </c>
      <c r="BB147" s="404" t="e">
        <f t="shared" ca="1" si="114"/>
        <v>#VALUE!</v>
      </c>
      <c r="BC147" s="404" t="e">
        <f t="shared" ca="1" si="114"/>
        <v>#VALUE!</v>
      </c>
      <c r="BD147" s="404" t="e">
        <f t="shared" ca="1" si="114"/>
        <v>#VALUE!</v>
      </c>
      <c r="BE147" s="404" t="e">
        <f t="shared" ca="1" si="114"/>
        <v>#VALUE!</v>
      </c>
      <c r="BF147" s="404" t="e">
        <f t="shared" ca="1" si="114"/>
        <v>#VALUE!</v>
      </c>
      <c r="BG147" s="404" t="e">
        <f t="shared" ca="1" si="114"/>
        <v>#VALUE!</v>
      </c>
      <c r="BH147" s="404" t="e">
        <f t="shared" ca="1" si="114"/>
        <v>#VALUE!</v>
      </c>
      <c r="BI147" s="404" t="e">
        <f t="shared" ca="1" si="114"/>
        <v>#VALUE!</v>
      </c>
      <c r="BJ147" s="404" t="e">
        <f t="shared" ca="1" si="114"/>
        <v>#VALUE!</v>
      </c>
      <c r="BK147" s="404" t="e">
        <f t="shared" ca="1" si="114"/>
        <v>#VALUE!</v>
      </c>
      <c r="BL147" s="404" t="e">
        <f t="shared" ca="1" si="114"/>
        <v>#VALUE!</v>
      </c>
      <c r="BM147" s="404" t="e">
        <f t="shared" ca="1" si="114"/>
        <v>#VALUE!</v>
      </c>
      <c r="BN147" s="404" t="e">
        <f t="shared" ca="1" si="114"/>
        <v>#VALUE!</v>
      </c>
      <c r="BO147" s="404" t="e">
        <f t="shared" ca="1" si="114"/>
        <v>#VALUE!</v>
      </c>
      <c r="BP147" s="404" t="e">
        <f t="shared" ca="1" si="114"/>
        <v>#VALUE!</v>
      </c>
      <c r="BQ147" s="404" t="e">
        <f ca="1">BQ146+BQ141</f>
        <v>#VALUE!</v>
      </c>
      <c r="BR147" s="404" t="e">
        <f ca="1">BR146+BR141</f>
        <v>#VALUE!</v>
      </c>
    </row>
    <row r="148" spans="1:70" x14ac:dyDescent="0.2">
      <c r="B148" s="741" t="e">
        <f ca="1">B147/B130</f>
        <v>#VALUE!</v>
      </c>
      <c r="D148" s="390" t="s">
        <v>1800</v>
      </c>
      <c r="E148" s="404"/>
      <c r="F148" s="404"/>
      <c r="G148" s="404"/>
      <c r="H148" s="404"/>
      <c r="I148" s="404"/>
      <c r="J148" s="404"/>
      <c r="K148" s="404"/>
      <c r="L148" s="404"/>
      <c r="M148" s="404"/>
      <c r="N148" s="404"/>
      <c r="O148" s="404"/>
      <c r="P148" s="404"/>
      <c r="Q148" s="404"/>
      <c r="R148" s="404"/>
      <c r="S148" s="404"/>
      <c r="T148" s="404"/>
      <c r="U148" s="404"/>
      <c r="V148" s="404"/>
      <c r="W148" s="404"/>
      <c r="X148" s="404"/>
      <c r="Y148" s="404"/>
      <c r="Z148" s="404"/>
      <c r="AA148" s="404"/>
      <c r="AB148" s="404"/>
      <c r="AC148" s="404"/>
      <c r="AD148" s="404"/>
      <c r="AE148" s="404"/>
      <c r="AF148" s="404"/>
      <c r="AG148" s="404"/>
      <c r="AH148" s="404"/>
      <c r="AI148" s="404"/>
      <c r="AJ148" s="404"/>
      <c r="AK148" s="404"/>
      <c r="AL148" s="404"/>
      <c r="AM148" s="404"/>
      <c r="AN148" s="404"/>
      <c r="AO148" s="404"/>
      <c r="AP148" s="404"/>
      <c r="AQ148" s="404"/>
      <c r="AR148" s="404"/>
      <c r="AS148" s="404"/>
      <c r="AT148" s="404"/>
      <c r="AU148" s="404"/>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row>
    <row r="149" spans="1:70" x14ac:dyDescent="0.2">
      <c r="B149" s="402"/>
      <c r="E149" s="404"/>
      <c r="F149" s="404"/>
      <c r="G149" s="404"/>
      <c r="H149" s="404"/>
      <c r="I149" s="404"/>
      <c r="J149" s="404"/>
      <c r="K149" s="404"/>
      <c r="L149" s="404"/>
      <c r="M149" s="404"/>
      <c r="N149" s="404"/>
      <c r="O149" s="404"/>
      <c r="P149" s="404"/>
      <c r="Q149" s="404"/>
      <c r="R149" s="404"/>
      <c r="S149" s="404"/>
      <c r="T149" s="404"/>
      <c r="U149" s="404"/>
      <c r="V149" s="404"/>
      <c r="W149" s="404"/>
      <c r="X149" s="404"/>
      <c r="Y149" s="404"/>
      <c r="Z149" s="404"/>
      <c r="AA149" s="404"/>
      <c r="AB149" s="404"/>
      <c r="AC149" s="404"/>
      <c r="AD149" s="404"/>
      <c r="AE149" s="404"/>
      <c r="AF149" s="404"/>
      <c r="AG149" s="404"/>
      <c r="AH149" s="404"/>
      <c r="AI149" s="404"/>
      <c r="AJ149" s="404"/>
      <c r="AK149" s="404"/>
      <c r="AL149" s="404"/>
      <c r="AM149" s="404"/>
      <c r="AN149" s="404"/>
      <c r="AO149" s="404"/>
      <c r="AP149" s="404"/>
      <c r="AQ149" s="404"/>
      <c r="AR149" s="404"/>
      <c r="AS149" s="404"/>
      <c r="AT149" s="404"/>
      <c r="AU149" s="404"/>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row>
    <row r="150" spans="1:70" x14ac:dyDescent="0.2">
      <c r="B150" s="739" t="s">
        <v>2895</v>
      </c>
      <c r="E150" s="404"/>
      <c r="F150" s="404"/>
      <c r="G150" s="404"/>
      <c r="H150" s="404"/>
      <c r="I150" s="404"/>
      <c r="J150" s="404"/>
      <c r="K150" s="404"/>
      <c r="L150" s="404"/>
      <c r="M150" s="404"/>
      <c r="N150" s="404"/>
      <c r="O150" s="404"/>
      <c r="P150" s="404"/>
      <c r="Q150" s="404"/>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row>
    <row r="151" spans="1:70" ht="15.75" x14ac:dyDescent="0.3">
      <c r="B151" s="402"/>
      <c r="C151" s="390" t="s">
        <v>3650</v>
      </c>
      <c r="D151" s="390" t="s">
        <v>2450</v>
      </c>
      <c r="E151" s="404" t="e">
        <f t="shared" ref="E151:AJ151" si="115">Phi_WW</f>
        <v>#VALUE!</v>
      </c>
      <c r="F151" s="404" t="e">
        <f t="shared" si="115"/>
        <v>#VALUE!</v>
      </c>
      <c r="G151" s="404" t="e">
        <f t="shared" si="115"/>
        <v>#VALUE!</v>
      </c>
      <c r="H151" s="404" t="e">
        <f t="shared" si="115"/>
        <v>#VALUE!</v>
      </c>
      <c r="I151" s="404" t="e">
        <f t="shared" si="115"/>
        <v>#VALUE!</v>
      </c>
      <c r="J151" s="404" t="e">
        <f t="shared" si="115"/>
        <v>#VALUE!</v>
      </c>
      <c r="K151" s="404" t="e">
        <f t="shared" si="115"/>
        <v>#VALUE!</v>
      </c>
      <c r="L151" s="404" t="e">
        <f t="shared" si="115"/>
        <v>#VALUE!</v>
      </c>
      <c r="M151" s="404" t="e">
        <f t="shared" si="115"/>
        <v>#VALUE!</v>
      </c>
      <c r="N151" s="404" t="e">
        <f t="shared" si="115"/>
        <v>#VALUE!</v>
      </c>
      <c r="O151" s="404" t="e">
        <f t="shared" si="115"/>
        <v>#VALUE!</v>
      </c>
      <c r="P151" s="404" t="e">
        <f t="shared" si="115"/>
        <v>#VALUE!</v>
      </c>
      <c r="Q151" s="404" t="e">
        <f t="shared" si="115"/>
        <v>#VALUE!</v>
      </c>
      <c r="R151" s="404" t="e">
        <f t="shared" si="115"/>
        <v>#VALUE!</v>
      </c>
      <c r="S151" s="404" t="e">
        <f t="shared" si="115"/>
        <v>#VALUE!</v>
      </c>
      <c r="T151" s="404" t="e">
        <f t="shared" si="115"/>
        <v>#VALUE!</v>
      </c>
      <c r="U151" s="404" t="e">
        <f t="shared" si="115"/>
        <v>#VALUE!</v>
      </c>
      <c r="V151" s="404" t="e">
        <f t="shared" si="115"/>
        <v>#VALUE!</v>
      </c>
      <c r="W151" s="404" t="e">
        <f t="shared" si="115"/>
        <v>#VALUE!</v>
      </c>
      <c r="X151" s="404" t="e">
        <f t="shared" si="115"/>
        <v>#VALUE!</v>
      </c>
      <c r="Y151" s="404" t="e">
        <f t="shared" si="115"/>
        <v>#VALUE!</v>
      </c>
      <c r="Z151" s="404" t="e">
        <f t="shared" si="115"/>
        <v>#VALUE!</v>
      </c>
      <c r="AA151" s="404" t="e">
        <f t="shared" si="115"/>
        <v>#VALUE!</v>
      </c>
      <c r="AB151" s="404" t="e">
        <f t="shared" si="115"/>
        <v>#VALUE!</v>
      </c>
      <c r="AC151" s="404" t="e">
        <f t="shared" si="115"/>
        <v>#VALUE!</v>
      </c>
      <c r="AD151" s="404" t="e">
        <f t="shared" si="115"/>
        <v>#VALUE!</v>
      </c>
      <c r="AE151" s="404" t="e">
        <f t="shared" si="115"/>
        <v>#VALUE!</v>
      </c>
      <c r="AF151" s="404" t="e">
        <f t="shared" si="115"/>
        <v>#VALUE!</v>
      </c>
      <c r="AG151" s="404" t="e">
        <f t="shared" si="115"/>
        <v>#VALUE!</v>
      </c>
      <c r="AH151" s="404" t="e">
        <f t="shared" si="115"/>
        <v>#VALUE!</v>
      </c>
      <c r="AI151" s="404" t="e">
        <f t="shared" si="115"/>
        <v>#VALUE!</v>
      </c>
      <c r="AJ151" s="404" t="e">
        <f t="shared" si="115"/>
        <v>#VALUE!</v>
      </c>
      <c r="AK151" s="404" t="e">
        <f t="shared" ref="AK151:BR151" si="116">Phi_WW</f>
        <v>#VALUE!</v>
      </c>
      <c r="AL151" s="404" t="e">
        <f t="shared" si="116"/>
        <v>#VALUE!</v>
      </c>
      <c r="AM151" s="404" t="e">
        <f t="shared" si="116"/>
        <v>#VALUE!</v>
      </c>
      <c r="AN151" s="404" t="e">
        <f t="shared" si="116"/>
        <v>#VALUE!</v>
      </c>
      <c r="AO151" s="404" t="e">
        <f t="shared" si="116"/>
        <v>#VALUE!</v>
      </c>
      <c r="AP151" s="404" t="e">
        <f t="shared" si="116"/>
        <v>#VALUE!</v>
      </c>
      <c r="AQ151" s="404" t="e">
        <f t="shared" si="116"/>
        <v>#VALUE!</v>
      </c>
      <c r="AR151" s="404" t="e">
        <f t="shared" si="116"/>
        <v>#VALUE!</v>
      </c>
      <c r="AS151" s="404" t="e">
        <f t="shared" si="116"/>
        <v>#VALUE!</v>
      </c>
      <c r="AT151" s="404" t="e">
        <f t="shared" si="116"/>
        <v>#VALUE!</v>
      </c>
      <c r="AU151" s="404" t="e">
        <f t="shared" si="116"/>
        <v>#VALUE!</v>
      </c>
      <c r="AV151" s="404" t="e">
        <f t="shared" si="116"/>
        <v>#VALUE!</v>
      </c>
      <c r="AW151" s="404" t="e">
        <f t="shared" si="116"/>
        <v>#VALUE!</v>
      </c>
      <c r="AX151" s="404" t="e">
        <f t="shared" si="116"/>
        <v>#VALUE!</v>
      </c>
      <c r="AY151" s="404" t="e">
        <f t="shared" si="116"/>
        <v>#VALUE!</v>
      </c>
      <c r="AZ151" s="404" t="e">
        <f t="shared" si="116"/>
        <v>#VALUE!</v>
      </c>
      <c r="BA151" s="404" t="e">
        <f t="shared" si="116"/>
        <v>#VALUE!</v>
      </c>
      <c r="BB151" s="404" t="e">
        <f t="shared" si="116"/>
        <v>#VALUE!</v>
      </c>
      <c r="BC151" s="404" t="e">
        <f t="shared" si="116"/>
        <v>#VALUE!</v>
      </c>
      <c r="BD151" s="404" t="e">
        <f t="shared" si="116"/>
        <v>#VALUE!</v>
      </c>
      <c r="BE151" s="404" t="e">
        <f t="shared" si="116"/>
        <v>#VALUE!</v>
      </c>
      <c r="BF151" s="404" t="e">
        <f t="shared" si="116"/>
        <v>#VALUE!</v>
      </c>
      <c r="BG151" s="404" t="e">
        <f t="shared" si="116"/>
        <v>#VALUE!</v>
      </c>
      <c r="BH151" s="404" t="e">
        <f t="shared" si="116"/>
        <v>#VALUE!</v>
      </c>
      <c r="BI151" s="404" t="e">
        <f t="shared" si="116"/>
        <v>#VALUE!</v>
      </c>
      <c r="BJ151" s="404" t="e">
        <f t="shared" si="116"/>
        <v>#VALUE!</v>
      </c>
      <c r="BK151" s="404" t="e">
        <f t="shared" si="116"/>
        <v>#VALUE!</v>
      </c>
      <c r="BL151" s="404" t="e">
        <f t="shared" si="116"/>
        <v>#VALUE!</v>
      </c>
      <c r="BM151" s="404" t="e">
        <f t="shared" si="116"/>
        <v>#VALUE!</v>
      </c>
      <c r="BN151" s="404" t="e">
        <f t="shared" si="116"/>
        <v>#VALUE!</v>
      </c>
      <c r="BO151" s="404" t="e">
        <f t="shared" si="116"/>
        <v>#VALUE!</v>
      </c>
      <c r="BP151" s="404" t="e">
        <f t="shared" si="116"/>
        <v>#VALUE!</v>
      </c>
      <c r="BQ151" s="404" t="e">
        <f t="shared" si="116"/>
        <v>#VALUE!</v>
      </c>
      <c r="BR151" s="404" t="e">
        <f t="shared" si="116"/>
        <v>#VALUE!</v>
      </c>
    </row>
    <row r="152" spans="1:70" ht="15.75" x14ac:dyDescent="0.3">
      <c r="B152" s="402"/>
      <c r="D152" s="390" t="s">
        <v>2896</v>
      </c>
      <c r="E152" s="404" t="e">
        <f ca="1">E79*(E75&gt;0)</f>
        <v>#REF!</v>
      </c>
      <c r="F152" s="404" t="e">
        <f t="shared" ref="F152:BQ152" ca="1" si="117">F79*(F75&gt;0)</f>
        <v>#REF!</v>
      </c>
      <c r="G152" s="404" t="e">
        <f t="shared" ca="1" si="117"/>
        <v>#REF!</v>
      </c>
      <c r="H152" s="404" t="e">
        <f t="shared" ca="1" si="117"/>
        <v>#REF!</v>
      </c>
      <c r="I152" s="404" t="e">
        <f t="shared" ca="1" si="117"/>
        <v>#REF!</v>
      </c>
      <c r="J152" s="404" t="e">
        <f t="shared" ca="1" si="117"/>
        <v>#REF!</v>
      </c>
      <c r="K152" s="404" t="e">
        <f t="shared" ca="1" si="117"/>
        <v>#REF!</v>
      </c>
      <c r="L152" s="404" t="e">
        <f t="shared" ca="1" si="117"/>
        <v>#REF!</v>
      </c>
      <c r="M152" s="404" t="e">
        <f t="shared" ca="1" si="117"/>
        <v>#REF!</v>
      </c>
      <c r="N152" s="404" t="e">
        <f t="shared" ca="1" si="117"/>
        <v>#REF!</v>
      </c>
      <c r="O152" s="404" t="e">
        <f t="shared" ca="1" si="117"/>
        <v>#REF!</v>
      </c>
      <c r="P152" s="404" t="e">
        <f t="shared" ca="1" si="117"/>
        <v>#REF!</v>
      </c>
      <c r="Q152" s="404" t="e">
        <f t="shared" ca="1" si="117"/>
        <v>#REF!</v>
      </c>
      <c r="R152" s="404" t="e">
        <f t="shared" ca="1" si="117"/>
        <v>#REF!</v>
      </c>
      <c r="S152" s="404" t="e">
        <f t="shared" ca="1" si="117"/>
        <v>#REF!</v>
      </c>
      <c r="T152" s="404" t="e">
        <f t="shared" ca="1" si="117"/>
        <v>#REF!</v>
      </c>
      <c r="U152" s="404" t="e">
        <f t="shared" ca="1" si="117"/>
        <v>#REF!</v>
      </c>
      <c r="V152" s="404" t="e">
        <f t="shared" ca="1" si="117"/>
        <v>#REF!</v>
      </c>
      <c r="W152" s="404" t="e">
        <f t="shared" ca="1" si="117"/>
        <v>#REF!</v>
      </c>
      <c r="X152" s="404" t="e">
        <f t="shared" ca="1" si="117"/>
        <v>#REF!</v>
      </c>
      <c r="Y152" s="404" t="e">
        <f t="shared" ca="1" si="117"/>
        <v>#REF!</v>
      </c>
      <c r="Z152" s="404" t="e">
        <f t="shared" ca="1" si="117"/>
        <v>#REF!</v>
      </c>
      <c r="AA152" s="404" t="e">
        <f t="shared" ca="1" si="117"/>
        <v>#REF!</v>
      </c>
      <c r="AB152" s="404" t="e">
        <f t="shared" ca="1" si="117"/>
        <v>#REF!</v>
      </c>
      <c r="AC152" s="404" t="e">
        <f t="shared" ca="1" si="117"/>
        <v>#REF!</v>
      </c>
      <c r="AD152" s="404" t="e">
        <f t="shared" ca="1" si="117"/>
        <v>#REF!</v>
      </c>
      <c r="AE152" s="404" t="e">
        <f t="shared" ca="1" si="117"/>
        <v>#REF!</v>
      </c>
      <c r="AF152" s="404" t="e">
        <f t="shared" ca="1" si="117"/>
        <v>#REF!</v>
      </c>
      <c r="AG152" s="404" t="e">
        <f t="shared" ca="1" si="117"/>
        <v>#REF!</v>
      </c>
      <c r="AH152" s="404" t="e">
        <f t="shared" ca="1" si="117"/>
        <v>#REF!</v>
      </c>
      <c r="AI152" s="404" t="e">
        <f t="shared" ca="1" si="117"/>
        <v>#REF!</v>
      </c>
      <c r="AJ152" s="404" t="e">
        <f t="shared" ca="1" si="117"/>
        <v>#REF!</v>
      </c>
      <c r="AK152" s="404" t="e">
        <f t="shared" ca="1" si="117"/>
        <v>#REF!</v>
      </c>
      <c r="AL152" s="404" t="e">
        <f t="shared" ca="1" si="117"/>
        <v>#REF!</v>
      </c>
      <c r="AM152" s="404" t="e">
        <f t="shared" ca="1" si="117"/>
        <v>#REF!</v>
      </c>
      <c r="AN152" s="404" t="e">
        <f t="shared" ca="1" si="117"/>
        <v>#REF!</v>
      </c>
      <c r="AO152" s="404" t="e">
        <f t="shared" ca="1" si="117"/>
        <v>#REF!</v>
      </c>
      <c r="AP152" s="404" t="e">
        <f t="shared" ca="1" si="117"/>
        <v>#REF!</v>
      </c>
      <c r="AQ152" s="404" t="e">
        <f t="shared" ca="1" si="117"/>
        <v>#REF!</v>
      </c>
      <c r="AR152" s="404" t="e">
        <f t="shared" ca="1" si="117"/>
        <v>#REF!</v>
      </c>
      <c r="AS152" s="404" t="e">
        <f t="shared" ca="1" si="117"/>
        <v>#REF!</v>
      </c>
      <c r="AT152" s="404" t="e">
        <f t="shared" ca="1" si="117"/>
        <v>#REF!</v>
      </c>
      <c r="AU152" s="404" t="e">
        <f t="shared" ca="1" si="117"/>
        <v>#REF!</v>
      </c>
      <c r="AV152" s="404" t="e">
        <f t="shared" ca="1" si="117"/>
        <v>#REF!</v>
      </c>
      <c r="AW152" s="404" t="e">
        <f t="shared" ca="1" si="117"/>
        <v>#REF!</v>
      </c>
      <c r="AX152" s="404" t="e">
        <f t="shared" ca="1" si="117"/>
        <v>#REF!</v>
      </c>
      <c r="AY152" s="404" t="e">
        <f t="shared" ca="1" si="117"/>
        <v>#REF!</v>
      </c>
      <c r="AZ152" s="404" t="e">
        <f t="shared" ca="1" si="117"/>
        <v>#REF!</v>
      </c>
      <c r="BA152" s="404" t="e">
        <f t="shared" ca="1" si="117"/>
        <v>#REF!</v>
      </c>
      <c r="BB152" s="404" t="e">
        <f t="shared" ca="1" si="117"/>
        <v>#REF!</v>
      </c>
      <c r="BC152" s="404" t="e">
        <f t="shared" ca="1" si="117"/>
        <v>#REF!</v>
      </c>
      <c r="BD152" s="404" t="e">
        <f t="shared" ca="1" si="117"/>
        <v>#REF!</v>
      </c>
      <c r="BE152" s="404" t="e">
        <f t="shared" ca="1" si="117"/>
        <v>#REF!</v>
      </c>
      <c r="BF152" s="404" t="e">
        <f t="shared" ca="1" si="117"/>
        <v>#REF!</v>
      </c>
      <c r="BG152" s="404" t="e">
        <f t="shared" ca="1" si="117"/>
        <v>#REF!</v>
      </c>
      <c r="BH152" s="404" t="e">
        <f t="shared" ca="1" si="117"/>
        <v>#REF!</v>
      </c>
      <c r="BI152" s="404" t="e">
        <f t="shared" ca="1" si="117"/>
        <v>#REF!</v>
      </c>
      <c r="BJ152" s="404" t="e">
        <f t="shared" ca="1" si="117"/>
        <v>#REF!</v>
      </c>
      <c r="BK152" s="404" t="e">
        <f t="shared" ca="1" si="117"/>
        <v>#REF!</v>
      </c>
      <c r="BL152" s="404" t="e">
        <f t="shared" ca="1" si="117"/>
        <v>#REF!</v>
      </c>
      <c r="BM152" s="404" t="e">
        <f t="shared" ca="1" si="117"/>
        <v>#REF!</v>
      </c>
      <c r="BN152" s="404" t="e">
        <f t="shared" ca="1" si="117"/>
        <v>#REF!</v>
      </c>
      <c r="BO152" s="404" t="e">
        <f t="shared" ca="1" si="117"/>
        <v>#REF!</v>
      </c>
      <c r="BP152" s="404" t="e">
        <f t="shared" ca="1" si="117"/>
        <v>#REF!</v>
      </c>
      <c r="BQ152" s="404" t="e">
        <f t="shared" ca="1" si="117"/>
        <v>#REF!</v>
      </c>
      <c r="BR152" s="404" t="e">
        <f ca="1">BR79*(BR75&gt;0)</f>
        <v>#REF!</v>
      </c>
    </row>
    <row r="153" spans="1:70" ht="14.25" x14ac:dyDescent="0.25">
      <c r="B153" s="402"/>
      <c r="D153" s="390" t="s">
        <v>2897</v>
      </c>
      <c r="E153" s="404" t="e">
        <f t="shared" ref="E153:AJ153" ca="1" si="118">(n_0*0.4*A_A)/(E151+E152)</f>
        <v>#VALUE!</v>
      </c>
      <c r="F153" s="404" t="e">
        <f t="shared" ca="1" si="118"/>
        <v>#VALUE!</v>
      </c>
      <c r="G153" s="404" t="e">
        <f t="shared" ca="1" si="118"/>
        <v>#VALUE!</v>
      </c>
      <c r="H153" s="404" t="e">
        <f t="shared" ca="1" si="118"/>
        <v>#VALUE!</v>
      </c>
      <c r="I153" s="404" t="e">
        <f t="shared" ca="1" si="118"/>
        <v>#VALUE!</v>
      </c>
      <c r="J153" s="404" t="e">
        <f t="shared" ca="1" si="118"/>
        <v>#VALUE!</v>
      </c>
      <c r="K153" s="404" t="e">
        <f t="shared" ca="1" si="118"/>
        <v>#VALUE!</v>
      </c>
      <c r="L153" s="404" t="e">
        <f t="shared" ca="1" si="118"/>
        <v>#VALUE!</v>
      </c>
      <c r="M153" s="404" t="e">
        <f t="shared" ca="1" si="118"/>
        <v>#VALUE!</v>
      </c>
      <c r="N153" s="404" t="e">
        <f t="shared" ca="1" si="118"/>
        <v>#VALUE!</v>
      </c>
      <c r="O153" s="404" t="e">
        <f t="shared" ca="1" si="118"/>
        <v>#VALUE!</v>
      </c>
      <c r="P153" s="404" t="e">
        <f t="shared" ca="1" si="118"/>
        <v>#VALUE!</v>
      </c>
      <c r="Q153" s="404" t="e">
        <f t="shared" ca="1" si="118"/>
        <v>#VALUE!</v>
      </c>
      <c r="R153" s="404" t="e">
        <f t="shared" ca="1" si="118"/>
        <v>#VALUE!</v>
      </c>
      <c r="S153" s="404" t="e">
        <f t="shared" ca="1" si="118"/>
        <v>#VALUE!</v>
      </c>
      <c r="T153" s="404" t="e">
        <f t="shared" ca="1" si="118"/>
        <v>#VALUE!</v>
      </c>
      <c r="U153" s="404" t="e">
        <f t="shared" ca="1" si="118"/>
        <v>#VALUE!</v>
      </c>
      <c r="V153" s="404" t="e">
        <f t="shared" ca="1" si="118"/>
        <v>#VALUE!</v>
      </c>
      <c r="W153" s="404" t="e">
        <f t="shared" ca="1" si="118"/>
        <v>#VALUE!</v>
      </c>
      <c r="X153" s="404" t="e">
        <f t="shared" ca="1" si="118"/>
        <v>#VALUE!</v>
      </c>
      <c r="Y153" s="404" t="e">
        <f t="shared" ca="1" si="118"/>
        <v>#VALUE!</v>
      </c>
      <c r="Z153" s="404" t="e">
        <f t="shared" ca="1" si="118"/>
        <v>#VALUE!</v>
      </c>
      <c r="AA153" s="404" t="e">
        <f t="shared" ca="1" si="118"/>
        <v>#VALUE!</v>
      </c>
      <c r="AB153" s="404" t="e">
        <f t="shared" ca="1" si="118"/>
        <v>#VALUE!</v>
      </c>
      <c r="AC153" s="404" t="e">
        <f t="shared" ca="1" si="118"/>
        <v>#VALUE!</v>
      </c>
      <c r="AD153" s="404" t="e">
        <f t="shared" ca="1" si="118"/>
        <v>#VALUE!</v>
      </c>
      <c r="AE153" s="404" t="e">
        <f t="shared" ca="1" si="118"/>
        <v>#VALUE!</v>
      </c>
      <c r="AF153" s="404" t="e">
        <f t="shared" ca="1" si="118"/>
        <v>#VALUE!</v>
      </c>
      <c r="AG153" s="404" t="e">
        <f t="shared" ca="1" si="118"/>
        <v>#VALUE!</v>
      </c>
      <c r="AH153" s="404" t="e">
        <f t="shared" ca="1" si="118"/>
        <v>#VALUE!</v>
      </c>
      <c r="AI153" s="404" t="e">
        <f t="shared" ca="1" si="118"/>
        <v>#VALUE!</v>
      </c>
      <c r="AJ153" s="404" t="e">
        <f t="shared" ca="1" si="118"/>
        <v>#VALUE!</v>
      </c>
      <c r="AK153" s="404" t="e">
        <f t="shared" ref="AK153:BP153" ca="1" si="119">(n_0*0.4*A_A)/(AK151+AK152)</f>
        <v>#VALUE!</v>
      </c>
      <c r="AL153" s="404" t="e">
        <f t="shared" ca="1" si="119"/>
        <v>#VALUE!</v>
      </c>
      <c r="AM153" s="404" t="e">
        <f t="shared" ca="1" si="119"/>
        <v>#VALUE!</v>
      </c>
      <c r="AN153" s="404" t="e">
        <f t="shared" ca="1" si="119"/>
        <v>#VALUE!</v>
      </c>
      <c r="AO153" s="404" t="e">
        <f t="shared" ca="1" si="119"/>
        <v>#VALUE!</v>
      </c>
      <c r="AP153" s="404" t="e">
        <f t="shared" ca="1" si="119"/>
        <v>#VALUE!</v>
      </c>
      <c r="AQ153" s="404" t="e">
        <f t="shared" ca="1" si="119"/>
        <v>#VALUE!</v>
      </c>
      <c r="AR153" s="404" t="e">
        <f t="shared" ca="1" si="119"/>
        <v>#VALUE!</v>
      </c>
      <c r="AS153" s="404" t="e">
        <f t="shared" ca="1" si="119"/>
        <v>#VALUE!</v>
      </c>
      <c r="AT153" s="404" t="e">
        <f t="shared" ca="1" si="119"/>
        <v>#VALUE!</v>
      </c>
      <c r="AU153" s="404" t="e">
        <f t="shared" ca="1" si="119"/>
        <v>#VALUE!</v>
      </c>
      <c r="AV153" s="404" t="e">
        <f t="shared" ca="1" si="119"/>
        <v>#VALUE!</v>
      </c>
      <c r="AW153" s="404" t="e">
        <f t="shared" ca="1" si="119"/>
        <v>#VALUE!</v>
      </c>
      <c r="AX153" s="404" t="e">
        <f t="shared" ca="1" si="119"/>
        <v>#VALUE!</v>
      </c>
      <c r="AY153" s="404" t="e">
        <f t="shared" ca="1" si="119"/>
        <v>#VALUE!</v>
      </c>
      <c r="AZ153" s="404" t="e">
        <f t="shared" ca="1" si="119"/>
        <v>#VALUE!</v>
      </c>
      <c r="BA153" s="404" t="e">
        <f t="shared" ca="1" si="119"/>
        <v>#VALUE!</v>
      </c>
      <c r="BB153" s="404" t="e">
        <f t="shared" ca="1" si="119"/>
        <v>#VALUE!</v>
      </c>
      <c r="BC153" s="404" t="e">
        <f t="shared" ca="1" si="119"/>
        <v>#VALUE!</v>
      </c>
      <c r="BD153" s="404" t="e">
        <f t="shared" ca="1" si="119"/>
        <v>#VALUE!</v>
      </c>
      <c r="BE153" s="404" t="e">
        <f t="shared" ca="1" si="119"/>
        <v>#VALUE!</v>
      </c>
      <c r="BF153" s="404" t="e">
        <f t="shared" ca="1" si="119"/>
        <v>#VALUE!</v>
      </c>
      <c r="BG153" s="404" t="e">
        <f t="shared" ca="1" si="119"/>
        <v>#VALUE!</v>
      </c>
      <c r="BH153" s="404" t="e">
        <f t="shared" ca="1" si="119"/>
        <v>#VALUE!</v>
      </c>
      <c r="BI153" s="404" t="e">
        <f t="shared" ca="1" si="119"/>
        <v>#VALUE!</v>
      </c>
      <c r="BJ153" s="404" t="e">
        <f t="shared" ca="1" si="119"/>
        <v>#VALUE!</v>
      </c>
      <c r="BK153" s="404" t="e">
        <f t="shared" ca="1" si="119"/>
        <v>#VALUE!</v>
      </c>
      <c r="BL153" s="404" t="e">
        <f t="shared" ca="1" si="119"/>
        <v>#VALUE!</v>
      </c>
      <c r="BM153" s="404" t="e">
        <f t="shared" ca="1" si="119"/>
        <v>#VALUE!</v>
      </c>
      <c r="BN153" s="404" t="e">
        <f t="shared" ca="1" si="119"/>
        <v>#VALUE!</v>
      </c>
      <c r="BO153" s="404" t="e">
        <f t="shared" ca="1" si="119"/>
        <v>#VALUE!</v>
      </c>
      <c r="BP153" s="404" t="e">
        <f t="shared" ca="1" si="119"/>
        <v>#VALUE!</v>
      </c>
      <c r="BQ153" s="404" t="e">
        <f ca="1">(n_0*0.4*A_A)/(BQ151+BQ152)</f>
        <v>#VALUE!</v>
      </c>
      <c r="BR153" s="404" t="e">
        <f ca="1">(n_0*0.4*A_A)/(BR151+BR152)</f>
        <v>#VALUE!</v>
      </c>
    </row>
    <row r="154" spans="1:70" ht="14.25" x14ac:dyDescent="0.2">
      <c r="B154" s="402"/>
      <c r="D154" s="390" t="s">
        <v>3267</v>
      </c>
      <c r="E154" s="404" t="e">
        <f ca="1">EXP(-0.17*E153)</f>
        <v>#VALUE!</v>
      </c>
      <c r="F154" s="404" t="e">
        <f t="shared" ref="F154:BQ154" ca="1" si="120">EXP(-0.17*F153)</f>
        <v>#VALUE!</v>
      </c>
      <c r="G154" s="404" t="e">
        <f t="shared" ca="1" si="120"/>
        <v>#VALUE!</v>
      </c>
      <c r="H154" s="404" t="e">
        <f t="shared" ca="1" si="120"/>
        <v>#VALUE!</v>
      </c>
      <c r="I154" s="404" t="e">
        <f t="shared" ca="1" si="120"/>
        <v>#VALUE!</v>
      </c>
      <c r="J154" s="404" t="e">
        <f t="shared" ca="1" si="120"/>
        <v>#VALUE!</v>
      </c>
      <c r="K154" s="404" t="e">
        <f t="shared" ca="1" si="120"/>
        <v>#VALUE!</v>
      </c>
      <c r="L154" s="404" t="e">
        <f t="shared" ca="1" si="120"/>
        <v>#VALUE!</v>
      </c>
      <c r="M154" s="404" t="e">
        <f t="shared" ca="1" si="120"/>
        <v>#VALUE!</v>
      </c>
      <c r="N154" s="404" t="e">
        <f t="shared" ca="1" si="120"/>
        <v>#VALUE!</v>
      </c>
      <c r="O154" s="404" t="e">
        <f t="shared" ca="1" si="120"/>
        <v>#VALUE!</v>
      </c>
      <c r="P154" s="404" t="e">
        <f t="shared" ca="1" si="120"/>
        <v>#VALUE!</v>
      </c>
      <c r="Q154" s="404" t="e">
        <f t="shared" ca="1" si="120"/>
        <v>#VALUE!</v>
      </c>
      <c r="R154" s="404" t="e">
        <f t="shared" ca="1" si="120"/>
        <v>#VALUE!</v>
      </c>
      <c r="S154" s="404" t="e">
        <f t="shared" ca="1" si="120"/>
        <v>#VALUE!</v>
      </c>
      <c r="T154" s="404" t="e">
        <f t="shared" ca="1" si="120"/>
        <v>#VALUE!</v>
      </c>
      <c r="U154" s="404" t="e">
        <f t="shared" ca="1" si="120"/>
        <v>#VALUE!</v>
      </c>
      <c r="V154" s="404" t="e">
        <f t="shared" ca="1" si="120"/>
        <v>#VALUE!</v>
      </c>
      <c r="W154" s="404" t="e">
        <f t="shared" ca="1" si="120"/>
        <v>#VALUE!</v>
      </c>
      <c r="X154" s="404" t="e">
        <f t="shared" ca="1" si="120"/>
        <v>#VALUE!</v>
      </c>
      <c r="Y154" s="404" t="e">
        <f t="shared" ca="1" si="120"/>
        <v>#VALUE!</v>
      </c>
      <c r="Z154" s="404" t="e">
        <f t="shared" ca="1" si="120"/>
        <v>#VALUE!</v>
      </c>
      <c r="AA154" s="404" t="e">
        <f t="shared" ca="1" si="120"/>
        <v>#VALUE!</v>
      </c>
      <c r="AB154" s="404" t="e">
        <f t="shared" ca="1" si="120"/>
        <v>#VALUE!</v>
      </c>
      <c r="AC154" s="404" t="e">
        <f t="shared" ca="1" si="120"/>
        <v>#VALUE!</v>
      </c>
      <c r="AD154" s="404" t="e">
        <f t="shared" ca="1" si="120"/>
        <v>#VALUE!</v>
      </c>
      <c r="AE154" s="404" t="e">
        <f t="shared" ca="1" si="120"/>
        <v>#VALUE!</v>
      </c>
      <c r="AF154" s="404" t="e">
        <f t="shared" ca="1" si="120"/>
        <v>#VALUE!</v>
      </c>
      <c r="AG154" s="404" t="e">
        <f t="shared" ca="1" si="120"/>
        <v>#VALUE!</v>
      </c>
      <c r="AH154" s="404" t="e">
        <f t="shared" ca="1" si="120"/>
        <v>#VALUE!</v>
      </c>
      <c r="AI154" s="404" t="e">
        <f t="shared" ca="1" si="120"/>
        <v>#VALUE!</v>
      </c>
      <c r="AJ154" s="404" t="e">
        <f t="shared" ca="1" si="120"/>
        <v>#VALUE!</v>
      </c>
      <c r="AK154" s="404" t="e">
        <f t="shared" ca="1" si="120"/>
        <v>#VALUE!</v>
      </c>
      <c r="AL154" s="404" t="e">
        <f t="shared" ca="1" si="120"/>
        <v>#VALUE!</v>
      </c>
      <c r="AM154" s="404" t="e">
        <f t="shared" ca="1" si="120"/>
        <v>#VALUE!</v>
      </c>
      <c r="AN154" s="404" t="e">
        <f t="shared" ca="1" si="120"/>
        <v>#VALUE!</v>
      </c>
      <c r="AO154" s="404" t="e">
        <f t="shared" ca="1" si="120"/>
        <v>#VALUE!</v>
      </c>
      <c r="AP154" s="404" t="e">
        <f t="shared" ca="1" si="120"/>
        <v>#VALUE!</v>
      </c>
      <c r="AQ154" s="404" t="e">
        <f t="shared" ca="1" si="120"/>
        <v>#VALUE!</v>
      </c>
      <c r="AR154" s="404" t="e">
        <f t="shared" ca="1" si="120"/>
        <v>#VALUE!</v>
      </c>
      <c r="AS154" s="404" t="e">
        <f t="shared" ca="1" si="120"/>
        <v>#VALUE!</v>
      </c>
      <c r="AT154" s="404" t="e">
        <f t="shared" ca="1" si="120"/>
        <v>#VALUE!</v>
      </c>
      <c r="AU154" s="404" t="e">
        <f t="shared" ca="1" si="120"/>
        <v>#VALUE!</v>
      </c>
      <c r="AV154" s="404" t="e">
        <f t="shared" ca="1" si="120"/>
        <v>#VALUE!</v>
      </c>
      <c r="AW154" s="404" t="e">
        <f t="shared" ca="1" si="120"/>
        <v>#VALUE!</v>
      </c>
      <c r="AX154" s="404" t="e">
        <f t="shared" ca="1" si="120"/>
        <v>#VALUE!</v>
      </c>
      <c r="AY154" s="404" t="e">
        <f t="shared" ca="1" si="120"/>
        <v>#VALUE!</v>
      </c>
      <c r="AZ154" s="404" t="e">
        <f t="shared" ca="1" si="120"/>
        <v>#VALUE!</v>
      </c>
      <c r="BA154" s="404" t="e">
        <f t="shared" ca="1" si="120"/>
        <v>#VALUE!</v>
      </c>
      <c r="BB154" s="404" t="e">
        <f t="shared" ca="1" si="120"/>
        <v>#VALUE!</v>
      </c>
      <c r="BC154" s="404" t="e">
        <f t="shared" ca="1" si="120"/>
        <v>#VALUE!</v>
      </c>
      <c r="BD154" s="404" t="e">
        <f t="shared" ca="1" si="120"/>
        <v>#VALUE!</v>
      </c>
      <c r="BE154" s="404" t="e">
        <f t="shared" ca="1" si="120"/>
        <v>#VALUE!</v>
      </c>
      <c r="BF154" s="404" t="e">
        <f t="shared" ca="1" si="120"/>
        <v>#VALUE!</v>
      </c>
      <c r="BG154" s="404" t="e">
        <f t="shared" ca="1" si="120"/>
        <v>#VALUE!</v>
      </c>
      <c r="BH154" s="404" t="e">
        <f t="shared" ca="1" si="120"/>
        <v>#VALUE!</v>
      </c>
      <c r="BI154" s="404" t="e">
        <f t="shared" ca="1" si="120"/>
        <v>#VALUE!</v>
      </c>
      <c r="BJ154" s="404" t="e">
        <f t="shared" ca="1" si="120"/>
        <v>#VALUE!</v>
      </c>
      <c r="BK154" s="404" t="e">
        <f t="shared" ca="1" si="120"/>
        <v>#VALUE!</v>
      </c>
      <c r="BL154" s="404" t="e">
        <f t="shared" ca="1" si="120"/>
        <v>#VALUE!</v>
      </c>
      <c r="BM154" s="404" t="e">
        <f t="shared" ca="1" si="120"/>
        <v>#VALUE!</v>
      </c>
      <c r="BN154" s="404" t="e">
        <f t="shared" ca="1" si="120"/>
        <v>#VALUE!</v>
      </c>
      <c r="BO154" s="404" t="e">
        <f t="shared" ca="1" si="120"/>
        <v>#VALUE!</v>
      </c>
      <c r="BP154" s="404" t="e">
        <f t="shared" ca="1" si="120"/>
        <v>#VALUE!</v>
      </c>
      <c r="BQ154" s="404" t="e">
        <f t="shared" ca="1" si="120"/>
        <v>#VALUE!</v>
      </c>
      <c r="BR154" s="404" t="e">
        <f ca="1">EXP(-0.17*BR153)</f>
        <v>#VALUE!</v>
      </c>
    </row>
    <row r="155" spans="1:70" ht="15.75" x14ac:dyDescent="0.3">
      <c r="A155" s="672" t="s">
        <v>2898</v>
      </c>
      <c r="B155" s="402"/>
      <c r="D155" s="390" t="s">
        <v>2899</v>
      </c>
      <c r="E155" s="404">
        <f>WP_BIN!T78</f>
        <v>29.21428571428574</v>
      </c>
      <c r="F155" s="404">
        <f>WP_BIN!U78</f>
        <v>29.142857142857167</v>
      </c>
      <c r="G155" s="404">
        <f>WP_BIN!V78</f>
        <v>29.071428571428594</v>
      </c>
      <c r="H155" s="404">
        <f>WP_BIN!W78</f>
        <v>29.000000000000021</v>
      </c>
      <c r="I155" s="404">
        <f>WP_BIN!X78</f>
        <v>28.928571428571448</v>
      </c>
      <c r="J155" s="404">
        <f>WP_BIN!Y78</f>
        <v>28.857142857142875</v>
      </c>
      <c r="K155" s="404">
        <f>WP_BIN!Z78</f>
        <v>28.785714285714302</v>
      </c>
      <c r="L155" s="404">
        <f>WP_BIN!AA78</f>
        <v>28.71428571428573</v>
      </c>
      <c r="M155" s="404">
        <f>WP_BIN!AB78</f>
        <v>28.642857142857157</v>
      </c>
      <c r="N155" s="404">
        <f>WP_BIN!AC78</f>
        <v>28.571428571428584</v>
      </c>
      <c r="O155" s="404">
        <f>WP_BIN!AD78</f>
        <v>28.500000000000011</v>
      </c>
      <c r="P155" s="404">
        <f>WP_BIN!AE78</f>
        <v>28.428571428571438</v>
      </c>
      <c r="Q155" s="404">
        <f>WP_BIN!AF78</f>
        <v>28.357142857142865</v>
      </c>
      <c r="R155" s="404">
        <f>WP_BIN!AG78</f>
        <v>28.285714285714292</v>
      </c>
      <c r="S155" s="404">
        <f>WP_BIN!AH78</f>
        <v>28.214285714285719</v>
      </c>
      <c r="T155" s="404">
        <f>WP_BIN!AI78</f>
        <v>28.142857142857146</v>
      </c>
      <c r="U155" s="404">
        <f>WP_BIN!AJ78</f>
        <v>28.071428571428573</v>
      </c>
      <c r="V155" s="404">
        <f>WP_BIN!AK78</f>
        <v>28</v>
      </c>
      <c r="W155" s="404">
        <f>WP_BIN!AL78</f>
        <v>27.92857142857147</v>
      </c>
      <c r="X155" s="404">
        <f>WP_BIN!AM78</f>
        <v>27.857142857142897</v>
      </c>
      <c r="Y155" s="404">
        <f>WP_BIN!AN78</f>
        <v>27.785714285714324</v>
      </c>
      <c r="Z155" s="404">
        <f>WP_BIN!AO78</f>
        <v>27.714285714285751</v>
      </c>
      <c r="AA155" s="404">
        <f>WP_BIN!AP78</f>
        <v>27.642857142857178</v>
      </c>
      <c r="AB155" s="404">
        <f>WP_BIN!AQ78</f>
        <v>27.571428571428605</v>
      </c>
      <c r="AC155" s="404">
        <f>WP_BIN!AR78</f>
        <v>27.500000000000032</v>
      </c>
      <c r="AD155" s="404">
        <f>WP_BIN!AS78</f>
        <v>27.428571428571459</v>
      </c>
      <c r="AE155" s="404">
        <f>WP_BIN!AT78</f>
        <v>27.357142857142886</v>
      </c>
      <c r="AF155" s="404">
        <f>WP_BIN!AU78</f>
        <v>27.285714285714313</v>
      </c>
      <c r="AG155" s="404">
        <f>WP_BIN!AV78</f>
        <v>27.21428571428574</v>
      </c>
      <c r="AH155" s="404">
        <f>WP_BIN!AW78</f>
        <v>27.142857142857167</v>
      </c>
      <c r="AI155" s="404">
        <f>WP_BIN!AX78</f>
        <v>27.071428571428594</v>
      </c>
      <c r="AJ155" s="404">
        <f>WP_BIN!AY78</f>
        <v>27.000000000000021</v>
      </c>
      <c r="AK155" s="404">
        <f>WP_BIN!AZ78</f>
        <v>26.928571428571448</v>
      </c>
      <c r="AL155" s="404">
        <f>WP_BIN!BA78</f>
        <v>26.857142857142875</v>
      </c>
      <c r="AM155" s="404">
        <f>WP_BIN!BB78</f>
        <v>26.785714285714302</v>
      </c>
      <c r="AN155" s="404">
        <f>WP_BIN!BC78</f>
        <v>26.71428571428573</v>
      </c>
      <c r="AO155" s="404">
        <f>WP_BIN!BD78</f>
        <v>26.642857142857157</v>
      </c>
      <c r="AP155" s="404">
        <f>WP_BIN!BE78</f>
        <v>26.571428571428584</v>
      </c>
      <c r="AQ155" s="404">
        <f>WP_BIN!BF78</f>
        <v>26.500000000000011</v>
      </c>
      <c r="AR155" s="404">
        <f>WP_BIN!BG78</f>
        <v>26.428571428571438</v>
      </c>
      <c r="AS155" s="404">
        <f>WP_BIN!BH78</f>
        <v>26.357142857142865</v>
      </c>
      <c r="AT155" s="404">
        <f>WP_BIN!BI78</f>
        <v>26.285714285714292</v>
      </c>
      <c r="AU155" s="404">
        <f>WP_BIN!BJ78</f>
        <v>26.214285714285719</v>
      </c>
      <c r="AV155" s="404">
        <f>WP_BIN!BK78</f>
        <v>26.142857142857146</v>
      </c>
      <c r="AW155" s="404">
        <f>WP_BIN!BL78</f>
        <v>26.071428571428573</v>
      </c>
      <c r="AX155" s="404">
        <f>WP_BIN!BM78</f>
        <v>26</v>
      </c>
      <c r="AY155" s="404">
        <f>WP_BIN!BN78</f>
        <v>26</v>
      </c>
      <c r="AZ155" s="404">
        <f>WP_BIN!BO78</f>
        <v>26</v>
      </c>
      <c r="BA155" s="404">
        <f>WP_BIN!BP78</f>
        <v>26</v>
      </c>
      <c r="BB155" s="404">
        <f>WP_BIN!BQ78</f>
        <v>26</v>
      </c>
      <c r="BC155" s="404">
        <f>WP_BIN!BR78</f>
        <v>26</v>
      </c>
      <c r="BD155" s="404">
        <f>WP_BIN!BS78</f>
        <v>26</v>
      </c>
      <c r="BE155" s="404">
        <f>WP_BIN!BT78</f>
        <v>26</v>
      </c>
      <c r="BF155" s="404">
        <f>WP_BIN!BU78</f>
        <v>26</v>
      </c>
      <c r="BG155" s="404">
        <f>WP_BIN!BV78</f>
        <v>26</v>
      </c>
      <c r="BH155" s="404">
        <f>WP_BIN!BW78</f>
        <v>26</v>
      </c>
      <c r="BI155" s="404">
        <f>WP_BIN!BX78</f>
        <v>26</v>
      </c>
      <c r="BJ155" s="404">
        <f>WP_BIN!BY78</f>
        <v>26</v>
      </c>
      <c r="BK155" s="404">
        <f>WP_BIN!BZ78</f>
        <v>26</v>
      </c>
      <c r="BL155" s="404">
        <f>WP_BIN!CA78</f>
        <v>26</v>
      </c>
      <c r="BM155" s="404">
        <f>WP_BIN!CB78</f>
        <v>26</v>
      </c>
      <c r="BN155" s="404">
        <f>WP_BIN!CC78</f>
        <v>26</v>
      </c>
      <c r="BO155" s="404">
        <f>WP_BIN!CD78</f>
        <v>26</v>
      </c>
      <c r="BP155" s="404">
        <f>WP_BIN!CE78</f>
        <v>26</v>
      </c>
      <c r="BQ155" s="404">
        <f>WP_BIN!CF78</f>
        <v>26</v>
      </c>
      <c r="BR155" s="404">
        <f>WP_BIN!CG78</f>
        <v>26</v>
      </c>
    </row>
    <row r="156" spans="1:70" ht="15.75" x14ac:dyDescent="0.3">
      <c r="A156" s="672" t="s">
        <v>2898</v>
      </c>
      <c r="B156" s="402"/>
      <c r="D156" s="390" t="s">
        <v>2900</v>
      </c>
      <c r="E156" s="404" t="e">
        <f>WP_BIN!T77</f>
        <v>#DIV/0!</v>
      </c>
      <c r="F156" s="404" t="e">
        <f>WP_BIN!U77</f>
        <v>#DIV/0!</v>
      </c>
      <c r="G156" s="404" t="e">
        <f>WP_BIN!V77</f>
        <v>#DIV/0!</v>
      </c>
      <c r="H156" s="404" t="e">
        <f>WP_BIN!W77</f>
        <v>#DIV/0!</v>
      </c>
      <c r="I156" s="404" t="e">
        <f>WP_BIN!X77</f>
        <v>#DIV/0!</v>
      </c>
      <c r="J156" s="404" t="e">
        <f>WP_BIN!Y77</f>
        <v>#DIV/0!</v>
      </c>
      <c r="K156" s="404" t="e">
        <f>WP_BIN!Z77</f>
        <v>#DIV/0!</v>
      </c>
      <c r="L156" s="404" t="e">
        <f>WP_BIN!AA77</f>
        <v>#DIV/0!</v>
      </c>
      <c r="M156" s="404" t="e">
        <f>WP_BIN!AB77</f>
        <v>#DIV/0!</v>
      </c>
      <c r="N156" s="404" t="e">
        <f>WP_BIN!AC77</f>
        <v>#DIV/0!</v>
      </c>
      <c r="O156" s="404" t="e">
        <f>WP_BIN!AD77</f>
        <v>#DIV/0!</v>
      </c>
      <c r="P156" s="404" t="e">
        <f>WP_BIN!AE77</f>
        <v>#DIV/0!</v>
      </c>
      <c r="Q156" s="404" t="e">
        <f>WP_BIN!AF77</f>
        <v>#DIV/0!</v>
      </c>
      <c r="R156" s="404" t="e">
        <f>WP_BIN!AG77</f>
        <v>#DIV/0!</v>
      </c>
      <c r="S156" s="404" t="e">
        <f>WP_BIN!AH77</f>
        <v>#DIV/0!</v>
      </c>
      <c r="T156" s="404" t="e">
        <f>WP_BIN!AI77</f>
        <v>#DIV/0!</v>
      </c>
      <c r="U156" s="404" t="e">
        <f>WP_BIN!AJ77</f>
        <v>#DIV/0!</v>
      </c>
      <c r="V156" s="404">
        <f>WP_BIN!AK77</f>
        <v>33</v>
      </c>
      <c r="W156" s="404" t="e">
        <f>WP_BIN!AL77</f>
        <v>#DIV/0!</v>
      </c>
      <c r="X156" s="404" t="e">
        <f>WP_BIN!AM77</f>
        <v>#DIV/0!</v>
      </c>
      <c r="Y156" s="404" t="e">
        <f>WP_BIN!AN77</f>
        <v>#DIV/0!</v>
      </c>
      <c r="Z156" s="404" t="e">
        <f>WP_BIN!AO77</f>
        <v>#DIV/0!</v>
      </c>
      <c r="AA156" s="404" t="e">
        <f>WP_BIN!AP77</f>
        <v>#DIV/0!</v>
      </c>
      <c r="AB156" s="404" t="e">
        <f>WP_BIN!AQ77</f>
        <v>#DIV/0!</v>
      </c>
      <c r="AC156" s="404" t="e">
        <f>WP_BIN!AR77</f>
        <v>#DIV/0!</v>
      </c>
      <c r="AD156" s="404" t="e">
        <f>WP_BIN!AS77</f>
        <v>#DIV/0!</v>
      </c>
      <c r="AE156" s="404" t="e">
        <f>WP_BIN!AT77</f>
        <v>#DIV/0!</v>
      </c>
      <c r="AF156" s="404" t="e">
        <f>WP_BIN!AU77</f>
        <v>#DIV/0!</v>
      </c>
      <c r="AG156" s="404" t="e">
        <f>WP_BIN!AV77</f>
        <v>#DIV/0!</v>
      </c>
      <c r="AH156" s="404" t="e">
        <f>WP_BIN!AW77</f>
        <v>#DIV/0!</v>
      </c>
      <c r="AI156" s="404" t="e">
        <f>WP_BIN!AX77</f>
        <v>#DIV/0!</v>
      </c>
      <c r="AJ156" s="404" t="e">
        <f>WP_BIN!AY77</f>
        <v>#DIV/0!</v>
      </c>
      <c r="AK156" s="404" t="e">
        <f>WP_BIN!AZ77</f>
        <v>#DIV/0!</v>
      </c>
      <c r="AL156" s="404" t="e">
        <f>WP_BIN!BA77</f>
        <v>#DIV/0!</v>
      </c>
      <c r="AM156" s="404" t="e">
        <f>WP_BIN!BB77</f>
        <v>#DIV/0!</v>
      </c>
      <c r="AN156" s="404" t="e">
        <f>WP_BIN!BC77</f>
        <v>#DIV/0!</v>
      </c>
      <c r="AO156" s="404" t="e">
        <f>WP_BIN!BD77</f>
        <v>#DIV/0!</v>
      </c>
      <c r="AP156" s="404" t="e">
        <f>WP_BIN!BE77</f>
        <v>#DIV/0!</v>
      </c>
      <c r="AQ156" s="404" t="e">
        <f>WP_BIN!BF77</f>
        <v>#DIV/0!</v>
      </c>
      <c r="AR156" s="404" t="e">
        <f>WP_BIN!BG77</f>
        <v>#DIV/0!</v>
      </c>
      <c r="AS156" s="404" t="e">
        <f>WP_BIN!BH77</f>
        <v>#DIV/0!</v>
      </c>
      <c r="AT156" s="404" t="e">
        <f>WP_BIN!BI77</f>
        <v>#DIV/0!</v>
      </c>
      <c r="AU156" s="404" t="e">
        <f>WP_BIN!BJ77</f>
        <v>#DIV/0!</v>
      </c>
      <c r="AV156" s="404" t="e">
        <f>WP_BIN!BK77</f>
        <v>#DIV/0!</v>
      </c>
      <c r="AW156" s="404" t="e">
        <f>WP_BIN!BL77</f>
        <v>#DIV/0!</v>
      </c>
      <c r="AX156" s="404" t="e">
        <f>WP_BIN!BM77</f>
        <v>#DIV/0!</v>
      </c>
      <c r="AY156" s="404" t="e">
        <f>WP_BIN!BN77</f>
        <v>#DIV/0!</v>
      </c>
      <c r="AZ156" s="404" t="e">
        <f>WP_BIN!BO77</f>
        <v>#DIV/0!</v>
      </c>
      <c r="BA156" s="404" t="e">
        <f>WP_BIN!BP77</f>
        <v>#DIV/0!</v>
      </c>
      <c r="BB156" s="404" t="e">
        <f>WP_BIN!BQ77</f>
        <v>#DIV/0!</v>
      </c>
      <c r="BC156" s="404" t="e">
        <f>WP_BIN!BR77</f>
        <v>#DIV/0!</v>
      </c>
      <c r="BD156" s="404" t="e">
        <f>WP_BIN!BS77</f>
        <v>#DIV/0!</v>
      </c>
      <c r="BE156" s="404" t="e">
        <f>WP_BIN!BT77</f>
        <v>#DIV/0!</v>
      </c>
      <c r="BF156" s="404" t="e">
        <f>WP_BIN!BU77</f>
        <v>#DIV/0!</v>
      </c>
      <c r="BG156" s="404" t="e">
        <f>WP_BIN!BV77</f>
        <v>#DIV/0!</v>
      </c>
      <c r="BH156" s="404" t="e">
        <f>WP_BIN!BW77</f>
        <v>#DIV/0!</v>
      </c>
      <c r="BI156" s="404" t="e">
        <f>WP_BIN!BX77</f>
        <v>#DIV/0!</v>
      </c>
      <c r="BJ156" s="404" t="e">
        <f>WP_BIN!BY77</f>
        <v>#DIV/0!</v>
      </c>
      <c r="BK156" s="404" t="e">
        <f>WP_BIN!BZ77</f>
        <v>#DIV/0!</v>
      </c>
      <c r="BL156" s="404" t="e">
        <f>WP_BIN!CA77</f>
        <v>#DIV/0!</v>
      </c>
      <c r="BM156" s="404" t="e">
        <f>WP_BIN!CB77</f>
        <v>#DIV/0!</v>
      </c>
      <c r="BN156" s="404" t="e">
        <f>WP_BIN!CC77</f>
        <v>#DIV/0!</v>
      </c>
      <c r="BO156" s="404" t="e">
        <f>WP_BIN!CD77</f>
        <v>#DIV/0!</v>
      </c>
      <c r="BP156" s="404" t="e">
        <f>WP_BIN!CE77</f>
        <v>#DIV/0!</v>
      </c>
      <c r="BQ156" s="404" t="e">
        <f>WP_BIN!CF77</f>
        <v>#DIV/0!</v>
      </c>
      <c r="BR156" s="404" t="e">
        <f>WP_BIN!CG77</f>
        <v>#DIV/0!</v>
      </c>
    </row>
    <row r="157" spans="1:70" ht="15.75" x14ac:dyDescent="0.3">
      <c r="A157" s="672" t="s">
        <v>2901</v>
      </c>
      <c r="B157" s="402"/>
      <c r="D157" s="390" t="s">
        <v>2902</v>
      </c>
      <c r="E157" s="404" t="e">
        <f ca="1">MAX(E6,(E155-5))</f>
        <v>#REF!</v>
      </c>
      <c r="F157" s="404" t="e">
        <f t="shared" ref="F157:BQ157" ca="1" si="121">MAX(F6,(F155-5))</f>
        <v>#REF!</v>
      </c>
      <c r="G157" s="404" t="e">
        <f t="shared" ca="1" si="121"/>
        <v>#REF!</v>
      </c>
      <c r="H157" s="404" t="e">
        <f t="shared" ca="1" si="121"/>
        <v>#REF!</v>
      </c>
      <c r="I157" s="404" t="e">
        <f t="shared" ca="1" si="121"/>
        <v>#REF!</v>
      </c>
      <c r="J157" s="404" t="e">
        <f t="shared" ca="1" si="121"/>
        <v>#REF!</v>
      </c>
      <c r="K157" s="404" t="e">
        <f t="shared" ca="1" si="121"/>
        <v>#REF!</v>
      </c>
      <c r="L157" s="404" t="e">
        <f t="shared" ca="1" si="121"/>
        <v>#REF!</v>
      </c>
      <c r="M157" s="404" t="e">
        <f t="shared" ca="1" si="121"/>
        <v>#REF!</v>
      </c>
      <c r="N157" s="404" t="e">
        <f t="shared" ca="1" si="121"/>
        <v>#REF!</v>
      </c>
      <c r="O157" s="404" t="e">
        <f t="shared" ca="1" si="121"/>
        <v>#REF!</v>
      </c>
      <c r="P157" s="404" t="e">
        <f t="shared" ca="1" si="121"/>
        <v>#REF!</v>
      </c>
      <c r="Q157" s="404" t="e">
        <f t="shared" ca="1" si="121"/>
        <v>#REF!</v>
      </c>
      <c r="R157" s="404" t="e">
        <f t="shared" ca="1" si="121"/>
        <v>#REF!</v>
      </c>
      <c r="S157" s="404" t="e">
        <f t="shared" ca="1" si="121"/>
        <v>#REF!</v>
      </c>
      <c r="T157" s="404" t="e">
        <f t="shared" ca="1" si="121"/>
        <v>#REF!</v>
      </c>
      <c r="U157" s="404" t="e">
        <f t="shared" ca="1" si="121"/>
        <v>#REF!</v>
      </c>
      <c r="V157" s="404" t="e">
        <f t="shared" ca="1" si="121"/>
        <v>#REF!</v>
      </c>
      <c r="W157" s="404" t="e">
        <f t="shared" ca="1" si="121"/>
        <v>#REF!</v>
      </c>
      <c r="X157" s="404" t="e">
        <f t="shared" ca="1" si="121"/>
        <v>#REF!</v>
      </c>
      <c r="Y157" s="404" t="e">
        <f t="shared" ca="1" si="121"/>
        <v>#REF!</v>
      </c>
      <c r="Z157" s="404" t="e">
        <f t="shared" ca="1" si="121"/>
        <v>#REF!</v>
      </c>
      <c r="AA157" s="404" t="e">
        <f t="shared" ca="1" si="121"/>
        <v>#REF!</v>
      </c>
      <c r="AB157" s="404" t="e">
        <f t="shared" ca="1" si="121"/>
        <v>#REF!</v>
      </c>
      <c r="AC157" s="404" t="e">
        <f t="shared" ca="1" si="121"/>
        <v>#REF!</v>
      </c>
      <c r="AD157" s="404" t="e">
        <f t="shared" ca="1" si="121"/>
        <v>#REF!</v>
      </c>
      <c r="AE157" s="404" t="e">
        <f t="shared" ca="1" si="121"/>
        <v>#REF!</v>
      </c>
      <c r="AF157" s="404" t="e">
        <f t="shared" ca="1" si="121"/>
        <v>#REF!</v>
      </c>
      <c r="AG157" s="404" t="e">
        <f t="shared" ca="1" si="121"/>
        <v>#REF!</v>
      </c>
      <c r="AH157" s="404" t="e">
        <f t="shared" ca="1" si="121"/>
        <v>#REF!</v>
      </c>
      <c r="AI157" s="404" t="e">
        <f t="shared" ca="1" si="121"/>
        <v>#REF!</v>
      </c>
      <c r="AJ157" s="404" t="e">
        <f t="shared" ca="1" si="121"/>
        <v>#REF!</v>
      </c>
      <c r="AK157" s="404" t="e">
        <f t="shared" ca="1" si="121"/>
        <v>#REF!</v>
      </c>
      <c r="AL157" s="404" t="e">
        <f t="shared" ca="1" si="121"/>
        <v>#REF!</v>
      </c>
      <c r="AM157" s="404" t="e">
        <f t="shared" ca="1" si="121"/>
        <v>#REF!</v>
      </c>
      <c r="AN157" s="404" t="e">
        <f t="shared" ca="1" si="121"/>
        <v>#REF!</v>
      </c>
      <c r="AO157" s="404" t="e">
        <f t="shared" ca="1" si="121"/>
        <v>#REF!</v>
      </c>
      <c r="AP157" s="404" t="e">
        <f t="shared" ca="1" si="121"/>
        <v>#REF!</v>
      </c>
      <c r="AQ157" s="404" t="e">
        <f t="shared" ca="1" si="121"/>
        <v>#REF!</v>
      </c>
      <c r="AR157" s="404" t="e">
        <f t="shared" ca="1" si="121"/>
        <v>#REF!</v>
      </c>
      <c r="AS157" s="404" t="e">
        <f t="shared" ca="1" si="121"/>
        <v>#REF!</v>
      </c>
      <c r="AT157" s="404" t="e">
        <f t="shared" ca="1" si="121"/>
        <v>#REF!</v>
      </c>
      <c r="AU157" s="404" t="e">
        <f t="shared" ca="1" si="121"/>
        <v>#REF!</v>
      </c>
      <c r="AV157" s="404" t="e">
        <f t="shared" ca="1" si="121"/>
        <v>#REF!</v>
      </c>
      <c r="AW157" s="404" t="e">
        <f t="shared" ca="1" si="121"/>
        <v>#REF!</v>
      </c>
      <c r="AX157" s="404" t="e">
        <f t="shared" ca="1" si="121"/>
        <v>#REF!</v>
      </c>
      <c r="AY157" s="404" t="e">
        <f t="shared" ca="1" si="121"/>
        <v>#REF!</v>
      </c>
      <c r="AZ157" s="404" t="e">
        <f t="shared" ca="1" si="121"/>
        <v>#REF!</v>
      </c>
      <c r="BA157" s="404" t="e">
        <f t="shared" ca="1" si="121"/>
        <v>#REF!</v>
      </c>
      <c r="BB157" s="404" t="e">
        <f t="shared" ca="1" si="121"/>
        <v>#REF!</v>
      </c>
      <c r="BC157" s="404" t="e">
        <f t="shared" ca="1" si="121"/>
        <v>#REF!</v>
      </c>
      <c r="BD157" s="404" t="e">
        <f t="shared" ca="1" si="121"/>
        <v>#REF!</v>
      </c>
      <c r="BE157" s="404" t="e">
        <f t="shared" ca="1" si="121"/>
        <v>#REF!</v>
      </c>
      <c r="BF157" s="404" t="e">
        <f t="shared" ca="1" si="121"/>
        <v>#REF!</v>
      </c>
      <c r="BG157" s="404" t="e">
        <f t="shared" ca="1" si="121"/>
        <v>#REF!</v>
      </c>
      <c r="BH157" s="404" t="e">
        <f t="shared" ca="1" si="121"/>
        <v>#REF!</v>
      </c>
      <c r="BI157" s="404" t="e">
        <f t="shared" ca="1" si="121"/>
        <v>#REF!</v>
      </c>
      <c r="BJ157" s="404" t="e">
        <f t="shared" ca="1" si="121"/>
        <v>#REF!</v>
      </c>
      <c r="BK157" s="404" t="e">
        <f t="shared" ca="1" si="121"/>
        <v>#REF!</v>
      </c>
      <c r="BL157" s="404" t="e">
        <f t="shared" ca="1" si="121"/>
        <v>#REF!</v>
      </c>
      <c r="BM157" s="404" t="e">
        <f t="shared" ca="1" si="121"/>
        <v>#REF!</v>
      </c>
      <c r="BN157" s="404" t="e">
        <f t="shared" ca="1" si="121"/>
        <v>#REF!</v>
      </c>
      <c r="BO157" s="404" t="e">
        <f t="shared" ca="1" si="121"/>
        <v>#REF!</v>
      </c>
      <c r="BP157" s="404" t="e">
        <f t="shared" ca="1" si="121"/>
        <v>#REF!</v>
      </c>
      <c r="BQ157" s="404" t="e">
        <f t="shared" ca="1" si="121"/>
        <v>#REF!</v>
      </c>
      <c r="BR157" s="404" t="e">
        <f ca="1">MAX(BR6,(BR155-5))</f>
        <v>#REF!</v>
      </c>
    </row>
    <row r="158" spans="1:70" ht="15.75" x14ac:dyDescent="0.3">
      <c r="A158" s="675" t="s">
        <v>2903</v>
      </c>
      <c r="B158" s="402"/>
      <c r="D158" s="390" t="s">
        <v>2904</v>
      </c>
      <c r="E158" s="404" t="e">
        <f ca="1">E157*(E152&gt;0)+E120*(E152=0)</f>
        <v>#REF!</v>
      </c>
      <c r="F158" s="404" t="e">
        <f t="shared" ref="F158:BQ158" ca="1" si="122">F157*(F152&gt;0)+F120*(F152=0)</f>
        <v>#REF!</v>
      </c>
      <c r="G158" s="404" t="e">
        <f t="shared" ca="1" si="122"/>
        <v>#REF!</v>
      </c>
      <c r="H158" s="404" t="e">
        <f t="shared" ca="1" si="122"/>
        <v>#REF!</v>
      </c>
      <c r="I158" s="404" t="e">
        <f t="shared" ca="1" si="122"/>
        <v>#REF!</v>
      </c>
      <c r="J158" s="404" t="e">
        <f t="shared" ca="1" si="122"/>
        <v>#REF!</v>
      </c>
      <c r="K158" s="404" t="e">
        <f t="shared" ca="1" si="122"/>
        <v>#REF!</v>
      </c>
      <c r="L158" s="404" t="e">
        <f t="shared" ca="1" si="122"/>
        <v>#REF!</v>
      </c>
      <c r="M158" s="404" t="e">
        <f t="shared" ca="1" si="122"/>
        <v>#REF!</v>
      </c>
      <c r="N158" s="404" t="e">
        <f t="shared" ca="1" si="122"/>
        <v>#REF!</v>
      </c>
      <c r="O158" s="404" t="e">
        <f t="shared" ca="1" si="122"/>
        <v>#REF!</v>
      </c>
      <c r="P158" s="404" t="e">
        <f t="shared" ca="1" si="122"/>
        <v>#REF!</v>
      </c>
      <c r="Q158" s="404" t="e">
        <f t="shared" ca="1" si="122"/>
        <v>#REF!</v>
      </c>
      <c r="R158" s="404" t="e">
        <f t="shared" ca="1" si="122"/>
        <v>#REF!</v>
      </c>
      <c r="S158" s="404" t="e">
        <f t="shared" ca="1" si="122"/>
        <v>#REF!</v>
      </c>
      <c r="T158" s="404" t="e">
        <f t="shared" ca="1" si="122"/>
        <v>#REF!</v>
      </c>
      <c r="U158" s="404" t="e">
        <f t="shared" ca="1" si="122"/>
        <v>#REF!</v>
      </c>
      <c r="V158" s="404" t="e">
        <f t="shared" ca="1" si="122"/>
        <v>#REF!</v>
      </c>
      <c r="W158" s="404" t="e">
        <f t="shared" ca="1" si="122"/>
        <v>#REF!</v>
      </c>
      <c r="X158" s="404" t="e">
        <f t="shared" ca="1" si="122"/>
        <v>#REF!</v>
      </c>
      <c r="Y158" s="404" t="e">
        <f t="shared" ca="1" si="122"/>
        <v>#REF!</v>
      </c>
      <c r="Z158" s="404" t="e">
        <f t="shared" ca="1" si="122"/>
        <v>#REF!</v>
      </c>
      <c r="AA158" s="404" t="e">
        <f t="shared" ca="1" si="122"/>
        <v>#REF!</v>
      </c>
      <c r="AB158" s="404" t="e">
        <f t="shared" ca="1" si="122"/>
        <v>#REF!</v>
      </c>
      <c r="AC158" s="404" t="e">
        <f t="shared" ca="1" si="122"/>
        <v>#REF!</v>
      </c>
      <c r="AD158" s="404" t="e">
        <f t="shared" ca="1" si="122"/>
        <v>#REF!</v>
      </c>
      <c r="AE158" s="404" t="e">
        <f t="shared" ca="1" si="122"/>
        <v>#REF!</v>
      </c>
      <c r="AF158" s="404" t="e">
        <f t="shared" ca="1" si="122"/>
        <v>#REF!</v>
      </c>
      <c r="AG158" s="404" t="e">
        <f t="shared" ca="1" si="122"/>
        <v>#REF!</v>
      </c>
      <c r="AH158" s="404" t="e">
        <f t="shared" ca="1" si="122"/>
        <v>#REF!</v>
      </c>
      <c r="AI158" s="404" t="e">
        <f t="shared" ca="1" si="122"/>
        <v>#REF!</v>
      </c>
      <c r="AJ158" s="404" t="e">
        <f t="shared" ca="1" si="122"/>
        <v>#REF!</v>
      </c>
      <c r="AK158" s="404" t="e">
        <f t="shared" ca="1" si="122"/>
        <v>#REF!</v>
      </c>
      <c r="AL158" s="404" t="e">
        <f t="shared" ca="1" si="122"/>
        <v>#REF!</v>
      </c>
      <c r="AM158" s="404" t="e">
        <f t="shared" ca="1" si="122"/>
        <v>#REF!</v>
      </c>
      <c r="AN158" s="404" t="e">
        <f t="shared" ca="1" si="122"/>
        <v>#REF!</v>
      </c>
      <c r="AO158" s="404" t="e">
        <f t="shared" ca="1" si="122"/>
        <v>#REF!</v>
      </c>
      <c r="AP158" s="404" t="e">
        <f t="shared" ca="1" si="122"/>
        <v>#REF!</v>
      </c>
      <c r="AQ158" s="404" t="e">
        <f t="shared" ca="1" si="122"/>
        <v>#REF!</v>
      </c>
      <c r="AR158" s="404" t="e">
        <f t="shared" ca="1" si="122"/>
        <v>#REF!</v>
      </c>
      <c r="AS158" s="404" t="e">
        <f t="shared" ca="1" si="122"/>
        <v>#REF!</v>
      </c>
      <c r="AT158" s="404" t="e">
        <f t="shared" ca="1" si="122"/>
        <v>#REF!</v>
      </c>
      <c r="AU158" s="404" t="e">
        <f t="shared" ca="1" si="122"/>
        <v>#REF!</v>
      </c>
      <c r="AV158" s="404" t="e">
        <f t="shared" ca="1" si="122"/>
        <v>#REF!</v>
      </c>
      <c r="AW158" s="404" t="e">
        <f t="shared" ca="1" si="122"/>
        <v>#REF!</v>
      </c>
      <c r="AX158" s="404" t="e">
        <f t="shared" ca="1" si="122"/>
        <v>#REF!</v>
      </c>
      <c r="AY158" s="404" t="e">
        <f t="shared" ca="1" si="122"/>
        <v>#REF!</v>
      </c>
      <c r="AZ158" s="404" t="e">
        <f t="shared" ca="1" si="122"/>
        <v>#REF!</v>
      </c>
      <c r="BA158" s="404" t="e">
        <f t="shared" ca="1" si="122"/>
        <v>#REF!</v>
      </c>
      <c r="BB158" s="404" t="e">
        <f t="shared" ca="1" si="122"/>
        <v>#REF!</v>
      </c>
      <c r="BC158" s="404" t="e">
        <f t="shared" ca="1" si="122"/>
        <v>#REF!</v>
      </c>
      <c r="BD158" s="404" t="e">
        <f t="shared" ca="1" si="122"/>
        <v>#REF!</v>
      </c>
      <c r="BE158" s="404" t="e">
        <f t="shared" ca="1" si="122"/>
        <v>#REF!</v>
      </c>
      <c r="BF158" s="404" t="e">
        <f t="shared" ca="1" si="122"/>
        <v>#REF!</v>
      </c>
      <c r="BG158" s="404" t="e">
        <f t="shared" ca="1" si="122"/>
        <v>#REF!</v>
      </c>
      <c r="BH158" s="404" t="e">
        <f t="shared" ca="1" si="122"/>
        <v>#REF!</v>
      </c>
      <c r="BI158" s="404" t="e">
        <f t="shared" ca="1" si="122"/>
        <v>#REF!</v>
      </c>
      <c r="BJ158" s="404" t="e">
        <f t="shared" ca="1" si="122"/>
        <v>#REF!</v>
      </c>
      <c r="BK158" s="404" t="e">
        <f t="shared" ca="1" si="122"/>
        <v>#REF!</v>
      </c>
      <c r="BL158" s="404" t="e">
        <f t="shared" ca="1" si="122"/>
        <v>#REF!</v>
      </c>
      <c r="BM158" s="404" t="e">
        <f t="shared" ca="1" si="122"/>
        <v>#REF!</v>
      </c>
      <c r="BN158" s="404" t="e">
        <f t="shared" ca="1" si="122"/>
        <v>#REF!</v>
      </c>
      <c r="BO158" s="404" t="e">
        <f t="shared" ca="1" si="122"/>
        <v>#REF!</v>
      </c>
      <c r="BP158" s="404" t="e">
        <f t="shared" ca="1" si="122"/>
        <v>#REF!</v>
      </c>
      <c r="BQ158" s="404" t="e">
        <f t="shared" ca="1" si="122"/>
        <v>#REF!</v>
      </c>
      <c r="BR158" s="404" t="e">
        <f ca="1">BR157*(BR152&gt;0)+BR120*(BR152=0)</f>
        <v>#REF!</v>
      </c>
    </row>
    <row r="159" spans="1:70" ht="15.75" x14ac:dyDescent="0.3">
      <c r="A159" s="675" t="s">
        <v>2905</v>
      </c>
      <c r="B159" s="402"/>
      <c r="D159" s="390" t="s">
        <v>2906</v>
      </c>
      <c r="E159" s="404" t="e">
        <f ca="1">E117-((E117-E158)*E154)</f>
        <v>#REF!</v>
      </c>
      <c r="F159" s="404" t="e">
        <f t="shared" ref="F159:BQ159" ca="1" si="123">F117-((F117-F158)*F154)</f>
        <v>#REF!</v>
      </c>
      <c r="G159" s="404" t="e">
        <f t="shared" ca="1" si="123"/>
        <v>#REF!</v>
      </c>
      <c r="H159" s="404" t="e">
        <f t="shared" ca="1" si="123"/>
        <v>#REF!</v>
      </c>
      <c r="I159" s="404" t="e">
        <f t="shared" ca="1" si="123"/>
        <v>#REF!</v>
      </c>
      <c r="J159" s="404" t="e">
        <f t="shared" ca="1" si="123"/>
        <v>#REF!</v>
      </c>
      <c r="K159" s="404" t="e">
        <f t="shared" ca="1" si="123"/>
        <v>#REF!</v>
      </c>
      <c r="L159" s="404" t="e">
        <f t="shared" ca="1" si="123"/>
        <v>#REF!</v>
      </c>
      <c r="M159" s="404" t="e">
        <f t="shared" ca="1" si="123"/>
        <v>#REF!</v>
      </c>
      <c r="N159" s="404" t="e">
        <f t="shared" ca="1" si="123"/>
        <v>#REF!</v>
      </c>
      <c r="O159" s="404" t="e">
        <f t="shared" ca="1" si="123"/>
        <v>#REF!</v>
      </c>
      <c r="P159" s="404" t="e">
        <f t="shared" ca="1" si="123"/>
        <v>#REF!</v>
      </c>
      <c r="Q159" s="404" t="e">
        <f t="shared" ca="1" si="123"/>
        <v>#REF!</v>
      </c>
      <c r="R159" s="404" t="e">
        <f t="shared" ca="1" si="123"/>
        <v>#REF!</v>
      </c>
      <c r="S159" s="404" t="e">
        <f t="shared" ca="1" si="123"/>
        <v>#REF!</v>
      </c>
      <c r="T159" s="404" t="e">
        <f t="shared" ca="1" si="123"/>
        <v>#REF!</v>
      </c>
      <c r="U159" s="404" t="e">
        <f t="shared" ca="1" si="123"/>
        <v>#REF!</v>
      </c>
      <c r="V159" s="404" t="e">
        <f t="shared" ca="1" si="123"/>
        <v>#REF!</v>
      </c>
      <c r="W159" s="404" t="e">
        <f t="shared" ca="1" si="123"/>
        <v>#REF!</v>
      </c>
      <c r="X159" s="404" t="e">
        <f t="shared" ca="1" si="123"/>
        <v>#REF!</v>
      </c>
      <c r="Y159" s="404" t="e">
        <f t="shared" ca="1" si="123"/>
        <v>#REF!</v>
      </c>
      <c r="Z159" s="404" t="e">
        <f t="shared" ca="1" si="123"/>
        <v>#REF!</v>
      </c>
      <c r="AA159" s="404" t="e">
        <f t="shared" ca="1" si="123"/>
        <v>#REF!</v>
      </c>
      <c r="AB159" s="404" t="e">
        <f t="shared" ca="1" si="123"/>
        <v>#REF!</v>
      </c>
      <c r="AC159" s="404" t="e">
        <f t="shared" ca="1" si="123"/>
        <v>#REF!</v>
      </c>
      <c r="AD159" s="404" t="e">
        <f t="shared" ca="1" si="123"/>
        <v>#REF!</v>
      </c>
      <c r="AE159" s="404" t="e">
        <f t="shared" ca="1" si="123"/>
        <v>#REF!</v>
      </c>
      <c r="AF159" s="404" t="e">
        <f t="shared" ca="1" si="123"/>
        <v>#REF!</v>
      </c>
      <c r="AG159" s="404" t="e">
        <f t="shared" ca="1" si="123"/>
        <v>#REF!</v>
      </c>
      <c r="AH159" s="404" t="e">
        <f t="shared" ca="1" si="123"/>
        <v>#REF!</v>
      </c>
      <c r="AI159" s="404" t="e">
        <f t="shared" ca="1" si="123"/>
        <v>#REF!</v>
      </c>
      <c r="AJ159" s="404" t="e">
        <f t="shared" ca="1" si="123"/>
        <v>#REF!</v>
      </c>
      <c r="AK159" s="404" t="e">
        <f t="shared" ca="1" si="123"/>
        <v>#REF!</v>
      </c>
      <c r="AL159" s="404" t="e">
        <f t="shared" ca="1" si="123"/>
        <v>#REF!</v>
      </c>
      <c r="AM159" s="404" t="e">
        <f t="shared" ca="1" si="123"/>
        <v>#REF!</v>
      </c>
      <c r="AN159" s="404" t="e">
        <f t="shared" ca="1" si="123"/>
        <v>#REF!</v>
      </c>
      <c r="AO159" s="404" t="e">
        <f t="shared" ca="1" si="123"/>
        <v>#REF!</v>
      </c>
      <c r="AP159" s="404" t="e">
        <f t="shared" ca="1" si="123"/>
        <v>#REF!</v>
      </c>
      <c r="AQ159" s="404" t="e">
        <f t="shared" ca="1" si="123"/>
        <v>#REF!</v>
      </c>
      <c r="AR159" s="404" t="e">
        <f t="shared" ca="1" si="123"/>
        <v>#REF!</v>
      </c>
      <c r="AS159" s="404" t="e">
        <f t="shared" ca="1" si="123"/>
        <v>#REF!</v>
      </c>
      <c r="AT159" s="404" t="e">
        <f t="shared" ca="1" si="123"/>
        <v>#REF!</v>
      </c>
      <c r="AU159" s="404" t="e">
        <f t="shared" ca="1" si="123"/>
        <v>#REF!</v>
      </c>
      <c r="AV159" s="404" t="e">
        <f t="shared" ca="1" si="123"/>
        <v>#REF!</v>
      </c>
      <c r="AW159" s="404" t="e">
        <f t="shared" ca="1" si="123"/>
        <v>#REF!</v>
      </c>
      <c r="AX159" s="404" t="e">
        <f t="shared" ca="1" si="123"/>
        <v>#REF!</v>
      </c>
      <c r="AY159" s="404" t="e">
        <f t="shared" ca="1" si="123"/>
        <v>#REF!</v>
      </c>
      <c r="AZ159" s="404" t="e">
        <f t="shared" ca="1" si="123"/>
        <v>#REF!</v>
      </c>
      <c r="BA159" s="404" t="e">
        <f t="shared" ca="1" si="123"/>
        <v>#REF!</v>
      </c>
      <c r="BB159" s="404" t="e">
        <f t="shared" ca="1" si="123"/>
        <v>#REF!</v>
      </c>
      <c r="BC159" s="404" t="e">
        <f t="shared" ca="1" si="123"/>
        <v>#REF!</v>
      </c>
      <c r="BD159" s="404" t="e">
        <f t="shared" ca="1" si="123"/>
        <v>#REF!</v>
      </c>
      <c r="BE159" s="404" t="e">
        <f t="shared" ca="1" si="123"/>
        <v>#REF!</v>
      </c>
      <c r="BF159" s="404" t="e">
        <f t="shared" ca="1" si="123"/>
        <v>#REF!</v>
      </c>
      <c r="BG159" s="404" t="e">
        <f t="shared" ca="1" si="123"/>
        <v>#REF!</v>
      </c>
      <c r="BH159" s="404" t="e">
        <f t="shared" ca="1" si="123"/>
        <v>#REF!</v>
      </c>
      <c r="BI159" s="404" t="e">
        <f t="shared" ca="1" si="123"/>
        <v>#REF!</v>
      </c>
      <c r="BJ159" s="404" t="e">
        <f t="shared" ca="1" si="123"/>
        <v>#REF!</v>
      </c>
      <c r="BK159" s="404" t="e">
        <f t="shared" ca="1" si="123"/>
        <v>#REF!</v>
      </c>
      <c r="BL159" s="404" t="e">
        <f t="shared" ca="1" si="123"/>
        <v>#REF!</v>
      </c>
      <c r="BM159" s="404" t="e">
        <f t="shared" ca="1" si="123"/>
        <v>#REF!</v>
      </c>
      <c r="BN159" s="404" t="e">
        <f t="shared" ca="1" si="123"/>
        <v>#REF!</v>
      </c>
      <c r="BO159" s="404" t="e">
        <f t="shared" ca="1" si="123"/>
        <v>#REF!</v>
      </c>
      <c r="BP159" s="404" t="e">
        <f t="shared" ca="1" si="123"/>
        <v>#REF!</v>
      </c>
      <c r="BQ159" s="404" t="e">
        <f t="shared" ca="1" si="123"/>
        <v>#REF!</v>
      </c>
      <c r="BR159" s="404" t="e">
        <f ca="1">BR117-((BR117-BR158)*BR154)</f>
        <v>#REF!</v>
      </c>
    </row>
    <row r="160" spans="1:70" ht="15.75" x14ac:dyDescent="0.3">
      <c r="A160" s="675" t="s">
        <v>2907</v>
      </c>
      <c r="B160" s="402"/>
      <c r="D160" s="390" t="s">
        <v>700</v>
      </c>
      <c r="E160" s="404" t="e">
        <f ca="1">(E159-E6)/400</f>
        <v>#REF!</v>
      </c>
      <c r="F160" s="404" t="e">
        <f t="shared" ref="F160:BQ160" ca="1" si="124">(F159-F6)/400</f>
        <v>#REF!</v>
      </c>
      <c r="G160" s="404" t="e">
        <f t="shared" ca="1" si="124"/>
        <v>#REF!</v>
      </c>
      <c r="H160" s="404" t="e">
        <f t="shared" ca="1" si="124"/>
        <v>#REF!</v>
      </c>
      <c r="I160" s="404" t="e">
        <f t="shared" ca="1" si="124"/>
        <v>#REF!</v>
      </c>
      <c r="J160" s="404" t="e">
        <f t="shared" ca="1" si="124"/>
        <v>#REF!</v>
      </c>
      <c r="K160" s="404" t="e">
        <f t="shared" ca="1" si="124"/>
        <v>#REF!</v>
      </c>
      <c r="L160" s="404" t="e">
        <f t="shared" ca="1" si="124"/>
        <v>#REF!</v>
      </c>
      <c r="M160" s="404" t="e">
        <f t="shared" ca="1" si="124"/>
        <v>#REF!</v>
      </c>
      <c r="N160" s="404" t="e">
        <f t="shared" ca="1" si="124"/>
        <v>#REF!</v>
      </c>
      <c r="O160" s="404" t="e">
        <f t="shared" ca="1" si="124"/>
        <v>#REF!</v>
      </c>
      <c r="P160" s="404" t="e">
        <f t="shared" ca="1" si="124"/>
        <v>#REF!</v>
      </c>
      <c r="Q160" s="404" t="e">
        <f t="shared" ca="1" si="124"/>
        <v>#REF!</v>
      </c>
      <c r="R160" s="404" t="e">
        <f t="shared" ca="1" si="124"/>
        <v>#REF!</v>
      </c>
      <c r="S160" s="404" t="e">
        <f t="shared" ca="1" si="124"/>
        <v>#REF!</v>
      </c>
      <c r="T160" s="404" t="e">
        <f t="shared" ca="1" si="124"/>
        <v>#REF!</v>
      </c>
      <c r="U160" s="404" t="e">
        <f t="shared" ca="1" si="124"/>
        <v>#REF!</v>
      </c>
      <c r="V160" s="404" t="e">
        <f t="shared" ca="1" si="124"/>
        <v>#REF!</v>
      </c>
      <c r="W160" s="404" t="e">
        <f t="shared" ca="1" si="124"/>
        <v>#REF!</v>
      </c>
      <c r="X160" s="404" t="e">
        <f t="shared" ca="1" si="124"/>
        <v>#REF!</v>
      </c>
      <c r="Y160" s="404" t="e">
        <f t="shared" ca="1" si="124"/>
        <v>#REF!</v>
      </c>
      <c r="Z160" s="404" t="e">
        <f t="shared" ca="1" si="124"/>
        <v>#REF!</v>
      </c>
      <c r="AA160" s="404" t="e">
        <f t="shared" ca="1" si="124"/>
        <v>#REF!</v>
      </c>
      <c r="AB160" s="404" t="e">
        <f t="shared" ca="1" si="124"/>
        <v>#REF!</v>
      </c>
      <c r="AC160" s="404" t="e">
        <f t="shared" ca="1" si="124"/>
        <v>#REF!</v>
      </c>
      <c r="AD160" s="404" t="e">
        <f t="shared" ca="1" si="124"/>
        <v>#REF!</v>
      </c>
      <c r="AE160" s="404" t="e">
        <f t="shared" ca="1" si="124"/>
        <v>#REF!</v>
      </c>
      <c r="AF160" s="404" t="e">
        <f t="shared" ca="1" si="124"/>
        <v>#REF!</v>
      </c>
      <c r="AG160" s="404" t="e">
        <f t="shared" ca="1" si="124"/>
        <v>#REF!</v>
      </c>
      <c r="AH160" s="404" t="e">
        <f t="shared" ca="1" si="124"/>
        <v>#REF!</v>
      </c>
      <c r="AI160" s="404" t="e">
        <f t="shared" ca="1" si="124"/>
        <v>#REF!</v>
      </c>
      <c r="AJ160" s="404" t="e">
        <f t="shared" ca="1" si="124"/>
        <v>#REF!</v>
      </c>
      <c r="AK160" s="404" t="e">
        <f t="shared" ca="1" si="124"/>
        <v>#REF!</v>
      </c>
      <c r="AL160" s="404" t="e">
        <f t="shared" ca="1" si="124"/>
        <v>#REF!</v>
      </c>
      <c r="AM160" s="404" t="e">
        <f t="shared" ca="1" si="124"/>
        <v>#REF!</v>
      </c>
      <c r="AN160" s="404" t="e">
        <f t="shared" ca="1" si="124"/>
        <v>#REF!</v>
      </c>
      <c r="AO160" s="404" t="e">
        <f t="shared" ca="1" si="124"/>
        <v>#REF!</v>
      </c>
      <c r="AP160" s="404" t="e">
        <f t="shared" ca="1" si="124"/>
        <v>#REF!</v>
      </c>
      <c r="AQ160" s="404" t="e">
        <f t="shared" ca="1" si="124"/>
        <v>#REF!</v>
      </c>
      <c r="AR160" s="404" t="e">
        <f t="shared" ca="1" si="124"/>
        <v>#REF!</v>
      </c>
      <c r="AS160" s="404" t="e">
        <f t="shared" ca="1" si="124"/>
        <v>#REF!</v>
      </c>
      <c r="AT160" s="404" t="e">
        <f t="shared" ca="1" si="124"/>
        <v>#REF!</v>
      </c>
      <c r="AU160" s="404" t="e">
        <f t="shared" ca="1" si="124"/>
        <v>#REF!</v>
      </c>
      <c r="AV160" s="404" t="e">
        <f t="shared" ca="1" si="124"/>
        <v>#REF!</v>
      </c>
      <c r="AW160" s="404" t="e">
        <f t="shared" ca="1" si="124"/>
        <v>#REF!</v>
      </c>
      <c r="AX160" s="404" t="e">
        <f t="shared" ca="1" si="124"/>
        <v>#REF!</v>
      </c>
      <c r="AY160" s="404" t="e">
        <f t="shared" ca="1" si="124"/>
        <v>#REF!</v>
      </c>
      <c r="AZ160" s="404" t="e">
        <f t="shared" ca="1" si="124"/>
        <v>#REF!</v>
      </c>
      <c r="BA160" s="404" t="e">
        <f t="shared" ca="1" si="124"/>
        <v>#REF!</v>
      </c>
      <c r="BB160" s="404" t="e">
        <f t="shared" ca="1" si="124"/>
        <v>#REF!</v>
      </c>
      <c r="BC160" s="404" t="e">
        <f t="shared" ca="1" si="124"/>
        <v>#REF!</v>
      </c>
      <c r="BD160" s="404" t="e">
        <f t="shared" ca="1" si="124"/>
        <v>#REF!</v>
      </c>
      <c r="BE160" s="404" t="e">
        <f t="shared" ca="1" si="124"/>
        <v>#REF!</v>
      </c>
      <c r="BF160" s="404" t="e">
        <f t="shared" ca="1" si="124"/>
        <v>#REF!</v>
      </c>
      <c r="BG160" s="404" t="e">
        <f t="shared" ca="1" si="124"/>
        <v>#REF!</v>
      </c>
      <c r="BH160" s="404" t="e">
        <f t="shared" ca="1" si="124"/>
        <v>#REF!</v>
      </c>
      <c r="BI160" s="404" t="e">
        <f t="shared" ca="1" si="124"/>
        <v>#REF!</v>
      </c>
      <c r="BJ160" s="404" t="e">
        <f t="shared" ca="1" si="124"/>
        <v>#REF!</v>
      </c>
      <c r="BK160" s="404" t="e">
        <f t="shared" ca="1" si="124"/>
        <v>#REF!</v>
      </c>
      <c r="BL160" s="404" t="e">
        <f t="shared" ca="1" si="124"/>
        <v>#REF!</v>
      </c>
      <c r="BM160" s="404" t="e">
        <f t="shared" ca="1" si="124"/>
        <v>#REF!</v>
      </c>
      <c r="BN160" s="404" t="e">
        <f t="shared" ca="1" si="124"/>
        <v>#REF!</v>
      </c>
      <c r="BO160" s="404" t="e">
        <f t="shared" ca="1" si="124"/>
        <v>#REF!</v>
      </c>
      <c r="BP160" s="404" t="e">
        <f t="shared" ca="1" si="124"/>
        <v>#REF!</v>
      </c>
      <c r="BQ160" s="404" t="e">
        <f t="shared" ca="1" si="124"/>
        <v>#REF!</v>
      </c>
      <c r="BR160" s="404" t="e">
        <f ca="1">(BR159-BR6)/400</f>
        <v>#REF!</v>
      </c>
    </row>
    <row r="161" spans="1:70" ht="15.75" x14ac:dyDescent="0.3">
      <c r="A161" s="675" t="s">
        <v>2908</v>
      </c>
      <c r="B161" s="402"/>
      <c r="D161" s="390" t="s">
        <v>2064</v>
      </c>
      <c r="E161" s="404" t="e">
        <f t="shared" ref="E161:BP161" ca="1" si="125">n_0-(a_1*E160)-(a_2*(E160^2)*400)</f>
        <v>#REF!</v>
      </c>
      <c r="F161" s="404" t="e">
        <f t="shared" ca="1" si="125"/>
        <v>#REF!</v>
      </c>
      <c r="G161" s="404" t="e">
        <f t="shared" ca="1" si="125"/>
        <v>#REF!</v>
      </c>
      <c r="H161" s="404" t="e">
        <f t="shared" ca="1" si="125"/>
        <v>#REF!</v>
      </c>
      <c r="I161" s="404" t="e">
        <f t="shared" ca="1" si="125"/>
        <v>#REF!</v>
      </c>
      <c r="J161" s="404" t="e">
        <f t="shared" ca="1" si="125"/>
        <v>#REF!</v>
      </c>
      <c r="K161" s="404" t="e">
        <f t="shared" ca="1" si="125"/>
        <v>#REF!</v>
      </c>
      <c r="L161" s="404" t="e">
        <f t="shared" ca="1" si="125"/>
        <v>#REF!</v>
      </c>
      <c r="M161" s="404" t="e">
        <f t="shared" ca="1" si="125"/>
        <v>#REF!</v>
      </c>
      <c r="N161" s="404" t="e">
        <f t="shared" ca="1" si="125"/>
        <v>#REF!</v>
      </c>
      <c r="O161" s="404" t="e">
        <f t="shared" ca="1" si="125"/>
        <v>#REF!</v>
      </c>
      <c r="P161" s="404" t="e">
        <f t="shared" ca="1" si="125"/>
        <v>#REF!</v>
      </c>
      <c r="Q161" s="404" t="e">
        <f t="shared" ca="1" si="125"/>
        <v>#REF!</v>
      </c>
      <c r="R161" s="404" t="e">
        <f t="shared" ca="1" si="125"/>
        <v>#REF!</v>
      </c>
      <c r="S161" s="404" t="e">
        <f t="shared" ca="1" si="125"/>
        <v>#REF!</v>
      </c>
      <c r="T161" s="404" t="e">
        <f t="shared" ca="1" si="125"/>
        <v>#REF!</v>
      </c>
      <c r="U161" s="404" t="e">
        <f t="shared" ca="1" si="125"/>
        <v>#REF!</v>
      </c>
      <c r="V161" s="404" t="e">
        <f t="shared" ca="1" si="125"/>
        <v>#REF!</v>
      </c>
      <c r="W161" s="404" t="e">
        <f t="shared" ca="1" si="125"/>
        <v>#REF!</v>
      </c>
      <c r="X161" s="404" t="e">
        <f t="shared" ca="1" si="125"/>
        <v>#REF!</v>
      </c>
      <c r="Y161" s="404" t="e">
        <f t="shared" ca="1" si="125"/>
        <v>#REF!</v>
      </c>
      <c r="Z161" s="404" t="e">
        <f t="shared" ca="1" si="125"/>
        <v>#REF!</v>
      </c>
      <c r="AA161" s="404" t="e">
        <f t="shared" ca="1" si="125"/>
        <v>#REF!</v>
      </c>
      <c r="AB161" s="404" t="e">
        <f t="shared" ca="1" si="125"/>
        <v>#REF!</v>
      </c>
      <c r="AC161" s="404" t="e">
        <f t="shared" ca="1" si="125"/>
        <v>#REF!</v>
      </c>
      <c r="AD161" s="404" t="e">
        <f t="shared" ca="1" si="125"/>
        <v>#REF!</v>
      </c>
      <c r="AE161" s="404" t="e">
        <f t="shared" ca="1" si="125"/>
        <v>#REF!</v>
      </c>
      <c r="AF161" s="404" t="e">
        <f t="shared" ca="1" si="125"/>
        <v>#REF!</v>
      </c>
      <c r="AG161" s="404" t="e">
        <f t="shared" ca="1" si="125"/>
        <v>#REF!</v>
      </c>
      <c r="AH161" s="404" t="e">
        <f t="shared" ca="1" si="125"/>
        <v>#REF!</v>
      </c>
      <c r="AI161" s="404" t="e">
        <f t="shared" ca="1" si="125"/>
        <v>#REF!</v>
      </c>
      <c r="AJ161" s="404" t="e">
        <f t="shared" ca="1" si="125"/>
        <v>#REF!</v>
      </c>
      <c r="AK161" s="404" t="e">
        <f t="shared" ca="1" si="125"/>
        <v>#REF!</v>
      </c>
      <c r="AL161" s="404" t="e">
        <f t="shared" ca="1" si="125"/>
        <v>#REF!</v>
      </c>
      <c r="AM161" s="404" t="e">
        <f t="shared" ca="1" si="125"/>
        <v>#REF!</v>
      </c>
      <c r="AN161" s="404" t="e">
        <f t="shared" ca="1" si="125"/>
        <v>#REF!</v>
      </c>
      <c r="AO161" s="404" t="e">
        <f t="shared" ca="1" si="125"/>
        <v>#REF!</v>
      </c>
      <c r="AP161" s="404" t="e">
        <f t="shared" ca="1" si="125"/>
        <v>#REF!</v>
      </c>
      <c r="AQ161" s="404" t="e">
        <f t="shared" ca="1" si="125"/>
        <v>#REF!</v>
      </c>
      <c r="AR161" s="404" t="e">
        <f t="shared" ca="1" si="125"/>
        <v>#REF!</v>
      </c>
      <c r="AS161" s="404" t="e">
        <f t="shared" ca="1" si="125"/>
        <v>#REF!</v>
      </c>
      <c r="AT161" s="404" t="e">
        <f t="shared" ca="1" si="125"/>
        <v>#REF!</v>
      </c>
      <c r="AU161" s="404" t="e">
        <f t="shared" ca="1" si="125"/>
        <v>#REF!</v>
      </c>
      <c r="AV161" s="404" t="e">
        <f t="shared" ca="1" si="125"/>
        <v>#REF!</v>
      </c>
      <c r="AW161" s="404" t="e">
        <f t="shared" ca="1" si="125"/>
        <v>#REF!</v>
      </c>
      <c r="AX161" s="404" t="e">
        <f t="shared" ca="1" si="125"/>
        <v>#REF!</v>
      </c>
      <c r="AY161" s="404" t="e">
        <f t="shared" ca="1" si="125"/>
        <v>#REF!</v>
      </c>
      <c r="AZ161" s="404" t="e">
        <f t="shared" ca="1" si="125"/>
        <v>#REF!</v>
      </c>
      <c r="BA161" s="404" t="e">
        <f t="shared" ca="1" si="125"/>
        <v>#REF!</v>
      </c>
      <c r="BB161" s="404" t="e">
        <f t="shared" ca="1" si="125"/>
        <v>#REF!</v>
      </c>
      <c r="BC161" s="404" t="e">
        <f t="shared" ca="1" si="125"/>
        <v>#REF!</v>
      </c>
      <c r="BD161" s="404" t="e">
        <f t="shared" ca="1" si="125"/>
        <v>#REF!</v>
      </c>
      <c r="BE161" s="404" t="e">
        <f t="shared" ca="1" si="125"/>
        <v>#REF!</v>
      </c>
      <c r="BF161" s="404" t="e">
        <f t="shared" ca="1" si="125"/>
        <v>#REF!</v>
      </c>
      <c r="BG161" s="404" t="e">
        <f t="shared" ca="1" si="125"/>
        <v>#REF!</v>
      </c>
      <c r="BH161" s="404" t="e">
        <f t="shared" ca="1" si="125"/>
        <v>#REF!</v>
      </c>
      <c r="BI161" s="404" t="e">
        <f t="shared" ca="1" si="125"/>
        <v>#REF!</v>
      </c>
      <c r="BJ161" s="404" t="e">
        <f t="shared" ca="1" si="125"/>
        <v>#REF!</v>
      </c>
      <c r="BK161" s="404" t="e">
        <f t="shared" ca="1" si="125"/>
        <v>#REF!</v>
      </c>
      <c r="BL161" s="404" t="e">
        <f t="shared" ca="1" si="125"/>
        <v>#REF!</v>
      </c>
      <c r="BM161" s="404" t="e">
        <f t="shared" ca="1" si="125"/>
        <v>#REF!</v>
      </c>
      <c r="BN161" s="404" t="e">
        <f t="shared" ca="1" si="125"/>
        <v>#REF!</v>
      </c>
      <c r="BO161" s="404" t="e">
        <f t="shared" ca="1" si="125"/>
        <v>#REF!</v>
      </c>
      <c r="BP161" s="404" t="e">
        <f t="shared" ca="1" si="125"/>
        <v>#REF!</v>
      </c>
      <c r="BQ161" s="404" t="e">
        <f ca="1">n_0-(a_1*BQ160)-(a_2*(BQ160^2)*400)</f>
        <v>#REF!</v>
      </c>
      <c r="BR161" s="404" t="e">
        <f ca="1">n_0-(a_1*BR160)-(a_2*(BR160^2)*400)</f>
        <v>#REF!</v>
      </c>
    </row>
    <row r="162" spans="1:70" ht="15.75" x14ac:dyDescent="0.3">
      <c r="A162" s="675" t="s">
        <v>2905</v>
      </c>
      <c r="B162" s="402"/>
      <c r="D162" s="390" t="s">
        <v>2072</v>
      </c>
      <c r="E162" s="404" t="e">
        <f t="shared" ref="E162:AJ162" ca="1" si="126">E109*A_A*E161</f>
        <v>#REF!</v>
      </c>
      <c r="F162" s="404" t="e">
        <f t="shared" ca="1" si="126"/>
        <v>#REF!</v>
      </c>
      <c r="G162" s="404" t="e">
        <f t="shared" ca="1" si="126"/>
        <v>#REF!</v>
      </c>
      <c r="H162" s="404" t="e">
        <f t="shared" ca="1" si="126"/>
        <v>#REF!</v>
      </c>
      <c r="I162" s="404" t="e">
        <f t="shared" ca="1" si="126"/>
        <v>#REF!</v>
      </c>
      <c r="J162" s="404" t="e">
        <f t="shared" ca="1" si="126"/>
        <v>#REF!</v>
      </c>
      <c r="K162" s="404" t="e">
        <f t="shared" ca="1" si="126"/>
        <v>#REF!</v>
      </c>
      <c r="L162" s="404" t="e">
        <f t="shared" ca="1" si="126"/>
        <v>#REF!</v>
      </c>
      <c r="M162" s="404" t="e">
        <f t="shared" ca="1" si="126"/>
        <v>#REF!</v>
      </c>
      <c r="N162" s="404" t="e">
        <f t="shared" ca="1" si="126"/>
        <v>#REF!</v>
      </c>
      <c r="O162" s="404" t="e">
        <f t="shared" ca="1" si="126"/>
        <v>#REF!</v>
      </c>
      <c r="P162" s="404" t="e">
        <f t="shared" ca="1" si="126"/>
        <v>#REF!</v>
      </c>
      <c r="Q162" s="404" t="e">
        <f t="shared" ca="1" si="126"/>
        <v>#REF!</v>
      </c>
      <c r="R162" s="404" t="e">
        <f t="shared" ca="1" si="126"/>
        <v>#REF!</v>
      </c>
      <c r="S162" s="404" t="e">
        <f t="shared" ca="1" si="126"/>
        <v>#REF!</v>
      </c>
      <c r="T162" s="404" t="e">
        <f t="shared" ca="1" si="126"/>
        <v>#REF!</v>
      </c>
      <c r="U162" s="404" t="e">
        <f t="shared" ca="1" si="126"/>
        <v>#REF!</v>
      </c>
      <c r="V162" s="404" t="e">
        <f t="shared" ca="1" si="126"/>
        <v>#REF!</v>
      </c>
      <c r="W162" s="404" t="e">
        <f t="shared" ca="1" si="126"/>
        <v>#REF!</v>
      </c>
      <c r="X162" s="404" t="e">
        <f t="shared" ca="1" si="126"/>
        <v>#REF!</v>
      </c>
      <c r="Y162" s="404" t="e">
        <f t="shared" ca="1" si="126"/>
        <v>#REF!</v>
      </c>
      <c r="Z162" s="404" t="e">
        <f t="shared" ca="1" si="126"/>
        <v>#REF!</v>
      </c>
      <c r="AA162" s="404" t="e">
        <f t="shared" ca="1" si="126"/>
        <v>#REF!</v>
      </c>
      <c r="AB162" s="404" t="e">
        <f t="shared" ca="1" si="126"/>
        <v>#REF!</v>
      </c>
      <c r="AC162" s="404" t="e">
        <f t="shared" ca="1" si="126"/>
        <v>#REF!</v>
      </c>
      <c r="AD162" s="404" t="e">
        <f t="shared" ca="1" si="126"/>
        <v>#REF!</v>
      </c>
      <c r="AE162" s="404" t="e">
        <f t="shared" ca="1" si="126"/>
        <v>#REF!</v>
      </c>
      <c r="AF162" s="404" t="e">
        <f t="shared" ca="1" si="126"/>
        <v>#REF!</v>
      </c>
      <c r="AG162" s="404" t="e">
        <f t="shared" ca="1" si="126"/>
        <v>#REF!</v>
      </c>
      <c r="AH162" s="404" t="e">
        <f t="shared" ca="1" si="126"/>
        <v>#REF!</v>
      </c>
      <c r="AI162" s="404" t="e">
        <f t="shared" ca="1" si="126"/>
        <v>#REF!</v>
      </c>
      <c r="AJ162" s="404" t="e">
        <f t="shared" ca="1" si="126"/>
        <v>#REF!</v>
      </c>
      <c r="AK162" s="404" t="e">
        <f t="shared" ref="AK162:BP162" ca="1" si="127">AK109*A_A*AK161</f>
        <v>#REF!</v>
      </c>
      <c r="AL162" s="404" t="e">
        <f t="shared" ca="1" si="127"/>
        <v>#REF!</v>
      </c>
      <c r="AM162" s="404" t="e">
        <f t="shared" ca="1" si="127"/>
        <v>#REF!</v>
      </c>
      <c r="AN162" s="404" t="e">
        <f t="shared" ca="1" si="127"/>
        <v>#REF!</v>
      </c>
      <c r="AO162" s="404" t="e">
        <f t="shared" ca="1" si="127"/>
        <v>#REF!</v>
      </c>
      <c r="AP162" s="404" t="e">
        <f t="shared" ca="1" si="127"/>
        <v>#REF!</v>
      </c>
      <c r="AQ162" s="404" t="e">
        <f t="shared" ca="1" si="127"/>
        <v>#REF!</v>
      </c>
      <c r="AR162" s="404" t="e">
        <f t="shared" ca="1" si="127"/>
        <v>#REF!</v>
      </c>
      <c r="AS162" s="404" t="e">
        <f t="shared" ca="1" si="127"/>
        <v>#REF!</v>
      </c>
      <c r="AT162" s="404" t="e">
        <f t="shared" ca="1" si="127"/>
        <v>#REF!</v>
      </c>
      <c r="AU162" s="404" t="e">
        <f t="shared" ca="1" si="127"/>
        <v>#REF!</v>
      </c>
      <c r="AV162" s="404" t="e">
        <f t="shared" ca="1" si="127"/>
        <v>#REF!</v>
      </c>
      <c r="AW162" s="404" t="e">
        <f t="shared" ca="1" si="127"/>
        <v>#REF!</v>
      </c>
      <c r="AX162" s="404" t="e">
        <f t="shared" ca="1" si="127"/>
        <v>#REF!</v>
      </c>
      <c r="AY162" s="404" t="e">
        <f t="shared" ca="1" si="127"/>
        <v>#REF!</v>
      </c>
      <c r="AZ162" s="404" t="e">
        <f t="shared" ca="1" si="127"/>
        <v>#REF!</v>
      </c>
      <c r="BA162" s="404" t="e">
        <f t="shared" ca="1" si="127"/>
        <v>#REF!</v>
      </c>
      <c r="BB162" s="404" t="e">
        <f t="shared" ca="1" si="127"/>
        <v>#REF!</v>
      </c>
      <c r="BC162" s="404" t="e">
        <f t="shared" ca="1" si="127"/>
        <v>#REF!</v>
      </c>
      <c r="BD162" s="404" t="e">
        <f t="shared" ca="1" si="127"/>
        <v>#REF!</v>
      </c>
      <c r="BE162" s="404" t="e">
        <f t="shared" ca="1" si="127"/>
        <v>#REF!</v>
      </c>
      <c r="BF162" s="404" t="e">
        <f t="shared" ca="1" si="127"/>
        <v>#REF!</v>
      </c>
      <c r="BG162" s="404" t="e">
        <f t="shared" ca="1" si="127"/>
        <v>#REF!</v>
      </c>
      <c r="BH162" s="404" t="e">
        <f t="shared" ca="1" si="127"/>
        <v>#REF!</v>
      </c>
      <c r="BI162" s="404" t="e">
        <f t="shared" ca="1" si="127"/>
        <v>#REF!</v>
      </c>
      <c r="BJ162" s="404" t="e">
        <f t="shared" ca="1" si="127"/>
        <v>#REF!</v>
      </c>
      <c r="BK162" s="404" t="e">
        <f t="shared" ca="1" si="127"/>
        <v>#REF!</v>
      </c>
      <c r="BL162" s="404" t="e">
        <f t="shared" ca="1" si="127"/>
        <v>#REF!</v>
      </c>
      <c r="BM162" s="404" t="e">
        <f t="shared" ca="1" si="127"/>
        <v>#REF!</v>
      </c>
      <c r="BN162" s="404" t="e">
        <f t="shared" ca="1" si="127"/>
        <v>#REF!</v>
      </c>
      <c r="BO162" s="404" t="e">
        <f t="shared" ca="1" si="127"/>
        <v>#REF!</v>
      </c>
      <c r="BP162" s="404" t="e">
        <f t="shared" ca="1" si="127"/>
        <v>#REF!</v>
      </c>
      <c r="BQ162" s="404" t="e">
        <f ca="1">BQ109*A_A*BQ161</f>
        <v>#REF!</v>
      </c>
      <c r="BR162" s="404" t="e">
        <f ca="1">BR109*A_A*BR161</f>
        <v>#REF!</v>
      </c>
    </row>
    <row r="163" spans="1:70" x14ac:dyDescent="0.2">
      <c r="B163" s="402"/>
      <c r="E163" s="404"/>
      <c r="F163" s="404"/>
      <c r="G163" s="404"/>
      <c r="H163" s="404"/>
      <c r="I163" s="404"/>
      <c r="J163" s="404"/>
      <c r="K163" s="404"/>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row>
    <row r="164" spans="1:70" x14ac:dyDescent="0.2">
      <c r="B164" s="410" t="s">
        <v>2909</v>
      </c>
      <c r="E164" s="404"/>
      <c r="F164" s="404"/>
      <c r="G164" s="404"/>
      <c r="H164" s="404"/>
      <c r="I164" s="404"/>
      <c r="J164" s="404"/>
      <c r="K164" s="404"/>
      <c r="L164" s="404"/>
      <c r="M164" s="404"/>
      <c r="N164" s="404"/>
      <c r="O164" s="404"/>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row>
    <row r="165" spans="1:70" ht="15.75" x14ac:dyDescent="0.3">
      <c r="B165" s="677" t="e">
        <f ca="1">SUM(E165:BR165)</f>
        <v>#VALUE!</v>
      </c>
      <c r="C165" s="390" t="s">
        <v>3665</v>
      </c>
      <c r="D165" s="390" t="s">
        <v>2073</v>
      </c>
      <c r="E165" s="404" t="e">
        <f ca="1">E132</f>
        <v>#VALUE!</v>
      </c>
      <c r="F165" s="404" t="e">
        <f t="shared" ref="F165:BQ165" ca="1" si="128">F132</f>
        <v>#VALUE!</v>
      </c>
      <c r="G165" s="404" t="e">
        <f t="shared" ca="1" si="128"/>
        <v>#VALUE!</v>
      </c>
      <c r="H165" s="404" t="e">
        <f t="shared" ca="1" si="128"/>
        <v>#VALUE!</v>
      </c>
      <c r="I165" s="404" t="e">
        <f t="shared" ca="1" si="128"/>
        <v>#VALUE!</v>
      </c>
      <c r="J165" s="404" t="e">
        <f t="shared" ca="1" si="128"/>
        <v>#VALUE!</v>
      </c>
      <c r="K165" s="404" t="e">
        <f t="shared" ca="1" si="128"/>
        <v>#VALUE!</v>
      </c>
      <c r="L165" s="404" t="e">
        <f t="shared" ca="1" si="128"/>
        <v>#VALUE!</v>
      </c>
      <c r="M165" s="404" t="e">
        <f t="shared" ca="1" si="128"/>
        <v>#VALUE!</v>
      </c>
      <c r="N165" s="404" t="e">
        <f t="shared" ca="1" si="128"/>
        <v>#VALUE!</v>
      </c>
      <c r="O165" s="404" t="e">
        <f t="shared" ca="1" si="128"/>
        <v>#VALUE!</v>
      </c>
      <c r="P165" s="404" t="e">
        <f t="shared" ca="1" si="128"/>
        <v>#VALUE!</v>
      </c>
      <c r="Q165" s="404" t="e">
        <f t="shared" ca="1" si="128"/>
        <v>#VALUE!</v>
      </c>
      <c r="R165" s="404" t="e">
        <f t="shared" ca="1" si="128"/>
        <v>#VALUE!</v>
      </c>
      <c r="S165" s="404" t="e">
        <f t="shared" ca="1" si="128"/>
        <v>#VALUE!</v>
      </c>
      <c r="T165" s="404" t="e">
        <f t="shared" ca="1" si="128"/>
        <v>#VALUE!</v>
      </c>
      <c r="U165" s="404" t="e">
        <f t="shared" ca="1" si="128"/>
        <v>#VALUE!</v>
      </c>
      <c r="V165" s="404" t="e">
        <f t="shared" ca="1" si="128"/>
        <v>#VALUE!</v>
      </c>
      <c r="W165" s="404" t="e">
        <f t="shared" ca="1" si="128"/>
        <v>#VALUE!</v>
      </c>
      <c r="X165" s="404" t="e">
        <f t="shared" ca="1" si="128"/>
        <v>#VALUE!</v>
      </c>
      <c r="Y165" s="404" t="e">
        <f t="shared" ca="1" si="128"/>
        <v>#VALUE!</v>
      </c>
      <c r="Z165" s="404" t="e">
        <f t="shared" ca="1" si="128"/>
        <v>#VALUE!</v>
      </c>
      <c r="AA165" s="404" t="e">
        <f t="shared" ca="1" si="128"/>
        <v>#VALUE!</v>
      </c>
      <c r="AB165" s="404" t="e">
        <f t="shared" ca="1" si="128"/>
        <v>#VALUE!</v>
      </c>
      <c r="AC165" s="404" t="e">
        <f t="shared" ca="1" si="128"/>
        <v>#VALUE!</v>
      </c>
      <c r="AD165" s="404" t="e">
        <f t="shared" ca="1" si="128"/>
        <v>#VALUE!</v>
      </c>
      <c r="AE165" s="404" t="e">
        <f t="shared" ca="1" si="128"/>
        <v>#VALUE!</v>
      </c>
      <c r="AF165" s="404" t="e">
        <f t="shared" ca="1" si="128"/>
        <v>#VALUE!</v>
      </c>
      <c r="AG165" s="404" t="e">
        <f t="shared" ca="1" si="128"/>
        <v>#VALUE!</v>
      </c>
      <c r="AH165" s="404" t="e">
        <f t="shared" ca="1" si="128"/>
        <v>#VALUE!</v>
      </c>
      <c r="AI165" s="404" t="e">
        <f t="shared" ca="1" si="128"/>
        <v>#VALUE!</v>
      </c>
      <c r="AJ165" s="404" t="e">
        <f t="shared" ca="1" si="128"/>
        <v>#VALUE!</v>
      </c>
      <c r="AK165" s="404" t="e">
        <f t="shared" ca="1" si="128"/>
        <v>#VALUE!</v>
      </c>
      <c r="AL165" s="404" t="e">
        <f t="shared" ca="1" si="128"/>
        <v>#VALUE!</v>
      </c>
      <c r="AM165" s="404" t="e">
        <f t="shared" ca="1" si="128"/>
        <v>#VALUE!</v>
      </c>
      <c r="AN165" s="404" t="e">
        <f t="shared" ca="1" si="128"/>
        <v>#VALUE!</v>
      </c>
      <c r="AO165" s="404" t="e">
        <f t="shared" ca="1" si="128"/>
        <v>#VALUE!</v>
      </c>
      <c r="AP165" s="404" t="e">
        <f t="shared" ca="1" si="128"/>
        <v>#VALUE!</v>
      </c>
      <c r="AQ165" s="404" t="e">
        <f t="shared" ca="1" si="128"/>
        <v>#VALUE!</v>
      </c>
      <c r="AR165" s="404" t="e">
        <f t="shared" ca="1" si="128"/>
        <v>#VALUE!</v>
      </c>
      <c r="AS165" s="404" t="e">
        <f t="shared" ca="1" si="128"/>
        <v>#VALUE!</v>
      </c>
      <c r="AT165" s="404" t="e">
        <f t="shared" ca="1" si="128"/>
        <v>#VALUE!</v>
      </c>
      <c r="AU165" s="404" t="e">
        <f t="shared" ca="1" si="128"/>
        <v>#VALUE!</v>
      </c>
      <c r="AV165" s="404" t="e">
        <f t="shared" ca="1" si="128"/>
        <v>#VALUE!</v>
      </c>
      <c r="AW165" s="404" t="e">
        <f t="shared" ca="1" si="128"/>
        <v>#VALUE!</v>
      </c>
      <c r="AX165" s="404" t="e">
        <f t="shared" ca="1" si="128"/>
        <v>#VALUE!</v>
      </c>
      <c r="AY165" s="404" t="e">
        <f t="shared" ca="1" si="128"/>
        <v>#VALUE!</v>
      </c>
      <c r="AZ165" s="404" t="e">
        <f t="shared" ca="1" si="128"/>
        <v>#VALUE!</v>
      </c>
      <c r="BA165" s="404" t="e">
        <f t="shared" ca="1" si="128"/>
        <v>#VALUE!</v>
      </c>
      <c r="BB165" s="404" t="e">
        <f t="shared" ca="1" si="128"/>
        <v>#VALUE!</v>
      </c>
      <c r="BC165" s="404" t="e">
        <f t="shared" ca="1" si="128"/>
        <v>#VALUE!</v>
      </c>
      <c r="BD165" s="404" t="e">
        <f t="shared" ca="1" si="128"/>
        <v>#VALUE!</v>
      </c>
      <c r="BE165" s="404" t="e">
        <f t="shared" ca="1" si="128"/>
        <v>#VALUE!</v>
      </c>
      <c r="BF165" s="404" t="e">
        <f t="shared" ca="1" si="128"/>
        <v>#VALUE!</v>
      </c>
      <c r="BG165" s="404" t="e">
        <f t="shared" ca="1" si="128"/>
        <v>#VALUE!</v>
      </c>
      <c r="BH165" s="404" t="e">
        <f t="shared" ca="1" si="128"/>
        <v>#VALUE!</v>
      </c>
      <c r="BI165" s="404" t="e">
        <f t="shared" ca="1" si="128"/>
        <v>#VALUE!</v>
      </c>
      <c r="BJ165" s="404" t="e">
        <f t="shared" ca="1" si="128"/>
        <v>#VALUE!</v>
      </c>
      <c r="BK165" s="404" t="e">
        <f t="shared" ca="1" si="128"/>
        <v>#VALUE!</v>
      </c>
      <c r="BL165" s="404" t="e">
        <f t="shared" ca="1" si="128"/>
        <v>#VALUE!</v>
      </c>
      <c r="BM165" s="404" t="e">
        <f t="shared" ca="1" si="128"/>
        <v>#VALUE!</v>
      </c>
      <c r="BN165" s="404" t="e">
        <f t="shared" ca="1" si="128"/>
        <v>#VALUE!</v>
      </c>
      <c r="BO165" s="404" t="e">
        <f t="shared" ca="1" si="128"/>
        <v>#VALUE!</v>
      </c>
      <c r="BP165" s="404" t="e">
        <f t="shared" ca="1" si="128"/>
        <v>#VALUE!</v>
      </c>
      <c r="BQ165" s="404" t="e">
        <f t="shared" ca="1" si="128"/>
        <v>#VALUE!</v>
      </c>
      <c r="BR165" s="404" t="e">
        <f ca="1">BR132</f>
        <v>#VALUE!</v>
      </c>
    </row>
    <row r="166" spans="1:70" ht="15.75" x14ac:dyDescent="0.3">
      <c r="B166" s="677" t="e">
        <f ca="1">SUM(E166:BR166)</f>
        <v>#REF!</v>
      </c>
      <c r="C166" s="390" t="s">
        <v>3665</v>
      </c>
      <c r="D166" s="390" t="s">
        <v>948</v>
      </c>
      <c r="E166" s="404" t="e">
        <f ca="1">E75</f>
        <v>#REF!</v>
      </c>
      <c r="F166" s="404" t="e">
        <f t="shared" ref="F166:BQ166" ca="1" si="129">F75</f>
        <v>#REF!</v>
      </c>
      <c r="G166" s="404" t="e">
        <f t="shared" ca="1" si="129"/>
        <v>#REF!</v>
      </c>
      <c r="H166" s="404" t="e">
        <f t="shared" ca="1" si="129"/>
        <v>#REF!</v>
      </c>
      <c r="I166" s="404" t="e">
        <f t="shared" ca="1" si="129"/>
        <v>#REF!</v>
      </c>
      <c r="J166" s="404" t="e">
        <f t="shared" ca="1" si="129"/>
        <v>#REF!</v>
      </c>
      <c r="K166" s="404" t="e">
        <f t="shared" ca="1" si="129"/>
        <v>#REF!</v>
      </c>
      <c r="L166" s="404" t="e">
        <f t="shared" ca="1" si="129"/>
        <v>#REF!</v>
      </c>
      <c r="M166" s="404" t="e">
        <f t="shared" ca="1" si="129"/>
        <v>#REF!</v>
      </c>
      <c r="N166" s="404" t="e">
        <f t="shared" ca="1" si="129"/>
        <v>#REF!</v>
      </c>
      <c r="O166" s="404" t="e">
        <f t="shared" ca="1" si="129"/>
        <v>#REF!</v>
      </c>
      <c r="P166" s="404" t="e">
        <f t="shared" ca="1" si="129"/>
        <v>#REF!</v>
      </c>
      <c r="Q166" s="404" t="e">
        <f t="shared" ca="1" si="129"/>
        <v>#REF!</v>
      </c>
      <c r="R166" s="404" t="e">
        <f t="shared" ca="1" si="129"/>
        <v>#REF!</v>
      </c>
      <c r="S166" s="404" t="e">
        <f t="shared" ca="1" si="129"/>
        <v>#REF!</v>
      </c>
      <c r="T166" s="404" t="e">
        <f t="shared" ca="1" si="129"/>
        <v>#REF!</v>
      </c>
      <c r="U166" s="404" t="e">
        <f t="shared" ca="1" si="129"/>
        <v>#REF!</v>
      </c>
      <c r="V166" s="404" t="e">
        <f t="shared" ca="1" si="129"/>
        <v>#REF!</v>
      </c>
      <c r="W166" s="404" t="e">
        <f t="shared" ca="1" si="129"/>
        <v>#REF!</v>
      </c>
      <c r="X166" s="404" t="e">
        <f t="shared" ca="1" si="129"/>
        <v>#REF!</v>
      </c>
      <c r="Y166" s="404" t="e">
        <f t="shared" ca="1" si="129"/>
        <v>#REF!</v>
      </c>
      <c r="Z166" s="404" t="e">
        <f t="shared" ca="1" si="129"/>
        <v>#REF!</v>
      </c>
      <c r="AA166" s="404" t="e">
        <f t="shared" ca="1" si="129"/>
        <v>#REF!</v>
      </c>
      <c r="AB166" s="404" t="e">
        <f t="shared" ca="1" si="129"/>
        <v>#REF!</v>
      </c>
      <c r="AC166" s="404" t="e">
        <f t="shared" ca="1" si="129"/>
        <v>#REF!</v>
      </c>
      <c r="AD166" s="404" t="e">
        <f t="shared" ca="1" si="129"/>
        <v>#REF!</v>
      </c>
      <c r="AE166" s="404" t="e">
        <f t="shared" ca="1" si="129"/>
        <v>#REF!</v>
      </c>
      <c r="AF166" s="404" t="e">
        <f t="shared" ca="1" si="129"/>
        <v>#REF!</v>
      </c>
      <c r="AG166" s="404" t="e">
        <f t="shared" ca="1" si="129"/>
        <v>#REF!</v>
      </c>
      <c r="AH166" s="404" t="e">
        <f t="shared" ca="1" si="129"/>
        <v>#REF!</v>
      </c>
      <c r="AI166" s="404" t="e">
        <f t="shared" ca="1" si="129"/>
        <v>#REF!</v>
      </c>
      <c r="AJ166" s="404" t="e">
        <f t="shared" ca="1" si="129"/>
        <v>#REF!</v>
      </c>
      <c r="AK166" s="404" t="e">
        <f t="shared" ca="1" si="129"/>
        <v>#REF!</v>
      </c>
      <c r="AL166" s="404" t="e">
        <f t="shared" ca="1" si="129"/>
        <v>#REF!</v>
      </c>
      <c r="AM166" s="404" t="e">
        <f t="shared" ca="1" si="129"/>
        <v>#REF!</v>
      </c>
      <c r="AN166" s="404" t="e">
        <f t="shared" ca="1" si="129"/>
        <v>#REF!</v>
      </c>
      <c r="AO166" s="404" t="e">
        <f t="shared" ca="1" si="129"/>
        <v>#REF!</v>
      </c>
      <c r="AP166" s="404" t="e">
        <f t="shared" ca="1" si="129"/>
        <v>#REF!</v>
      </c>
      <c r="AQ166" s="404" t="e">
        <f t="shared" ca="1" si="129"/>
        <v>#REF!</v>
      </c>
      <c r="AR166" s="404" t="e">
        <f t="shared" ca="1" si="129"/>
        <v>#REF!</v>
      </c>
      <c r="AS166" s="404" t="e">
        <f t="shared" ca="1" si="129"/>
        <v>#REF!</v>
      </c>
      <c r="AT166" s="404" t="e">
        <f t="shared" ca="1" si="129"/>
        <v>#REF!</v>
      </c>
      <c r="AU166" s="404" t="e">
        <f t="shared" ca="1" si="129"/>
        <v>#REF!</v>
      </c>
      <c r="AV166" s="404" t="e">
        <f t="shared" ca="1" si="129"/>
        <v>#REF!</v>
      </c>
      <c r="AW166" s="404" t="e">
        <f t="shared" ca="1" si="129"/>
        <v>#REF!</v>
      </c>
      <c r="AX166" s="404" t="e">
        <f t="shared" ca="1" si="129"/>
        <v>#REF!</v>
      </c>
      <c r="AY166" s="404" t="e">
        <f t="shared" ca="1" si="129"/>
        <v>#REF!</v>
      </c>
      <c r="AZ166" s="404" t="e">
        <f t="shared" ca="1" si="129"/>
        <v>#REF!</v>
      </c>
      <c r="BA166" s="404" t="e">
        <f t="shared" ca="1" si="129"/>
        <v>#REF!</v>
      </c>
      <c r="BB166" s="404" t="e">
        <f t="shared" ca="1" si="129"/>
        <v>#REF!</v>
      </c>
      <c r="BC166" s="404" t="e">
        <f t="shared" ca="1" si="129"/>
        <v>#REF!</v>
      </c>
      <c r="BD166" s="404" t="e">
        <f t="shared" ca="1" si="129"/>
        <v>#REF!</v>
      </c>
      <c r="BE166" s="404" t="e">
        <f t="shared" ca="1" si="129"/>
        <v>#REF!</v>
      </c>
      <c r="BF166" s="404" t="e">
        <f t="shared" ca="1" si="129"/>
        <v>#REF!</v>
      </c>
      <c r="BG166" s="404" t="e">
        <f t="shared" ca="1" si="129"/>
        <v>#REF!</v>
      </c>
      <c r="BH166" s="404" t="e">
        <f t="shared" ca="1" si="129"/>
        <v>#REF!</v>
      </c>
      <c r="BI166" s="404" t="e">
        <f t="shared" ca="1" si="129"/>
        <v>#REF!</v>
      </c>
      <c r="BJ166" s="404" t="e">
        <f t="shared" ca="1" si="129"/>
        <v>#REF!</v>
      </c>
      <c r="BK166" s="404" t="e">
        <f t="shared" ca="1" si="129"/>
        <v>#REF!</v>
      </c>
      <c r="BL166" s="404" t="e">
        <f t="shared" ca="1" si="129"/>
        <v>#REF!</v>
      </c>
      <c r="BM166" s="404" t="e">
        <f t="shared" ca="1" si="129"/>
        <v>#REF!</v>
      </c>
      <c r="BN166" s="404" t="e">
        <f t="shared" ca="1" si="129"/>
        <v>#REF!</v>
      </c>
      <c r="BO166" s="404" t="e">
        <f t="shared" ca="1" si="129"/>
        <v>#REF!</v>
      </c>
      <c r="BP166" s="404" t="e">
        <f t="shared" ca="1" si="129"/>
        <v>#REF!</v>
      </c>
      <c r="BQ166" s="404" t="e">
        <f t="shared" ca="1" si="129"/>
        <v>#REF!</v>
      </c>
      <c r="BR166" s="404" t="e">
        <f ca="1">BR75</f>
        <v>#REF!</v>
      </c>
    </row>
    <row r="167" spans="1:70" ht="15.75" x14ac:dyDescent="0.3">
      <c r="A167" s="675" t="s">
        <v>949</v>
      </c>
      <c r="B167" s="402" t="e">
        <f ca="1">SUM(E167:BR167)</f>
        <v>#VALUE!</v>
      </c>
      <c r="C167" s="390" t="s">
        <v>3665</v>
      </c>
      <c r="D167" s="390" t="s">
        <v>2447</v>
      </c>
      <c r="E167" s="404" t="e">
        <f ca="1">MIN(E162,(E165*2.5+E166*2.5))</f>
        <v>#VALUE!</v>
      </c>
      <c r="F167" s="404" t="e">
        <f t="shared" ref="F167:BQ167" ca="1" si="130">MIN(F162,(F165*2.5+F166*2.5))</f>
        <v>#VALUE!</v>
      </c>
      <c r="G167" s="404" t="e">
        <f t="shared" ca="1" si="130"/>
        <v>#VALUE!</v>
      </c>
      <c r="H167" s="404" t="e">
        <f t="shared" ca="1" si="130"/>
        <v>#VALUE!</v>
      </c>
      <c r="I167" s="404" t="e">
        <f t="shared" ca="1" si="130"/>
        <v>#VALUE!</v>
      </c>
      <c r="J167" s="404" t="e">
        <f t="shared" ca="1" si="130"/>
        <v>#VALUE!</v>
      </c>
      <c r="K167" s="404" t="e">
        <f t="shared" ca="1" si="130"/>
        <v>#VALUE!</v>
      </c>
      <c r="L167" s="404" t="e">
        <f t="shared" ca="1" si="130"/>
        <v>#VALUE!</v>
      </c>
      <c r="M167" s="404" t="e">
        <f t="shared" ca="1" si="130"/>
        <v>#VALUE!</v>
      </c>
      <c r="N167" s="404" t="e">
        <f t="shared" ca="1" si="130"/>
        <v>#VALUE!</v>
      </c>
      <c r="O167" s="404" t="e">
        <f t="shared" ca="1" si="130"/>
        <v>#VALUE!</v>
      </c>
      <c r="P167" s="404" t="e">
        <f t="shared" ca="1" si="130"/>
        <v>#VALUE!</v>
      </c>
      <c r="Q167" s="404" t="e">
        <f t="shared" ca="1" si="130"/>
        <v>#VALUE!</v>
      </c>
      <c r="R167" s="404" t="e">
        <f t="shared" ca="1" si="130"/>
        <v>#VALUE!</v>
      </c>
      <c r="S167" s="404" t="e">
        <f t="shared" ca="1" si="130"/>
        <v>#VALUE!</v>
      </c>
      <c r="T167" s="404" t="e">
        <f t="shared" ca="1" si="130"/>
        <v>#VALUE!</v>
      </c>
      <c r="U167" s="404" t="e">
        <f t="shared" ca="1" si="130"/>
        <v>#VALUE!</v>
      </c>
      <c r="V167" s="404" t="e">
        <f t="shared" ca="1" si="130"/>
        <v>#VALUE!</v>
      </c>
      <c r="W167" s="404" t="e">
        <f t="shared" ca="1" si="130"/>
        <v>#VALUE!</v>
      </c>
      <c r="X167" s="404" t="e">
        <f t="shared" ca="1" si="130"/>
        <v>#VALUE!</v>
      </c>
      <c r="Y167" s="404" t="e">
        <f t="shared" ca="1" si="130"/>
        <v>#VALUE!</v>
      </c>
      <c r="Z167" s="404" t="e">
        <f t="shared" ca="1" si="130"/>
        <v>#VALUE!</v>
      </c>
      <c r="AA167" s="404" t="e">
        <f t="shared" ca="1" si="130"/>
        <v>#VALUE!</v>
      </c>
      <c r="AB167" s="404" t="e">
        <f t="shared" ca="1" si="130"/>
        <v>#VALUE!</v>
      </c>
      <c r="AC167" s="404" t="e">
        <f t="shared" ca="1" si="130"/>
        <v>#VALUE!</v>
      </c>
      <c r="AD167" s="404" t="e">
        <f t="shared" ca="1" si="130"/>
        <v>#VALUE!</v>
      </c>
      <c r="AE167" s="404" t="e">
        <f t="shared" ca="1" si="130"/>
        <v>#VALUE!</v>
      </c>
      <c r="AF167" s="404" t="e">
        <f t="shared" ca="1" si="130"/>
        <v>#VALUE!</v>
      </c>
      <c r="AG167" s="404" t="e">
        <f t="shared" ca="1" si="130"/>
        <v>#VALUE!</v>
      </c>
      <c r="AH167" s="404" t="e">
        <f t="shared" ca="1" si="130"/>
        <v>#VALUE!</v>
      </c>
      <c r="AI167" s="404" t="e">
        <f t="shared" ca="1" si="130"/>
        <v>#VALUE!</v>
      </c>
      <c r="AJ167" s="404" t="e">
        <f t="shared" ca="1" si="130"/>
        <v>#VALUE!</v>
      </c>
      <c r="AK167" s="404" t="e">
        <f t="shared" ca="1" si="130"/>
        <v>#VALUE!</v>
      </c>
      <c r="AL167" s="404" t="e">
        <f t="shared" ca="1" si="130"/>
        <v>#VALUE!</v>
      </c>
      <c r="AM167" s="404" t="e">
        <f t="shared" ca="1" si="130"/>
        <v>#VALUE!</v>
      </c>
      <c r="AN167" s="404" t="e">
        <f t="shared" ca="1" si="130"/>
        <v>#VALUE!</v>
      </c>
      <c r="AO167" s="404" t="e">
        <f t="shared" ca="1" si="130"/>
        <v>#VALUE!</v>
      </c>
      <c r="AP167" s="404" t="e">
        <f t="shared" ca="1" si="130"/>
        <v>#VALUE!</v>
      </c>
      <c r="AQ167" s="404" t="e">
        <f t="shared" ca="1" si="130"/>
        <v>#VALUE!</v>
      </c>
      <c r="AR167" s="404" t="e">
        <f t="shared" ca="1" si="130"/>
        <v>#VALUE!</v>
      </c>
      <c r="AS167" s="404" t="e">
        <f t="shared" ca="1" si="130"/>
        <v>#VALUE!</v>
      </c>
      <c r="AT167" s="404" t="e">
        <f t="shared" ca="1" si="130"/>
        <v>#VALUE!</v>
      </c>
      <c r="AU167" s="404" t="e">
        <f t="shared" ca="1" si="130"/>
        <v>#VALUE!</v>
      </c>
      <c r="AV167" s="404" t="e">
        <f t="shared" ca="1" si="130"/>
        <v>#VALUE!</v>
      </c>
      <c r="AW167" s="404" t="e">
        <f t="shared" ca="1" si="130"/>
        <v>#VALUE!</v>
      </c>
      <c r="AX167" s="404" t="e">
        <f t="shared" ca="1" si="130"/>
        <v>#VALUE!</v>
      </c>
      <c r="AY167" s="404" t="e">
        <f t="shared" ca="1" si="130"/>
        <v>#VALUE!</v>
      </c>
      <c r="AZ167" s="404" t="e">
        <f t="shared" ca="1" si="130"/>
        <v>#VALUE!</v>
      </c>
      <c r="BA167" s="404" t="e">
        <f t="shared" ca="1" si="130"/>
        <v>#VALUE!</v>
      </c>
      <c r="BB167" s="404" t="e">
        <f t="shared" ca="1" si="130"/>
        <v>#VALUE!</v>
      </c>
      <c r="BC167" s="404" t="e">
        <f t="shared" ca="1" si="130"/>
        <v>#VALUE!</v>
      </c>
      <c r="BD167" s="404" t="e">
        <f t="shared" ca="1" si="130"/>
        <v>#VALUE!</v>
      </c>
      <c r="BE167" s="404" t="e">
        <f t="shared" ca="1" si="130"/>
        <v>#VALUE!</v>
      </c>
      <c r="BF167" s="404" t="e">
        <f t="shared" ca="1" si="130"/>
        <v>#VALUE!</v>
      </c>
      <c r="BG167" s="404" t="e">
        <f t="shared" ca="1" si="130"/>
        <v>#VALUE!</v>
      </c>
      <c r="BH167" s="404" t="e">
        <f t="shared" ca="1" si="130"/>
        <v>#VALUE!</v>
      </c>
      <c r="BI167" s="404" t="e">
        <f t="shared" ca="1" si="130"/>
        <v>#VALUE!</v>
      </c>
      <c r="BJ167" s="404" t="e">
        <f t="shared" ca="1" si="130"/>
        <v>#VALUE!</v>
      </c>
      <c r="BK167" s="404" t="e">
        <f t="shared" ca="1" si="130"/>
        <v>#VALUE!</v>
      </c>
      <c r="BL167" s="404" t="e">
        <f t="shared" ca="1" si="130"/>
        <v>#VALUE!</v>
      </c>
      <c r="BM167" s="404" t="e">
        <f t="shared" ca="1" si="130"/>
        <v>#VALUE!</v>
      </c>
      <c r="BN167" s="404" t="e">
        <f t="shared" ca="1" si="130"/>
        <v>#VALUE!</v>
      </c>
      <c r="BO167" s="404" t="e">
        <f t="shared" ca="1" si="130"/>
        <v>#VALUE!</v>
      </c>
      <c r="BP167" s="404" t="e">
        <f t="shared" ca="1" si="130"/>
        <v>#VALUE!</v>
      </c>
      <c r="BQ167" s="404" t="e">
        <f t="shared" ca="1" si="130"/>
        <v>#VALUE!</v>
      </c>
      <c r="BR167" s="404" t="e">
        <f ca="1">MIN(BR162,(BR165*2.5+BR166*2.5))</f>
        <v>#VALUE!</v>
      </c>
    </row>
    <row r="168" spans="1:70" x14ac:dyDescent="0.2">
      <c r="E168" s="404"/>
      <c r="F168" s="404"/>
      <c r="G168" s="404"/>
      <c r="H168" s="404"/>
      <c r="I168" s="404"/>
      <c r="J168" s="404"/>
      <c r="K168" s="404"/>
      <c r="L168" s="404"/>
      <c r="M168" s="404"/>
      <c r="N168" s="404"/>
      <c r="O168" s="404"/>
      <c r="P168" s="404"/>
      <c r="Q168" s="404"/>
      <c r="R168" s="404"/>
      <c r="S168" s="404"/>
      <c r="T168" s="404"/>
      <c r="U168" s="404"/>
      <c r="V168" s="404"/>
      <c r="W168" s="404"/>
      <c r="X168" s="404"/>
      <c r="Y168" s="404"/>
      <c r="Z168" s="404"/>
      <c r="AA168" s="404"/>
      <c r="AB168" s="404"/>
      <c r="AC168" s="404"/>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row>
    <row r="169" spans="1:70" x14ac:dyDescent="0.2">
      <c r="B169" s="410" t="s">
        <v>2448</v>
      </c>
      <c r="E169" s="404"/>
      <c r="F169" s="404"/>
      <c r="G169" s="404"/>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row>
    <row r="170" spans="1:70" ht="15.75" x14ac:dyDescent="0.3">
      <c r="A170" s="675" t="s">
        <v>950</v>
      </c>
      <c r="B170" s="402" t="e">
        <f ca="1">SUM(E170:BR170)</f>
        <v>#REF!</v>
      </c>
      <c r="C170" s="390" t="s">
        <v>3665</v>
      </c>
      <c r="D170" s="390" t="s">
        <v>2455</v>
      </c>
      <c r="E170" s="404" t="e">
        <f ca="1">MIN(E167,E166+E165)</f>
        <v>#REF!</v>
      </c>
      <c r="F170" s="404" t="e">
        <f t="shared" ref="F170:BQ170" ca="1" si="131">MIN(F167,F166+F165)</f>
        <v>#REF!</v>
      </c>
      <c r="G170" s="404" t="e">
        <f t="shared" ca="1" si="131"/>
        <v>#REF!</v>
      </c>
      <c r="H170" s="404" t="e">
        <f t="shared" ca="1" si="131"/>
        <v>#REF!</v>
      </c>
      <c r="I170" s="404" t="e">
        <f t="shared" ca="1" si="131"/>
        <v>#REF!</v>
      </c>
      <c r="J170" s="404" t="e">
        <f t="shared" ca="1" si="131"/>
        <v>#REF!</v>
      </c>
      <c r="K170" s="404" t="e">
        <f t="shared" ca="1" si="131"/>
        <v>#REF!</v>
      </c>
      <c r="L170" s="404" t="e">
        <f t="shared" ca="1" si="131"/>
        <v>#REF!</v>
      </c>
      <c r="M170" s="404" t="e">
        <f t="shared" ca="1" si="131"/>
        <v>#REF!</v>
      </c>
      <c r="N170" s="404" t="e">
        <f t="shared" ca="1" si="131"/>
        <v>#REF!</v>
      </c>
      <c r="O170" s="404" t="e">
        <f t="shared" ca="1" si="131"/>
        <v>#REF!</v>
      </c>
      <c r="P170" s="404" t="e">
        <f t="shared" ca="1" si="131"/>
        <v>#REF!</v>
      </c>
      <c r="Q170" s="404" t="e">
        <f t="shared" ca="1" si="131"/>
        <v>#REF!</v>
      </c>
      <c r="R170" s="404" t="e">
        <f t="shared" ca="1" si="131"/>
        <v>#REF!</v>
      </c>
      <c r="S170" s="404" t="e">
        <f t="shared" ca="1" si="131"/>
        <v>#REF!</v>
      </c>
      <c r="T170" s="404" t="e">
        <f t="shared" ca="1" si="131"/>
        <v>#REF!</v>
      </c>
      <c r="U170" s="404" t="e">
        <f t="shared" ca="1" si="131"/>
        <v>#REF!</v>
      </c>
      <c r="V170" s="404" t="e">
        <f t="shared" ca="1" si="131"/>
        <v>#REF!</v>
      </c>
      <c r="W170" s="404" t="e">
        <f t="shared" ca="1" si="131"/>
        <v>#REF!</v>
      </c>
      <c r="X170" s="404" t="e">
        <f t="shared" ca="1" si="131"/>
        <v>#REF!</v>
      </c>
      <c r="Y170" s="404" t="e">
        <f t="shared" ca="1" si="131"/>
        <v>#REF!</v>
      </c>
      <c r="Z170" s="404" t="e">
        <f t="shared" ca="1" si="131"/>
        <v>#REF!</v>
      </c>
      <c r="AA170" s="404" t="e">
        <f t="shared" ca="1" si="131"/>
        <v>#REF!</v>
      </c>
      <c r="AB170" s="404" t="e">
        <f t="shared" ca="1" si="131"/>
        <v>#REF!</v>
      </c>
      <c r="AC170" s="404" t="e">
        <f t="shared" ca="1" si="131"/>
        <v>#REF!</v>
      </c>
      <c r="AD170" s="404" t="e">
        <f t="shared" ca="1" si="131"/>
        <v>#REF!</v>
      </c>
      <c r="AE170" s="404" t="e">
        <f t="shared" ca="1" si="131"/>
        <v>#REF!</v>
      </c>
      <c r="AF170" s="404" t="e">
        <f t="shared" ca="1" si="131"/>
        <v>#REF!</v>
      </c>
      <c r="AG170" s="404" t="e">
        <f t="shared" ca="1" si="131"/>
        <v>#REF!</v>
      </c>
      <c r="AH170" s="404" t="e">
        <f t="shared" ca="1" si="131"/>
        <v>#REF!</v>
      </c>
      <c r="AI170" s="404" t="e">
        <f t="shared" ca="1" si="131"/>
        <v>#REF!</v>
      </c>
      <c r="AJ170" s="404" t="e">
        <f t="shared" ca="1" si="131"/>
        <v>#REF!</v>
      </c>
      <c r="AK170" s="404" t="e">
        <f t="shared" ca="1" si="131"/>
        <v>#REF!</v>
      </c>
      <c r="AL170" s="404" t="e">
        <f t="shared" ca="1" si="131"/>
        <v>#REF!</v>
      </c>
      <c r="AM170" s="404" t="e">
        <f t="shared" ca="1" si="131"/>
        <v>#REF!</v>
      </c>
      <c r="AN170" s="404" t="e">
        <f t="shared" ca="1" si="131"/>
        <v>#REF!</v>
      </c>
      <c r="AO170" s="404" t="e">
        <f t="shared" ca="1" si="131"/>
        <v>#REF!</v>
      </c>
      <c r="AP170" s="404" t="e">
        <f t="shared" ca="1" si="131"/>
        <v>#REF!</v>
      </c>
      <c r="AQ170" s="404" t="e">
        <f t="shared" ca="1" si="131"/>
        <v>#REF!</v>
      </c>
      <c r="AR170" s="404" t="e">
        <f t="shared" ca="1" si="131"/>
        <v>#REF!</v>
      </c>
      <c r="AS170" s="404" t="e">
        <f t="shared" ca="1" si="131"/>
        <v>#REF!</v>
      </c>
      <c r="AT170" s="404" t="e">
        <f t="shared" ca="1" si="131"/>
        <v>#REF!</v>
      </c>
      <c r="AU170" s="404" t="e">
        <f t="shared" ca="1" si="131"/>
        <v>#REF!</v>
      </c>
      <c r="AV170" s="404" t="e">
        <f t="shared" ca="1" si="131"/>
        <v>#REF!</v>
      </c>
      <c r="AW170" s="404" t="e">
        <f t="shared" ca="1" si="131"/>
        <v>#REF!</v>
      </c>
      <c r="AX170" s="404" t="e">
        <f t="shared" ca="1" si="131"/>
        <v>#REF!</v>
      </c>
      <c r="AY170" s="404" t="e">
        <f t="shared" ca="1" si="131"/>
        <v>#REF!</v>
      </c>
      <c r="AZ170" s="404" t="e">
        <f t="shared" ca="1" si="131"/>
        <v>#REF!</v>
      </c>
      <c r="BA170" s="404" t="e">
        <f t="shared" ca="1" si="131"/>
        <v>#REF!</v>
      </c>
      <c r="BB170" s="404" t="e">
        <f t="shared" ca="1" si="131"/>
        <v>#REF!</v>
      </c>
      <c r="BC170" s="404" t="e">
        <f t="shared" ca="1" si="131"/>
        <v>#REF!</v>
      </c>
      <c r="BD170" s="404" t="e">
        <f t="shared" ca="1" si="131"/>
        <v>#REF!</v>
      </c>
      <c r="BE170" s="404" t="e">
        <f t="shared" ca="1" si="131"/>
        <v>#REF!</v>
      </c>
      <c r="BF170" s="404" t="e">
        <f t="shared" ca="1" si="131"/>
        <v>#REF!</v>
      </c>
      <c r="BG170" s="404" t="e">
        <f t="shared" ca="1" si="131"/>
        <v>#REF!</v>
      </c>
      <c r="BH170" s="404" t="e">
        <f t="shared" ca="1" si="131"/>
        <v>#REF!</v>
      </c>
      <c r="BI170" s="404" t="e">
        <f t="shared" ca="1" si="131"/>
        <v>#REF!</v>
      </c>
      <c r="BJ170" s="404" t="e">
        <f t="shared" ca="1" si="131"/>
        <v>#REF!</v>
      </c>
      <c r="BK170" s="404" t="e">
        <f t="shared" ca="1" si="131"/>
        <v>#REF!</v>
      </c>
      <c r="BL170" s="404" t="e">
        <f t="shared" ca="1" si="131"/>
        <v>#REF!</v>
      </c>
      <c r="BM170" s="404" t="e">
        <f t="shared" ca="1" si="131"/>
        <v>#REF!</v>
      </c>
      <c r="BN170" s="404" t="e">
        <f t="shared" ca="1" si="131"/>
        <v>#REF!</v>
      </c>
      <c r="BO170" s="404" t="e">
        <f t="shared" ca="1" si="131"/>
        <v>#REF!</v>
      </c>
      <c r="BP170" s="404" t="e">
        <f t="shared" ca="1" si="131"/>
        <v>#REF!</v>
      </c>
      <c r="BQ170" s="404" t="e">
        <f t="shared" ca="1" si="131"/>
        <v>#REF!</v>
      </c>
      <c r="BR170" s="404" t="e">
        <f ca="1">MIN(BR167,BR166+BR165)</f>
        <v>#REF!</v>
      </c>
    </row>
    <row r="171" spans="1:70" ht="15.75" x14ac:dyDescent="0.3">
      <c r="B171" s="402" t="e">
        <f ca="1">SUM(E171:BR171)</f>
        <v>#VALUE!</v>
      </c>
      <c r="C171" s="390" t="s">
        <v>3665</v>
      </c>
      <c r="D171" s="390" t="s">
        <v>2453</v>
      </c>
      <c r="E171" s="404" t="e">
        <f ca="1">E167-E170</f>
        <v>#VALUE!</v>
      </c>
      <c r="F171" s="404" t="e">
        <f t="shared" ref="F171:BQ171" ca="1" si="132">F167-F170</f>
        <v>#VALUE!</v>
      </c>
      <c r="G171" s="404" t="e">
        <f t="shared" ca="1" si="132"/>
        <v>#VALUE!</v>
      </c>
      <c r="H171" s="404" t="e">
        <f t="shared" ca="1" si="132"/>
        <v>#VALUE!</v>
      </c>
      <c r="I171" s="404" t="e">
        <f t="shared" ca="1" si="132"/>
        <v>#VALUE!</v>
      </c>
      <c r="J171" s="404" t="e">
        <f t="shared" ca="1" si="132"/>
        <v>#VALUE!</v>
      </c>
      <c r="K171" s="404" t="e">
        <f t="shared" ca="1" si="132"/>
        <v>#VALUE!</v>
      </c>
      <c r="L171" s="404" t="e">
        <f t="shared" ca="1" si="132"/>
        <v>#VALUE!</v>
      </c>
      <c r="M171" s="404" t="e">
        <f t="shared" ca="1" si="132"/>
        <v>#VALUE!</v>
      </c>
      <c r="N171" s="404" t="e">
        <f t="shared" ca="1" si="132"/>
        <v>#VALUE!</v>
      </c>
      <c r="O171" s="404" t="e">
        <f t="shared" ca="1" si="132"/>
        <v>#VALUE!</v>
      </c>
      <c r="P171" s="404" t="e">
        <f t="shared" ca="1" si="132"/>
        <v>#VALUE!</v>
      </c>
      <c r="Q171" s="404" t="e">
        <f t="shared" ca="1" si="132"/>
        <v>#VALUE!</v>
      </c>
      <c r="R171" s="404" t="e">
        <f t="shared" ca="1" si="132"/>
        <v>#VALUE!</v>
      </c>
      <c r="S171" s="404" t="e">
        <f t="shared" ca="1" si="132"/>
        <v>#VALUE!</v>
      </c>
      <c r="T171" s="404" t="e">
        <f t="shared" ca="1" si="132"/>
        <v>#VALUE!</v>
      </c>
      <c r="U171" s="404" t="e">
        <f t="shared" ca="1" si="132"/>
        <v>#VALUE!</v>
      </c>
      <c r="V171" s="404" t="e">
        <f t="shared" ca="1" si="132"/>
        <v>#VALUE!</v>
      </c>
      <c r="W171" s="404" t="e">
        <f t="shared" ca="1" si="132"/>
        <v>#VALUE!</v>
      </c>
      <c r="X171" s="404" t="e">
        <f t="shared" ca="1" si="132"/>
        <v>#VALUE!</v>
      </c>
      <c r="Y171" s="404" t="e">
        <f t="shared" ca="1" si="132"/>
        <v>#VALUE!</v>
      </c>
      <c r="Z171" s="404" t="e">
        <f t="shared" ca="1" si="132"/>
        <v>#VALUE!</v>
      </c>
      <c r="AA171" s="404" t="e">
        <f t="shared" ca="1" si="132"/>
        <v>#VALUE!</v>
      </c>
      <c r="AB171" s="404" t="e">
        <f t="shared" ca="1" si="132"/>
        <v>#VALUE!</v>
      </c>
      <c r="AC171" s="404" t="e">
        <f t="shared" ca="1" si="132"/>
        <v>#VALUE!</v>
      </c>
      <c r="AD171" s="404" t="e">
        <f t="shared" ca="1" si="132"/>
        <v>#VALUE!</v>
      </c>
      <c r="AE171" s="404" t="e">
        <f t="shared" ca="1" si="132"/>
        <v>#VALUE!</v>
      </c>
      <c r="AF171" s="404" t="e">
        <f t="shared" ca="1" si="132"/>
        <v>#VALUE!</v>
      </c>
      <c r="AG171" s="404" t="e">
        <f t="shared" ca="1" si="132"/>
        <v>#VALUE!</v>
      </c>
      <c r="AH171" s="404" t="e">
        <f t="shared" ca="1" si="132"/>
        <v>#VALUE!</v>
      </c>
      <c r="AI171" s="404" t="e">
        <f t="shared" ca="1" si="132"/>
        <v>#VALUE!</v>
      </c>
      <c r="AJ171" s="404" t="e">
        <f t="shared" ca="1" si="132"/>
        <v>#VALUE!</v>
      </c>
      <c r="AK171" s="404" t="e">
        <f t="shared" ca="1" si="132"/>
        <v>#VALUE!</v>
      </c>
      <c r="AL171" s="404" t="e">
        <f t="shared" ca="1" si="132"/>
        <v>#VALUE!</v>
      </c>
      <c r="AM171" s="404" t="e">
        <f t="shared" ca="1" si="132"/>
        <v>#VALUE!</v>
      </c>
      <c r="AN171" s="404" t="e">
        <f t="shared" ca="1" si="132"/>
        <v>#VALUE!</v>
      </c>
      <c r="AO171" s="404" t="e">
        <f t="shared" ca="1" si="132"/>
        <v>#VALUE!</v>
      </c>
      <c r="AP171" s="404" t="e">
        <f t="shared" ca="1" si="132"/>
        <v>#VALUE!</v>
      </c>
      <c r="AQ171" s="404" t="e">
        <f t="shared" ca="1" si="132"/>
        <v>#VALUE!</v>
      </c>
      <c r="AR171" s="404" t="e">
        <f t="shared" ca="1" si="132"/>
        <v>#VALUE!</v>
      </c>
      <c r="AS171" s="404" t="e">
        <f t="shared" ca="1" si="132"/>
        <v>#VALUE!</v>
      </c>
      <c r="AT171" s="404" t="e">
        <f t="shared" ca="1" si="132"/>
        <v>#VALUE!</v>
      </c>
      <c r="AU171" s="404" t="e">
        <f t="shared" ca="1" si="132"/>
        <v>#VALUE!</v>
      </c>
      <c r="AV171" s="404" t="e">
        <f t="shared" ca="1" si="132"/>
        <v>#VALUE!</v>
      </c>
      <c r="AW171" s="404" t="e">
        <f t="shared" ca="1" si="132"/>
        <v>#VALUE!</v>
      </c>
      <c r="AX171" s="404" t="e">
        <f t="shared" ca="1" si="132"/>
        <v>#VALUE!</v>
      </c>
      <c r="AY171" s="404" t="e">
        <f t="shared" ca="1" si="132"/>
        <v>#VALUE!</v>
      </c>
      <c r="AZ171" s="404" t="e">
        <f t="shared" ca="1" si="132"/>
        <v>#VALUE!</v>
      </c>
      <c r="BA171" s="404" t="e">
        <f t="shared" ca="1" si="132"/>
        <v>#VALUE!</v>
      </c>
      <c r="BB171" s="404" t="e">
        <f t="shared" ca="1" si="132"/>
        <v>#VALUE!</v>
      </c>
      <c r="BC171" s="404" t="e">
        <f t="shared" ca="1" si="132"/>
        <v>#VALUE!</v>
      </c>
      <c r="BD171" s="404" t="e">
        <f t="shared" ca="1" si="132"/>
        <v>#VALUE!</v>
      </c>
      <c r="BE171" s="404" t="e">
        <f t="shared" ca="1" si="132"/>
        <v>#VALUE!</v>
      </c>
      <c r="BF171" s="404" t="e">
        <f t="shared" ca="1" si="132"/>
        <v>#VALUE!</v>
      </c>
      <c r="BG171" s="404" t="e">
        <f t="shared" ca="1" si="132"/>
        <v>#VALUE!</v>
      </c>
      <c r="BH171" s="404" t="e">
        <f t="shared" ca="1" si="132"/>
        <v>#VALUE!</v>
      </c>
      <c r="BI171" s="404" t="e">
        <f t="shared" ca="1" si="132"/>
        <v>#VALUE!</v>
      </c>
      <c r="BJ171" s="404" t="e">
        <f t="shared" ca="1" si="132"/>
        <v>#VALUE!</v>
      </c>
      <c r="BK171" s="404" t="e">
        <f t="shared" ca="1" si="132"/>
        <v>#VALUE!</v>
      </c>
      <c r="BL171" s="404" t="e">
        <f t="shared" ca="1" si="132"/>
        <v>#VALUE!</v>
      </c>
      <c r="BM171" s="404" t="e">
        <f t="shared" ca="1" si="132"/>
        <v>#VALUE!</v>
      </c>
      <c r="BN171" s="404" t="e">
        <f t="shared" ca="1" si="132"/>
        <v>#VALUE!</v>
      </c>
      <c r="BO171" s="404" t="e">
        <f t="shared" ca="1" si="132"/>
        <v>#VALUE!</v>
      </c>
      <c r="BP171" s="404" t="e">
        <f t="shared" ca="1" si="132"/>
        <v>#VALUE!</v>
      </c>
      <c r="BQ171" s="404" t="e">
        <f t="shared" ca="1" si="132"/>
        <v>#VALUE!</v>
      </c>
      <c r="BR171" s="404" t="e">
        <f ca="1">BR167-BR170</f>
        <v>#VALUE!</v>
      </c>
    </row>
    <row r="172" spans="1:70" x14ac:dyDescent="0.2">
      <c r="B172" s="402" t="e">
        <f ca="1">SUM(E172:BR172)</f>
        <v>#VALUE!</v>
      </c>
      <c r="C172" s="390" t="s">
        <v>3666</v>
      </c>
      <c r="D172" s="390" t="s">
        <v>2449</v>
      </c>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t="e">
        <f ca="1">(AD171=0)*AD7</f>
        <v>#VALUE!</v>
      </c>
      <c r="AE172" s="404" t="e">
        <f t="shared" ref="AE172:BR172" ca="1" si="133">(AE171=0)*AE7</f>
        <v>#VALUE!</v>
      </c>
      <c r="AF172" s="404" t="e">
        <f t="shared" ca="1" si="133"/>
        <v>#VALUE!</v>
      </c>
      <c r="AG172" s="404" t="e">
        <f t="shared" ca="1" si="133"/>
        <v>#VALUE!</v>
      </c>
      <c r="AH172" s="404" t="e">
        <f t="shared" ca="1" si="133"/>
        <v>#VALUE!</v>
      </c>
      <c r="AI172" s="404" t="e">
        <f t="shared" ca="1" si="133"/>
        <v>#VALUE!</v>
      </c>
      <c r="AJ172" s="404" t="e">
        <f t="shared" ca="1" si="133"/>
        <v>#VALUE!</v>
      </c>
      <c r="AK172" s="404" t="e">
        <f t="shared" ca="1" si="133"/>
        <v>#VALUE!</v>
      </c>
      <c r="AL172" s="404" t="e">
        <f t="shared" ca="1" si="133"/>
        <v>#VALUE!</v>
      </c>
      <c r="AM172" s="404" t="e">
        <f t="shared" ca="1" si="133"/>
        <v>#VALUE!</v>
      </c>
      <c r="AN172" s="404" t="e">
        <f t="shared" ca="1" si="133"/>
        <v>#VALUE!</v>
      </c>
      <c r="AO172" s="404" t="e">
        <f t="shared" ca="1" si="133"/>
        <v>#VALUE!</v>
      </c>
      <c r="AP172" s="404" t="e">
        <f t="shared" ca="1" si="133"/>
        <v>#VALUE!</v>
      </c>
      <c r="AQ172" s="404" t="e">
        <f t="shared" ca="1" si="133"/>
        <v>#VALUE!</v>
      </c>
      <c r="AR172" s="404" t="e">
        <f t="shared" ca="1" si="133"/>
        <v>#VALUE!</v>
      </c>
      <c r="AS172" s="404" t="e">
        <f t="shared" ca="1" si="133"/>
        <v>#VALUE!</v>
      </c>
      <c r="AT172" s="404" t="e">
        <f t="shared" ca="1" si="133"/>
        <v>#VALUE!</v>
      </c>
      <c r="AU172" s="404" t="e">
        <f t="shared" ca="1" si="133"/>
        <v>#VALUE!</v>
      </c>
      <c r="AV172" s="404" t="e">
        <f t="shared" ca="1" si="133"/>
        <v>#VALUE!</v>
      </c>
      <c r="AW172" s="404" t="e">
        <f t="shared" ca="1" si="133"/>
        <v>#VALUE!</v>
      </c>
      <c r="AX172" s="404" t="e">
        <f t="shared" ca="1" si="133"/>
        <v>#VALUE!</v>
      </c>
      <c r="AY172" s="404" t="e">
        <f t="shared" ca="1" si="133"/>
        <v>#VALUE!</v>
      </c>
      <c r="AZ172" s="404" t="e">
        <f t="shared" ca="1" si="133"/>
        <v>#VALUE!</v>
      </c>
      <c r="BA172" s="404" t="e">
        <f t="shared" ca="1" si="133"/>
        <v>#VALUE!</v>
      </c>
      <c r="BB172" s="404" t="e">
        <f t="shared" ca="1" si="133"/>
        <v>#VALUE!</v>
      </c>
      <c r="BC172" s="404" t="e">
        <f t="shared" ca="1" si="133"/>
        <v>#VALUE!</v>
      </c>
      <c r="BD172" s="404" t="e">
        <f t="shared" ca="1" si="133"/>
        <v>#VALUE!</v>
      </c>
      <c r="BE172" s="404" t="e">
        <f t="shared" ca="1" si="133"/>
        <v>#VALUE!</v>
      </c>
      <c r="BF172" s="404" t="e">
        <f t="shared" ca="1" si="133"/>
        <v>#VALUE!</v>
      </c>
      <c r="BG172" s="404" t="e">
        <f t="shared" ca="1" si="133"/>
        <v>#VALUE!</v>
      </c>
      <c r="BH172" s="404" t="e">
        <f t="shared" ca="1" si="133"/>
        <v>#VALUE!</v>
      </c>
      <c r="BI172" s="404" t="e">
        <f t="shared" ca="1" si="133"/>
        <v>#VALUE!</v>
      </c>
      <c r="BJ172" s="404" t="e">
        <f t="shared" ca="1" si="133"/>
        <v>#VALUE!</v>
      </c>
      <c r="BK172" s="404" t="e">
        <f t="shared" ca="1" si="133"/>
        <v>#VALUE!</v>
      </c>
      <c r="BL172" s="404" t="e">
        <f t="shared" ca="1" si="133"/>
        <v>#VALUE!</v>
      </c>
      <c r="BM172" s="404" t="e">
        <f t="shared" ca="1" si="133"/>
        <v>#VALUE!</v>
      </c>
      <c r="BN172" s="404" t="e">
        <f t="shared" ca="1" si="133"/>
        <v>#VALUE!</v>
      </c>
      <c r="BO172" s="404" t="e">
        <f t="shared" ca="1" si="133"/>
        <v>#VALUE!</v>
      </c>
      <c r="BP172" s="404" t="e">
        <f t="shared" ca="1" si="133"/>
        <v>#VALUE!</v>
      </c>
      <c r="BQ172" s="404" t="e">
        <f t="shared" ca="1" si="133"/>
        <v>#VALUE!</v>
      </c>
      <c r="BR172" s="404" t="e">
        <f t="shared" ca="1" si="133"/>
        <v>#VALUE!</v>
      </c>
    </row>
    <row r="173" spans="1:70" ht="15.75" x14ac:dyDescent="0.3">
      <c r="A173" s="672" t="s">
        <v>1124</v>
      </c>
      <c r="B173" s="411" t="e">
        <f ca="1">B171/B172</f>
        <v>#VALUE!</v>
      </c>
      <c r="C173" s="390" t="s">
        <v>3650</v>
      </c>
      <c r="D173" s="390" t="s">
        <v>2454</v>
      </c>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row>
    <row r="174" spans="1:70" ht="15.75" x14ac:dyDescent="0.3">
      <c r="A174" s="672" t="s">
        <v>1124</v>
      </c>
      <c r="B174" s="402" t="e">
        <f ca="1">SUM(E174:BR174)</f>
        <v>#VALUE!</v>
      </c>
      <c r="C174" s="390" t="s">
        <v>3665</v>
      </c>
      <c r="D174" s="390" t="s">
        <v>2451</v>
      </c>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t="e">
        <f ca="1">AD172*$B$173</f>
        <v>#VALUE!</v>
      </c>
      <c r="AE174" s="404" t="e">
        <f t="shared" ref="AE174:BR174" ca="1" si="134">AE172*$B$173</f>
        <v>#VALUE!</v>
      </c>
      <c r="AF174" s="404" t="e">
        <f t="shared" ca="1" si="134"/>
        <v>#VALUE!</v>
      </c>
      <c r="AG174" s="404" t="e">
        <f t="shared" ca="1" si="134"/>
        <v>#VALUE!</v>
      </c>
      <c r="AH174" s="404" t="e">
        <f t="shared" ca="1" si="134"/>
        <v>#VALUE!</v>
      </c>
      <c r="AI174" s="404" t="e">
        <f t="shared" ca="1" si="134"/>
        <v>#VALUE!</v>
      </c>
      <c r="AJ174" s="404" t="e">
        <f t="shared" ca="1" si="134"/>
        <v>#VALUE!</v>
      </c>
      <c r="AK174" s="404" t="e">
        <f t="shared" ca="1" si="134"/>
        <v>#VALUE!</v>
      </c>
      <c r="AL174" s="404" t="e">
        <f t="shared" ca="1" si="134"/>
        <v>#VALUE!</v>
      </c>
      <c r="AM174" s="404" t="e">
        <f t="shared" ca="1" si="134"/>
        <v>#VALUE!</v>
      </c>
      <c r="AN174" s="404" t="e">
        <f t="shared" ca="1" si="134"/>
        <v>#VALUE!</v>
      </c>
      <c r="AO174" s="404" t="e">
        <f t="shared" ca="1" si="134"/>
        <v>#VALUE!</v>
      </c>
      <c r="AP174" s="404" t="e">
        <f t="shared" ca="1" si="134"/>
        <v>#VALUE!</v>
      </c>
      <c r="AQ174" s="404" t="e">
        <f t="shared" ca="1" si="134"/>
        <v>#VALUE!</v>
      </c>
      <c r="AR174" s="404" t="e">
        <f t="shared" ca="1" si="134"/>
        <v>#VALUE!</v>
      </c>
      <c r="AS174" s="404" t="e">
        <f t="shared" ca="1" si="134"/>
        <v>#VALUE!</v>
      </c>
      <c r="AT174" s="404" t="e">
        <f t="shared" ca="1" si="134"/>
        <v>#VALUE!</v>
      </c>
      <c r="AU174" s="404" t="e">
        <f t="shared" ca="1" si="134"/>
        <v>#VALUE!</v>
      </c>
      <c r="AV174" s="404" t="e">
        <f t="shared" ca="1" si="134"/>
        <v>#VALUE!</v>
      </c>
      <c r="AW174" s="404" t="e">
        <f t="shared" ca="1" si="134"/>
        <v>#VALUE!</v>
      </c>
      <c r="AX174" s="404" t="e">
        <f t="shared" ca="1" si="134"/>
        <v>#VALUE!</v>
      </c>
      <c r="AY174" s="404" t="e">
        <f t="shared" ca="1" si="134"/>
        <v>#VALUE!</v>
      </c>
      <c r="AZ174" s="404" t="e">
        <f t="shared" ca="1" si="134"/>
        <v>#VALUE!</v>
      </c>
      <c r="BA174" s="404" t="e">
        <f t="shared" ca="1" si="134"/>
        <v>#VALUE!</v>
      </c>
      <c r="BB174" s="404" t="e">
        <f t="shared" ca="1" si="134"/>
        <v>#VALUE!</v>
      </c>
      <c r="BC174" s="404" t="e">
        <f t="shared" ca="1" si="134"/>
        <v>#VALUE!</v>
      </c>
      <c r="BD174" s="404" t="e">
        <f t="shared" ca="1" si="134"/>
        <v>#VALUE!</v>
      </c>
      <c r="BE174" s="404" t="e">
        <f t="shared" ca="1" si="134"/>
        <v>#VALUE!</v>
      </c>
      <c r="BF174" s="404" t="e">
        <f t="shared" ca="1" si="134"/>
        <v>#VALUE!</v>
      </c>
      <c r="BG174" s="404" t="e">
        <f t="shared" ca="1" si="134"/>
        <v>#VALUE!</v>
      </c>
      <c r="BH174" s="404" t="e">
        <f t="shared" ca="1" si="134"/>
        <v>#VALUE!</v>
      </c>
      <c r="BI174" s="404" t="e">
        <f t="shared" ca="1" si="134"/>
        <v>#VALUE!</v>
      </c>
      <c r="BJ174" s="404" t="e">
        <f t="shared" ca="1" si="134"/>
        <v>#VALUE!</v>
      </c>
      <c r="BK174" s="404" t="e">
        <f t="shared" ca="1" si="134"/>
        <v>#VALUE!</v>
      </c>
      <c r="BL174" s="404" t="e">
        <f t="shared" ca="1" si="134"/>
        <v>#VALUE!</v>
      </c>
      <c r="BM174" s="404" t="e">
        <f t="shared" ca="1" si="134"/>
        <v>#VALUE!</v>
      </c>
      <c r="BN174" s="404" t="e">
        <f t="shared" ca="1" si="134"/>
        <v>#VALUE!</v>
      </c>
      <c r="BO174" s="404" t="e">
        <f t="shared" ca="1" si="134"/>
        <v>#VALUE!</v>
      </c>
      <c r="BP174" s="404" t="e">
        <f t="shared" ca="1" si="134"/>
        <v>#VALUE!</v>
      </c>
      <c r="BQ174" s="404" t="e">
        <f t="shared" ca="1" si="134"/>
        <v>#VALUE!</v>
      </c>
      <c r="BR174" s="404" t="e">
        <f t="shared" ca="1" si="134"/>
        <v>#VALUE!</v>
      </c>
    </row>
    <row r="175" spans="1:70" ht="15.75" x14ac:dyDescent="0.3">
      <c r="A175" s="675" t="s">
        <v>951</v>
      </c>
      <c r="B175" s="402" t="e">
        <f ca="1">SUM(E175:BR175)</f>
        <v>#VALUE!</v>
      </c>
      <c r="C175" s="390" t="s">
        <v>3665</v>
      </c>
      <c r="D175" s="390" t="s">
        <v>466</v>
      </c>
      <c r="E175" s="404"/>
      <c r="F175" s="404"/>
      <c r="G175" s="404"/>
      <c r="H175" s="404"/>
      <c r="I175" s="404"/>
      <c r="J175" s="404"/>
      <c r="K175" s="404"/>
      <c r="L175" s="404"/>
      <c r="M175" s="404"/>
      <c r="N175" s="404"/>
      <c r="O175" s="404"/>
      <c r="P175" s="404"/>
      <c r="Q175" s="404"/>
      <c r="R175" s="404"/>
      <c r="S175" s="404"/>
      <c r="T175" s="404"/>
      <c r="U175" s="404"/>
      <c r="V175" s="404"/>
      <c r="W175" s="404"/>
      <c r="X175" s="404"/>
      <c r="Y175" s="404"/>
      <c r="Z175" s="404"/>
      <c r="AA175" s="404"/>
      <c r="AB175" s="404"/>
      <c r="AC175" s="404"/>
      <c r="AD175" s="404" t="e">
        <f ca="1">MIN(AD167+AD174,AD166+AD165)</f>
        <v>#VALUE!</v>
      </c>
      <c r="AE175" s="404" t="e">
        <f t="shared" ref="AE175:BR175" ca="1" si="135">MIN(AE167+AE174,AE166+AE165)</f>
        <v>#VALUE!</v>
      </c>
      <c r="AF175" s="404" t="e">
        <f t="shared" ca="1" si="135"/>
        <v>#VALUE!</v>
      </c>
      <c r="AG175" s="404" t="e">
        <f t="shared" ca="1" si="135"/>
        <v>#VALUE!</v>
      </c>
      <c r="AH175" s="404" t="e">
        <f t="shared" ca="1" si="135"/>
        <v>#VALUE!</v>
      </c>
      <c r="AI175" s="404" t="e">
        <f t="shared" ca="1" si="135"/>
        <v>#VALUE!</v>
      </c>
      <c r="AJ175" s="404" t="e">
        <f t="shared" ca="1" si="135"/>
        <v>#VALUE!</v>
      </c>
      <c r="AK175" s="404" t="e">
        <f t="shared" ca="1" si="135"/>
        <v>#VALUE!</v>
      </c>
      <c r="AL175" s="404" t="e">
        <f t="shared" ca="1" si="135"/>
        <v>#VALUE!</v>
      </c>
      <c r="AM175" s="404" t="e">
        <f t="shared" ca="1" si="135"/>
        <v>#VALUE!</v>
      </c>
      <c r="AN175" s="404" t="e">
        <f t="shared" ca="1" si="135"/>
        <v>#VALUE!</v>
      </c>
      <c r="AO175" s="404" t="e">
        <f t="shared" ca="1" si="135"/>
        <v>#VALUE!</v>
      </c>
      <c r="AP175" s="404" t="e">
        <f t="shared" ca="1" si="135"/>
        <v>#VALUE!</v>
      </c>
      <c r="AQ175" s="404" t="e">
        <f t="shared" ca="1" si="135"/>
        <v>#VALUE!</v>
      </c>
      <c r="AR175" s="404" t="e">
        <f t="shared" ca="1" si="135"/>
        <v>#VALUE!</v>
      </c>
      <c r="AS175" s="404" t="e">
        <f t="shared" ca="1" si="135"/>
        <v>#VALUE!</v>
      </c>
      <c r="AT175" s="404" t="e">
        <f t="shared" ca="1" si="135"/>
        <v>#VALUE!</v>
      </c>
      <c r="AU175" s="404" t="e">
        <f t="shared" ca="1" si="135"/>
        <v>#VALUE!</v>
      </c>
      <c r="AV175" s="404" t="e">
        <f t="shared" ca="1" si="135"/>
        <v>#VALUE!</v>
      </c>
      <c r="AW175" s="404" t="e">
        <f t="shared" ca="1" si="135"/>
        <v>#VALUE!</v>
      </c>
      <c r="AX175" s="404" t="e">
        <f t="shared" ca="1" si="135"/>
        <v>#VALUE!</v>
      </c>
      <c r="AY175" s="404" t="e">
        <f t="shared" ca="1" si="135"/>
        <v>#VALUE!</v>
      </c>
      <c r="AZ175" s="404" t="e">
        <f t="shared" ca="1" si="135"/>
        <v>#VALUE!</v>
      </c>
      <c r="BA175" s="404" t="e">
        <f t="shared" ca="1" si="135"/>
        <v>#VALUE!</v>
      </c>
      <c r="BB175" s="404" t="e">
        <f t="shared" ca="1" si="135"/>
        <v>#VALUE!</v>
      </c>
      <c r="BC175" s="404" t="e">
        <f t="shared" ca="1" si="135"/>
        <v>#VALUE!</v>
      </c>
      <c r="BD175" s="404" t="e">
        <f t="shared" ca="1" si="135"/>
        <v>#VALUE!</v>
      </c>
      <c r="BE175" s="404" t="e">
        <f t="shared" ca="1" si="135"/>
        <v>#VALUE!</v>
      </c>
      <c r="BF175" s="404" t="e">
        <f t="shared" ca="1" si="135"/>
        <v>#VALUE!</v>
      </c>
      <c r="BG175" s="404" t="e">
        <f t="shared" ca="1" si="135"/>
        <v>#VALUE!</v>
      </c>
      <c r="BH175" s="404" t="e">
        <f t="shared" ca="1" si="135"/>
        <v>#VALUE!</v>
      </c>
      <c r="BI175" s="404" t="e">
        <f t="shared" ca="1" si="135"/>
        <v>#VALUE!</v>
      </c>
      <c r="BJ175" s="404" t="e">
        <f t="shared" ca="1" si="135"/>
        <v>#VALUE!</v>
      </c>
      <c r="BK175" s="404" t="e">
        <f t="shared" ca="1" si="135"/>
        <v>#VALUE!</v>
      </c>
      <c r="BL175" s="404" t="e">
        <f t="shared" ca="1" si="135"/>
        <v>#VALUE!</v>
      </c>
      <c r="BM175" s="404" t="e">
        <f t="shared" ca="1" si="135"/>
        <v>#VALUE!</v>
      </c>
      <c r="BN175" s="404" t="e">
        <f t="shared" ca="1" si="135"/>
        <v>#VALUE!</v>
      </c>
      <c r="BO175" s="404" t="e">
        <f t="shared" ca="1" si="135"/>
        <v>#VALUE!</v>
      </c>
      <c r="BP175" s="404" t="e">
        <f t="shared" ca="1" si="135"/>
        <v>#VALUE!</v>
      </c>
      <c r="BQ175" s="404" t="e">
        <f t="shared" ca="1" si="135"/>
        <v>#VALUE!</v>
      </c>
      <c r="BR175" s="404" t="e">
        <f t="shared" ca="1" si="135"/>
        <v>#VALUE!</v>
      </c>
    </row>
    <row r="176" spans="1:70" ht="15.75" x14ac:dyDescent="0.3">
      <c r="A176" s="672" t="s">
        <v>1126</v>
      </c>
      <c r="B176" s="402" t="e">
        <f ca="1">SUM(E176:BR176)</f>
        <v>#VALUE!</v>
      </c>
      <c r="C176" s="390" t="s">
        <v>3665</v>
      </c>
      <c r="D176" s="390" t="s">
        <v>467</v>
      </c>
      <c r="E176" s="404"/>
      <c r="F176" s="404"/>
      <c r="G176" s="404"/>
      <c r="H176" s="404"/>
      <c r="I176" s="404"/>
      <c r="J176" s="404"/>
      <c r="K176" s="404"/>
      <c r="L176" s="404"/>
      <c r="M176" s="404"/>
      <c r="N176" s="404"/>
      <c r="O176" s="404"/>
      <c r="P176" s="404"/>
      <c r="Q176" s="404"/>
      <c r="R176" s="404"/>
      <c r="S176" s="404"/>
      <c r="T176" s="404"/>
      <c r="U176" s="404"/>
      <c r="V176" s="404"/>
      <c r="W176" s="404"/>
      <c r="X176" s="404"/>
      <c r="Y176" s="404"/>
      <c r="Z176" s="404"/>
      <c r="AA176" s="404"/>
      <c r="AB176" s="404"/>
      <c r="AC176" s="404"/>
      <c r="AD176" s="404" t="e">
        <f ca="1">MAX(0,AD174-(AD165+AD166-AD170))</f>
        <v>#VALUE!</v>
      </c>
      <c r="AE176" s="404" t="e">
        <f t="shared" ref="AE176:BR176" ca="1" si="136">MAX(0,AE174-(AE165+AE166-AE170))</f>
        <v>#VALUE!</v>
      </c>
      <c r="AF176" s="404" t="e">
        <f t="shared" ca="1" si="136"/>
        <v>#VALUE!</v>
      </c>
      <c r="AG176" s="404" t="e">
        <f t="shared" ca="1" si="136"/>
        <v>#VALUE!</v>
      </c>
      <c r="AH176" s="404" t="e">
        <f t="shared" ca="1" si="136"/>
        <v>#VALUE!</v>
      </c>
      <c r="AI176" s="404" t="e">
        <f t="shared" ca="1" si="136"/>
        <v>#VALUE!</v>
      </c>
      <c r="AJ176" s="404" t="e">
        <f t="shared" ca="1" si="136"/>
        <v>#VALUE!</v>
      </c>
      <c r="AK176" s="404" t="e">
        <f t="shared" ca="1" si="136"/>
        <v>#VALUE!</v>
      </c>
      <c r="AL176" s="404" t="e">
        <f t="shared" ca="1" si="136"/>
        <v>#VALUE!</v>
      </c>
      <c r="AM176" s="404" t="e">
        <f t="shared" ca="1" si="136"/>
        <v>#VALUE!</v>
      </c>
      <c r="AN176" s="404" t="e">
        <f t="shared" ca="1" si="136"/>
        <v>#VALUE!</v>
      </c>
      <c r="AO176" s="404" t="e">
        <f t="shared" ca="1" si="136"/>
        <v>#VALUE!</v>
      </c>
      <c r="AP176" s="404" t="e">
        <f t="shared" ca="1" si="136"/>
        <v>#VALUE!</v>
      </c>
      <c r="AQ176" s="404" t="e">
        <f t="shared" ca="1" si="136"/>
        <v>#VALUE!</v>
      </c>
      <c r="AR176" s="404" t="e">
        <f t="shared" ca="1" si="136"/>
        <v>#VALUE!</v>
      </c>
      <c r="AS176" s="404" t="e">
        <f t="shared" ca="1" si="136"/>
        <v>#VALUE!</v>
      </c>
      <c r="AT176" s="404" t="e">
        <f t="shared" ca="1" si="136"/>
        <v>#VALUE!</v>
      </c>
      <c r="AU176" s="404" t="e">
        <f t="shared" ca="1" si="136"/>
        <v>#VALUE!</v>
      </c>
      <c r="AV176" s="404" t="e">
        <f t="shared" ca="1" si="136"/>
        <v>#VALUE!</v>
      </c>
      <c r="AW176" s="404" t="e">
        <f t="shared" ca="1" si="136"/>
        <v>#VALUE!</v>
      </c>
      <c r="AX176" s="404" t="e">
        <f t="shared" ca="1" si="136"/>
        <v>#VALUE!</v>
      </c>
      <c r="AY176" s="404" t="e">
        <f t="shared" ca="1" si="136"/>
        <v>#VALUE!</v>
      </c>
      <c r="AZ176" s="404" t="e">
        <f t="shared" ca="1" si="136"/>
        <v>#VALUE!</v>
      </c>
      <c r="BA176" s="404" t="e">
        <f t="shared" ca="1" si="136"/>
        <v>#VALUE!</v>
      </c>
      <c r="BB176" s="404" t="e">
        <f t="shared" ca="1" si="136"/>
        <v>#VALUE!</v>
      </c>
      <c r="BC176" s="404" t="e">
        <f t="shared" ca="1" si="136"/>
        <v>#VALUE!</v>
      </c>
      <c r="BD176" s="404" t="e">
        <f t="shared" ca="1" si="136"/>
        <v>#VALUE!</v>
      </c>
      <c r="BE176" s="404" t="e">
        <f t="shared" ca="1" si="136"/>
        <v>#VALUE!</v>
      </c>
      <c r="BF176" s="404" t="e">
        <f t="shared" ca="1" si="136"/>
        <v>#VALUE!</v>
      </c>
      <c r="BG176" s="404" t="e">
        <f t="shared" ca="1" si="136"/>
        <v>#VALUE!</v>
      </c>
      <c r="BH176" s="404" t="e">
        <f t="shared" ca="1" si="136"/>
        <v>#VALUE!</v>
      </c>
      <c r="BI176" s="404" t="e">
        <f t="shared" ca="1" si="136"/>
        <v>#VALUE!</v>
      </c>
      <c r="BJ176" s="404" t="e">
        <f t="shared" ca="1" si="136"/>
        <v>#VALUE!</v>
      </c>
      <c r="BK176" s="404" t="e">
        <f t="shared" ca="1" si="136"/>
        <v>#VALUE!</v>
      </c>
      <c r="BL176" s="404" t="e">
        <f t="shared" ca="1" si="136"/>
        <v>#VALUE!</v>
      </c>
      <c r="BM176" s="404" t="e">
        <f t="shared" ca="1" si="136"/>
        <v>#VALUE!</v>
      </c>
      <c r="BN176" s="404" t="e">
        <f t="shared" ca="1" si="136"/>
        <v>#VALUE!</v>
      </c>
      <c r="BO176" s="404" t="e">
        <f t="shared" ca="1" si="136"/>
        <v>#VALUE!</v>
      </c>
      <c r="BP176" s="404" t="e">
        <f t="shared" ca="1" si="136"/>
        <v>#VALUE!</v>
      </c>
      <c r="BQ176" s="404" t="e">
        <f t="shared" ca="1" si="136"/>
        <v>#VALUE!</v>
      </c>
      <c r="BR176" s="404" t="e">
        <f t="shared" ca="1" si="136"/>
        <v>#VALUE!</v>
      </c>
    </row>
    <row r="177" spans="1:70" x14ac:dyDescent="0.2">
      <c r="B177" s="402" t="e">
        <f ca="1">SUM(E177:BR177)</f>
        <v>#VALUE!</v>
      </c>
      <c r="C177" s="390" t="s">
        <v>3666</v>
      </c>
      <c r="D177" s="390" t="s">
        <v>468</v>
      </c>
      <c r="E177" s="404" t="e">
        <f ca="1">(E171=0)*E7</f>
        <v>#VALUE!</v>
      </c>
      <c r="F177" s="404" t="e">
        <f t="shared" ref="F177:AC177" ca="1" si="137">(F171=0)*F7</f>
        <v>#VALUE!</v>
      </c>
      <c r="G177" s="404" t="e">
        <f t="shared" ca="1" si="137"/>
        <v>#VALUE!</v>
      </c>
      <c r="H177" s="404" t="e">
        <f t="shared" ca="1" si="137"/>
        <v>#VALUE!</v>
      </c>
      <c r="I177" s="404" t="e">
        <f t="shared" ca="1" si="137"/>
        <v>#VALUE!</v>
      </c>
      <c r="J177" s="404" t="e">
        <f t="shared" ca="1" si="137"/>
        <v>#VALUE!</v>
      </c>
      <c r="K177" s="404" t="e">
        <f t="shared" ca="1" si="137"/>
        <v>#VALUE!</v>
      </c>
      <c r="L177" s="404" t="e">
        <f t="shared" ca="1" si="137"/>
        <v>#VALUE!</v>
      </c>
      <c r="M177" s="404" t="e">
        <f t="shared" ca="1" si="137"/>
        <v>#VALUE!</v>
      </c>
      <c r="N177" s="404" t="e">
        <f t="shared" ca="1" si="137"/>
        <v>#VALUE!</v>
      </c>
      <c r="O177" s="404" t="e">
        <f t="shared" ca="1" si="137"/>
        <v>#VALUE!</v>
      </c>
      <c r="P177" s="404" t="e">
        <f t="shared" ca="1" si="137"/>
        <v>#VALUE!</v>
      </c>
      <c r="Q177" s="404" t="e">
        <f t="shared" ca="1" si="137"/>
        <v>#VALUE!</v>
      </c>
      <c r="R177" s="404" t="e">
        <f t="shared" ca="1" si="137"/>
        <v>#VALUE!</v>
      </c>
      <c r="S177" s="404" t="e">
        <f t="shared" ca="1" si="137"/>
        <v>#VALUE!</v>
      </c>
      <c r="T177" s="404" t="e">
        <f t="shared" ca="1" si="137"/>
        <v>#VALUE!</v>
      </c>
      <c r="U177" s="404" t="e">
        <f t="shared" ca="1" si="137"/>
        <v>#VALUE!</v>
      </c>
      <c r="V177" s="404" t="e">
        <f t="shared" ca="1" si="137"/>
        <v>#VALUE!</v>
      </c>
      <c r="W177" s="404" t="e">
        <f t="shared" ca="1" si="137"/>
        <v>#VALUE!</v>
      </c>
      <c r="X177" s="404" t="e">
        <f t="shared" ca="1" si="137"/>
        <v>#VALUE!</v>
      </c>
      <c r="Y177" s="404" t="e">
        <f t="shared" ca="1" si="137"/>
        <v>#VALUE!</v>
      </c>
      <c r="Z177" s="404" t="e">
        <f t="shared" ca="1" si="137"/>
        <v>#VALUE!</v>
      </c>
      <c r="AA177" s="404" t="e">
        <f t="shared" ca="1" si="137"/>
        <v>#VALUE!</v>
      </c>
      <c r="AB177" s="404" t="e">
        <f t="shared" ca="1" si="137"/>
        <v>#VALUE!</v>
      </c>
      <c r="AC177" s="404" t="e">
        <f t="shared" ca="1" si="137"/>
        <v>#VALUE!</v>
      </c>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row>
    <row r="178" spans="1:70" ht="15.75" x14ac:dyDescent="0.3">
      <c r="A178" s="672" t="s">
        <v>1126</v>
      </c>
      <c r="B178" s="411" t="e">
        <f ca="1">B176/B177</f>
        <v>#VALUE!</v>
      </c>
      <c r="C178" s="390" t="s">
        <v>3650</v>
      </c>
      <c r="D178" s="390" t="s">
        <v>278</v>
      </c>
      <c r="E178" s="404"/>
      <c r="F178" s="404"/>
      <c r="G178" s="404"/>
      <c r="H178" s="404"/>
      <c r="I178" s="404"/>
      <c r="J178" s="404"/>
      <c r="K178" s="404"/>
      <c r="L178" s="404"/>
      <c r="M178" s="404"/>
      <c r="N178" s="404"/>
      <c r="O178" s="404"/>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row>
    <row r="179" spans="1:70" ht="15.75" x14ac:dyDescent="0.3">
      <c r="A179" s="672" t="s">
        <v>1126</v>
      </c>
      <c r="B179" s="402" t="e">
        <f ca="1">SUM(E179:BR179)</f>
        <v>#VALUE!</v>
      </c>
      <c r="C179" s="390" t="s">
        <v>3665</v>
      </c>
      <c r="D179" s="390" t="s">
        <v>2451</v>
      </c>
      <c r="E179" s="404" t="e">
        <f ca="1">$B$178*E177</f>
        <v>#VALUE!</v>
      </c>
      <c r="F179" s="404" t="e">
        <f t="shared" ref="F179:AC179" ca="1" si="138">$B$178*F177</f>
        <v>#VALUE!</v>
      </c>
      <c r="G179" s="404" t="e">
        <f t="shared" ca="1" si="138"/>
        <v>#VALUE!</v>
      </c>
      <c r="H179" s="404" t="e">
        <f t="shared" ca="1" si="138"/>
        <v>#VALUE!</v>
      </c>
      <c r="I179" s="404" t="e">
        <f t="shared" ca="1" si="138"/>
        <v>#VALUE!</v>
      </c>
      <c r="J179" s="404" t="e">
        <f t="shared" ca="1" si="138"/>
        <v>#VALUE!</v>
      </c>
      <c r="K179" s="404" t="e">
        <f t="shared" ca="1" si="138"/>
        <v>#VALUE!</v>
      </c>
      <c r="L179" s="404" t="e">
        <f t="shared" ca="1" si="138"/>
        <v>#VALUE!</v>
      </c>
      <c r="M179" s="404" t="e">
        <f t="shared" ca="1" si="138"/>
        <v>#VALUE!</v>
      </c>
      <c r="N179" s="404" t="e">
        <f t="shared" ca="1" si="138"/>
        <v>#VALUE!</v>
      </c>
      <c r="O179" s="404" t="e">
        <f t="shared" ca="1" si="138"/>
        <v>#VALUE!</v>
      </c>
      <c r="P179" s="404" t="e">
        <f t="shared" ca="1" si="138"/>
        <v>#VALUE!</v>
      </c>
      <c r="Q179" s="404" t="e">
        <f t="shared" ca="1" si="138"/>
        <v>#VALUE!</v>
      </c>
      <c r="R179" s="404" t="e">
        <f t="shared" ca="1" si="138"/>
        <v>#VALUE!</v>
      </c>
      <c r="S179" s="404" t="e">
        <f t="shared" ca="1" si="138"/>
        <v>#VALUE!</v>
      </c>
      <c r="T179" s="404" t="e">
        <f t="shared" ca="1" si="138"/>
        <v>#VALUE!</v>
      </c>
      <c r="U179" s="404" t="e">
        <f t="shared" ca="1" si="138"/>
        <v>#VALUE!</v>
      </c>
      <c r="V179" s="404" t="e">
        <f t="shared" ca="1" si="138"/>
        <v>#VALUE!</v>
      </c>
      <c r="W179" s="404" t="e">
        <f t="shared" ca="1" si="138"/>
        <v>#VALUE!</v>
      </c>
      <c r="X179" s="404" t="e">
        <f t="shared" ca="1" si="138"/>
        <v>#VALUE!</v>
      </c>
      <c r="Y179" s="404" t="e">
        <f t="shared" ca="1" si="138"/>
        <v>#VALUE!</v>
      </c>
      <c r="Z179" s="404" t="e">
        <f t="shared" ca="1" si="138"/>
        <v>#VALUE!</v>
      </c>
      <c r="AA179" s="404" t="e">
        <f t="shared" ca="1" si="138"/>
        <v>#VALUE!</v>
      </c>
      <c r="AB179" s="404" t="e">
        <f t="shared" ca="1" si="138"/>
        <v>#VALUE!</v>
      </c>
      <c r="AC179" s="404" t="e">
        <f t="shared" ca="1" si="138"/>
        <v>#VALUE!</v>
      </c>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row>
    <row r="180" spans="1:70" ht="15.75" x14ac:dyDescent="0.3">
      <c r="A180" s="675" t="s">
        <v>951</v>
      </c>
      <c r="B180" s="402"/>
      <c r="D180" s="390" t="s">
        <v>2893</v>
      </c>
      <c r="E180" s="404" t="e">
        <f ca="1">MIN(E167+E179,E165+E166)</f>
        <v>#VALUE!</v>
      </c>
      <c r="F180" s="404" t="e">
        <f t="shared" ref="F180:AC180" ca="1" si="139">MIN(F167+F179,F165+F166)</f>
        <v>#VALUE!</v>
      </c>
      <c r="G180" s="404" t="e">
        <f t="shared" ca="1" si="139"/>
        <v>#VALUE!</v>
      </c>
      <c r="H180" s="404" t="e">
        <f t="shared" ca="1" si="139"/>
        <v>#VALUE!</v>
      </c>
      <c r="I180" s="404" t="e">
        <f t="shared" ca="1" si="139"/>
        <v>#VALUE!</v>
      </c>
      <c r="J180" s="404" t="e">
        <f t="shared" ca="1" si="139"/>
        <v>#VALUE!</v>
      </c>
      <c r="K180" s="404" t="e">
        <f t="shared" ca="1" si="139"/>
        <v>#VALUE!</v>
      </c>
      <c r="L180" s="404" t="e">
        <f t="shared" ca="1" si="139"/>
        <v>#VALUE!</v>
      </c>
      <c r="M180" s="404" t="e">
        <f t="shared" ca="1" si="139"/>
        <v>#VALUE!</v>
      </c>
      <c r="N180" s="404" t="e">
        <f t="shared" ca="1" si="139"/>
        <v>#VALUE!</v>
      </c>
      <c r="O180" s="404" t="e">
        <f t="shared" ca="1" si="139"/>
        <v>#VALUE!</v>
      </c>
      <c r="P180" s="404" t="e">
        <f t="shared" ca="1" si="139"/>
        <v>#VALUE!</v>
      </c>
      <c r="Q180" s="404" t="e">
        <f t="shared" ca="1" si="139"/>
        <v>#VALUE!</v>
      </c>
      <c r="R180" s="404" t="e">
        <f t="shared" ca="1" si="139"/>
        <v>#VALUE!</v>
      </c>
      <c r="S180" s="404" t="e">
        <f t="shared" ca="1" si="139"/>
        <v>#VALUE!</v>
      </c>
      <c r="T180" s="404" t="e">
        <f t="shared" ca="1" si="139"/>
        <v>#VALUE!</v>
      </c>
      <c r="U180" s="404" t="e">
        <f t="shared" ca="1" si="139"/>
        <v>#VALUE!</v>
      </c>
      <c r="V180" s="404" t="e">
        <f t="shared" ca="1" si="139"/>
        <v>#VALUE!</v>
      </c>
      <c r="W180" s="404" t="e">
        <f t="shared" ca="1" si="139"/>
        <v>#VALUE!</v>
      </c>
      <c r="X180" s="404" t="e">
        <f t="shared" ca="1" si="139"/>
        <v>#VALUE!</v>
      </c>
      <c r="Y180" s="404" t="e">
        <f t="shared" ca="1" si="139"/>
        <v>#VALUE!</v>
      </c>
      <c r="Z180" s="404" t="e">
        <f t="shared" ca="1" si="139"/>
        <v>#VALUE!</v>
      </c>
      <c r="AA180" s="404" t="e">
        <f t="shared" ca="1" si="139"/>
        <v>#VALUE!</v>
      </c>
      <c r="AB180" s="404" t="e">
        <f t="shared" ca="1" si="139"/>
        <v>#VALUE!</v>
      </c>
      <c r="AC180" s="404" t="e">
        <f t="shared" ca="1" si="139"/>
        <v>#VALUE!</v>
      </c>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row>
    <row r="181" spans="1:70" ht="15.75" x14ac:dyDescent="0.3">
      <c r="A181" s="675" t="s">
        <v>952</v>
      </c>
      <c r="B181" s="402" t="e">
        <f ca="1">SUM(E181:BR181)</f>
        <v>#VALUE!</v>
      </c>
      <c r="C181" s="390" t="s">
        <v>3665</v>
      </c>
      <c r="D181" s="390" t="s">
        <v>2894</v>
      </c>
      <c r="E181" s="404" t="e">
        <f t="shared" ref="E181:AJ181" ca="1" si="140">E180+E175</f>
        <v>#VALUE!</v>
      </c>
      <c r="F181" s="404" t="e">
        <f t="shared" ca="1" si="140"/>
        <v>#VALUE!</v>
      </c>
      <c r="G181" s="404" t="e">
        <f t="shared" ca="1" si="140"/>
        <v>#VALUE!</v>
      </c>
      <c r="H181" s="404" t="e">
        <f t="shared" ca="1" si="140"/>
        <v>#VALUE!</v>
      </c>
      <c r="I181" s="404" t="e">
        <f t="shared" ca="1" si="140"/>
        <v>#VALUE!</v>
      </c>
      <c r="J181" s="404" t="e">
        <f t="shared" ca="1" si="140"/>
        <v>#VALUE!</v>
      </c>
      <c r="K181" s="404" t="e">
        <f t="shared" ca="1" si="140"/>
        <v>#VALUE!</v>
      </c>
      <c r="L181" s="404" t="e">
        <f t="shared" ca="1" si="140"/>
        <v>#VALUE!</v>
      </c>
      <c r="M181" s="404" t="e">
        <f t="shared" ca="1" si="140"/>
        <v>#VALUE!</v>
      </c>
      <c r="N181" s="404" t="e">
        <f t="shared" ca="1" si="140"/>
        <v>#VALUE!</v>
      </c>
      <c r="O181" s="404" t="e">
        <f t="shared" ca="1" si="140"/>
        <v>#VALUE!</v>
      </c>
      <c r="P181" s="404" t="e">
        <f t="shared" ca="1" si="140"/>
        <v>#VALUE!</v>
      </c>
      <c r="Q181" s="404" t="e">
        <f t="shared" ca="1" si="140"/>
        <v>#VALUE!</v>
      </c>
      <c r="R181" s="404" t="e">
        <f t="shared" ca="1" si="140"/>
        <v>#VALUE!</v>
      </c>
      <c r="S181" s="404" t="e">
        <f t="shared" ca="1" si="140"/>
        <v>#VALUE!</v>
      </c>
      <c r="T181" s="404" t="e">
        <f t="shared" ca="1" si="140"/>
        <v>#VALUE!</v>
      </c>
      <c r="U181" s="404" t="e">
        <f t="shared" ca="1" si="140"/>
        <v>#VALUE!</v>
      </c>
      <c r="V181" s="404" t="e">
        <f t="shared" ca="1" si="140"/>
        <v>#VALUE!</v>
      </c>
      <c r="W181" s="404" t="e">
        <f t="shared" ca="1" si="140"/>
        <v>#VALUE!</v>
      </c>
      <c r="X181" s="404" t="e">
        <f t="shared" ca="1" si="140"/>
        <v>#VALUE!</v>
      </c>
      <c r="Y181" s="404" t="e">
        <f t="shared" ca="1" si="140"/>
        <v>#VALUE!</v>
      </c>
      <c r="Z181" s="404" t="e">
        <f t="shared" ca="1" si="140"/>
        <v>#VALUE!</v>
      </c>
      <c r="AA181" s="404" t="e">
        <f t="shared" ca="1" si="140"/>
        <v>#VALUE!</v>
      </c>
      <c r="AB181" s="404" t="e">
        <f t="shared" ca="1" si="140"/>
        <v>#VALUE!</v>
      </c>
      <c r="AC181" s="404" t="e">
        <f t="shared" ca="1" si="140"/>
        <v>#VALUE!</v>
      </c>
      <c r="AD181" s="404" t="e">
        <f t="shared" ca="1" si="140"/>
        <v>#VALUE!</v>
      </c>
      <c r="AE181" s="404" t="e">
        <f t="shared" ca="1" si="140"/>
        <v>#VALUE!</v>
      </c>
      <c r="AF181" s="404" t="e">
        <f t="shared" ca="1" si="140"/>
        <v>#VALUE!</v>
      </c>
      <c r="AG181" s="404" t="e">
        <f t="shared" ca="1" si="140"/>
        <v>#VALUE!</v>
      </c>
      <c r="AH181" s="404" t="e">
        <f t="shared" ca="1" si="140"/>
        <v>#VALUE!</v>
      </c>
      <c r="AI181" s="404" t="e">
        <f t="shared" ca="1" si="140"/>
        <v>#VALUE!</v>
      </c>
      <c r="AJ181" s="404" t="e">
        <f t="shared" ca="1" si="140"/>
        <v>#VALUE!</v>
      </c>
      <c r="AK181" s="404" t="e">
        <f t="shared" ref="AK181:BP181" ca="1" si="141">AK180+AK175</f>
        <v>#VALUE!</v>
      </c>
      <c r="AL181" s="404" t="e">
        <f t="shared" ca="1" si="141"/>
        <v>#VALUE!</v>
      </c>
      <c r="AM181" s="404" t="e">
        <f t="shared" ca="1" si="141"/>
        <v>#VALUE!</v>
      </c>
      <c r="AN181" s="404" t="e">
        <f t="shared" ca="1" si="141"/>
        <v>#VALUE!</v>
      </c>
      <c r="AO181" s="404" t="e">
        <f t="shared" ca="1" si="141"/>
        <v>#VALUE!</v>
      </c>
      <c r="AP181" s="404" t="e">
        <f t="shared" ca="1" si="141"/>
        <v>#VALUE!</v>
      </c>
      <c r="AQ181" s="404" t="e">
        <f t="shared" ca="1" si="141"/>
        <v>#VALUE!</v>
      </c>
      <c r="AR181" s="404" t="e">
        <f t="shared" ca="1" si="141"/>
        <v>#VALUE!</v>
      </c>
      <c r="AS181" s="404" t="e">
        <f t="shared" ca="1" si="141"/>
        <v>#VALUE!</v>
      </c>
      <c r="AT181" s="404" t="e">
        <f t="shared" ca="1" si="141"/>
        <v>#VALUE!</v>
      </c>
      <c r="AU181" s="404" t="e">
        <f t="shared" ca="1" si="141"/>
        <v>#VALUE!</v>
      </c>
      <c r="AV181" s="404" t="e">
        <f t="shared" ca="1" si="141"/>
        <v>#VALUE!</v>
      </c>
      <c r="AW181" s="404" t="e">
        <f t="shared" ca="1" si="141"/>
        <v>#VALUE!</v>
      </c>
      <c r="AX181" s="404" t="e">
        <f t="shared" ca="1" si="141"/>
        <v>#VALUE!</v>
      </c>
      <c r="AY181" s="404" t="e">
        <f t="shared" ca="1" si="141"/>
        <v>#VALUE!</v>
      </c>
      <c r="AZ181" s="404" t="e">
        <f t="shared" ca="1" si="141"/>
        <v>#VALUE!</v>
      </c>
      <c r="BA181" s="404" t="e">
        <f t="shared" ca="1" si="141"/>
        <v>#VALUE!</v>
      </c>
      <c r="BB181" s="404" t="e">
        <f t="shared" ca="1" si="141"/>
        <v>#VALUE!</v>
      </c>
      <c r="BC181" s="404" t="e">
        <f t="shared" ca="1" si="141"/>
        <v>#VALUE!</v>
      </c>
      <c r="BD181" s="404" t="e">
        <f t="shared" ca="1" si="141"/>
        <v>#VALUE!</v>
      </c>
      <c r="BE181" s="404" t="e">
        <f t="shared" ca="1" si="141"/>
        <v>#VALUE!</v>
      </c>
      <c r="BF181" s="404" t="e">
        <f t="shared" ca="1" si="141"/>
        <v>#VALUE!</v>
      </c>
      <c r="BG181" s="404" t="e">
        <f t="shared" ca="1" si="141"/>
        <v>#VALUE!</v>
      </c>
      <c r="BH181" s="404" t="e">
        <f t="shared" ca="1" si="141"/>
        <v>#VALUE!</v>
      </c>
      <c r="BI181" s="404" t="e">
        <f t="shared" ca="1" si="141"/>
        <v>#VALUE!</v>
      </c>
      <c r="BJ181" s="404" t="e">
        <f t="shared" ca="1" si="141"/>
        <v>#VALUE!</v>
      </c>
      <c r="BK181" s="404" t="e">
        <f t="shared" ca="1" si="141"/>
        <v>#VALUE!</v>
      </c>
      <c r="BL181" s="404" t="e">
        <f t="shared" ca="1" si="141"/>
        <v>#VALUE!</v>
      </c>
      <c r="BM181" s="404" t="e">
        <f t="shared" ca="1" si="141"/>
        <v>#VALUE!</v>
      </c>
      <c r="BN181" s="404" t="e">
        <f t="shared" ca="1" si="141"/>
        <v>#VALUE!</v>
      </c>
      <c r="BO181" s="404" t="e">
        <f t="shared" ca="1" si="141"/>
        <v>#VALUE!</v>
      </c>
      <c r="BP181" s="404" t="e">
        <f t="shared" ca="1" si="141"/>
        <v>#VALUE!</v>
      </c>
      <c r="BQ181" s="404" t="e">
        <f ca="1">BQ180+BQ175</f>
        <v>#VALUE!</v>
      </c>
      <c r="BR181" s="404" t="e">
        <f ca="1">BR180+BR175</f>
        <v>#VALUE!</v>
      </c>
    </row>
    <row r="182" spans="1:70" ht="21" customHeight="1" x14ac:dyDescent="0.2">
      <c r="B182" s="739" t="s">
        <v>1792</v>
      </c>
      <c r="E182" s="404"/>
      <c r="F182" s="404"/>
      <c r="G182" s="404"/>
      <c r="H182" s="404"/>
      <c r="I182" s="404"/>
      <c r="J182" s="404"/>
      <c r="K182" s="404"/>
      <c r="L182" s="404"/>
      <c r="M182" s="404"/>
      <c r="N182" s="404"/>
      <c r="O182" s="404"/>
      <c r="P182" s="404"/>
      <c r="Q182" s="404"/>
      <c r="R182" s="404"/>
      <c r="S182" s="404"/>
      <c r="T182" s="404"/>
      <c r="U182" s="404"/>
      <c r="V182" s="404"/>
      <c r="W182" s="404"/>
      <c r="X182" s="404"/>
      <c r="Y182" s="404"/>
      <c r="Z182" s="404"/>
      <c r="AA182" s="404"/>
      <c r="AB182" s="404"/>
      <c r="AC182" s="404"/>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row>
    <row r="183" spans="1:70" ht="21" customHeight="1" x14ac:dyDescent="0.2">
      <c r="A183" s="672" t="s">
        <v>1793</v>
      </c>
      <c r="B183" s="402"/>
      <c r="E183" s="404" t="e">
        <f ca="1">MIN(((E159-E155)/(E156-E155)),1)</f>
        <v>#REF!</v>
      </c>
      <c r="F183" s="404" t="e">
        <f t="shared" ref="F183:BQ183" ca="1" si="142">MIN(((F159-F155)/(F156-F155)),1)</f>
        <v>#REF!</v>
      </c>
      <c r="G183" s="404" t="e">
        <f t="shared" ca="1" si="142"/>
        <v>#REF!</v>
      </c>
      <c r="H183" s="404" t="e">
        <f t="shared" ca="1" si="142"/>
        <v>#REF!</v>
      </c>
      <c r="I183" s="404" t="e">
        <f t="shared" ca="1" si="142"/>
        <v>#REF!</v>
      </c>
      <c r="J183" s="404" t="e">
        <f t="shared" ca="1" si="142"/>
        <v>#REF!</v>
      </c>
      <c r="K183" s="404" t="e">
        <f t="shared" ca="1" si="142"/>
        <v>#REF!</v>
      </c>
      <c r="L183" s="404" t="e">
        <f t="shared" ca="1" si="142"/>
        <v>#REF!</v>
      </c>
      <c r="M183" s="404" t="e">
        <f t="shared" ca="1" si="142"/>
        <v>#REF!</v>
      </c>
      <c r="N183" s="404" t="e">
        <f t="shared" ca="1" si="142"/>
        <v>#REF!</v>
      </c>
      <c r="O183" s="404" t="e">
        <f t="shared" ca="1" si="142"/>
        <v>#REF!</v>
      </c>
      <c r="P183" s="404" t="e">
        <f t="shared" ca="1" si="142"/>
        <v>#REF!</v>
      </c>
      <c r="Q183" s="404" t="e">
        <f t="shared" ca="1" si="142"/>
        <v>#REF!</v>
      </c>
      <c r="R183" s="404" t="e">
        <f t="shared" ca="1" si="142"/>
        <v>#REF!</v>
      </c>
      <c r="S183" s="404" t="e">
        <f t="shared" ca="1" si="142"/>
        <v>#REF!</v>
      </c>
      <c r="T183" s="404" t="e">
        <f t="shared" ca="1" si="142"/>
        <v>#REF!</v>
      </c>
      <c r="U183" s="404" t="e">
        <f t="shared" ca="1" si="142"/>
        <v>#REF!</v>
      </c>
      <c r="V183" s="404" t="e">
        <f t="shared" ca="1" si="142"/>
        <v>#REF!</v>
      </c>
      <c r="W183" s="404" t="e">
        <f t="shared" ca="1" si="142"/>
        <v>#REF!</v>
      </c>
      <c r="X183" s="404" t="e">
        <f t="shared" ca="1" si="142"/>
        <v>#REF!</v>
      </c>
      <c r="Y183" s="404" t="e">
        <f t="shared" ca="1" si="142"/>
        <v>#REF!</v>
      </c>
      <c r="Z183" s="404" t="e">
        <f t="shared" ca="1" si="142"/>
        <v>#REF!</v>
      </c>
      <c r="AA183" s="404" t="e">
        <f t="shared" ca="1" si="142"/>
        <v>#REF!</v>
      </c>
      <c r="AB183" s="404" t="e">
        <f t="shared" ca="1" si="142"/>
        <v>#REF!</v>
      </c>
      <c r="AC183" s="404" t="e">
        <f t="shared" ca="1" si="142"/>
        <v>#REF!</v>
      </c>
      <c r="AD183" s="404" t="e">
        <f t="shared" ca="1" si="142"/>
        <v>#REF!</v>
      </c>
      <c r="AE183" s="404" t="e">
        <f t="shared" ca="1" si="142"/>
        <v>#REF!</v>
      </c>
      <c r="AF183" s="404" t="e">
        <f t="shared" ca="1" si="142"/>
        <v>#REF!</v>
      </c>
      <c r="AG183" s="404" t="e">
        <f t="shared" ca="1" si="142"/>
        <v>#REF!</v>
      </c>
      <c r="AH183" s="404" t="e">
        <f t="shared" ca="1" si="142"/>
        <v>#REF!</v>
      </c>
      <c r="AI183" s="404" t="e">
        <f t="shared" ca="1" si="142"/>
        <v>#REF!</v>
      </c>
      <c r="AJ183" s="404" t="e">
        <f t="shared" ca="1" si="142"/>
        <v>#REF!</v>
      </c>
      <c r="AK183" s="404" t="e">
        <f t="shared" ca="1" si="142"/>
        <v>#REF!</v>
      </c>
      <c r="AL183" s="404" t="e">
        <f t="shared" ca="1" si="142"/>
        <v>#REF!</v>
      </c>
      <c r="AM183" s="404" t="e">
        <f t="shared" ca="1" si="142"/>
        <v>#REF!</v>
      </c>
      <c r="AN183" s="404" t="e">
        <f t="shared" ca="1" si="142"/>
        <v>#REF!</v>
      </c>
      <c r="AO183" s="404" t="e">
        <f t="shared" ca="1" si="142"/>
        <v>#REF!</v>
      </c>
      <c r="AP183" s="404" t="e">
        <f t="shared" ca="1" si="142"/>
        <v>#REF!</v>
      </c>
      <c r="AQ183" s="404" t="e">
        <f t="shared" ca="1" si="142"/>
        <v>#REF!</v>
      </c>
      <c r="AR183" s="404" t="e">
        <f t="shared" ca="1" si="142"/>
        <v>#REF!</v>
      </c>
      <c r="AS183" s="404" t="e">
        <f t="shared" ca="1" si="142"/>
        <v>#REF!</v>
      </c>
      <c r="AT183" s="404" t="e">
        <f t="shared" ca="1" si="142"/>
        <v>#REF!</v>
      </c>
      <c r="AU183" s="404" t="e">
        <f t="shared" ca="1" si="142"/>
        <v>#REF!</v>
      </c>
      <c r="AV183" s="404" t="e">
        <f t="shared" ca="1" si="142"/>
        <v>#REF!</v>
      </c>
      <c r="AW183" s="404" t="e">
        <f t="shared" ca="1" si="142"/>
        <v>#REF!</v>
      </c>
      <c r="AX183" s="404" t="e">
        <f t="shared" ca="1" si="142"/>
        <v>#REF!</v>
      </c>
      <c r="AY183" s="404" t="e">
        <f t="shared" ca="1" si="142"/>
        <v>#REF!</v>
      </c>
      <c r="AZ183" s="404" t="e">
        <f t="shared" ca="1" si="142"/>
        <v>#REF!</v>
      </c>
      <c r="BA183" s="404" t="e">
        <f t="shared" ca="1" si="142"/>
        <v>#REF!</v>
      </c>
      <c r="BB183" s="404" t="e">
        <f t="shared" ca="1" si="142"/>
        <v>#REF!</v>
      </c>
      <c r="BC183" s="404" t="e">
        <f t="shared" ca="1" si="142"/>
        <v>#REF!</v>
      </c>
      <c r="BD183" s="404" t="e">
        <f t="shared" ca="1" si="142"/>
        <v>#REF!</v>
      </c>
      <c r="BE183" s="404" t="e">
        <f t="shared" ca="1" si="142"/>
        <v>#REF!</v>
      </c>
      <c r="BF183" s="404" t="e">
        <f t="shared" ca="1" si="142"/>
        <v>#REF!</v>
      </c>
      <c r="BG183" s="404" t="e">
        <f t="shared" ca="1" si="142"/>
        <v>#REF!</v>
      </c>
      <c r="BH183" s="404" t="e">
        <f t="shared" ca="1" si="142"/>
        <v>#REF!</v>
      </c>
      <c r="BI183" s="404" t="e">
        <f t="shared" ca="1" si="142"/>
        <v>#REF!</v>
      </c>
      <c r="BJ183" s="404" t="e">
        <f t="shared" ca="1" si="142"/>
        <v>#REF!</v>
      </c>
      <c r="BK183" s="404" t="e">
        <f t="shared" ca="1" si="142"/>
        <v>#REF!</v>
      </c>
      <c r="BL183" s="404" t="e">
        <f t="shared" ca="1" si="142"/>
        <v>#REF!</v>
      </c>
      <c r="BM183" s="404" t="e">
        <f t="shared" ca="1" si="142"/>
        <v>#REF!</v>
      </c>
      <c r="BN183" s="404" t="e">
        <f t="shared" ca="1" si="142"/>
        <v>#REF!</v>
      </c>
      <c r="BO183" s="404" t="e">
        <f t="shared" ca="1" si="142"/>
        <v>#REF!</v>
      </c>
      <c r="BP183" s="404" t="e">
        <f t="shared" ca="1" si="142"/>
        <v>#REF!</v>
      </c>
      <c r="BQ183" s="404" t="e">
        <f t="shared" ca="1" si="142"/>
        <v>#REF!</v>
      </c>
      <c r="BR183" s="404" t="e">
        <f ca="1">MIN(((BR159-BR155)/(BR156-BR155)),1)</f>
        <v>#REF!</v>
      </c>
    </row>
    <row r="184" spans="1:70" ht="15.75" x14ac:dyDescent="0.3">
      <c r="A184" s="672" t="s">
        <v>1794</v>
      </c>
      <c r="B184" s="402"/>
      <c r="D184" s="390" t="s">
        <v>1795</v>
      </c>
      <c r="E184" s="404" t="e">
        <f ca="1">E181*MAX(E183,0)</f>
        <v>#VALUE!</v>
      </c>
      <c r="F184" s="404" t="e">
        <f t="shared" ref="F184:BQ184" ca="1" si="143">F181*MAX(F183,0)</f>
        <v>#VALUE!</v>
      </c>
      <c r="G184" s="404" t="e">
        <f t="shared" ca="1" si="143"/>
        <v>#VALUE!</v>
      </c>
      <c r="H184" s="404" t="e">
        <f t="shared" ca="1" si="143"/>
        <v>#VALUE!</v>
      </c>
      <c r="I184" s="404" t="e">
        <f t="shared" ca="1" si="143"/>
        <v>#VALUE!</v>
      </c>
      <c r="J184" s="404" t="e">
        <f t="shared" ca="1" si="143"/>
        <v>#VALUE!</v>
      </c>
      <c r="K184" s="404" t="e">
        <f t="shared" ca="1" si="143"/>
        <v>#VALUE!</v>
      </c>
      <c r="L184" s="404" t="e">
        <f t="shared" ca="1" si="143"/>
        <v>#VALUE!</v>
      </c>
      <c r="M184" s="404" t="e">
        <f t="shared" ca="1" si="143"/>
        <v>#VALUE!</v>
      </c>
      <c r="N184" s="404" t="e">
        <f t="shared" ca="1" si="143"/>
        <v>#VALUE!</v>
      </c>
      <c r="O184" s="404" t="e">
        <f t="shared" ca="1" si="143"/>
        <v>#VALUE!</v>
      </c>
      <c r="P184" s="404" t="e">
        <f t="shared" ca="1" si="143"/>
        <v>#VALUE!</v>
      </c>
      <c r="Q184" s="404" t="e">
        <f t="shared" ca="1" si="143"/>
        <v>#VALUE!</v>
      </c>
      <c r="R184" s="404" t="e">
        <f t="shared" ca="1" si="143"/>
        <v>#VALUE!</v>
      </c>
      <c r="S184" s="404" t="e">
        <f t="shared" ca="1" si="143"/>
        <v>#VALUE!</v>
      </c>
      <c r="T184" s="404" t="e">
        <f t="shared" ca="1" si="143"/>
        <v>#VALUE!</v>
      </c>
      <c r="U184" s="404" t="e">
        <f t="shared" ca="1" si="143"/>
        <v>#VALUE!</v>
      </c>
      <c r="V184" s="404" t="e">
        <f t="shared" ca="1" si="143"/>
        <v>#VALUE!</v>
      </c>
      <c r="W184" s="404" t="e">
        <f t="shared" ca="1" si="143"/>
        <v>#VALUE!</v>
      </c>
      <c r="X184" s="404" t="e">
        <f t="shared" ca="1" si="143"/>
        <v>#VALUE!</v>
      </c>
      <c r="Y184" s="404" t="e">
        <f t="shared" ca="1" si="143"/>
        <v>#VALUE!</v>
      </c>
      <c r="Z184" s="404" t="e">
        <f t="shared" ca="1" si="143"/>
        <v>#VALUE!</v>
      </c>
      <c r="AA184" s="404" t="e">
        <f t="shared" ca="1" si="143"/>
        <v>#VALUE!</v>
      </c>
      <c r="AB184" s="404" t="e">
        <f t="shared" ca="1" si="143"/>
        <v>#VALUE!</v>
      </c>
      <c r="AC184" s="404" t="e">
        <f t="shared" ca="1" si="143"/>
        <v>#VALUE!</v>
      </c>
      <c r="AD184" s="404" t="e">
        <f t="shared" ca="1" si="143"/>
        <v>#VALUE!</v>
      </c>
      <c r="AE184" s="404" t="e">
        <f t="shared" ca="1" si="143"/>
        <v>#VALUE!</v>
      </c>
      <c r="AF184" s="404" t="e">
        <f t="shared" ca="1" si="143"/>
        <v>#VALUE!</v>
      </c>
      <c r="AG184" s="404" t="e">
        <f t="shared" ca="1" si="143"/>
        <v>#VALUE!</v>
      </c>
      <c r="AH184" s="404" t="e">
        <f t="shared" ca="1" si="143"/>
        <v>#VALUE!</v>
      </c>
      <c r="AI184" s="404" t="e">
        <f t="shared" ca="1" si="143"/>
        <v>#VALUE!</v>
      </c>
      <c r="AJ184" s="404" t="e">
        <f t="shared" ca="1" si="143"/>
        <v>#VALUE!</v>
      </c>
      <c r="AK184" s="404" t="e">
        <f t="shared" ca="1" si="143"/>
        <v>#VALUE!</v>
      </c>
      <c r="AL184" s="404" t="e">
        <f t="shared" ca="1" si="143"/>
        <v>#VALUE!</v>
      </c>
      <c r="AM184" s="404" t="e">
        <f t="shared" ca="1" si="143"/>
        <v>#VALUE!</v>
      </c>
      <c r="AN184" s="404" t="e">
        <f t="shared" ca="1" si="143"/>
        <v>#VALUE!</v>
      </c>
      <c r="AO184" s="404" t="e">
        <f t="shared" ca="1" si="143"/>
        <v>#VALUE!</v>
      </c>
      <c r="AP184" s="404" t="e">
        <f t="shared" ca="1" si="143"/>
        <v>#VALUE!</v>
      </c>
      <c r="AQ184" s="404" t="e">
        <f t="shared" ca="1" si="143"/>
        <v>#VALUE!</v>
      </c>
      <c r="AR184" s="404" t="e">
        <f t="shared" ca="1" si="143"/>
        <v>#VALUE!</v>
      </c>
      <c r="AS184" s="404" t="e">
        <f t="shared" ca="1" si="143"/>
        <v>#VALUE!</v>
      </c>
      <c r="AT184" s="404" t="e">
        <f t="shared" ca="1" si="143"/>
        <v>#VALUE!</v>
      </c>
      <c r="AU184" s="404" t="e">
        <f t="shared" ca="1" si="143"/>
        <v>#VALUE!</v>
      </c>
      <c r="AV184" s="404" t="e">
        <f t="shared" ca="1" si="143"/>
        <v>#VALUE!</v>
      </c>
      <c r="AW184" s="404" t="e">
        <f t="shared" ca="1" si="143"/>
        <v>#VALUE!</v>
      </c>
      <c r="AX184" s="404" t="e">
        <f t="shared" ca="1" si="143"/>
        <v>#VALUE!</v>
      </c>
      <c r="AY184" s="404" t="e">
        <f t="shared" ca="1" si="143"/>
        <v>#VALUE!</v>
      </c>
      <c r="AZ184" s="404" t="e">
        <f t="shared" ca="1" si="143"/>
        <v>#VALUE!</v>
      </c>
      <c r="BA184" s="404" t="e">
        <f t="shared" ca="1" si="143"/>
        <v>#VALUE!</v>
      </c>
      <c r="BB184" s="404" t="e">
        <f t="shared" ca="1" si="143"/>
        <v>#VALUE!</v>
      </c>
      <c r="BC184" s="404" t="e">
        <f t="shared" ca="1" si="143"/>
        <v>#VALUE!</v>
      </c>
      <c r="BD184" s="404" t="e">
        <f t="shared" ca="1" si="143"/>
        <v>#VALUE!</v>
      </c>
      <c r="BE184" s="404" t="e">
        <f t="shared" ca="1" si="143"/>
        <v>#VALUE!</v>
      </c>
      <c r="BF184" s="404" t="e">
        <f t="shared" ca="1" si="143"/>
        <v>#VALUE!</v>
      </c>
      <c r="BG184" s="404" t="e">
        <f t="shared" ca="1" si="143"/>
        <v>#VALUE!</v>
      </c>
      <c r="BH184" s="404" t="e">
        <f t="shared" ca="1" si="143"/>
        <v>#VALUE!</v>
      </c>
      <c r="BI184" s="404" t="e">
        <f t="shared" ca="1" si="143"/>
        <v>#VALUE!</v>
      </c>
      <c r="BJ184" s="404" t="e">
        <f t="shared" ca="1" si="143"/>
        <v>#VALUE!</v>
      </c>
      <c r="BK184" s="404" t="e">
        <f t="shared" ca="1" si="143"/>
        <v>#VALUE!</v>
      </c>
      <c r="BL184" s="404" t="e">
        <f t="shared" ca="1" si="143"/>
        <v>#VALUE!</v>
      </c>
      <c r="BM184" s="404" t="e">
        <f t="shared" ca="1" si="143"/>
        <v>#VALUE!</v>
      </c>
      <c r="BN184" s="404" t="e">
        <f t="shared" ca="1" si="143"/>
        <v>#VALUE!</v>
      </c>
      <c r="BO184" s="404" t="e">
        <f t="shared" ca="1" si="143"/>
        <v>#VALUE!</v>
      </c>
      <c r="BP184" s="404" t="e">
        <f t="shared" ca="1" si="143"/>
        <v>#VALUE!</v>
      </c>
      <c r="BQ184" s="404" t="e">
        <f t="shared" ca="1" si="143"/>
        <v>#VALUE!</v>
      </c>
      <c r="BR184" s="404" t="e">
        <f ca="1">BR181*MAX(BR183,0)</f>
        <v>#VALUE!</v>
      </c>
    </row>
    <row r="185" spans="1:70" ht="15.75" x14ac:dyDescent="0.3">
      <c r="A185" s="672" t="s">
        <v>1796</v>
      </c>
      <c r="B185" s="402" t="e">
        <f ca="1">SUM(E185:BR185)</f>
        <v>#VALUE!</v>
      </c>
      <c r="C185" s="390" t="s">
        <v>3665</v>
      </c>
      <c r="D185" s="390" t="s">
        <v>1797</v>
      </c>
      <c r="E185" s="404" t="e">
        <f ca="1">MIN(E184,E166)</f>
        <v>#VALUE!</v>
      </c>
      <c r="F185" s="404" t="e">
        <f t="shared" ref="F185:BQ185" ca="1" si="144">MIN(F184,F166)</f>
        <v>#VALUE!</v>
      </c>
      <c r="G185" s="404" t="e">
        <f t="shared" ca="1" si="144"/>
        <v>#VALUE!</v>
      </c>
      <c r="H185" s="404" t="e">
        <f t="shared" ca="1" si="144"/>
        <v>#VALUE!</v>
      </c>
      <c r="I185" s="404" t="e">
        <f t="shared" ca="1" si="144"/>
        <v>#VALUE!</v>
      </c>
      <c r="J185" s="404" t="e">
        <f t="shared" ca="1" si="144"/>
        <v>#VALUE!</v>
      </c>
      <c r="K185" s="404" t="e">
        <f t="shared" ca="1" si="144"/>
        <v>#VALUE!</v>
      </c>
      <c r="L185" s="404" t="e">
        <f t="shared" ca="1" si="144"/>
        <v>#VALUE!</v>
      </c>
      <c r="M185" s="404" t="e">
        <f t="shared" ca="1" si="144"/>
        <v>#VALUE!</v>
      </c>
      <c r="N185" s="404" t="e">
        <f t="shared" ca="1" si="144"/>
        <v>#VALUE!</v>
      </c>
      <c r="O185" s="404" t="e">
        <f t="shared" ca="1" si="144"/>
        <v>#VALUE!</v>
      </c>
      <c r="P185" s="404" t="e">
        <f t="shared" ca="1" si="144"/>
        <v>#VALUE!</v>
      </c>
      <c r="Q185" s="404" t="e">
        <f t="shared" ca="1" si="144"/>
        <v>#VALUE!</v>
      </c>
      <c r="R185" s="404" t="e">
        <f t="shared" ca="1" si="144"/>
        <v>#VALUE!</v>
      </c>
      <c r="S185" s="404" t="e">
        <f t="shared" ca="1" si="144"/>
        <v>#VALUE!</v>
      </c>
      <c r="T185" s="404" t="e">
        <f t="shared" ca="1" si="144"/>
        <v>#VALUE!</v>
      </c>
      <c r="U185" s="404" t="e">
        <f t="shared" ca="1" si="144"/>
        <v>#VALUE!</v>
      </c>
      <c r="V185" s="404" t="e">
        <f t="shared" ca="1" si="144"/>
        <v>#VALUE!</v>
      </c>
      <c r="W185" s="404" t="e">
        <f t="shared" ca="1" si="144"/>
        <v>#VALUE!</v>
      </c>
      <c r="X185" s="404" t="e">
        <f t="shared" ca="1" si="144"/>
        <v>#VALUE!</v>
      </c>
      <c r="Y185" s="404" t="e">
        <f t="shared" ca="1" si="144"/>
        <v>#VALUE!</v>
      </c>
      <c r="Z185" s="404" t="e">
        <f t="shared" ca="1" si="144"/>
        <v>#VALUE!</v>
      </c>
      <c r="AA185" s="404" t="e">
        <f t="shared" ca="1" si="144"/>
        <v>#VALUE!</v>
      </c>
      <c r="AB185" s="404" t="e">
        <f t="shared" ca="1" si="144"/>
        <v>#VALUE!</v>
      </c>
      <c r="AC185" s="404" t="e">
        <f t="shared" ca="1" si="144"/>
        <v>#VALUE!</v>
      </c>
      <c r="AD185" s="404" t="e">
        <f t="shared" ca="1" si="144"/>
        <v>#VALUE!</v>
      </c>
      <c r="AE185" s="404" t="e">
        <f t="shared" ca="1" si="144"/>
        <v>#VALUE!</v>
      </c>
      <c r="AF185" s="404" t="e">
        <f t="shared" ca="1" si="144"/>
        <v>#VALUE!</v>
      </c>
      <c r="AG185" s="404" t="e">
        <f t="shared" ca="1" si="144"/>
        <v>#VALUE!</v>
      </c>
      <c r="AH185" s="404" t="e">
        <f t="shared" ca="1" si="144"/>
        <v>#VALUE!</v>
      </c>
      <c r="AI185" s="404" t="e">
        <f t="shared" ca="1" si="144"/>
        <v>#VALUE!</v>
      </c>
      <c r="AJ185" s="404" t="e">
        <f t="shared" ca="1" si="144"/>
        <v>#VALUE!</v>
      </c>
      <c r="AK185" s="404" t="e">
        <f t="shared" ca="1" si="144"/>
        <v>#VALUE!</v>
      </c>
      <c r="AL185" s="404" t="e">
        <f t="shared" ca="1" si="144"/>
        <v>#VALUE!</v>
      </c>
      <c r="AM185" s="404" t="e">
        <f t="shared" ca="1" si="144"/>
        <v>#VALUE!</v>
      </c>
      <c r="AN185" s="404" t="e">
        <f t="shared" ca="1" si="144"/>
        <v>#VALUE!</v>
      </c>
      <c r="AO185" s="404" t="e">
        <f t="shared" ca="1" si="144"/>
        <v>#VALUE!</v>
      </c>
      <c r="AP185" s="404" t="e">
        <f t="shared" ca="1" si="144"/>
        <v>#VALUE!</v>
      </c>
      <c r="AQ185" s="404" t="e">
        <f t="shared" ca="1" si="144"/>
        <v>#VALUE!</v>
      </c>
      <c r="AR185" s="404" t="e">
        <f t="shared" ca="1" si="144"/>
        <v>#VALUE!</v>
      </c>
      <c r="AS185" s="404" t="e">
        <f t="shared" ca="1" si="144"/>
        <v>#VALUE!</v>
      </c>
      <c r="AT185" s="404" t="e">
        <f t="shared" ca="1" si="144"/>
        <v>#VALUE!</v>
      </c>
      <c r="AU185" s="404" t="e">
        <f t="shared" ca="1" si="144"/>
        <v>#VALUE!</v>
      </c>
      <c r="AV185" s="404" t="e">
        <f t="shared" ca="1" si="144"/>
        <v>#VALUE!</v>
      </c>
      <c r="AW185" s="404" t="e">
        <f t="shared" ca="1" si="144"/>
        <v>#VALUE!</v>
      </c>
      <c r="AX185" s="404" t="e">
        <f t="shared" ca="1" si="144"/>
        <v>#VALUE!</v>
      </c>
      <c r="AY185" s="404" t="e">
        <f t="shared" ca="1" si="144"/>
        <v>#VALUE!</v>
      </c>
      <c r="AZ185" s="404" t="e">
        <f t="shared" ca="1" si="144"/>
        <v>#VALUE!</v>
      </c>
      <c r="BA185" s="404" t="e">
        <f t="shared" ca="1" si="144"/>
        <v>#VALUE!</v>
      </c>
      <c r="BB185" s="404" t="e">
        <f t="shared" ca="1" si="144"/>
        <v>#VALUE!</v>
      </c>
      <c r="BC185" s="404" t="e">
        <f t="shared" ca="1" si="144"/>
        <v>#VALUE!</v>
      </c>
      <c r="BD185" s="404" t="e">
        <f t="shared" ca="1" si="144"/>
        <v>#VALUE!</v>
      </c>
      <c r="BE185" s="404" t="e">
        <f t="shared" ca="1" si="144"/>
        <v>#VALUE!</v>
      </c>
      <c r="BF185" s="404" t="e">
        <f t="shared" ca="1" si="144"/>
        <v>#VALUE!</v>
      </c>
      <c r="BG185" s="404" t="e">
        <f t="shared" ca="1" si="144"/>
        <v>#VALUE!</v>
      </c>
      <c r="BH185" s="404" t="e">
        <f t="shared" ca="1" si="144"/>
        <v>#VALUE!</v>
      </c>
      <c r="BI185" s="404" t="e">
        <f t="shared" ca="1" si="144"/>
        <v>#VALUE!</v>
      </c>
      <c r="BJ185" s="404" t="e">
        <f t="shared" ca="1" si="144"/>
        <v>#VALUE!</v>
      </c>
      <c r="BK185" s="404" t="e">
        <f t="shared" ca="1" si="144"/>
        <v>#VALUE!</v>
      </c>
      <c r="BL185" s="404" t="e">
        <f t="shared" ca="1" si="144"/>
        <v>#VALUE!</v>
      </c>
      <c r="BM185" s="404" t="e">
        <f t="shared" ca="1" si="144"/>
        <v>#VALUE!</v>
      </c>
      <c r="BN185" s="404" t="e">
        <f t="shared" ca="1" si="144"/>
        <v>#VALUE!</v>
      </c>
      <c r="BO185" s="404" t="e">
        <f t="shared" ca="1" si="144"/>
        <v>#VALUE!</v>
      </c>
      <c r="BP185" s="404" t="e">
        <f t="shared" ca="1" si="144"/>
        <v>#VALUE!</v>
      </c>
      <c r="BQ185" s="404" t="e">
        <f t="shared" ca="1" si="144"/>
        <v>#VALUE!</v>
      </c>
      <c r="BR185" s="404" t="e">
        <f ca="1">MIN(BR184,BR166)</f>
        <v>#VALUE!</v>
      </c>
    </row>
    <row r="186" spans="1:70" ht="15.75" x14ac:dyDescent="0.3">
      <c r="A186" s="672" t="s">
        <v>1798</v>
      </c>
      <c r="B186" s="402" t="e">
        <f ca="1">SUM(E186:BR186)</f>
        <v>#VALUE!</v>
      </c>
      <c r="C186" s="390" t="s">
        <v>3665</v>
      </c>
      <c r="D186" s="390" t="s">
        <v>1799</v>
      </c>
      <c r="E186" s="404" t="e">
        <f ca="1">E181-E185</f>
        <v>#VALUE!</v>
      </c>
      <c r="F186" s="404" t="e">
        <f t="shared" ref="F186:BQ186" ca="1" si="145">F181-F185</f>
        <v>#VALUE!</v>
      </c>
      <c r="G186" s="404" t="e">
        <f t="shared" ca="1" si="145"/>
        <v>#VALUE!</v>
      </c>
      <c r="H186" s="404" t="e">
        <f t="shared" ca="1" si="145"/>
        <v>#VALUE!</v>
      </c>
      <c r="I186" s="404" t="e">
        <f t="shared" ca="1" si="145"/>
        <v>#VALUE!</v>
      </c>
      <c r="J186" s="404" t="e">
        <f t="shared" ca="1" si="145"/>
        <v>#VALUE!</v>
      </c>
      <c r="K186" s="404" t="e">
        <f t="shared" ca="1" si="145"/>
        <v>#VALUE!</v>
      </c>
      <c r="L186" s="404" t="e">
        <f t="shared" ca="1" si="145"/>
        <v>#VALUE!</v>
      </c>
      <c r="M186" s="404" t="e">
        <f t="shared" ca="1" si="145"/>
        <v>#VALUE!</v>
      </c>
      <c r="N186" s="404" t="e">
        <f t="shared" ca="1" si="145"/>
        <v>#VALUE!</v>
      </c>
      <c r="O186" s="404" t="e">
        <f t="shared" ca="1" si="145"/>
        <v>#VALUE!</v>
      </c>
      <c r="P186" s="404" t="e">
        <f t="shared" ca="1" si="145"/>
        <v>#VALUE!</v>
      </c>
      <c r="Q186" s="404" t="e">
        <f t="shared" ca="1" si="145"/>
        <v>#VALUE!</v>
      </c>
      <c r="R186" s="404" t="e">
        <f t="shared" ca="1" si="145"/>
        <v>#VALUE!</v>
      </c>
      <c r="S186" s="404" t="e">
        <f t="shared" ca="1" si="145"/>
        <v>#VALUE!</v>
      </c>
      <c r="T186" s="404" t="e">
        <f t="shared" ca="1" si="145"/>
        <v>#VALUE!</v>
      </c>
      <c r="U186" s="404" t="e">
        <f t="shared" ca="1" si="145"/>
        <v>#VALUE!</v>
      </c>
      <c r="V186" s="404" t="e">
        <f t="shared" ca="1" si="145"/>
        <v>#VALUE!</v>
      </c>
      <c r="W186" s="404" t="e">
        <f t="shared" ca="1" si="145"/>
        <v>#VALUE!</v>
      </c>
      <c r="X186" s="404" t="e">
        <f t="shared" ca="1" si="145"/>
        <v>#VALUE!</v>
      </c>
      <c r="Y186" s="404" t="e">
        <f t="shared" ca="1" si="145"/>
        <v>#VALUE!</v>
      </c>
      <c r="Z186" s="404" t="e">
        <f t="shared" ca="1" si="145"/>
        <v>#VALUE!</v>
      </c>
      <c r="AA186" s="404" t="e">
        <f t="shared" ca="1" si="145"/>
        <v>#VALUE!</v>
      </c>
      <c r="AB186" s="404" t="e">
        <f t="shared" ca="1" si="145"/>
        <v>#VALUE!</v>
      </c>
      <c r="AC186" s="404" t="e">
        <f t="shared" ca="1" si="145"/>
        <v>#VALUE!</v>
      </c>
      <c r="AD186" s="404" t="e">
        <f t="shared" ca="1" si="145"/>
        <v>#VALUE!</v>
      </c>
      <c r="AE186" s="404" t="e">
        <f t="shared" ca="1" si="145"/>
        <v>#VALUE!</v>
      </c>
      <c r="AF186" s="404" t="e">
        <f t="shared" ca="1" si="145"/>
        <v>#VALUE!</v>
      </c>
      <c r="AG186" s="404" t="e">
        <f t="shared" ca="1" si="145"/>
        <v>#VALUE!</v>
      </c>
      <c r="AH186" s="404" t="e">
        <f t="shared" ca="1" si="145"/>
        <v>#VALUE!</v>
      </c>
      <c r="AI186" s="404" t="e">
        <f t="shared" ca="1" si="145"/>
        <v>#VALUE!</v>
      </c>
      <c r="AJ186" s="404" t="e">
        <f t="shared" ca="1" si="145"/>
        <v>#VALUE!</v>
      </c>
      <c r="AK186" s="404" t="e">
        <f t="shared" ca="1" si="145"/>
        <v>#VALUE!</v>
      </c>
      <c r="AL186" s="404" t="e">
        <f t="shared" ca="1" si="145"/>
        <v>#VALUE!</v>
      </c>
      <c r="AM186" s="404" t="e">
        <f t="shared" ca="1" si="145"/>
        <v>#VALUE!</v>
      </c>
      <c r="AN186" s="404" t="e">
        <f t="shared" ca="1" si="145"/>
        <v>#VALUE!</v>
      </c>
      <c r="AO186" s="404" t="e">
        <f t="shared" ca="1" si="145"/>
        <v>#VALUE!</v>
      </c>
      <c r="AP186" s="404" t="e">
        <f t="shared" ca="1" si="145"/>
        <v>#VALUE!</v>
      </c>
      <c r="AQ186" s="404" t="e">
        <f t="shared" ca="1" si="145"/>
        <v>#VALUE!</v>
      </c>
      <c r="AR186" s="404" t="e">
        <f t="shared" ca="1" si="145"/>
        <v>#VALUE!</v>
      </c>
      <c r="AS186" s="404" t="e">
        <f t="shared" ca="1" si="145"/>
        <v>#VALUE!</v>
      </c>
      <c r="AT186" s="404" t="e">
        <f t="shared" ca="1" si="145"/>
        <v>#VALUE!</v>
      </c>
      <c r="AU186" s="404" t="e">
        <f t="shared" ca="1" si="145"/>
        <v>#VALUE!</v>
      </c>
      <c r="AV186" s="404" t="e">
        <f t="shared" ca="1" si="145"/>
        <v>#VALUE!</v>
      </c>
      <c r="AW186" s="404" t="e">
        <f t="shared" ca="1" si="145"/>
        <v>#VALUE!</v>
      </c>
      <c r="AX186" s="404" t="e">
        <f t="shared" ca="1" si="145"/>
        <v>#VALUE!</v>
      </c>
      <c r="AY186" s="404" t="e">
        <f t="shared" ca="1" si="145"/>
        <v>#VALUE!</v>
      </c>
      <c r="AZ186" s="404" t="e">
        <f t="shared" ca="1" si="145"/>
        <v>#VALUE!</v>
      </c>
      <c r="BA186" s="404" t="e">
        <f t="shared" ca="1" si="145"/>
        <v>#VALUE!</v>
      </c>
      <c r="BB186" s="404" t="e">
        <f t="shared" ca="1" si="145"/>
        <v>#VALUE!</v>
      </c>
      <c r="BC186" s="404" t="e">
        <f t="shared" ca="1" si="145"/>
        <v>#VALUE!</v>
      </c>
      <c r="BD186" s="404" t="e">
        <f t="shared" ca="1" si="145"/>
        <v>#VALUE!</v>
      </c>
      <c r="BE186" s="404" t="e">
        <f t="shared" ca="1" si="145"/>
        <v>#VALUE!</v>
      </c>
      <c r="BF186" s="404" t="e">
        <f t="shared" ca="1" si="145"/>
        <v>#VALUE!</v>
      </c>
      <c r="BG186" s="404" t="e">
        <f t="shared" ca="1" si="145"/>
        <v>#VALUE!</v>
      </c>
      <c r="BH186" s="404" t="e">
        <f t="shared" ca="1" si="145"/>
        <v>#VALUE!</v>
      </c>
      <c r="BI186" s="404" t="e">
        <f t="shared" ca="1" si="145"/>
        <v>#VALUE!</v>
      </c>
      <c r="BJ186" s="404" t="e">
        <f t="shared" ca="1" si="145"/>
        <v>#VALUE!</v>
      </c>
      <c r="BK186" s="404" t="e">
        <f t="shared" ca="1" si="145"/>
        <v>#VALUE!</v>
      </c>
      <c r="BL186" s="404" t="e">
        <f t="shared" ca="1" si="145"/>
        <v>#VALUE!</v>
      </c>
      <c r="BM186" s="404" t="e">
        <f t="shared" ca="1" si="145"/>
        <v>#VALUE!</v>
      </c>
      <c r="BN186" s="404" t="e">
        <f t="shared" ca="1" si="145"/>
        <v>#VALUE!</v>
      </c>
      <c r="BO186" s="404" t="e">
        <f t="shared" ca="1" si="145"/>
        <v>#VALUE!</v>
      </c>
      <c r="BP186" s="404" t="e">
        <f t="shared" ca="1" si="145"/>
        <v>#VALUE!</v>
      </c>
      <c r="BQ186" s="404" t="e">
        <f t="shared" ca="1" si="145"/>
        <v>#VALUE!</v>
      </c>
      <c r="BR186" s="404" t="e">
        <f ca="1">BR181-BR185</f>
        <v>#VALUE!</v>
      </c>
    </row>
    <row r="187" spans="1:70" x14ac:dyDescent="0.2">
      <c r="B187" s="402" t="e">
        <f ca="1">SUM(B185:B186)</f>
        <v>#VALUE!</v>
      </c>
      <c r="E187" s="404"/>
      <c r="F187" s="404"/>
      <c r="G187" s="404"/>
      <c r="H187" s="404"/>
      <c r="I187" s="404"/>
      <c r="J187" s="404"/>
      <c r="K187" s="404"/>
      <c r="L187" s="404"/>
      <c r="M187" s="404"/>
      <c r="N187" s="404"/>
      <c r="O187" s="404"/>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row>
    <row r="188" spans="1:70" x14ac:dyDescent="0.2">
      <c r="B188" s="745">
        <f>IF(KollFlaeche&gt;0,B187/KollFlaeche,0)</f>
        <v>0</v>
      </c>
      <c r="C188" s="390" t="s">
        <v>3352</v>
      </c>
      <c r="E188" s="404"/>
      <c r="F188" s="404"/>
      <c r="G188" s="404"/>
      <c r="H188" s="404"/>
      <c r="I188" s="404"/>
      <c r="J188" s="404"/>
      <c r="K188" s="404"/>
      <c r="L188" s="404"/>
      <c r="M188" s="404"/>
      <c r="N188" s="404"/>
      <c r="O188" s="404"/>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row>
    <row r="189" spans="1:70" x14ac:dyDescent="0.2">
      <c r="B189" s="402"/>
      <c r="E189" s="404"/>
      <c r="F189" s="404"/>
      <c r="G189" s="404"/>
      <c r="H189" s="404"/>
      <c r="I189" s="404"/>
      <c r="J189" s="404"/>
      <c r="K189" s="404"/>
      <c r="L189" s="404"/>
      <c r="M189" s="404"/>
      <c r="N189" s="404"/>
      <c r="O189" s="404"/>
      <c r="P189" s="404"/>
      <c r="Q189" s="404"/>
      <c r="R189" s="404"/>
      <c r="S189" s="404"/>
      <c r="T189" s="404"/>
      <c r="U189" s="404"/>
      <c r="V189" s="404"/>
      <c r="W189" s="404"/>
      <c r="X189" s="404"/>
      <c r="Y189" s="404"/>
      <c r="Z189" s="404"/>
      <c r="AA189" s="404"/>
      <c r="AB189" s="404"/>
      <c r="AC189" s="404"/>
      <c r="AD189" s="404"/>
      <c r="AE189" s="404"/>
      <c r="AF189" s="404"/>
      <c r="AG189" s="404"/>
      <c r="AH189" s="404"/>
      <c r="AI189" s="404"/>
      <c r="AJ189" s="404"/>
      <c r="AK189" s="404"/>
      <c r="AL189" s="404"/>
      <c r="AM189" s="404"/>
      <c r="AN189" s="404"/>
      <c r="AO189" s="404"/>
      <c r="AP189" s="404"/>
      <c r="AQ189" s="404"/>
      <c r="AR189" s="404"/>
      <c r="AS189" s="404"/>
      <c r="AT189" s="404"/>
      <c r="AU189" s="404"/>
      <c r="AV189" s="404"/>
      <c r="AW189" s="404"/>
      <c r="AX189" s="404"/>
      <c r="AY189" s="404"/>
      <c r="AZ189" s="404"/>
      <c r="BA189" s="404"/>
      <c r="BB189" s="404"/>
      <c r="BC189" s="404"/>
      <c r="BD189" s="404"/>
      <c r="BE189" s="404"/>
      <c r="BF189" s="404"/>
      <c r="BG189" s="404"/>
      <c r="BH189" s="404"/>
      <c r="BI189" s="404"/>
      <c r="BJ189" s="404"/>
      <c r="BK189" s="404"/>
      <c r="BL189" s="404"/>
      <c r="BM189" s="404"/>
      <c r="BN189" s="404"/>
      <c r="BO189" s="404"/>
      <c r="BP189" s="404"/>
      <c r="BQ189" s="404"/>
      <c r="BR189" s="404"/>
    </row>
    <row r="190" spans="1:70" x14ac:dyDescent="0.2">
      <c r="B190" s="741" t="e">
        <f ca="1">B186/B165</f>
        <v>#VALUE!</v>
      </c>
      <c r="D190" s="390" t="s">
        <v>1800</v>
      </c>
      <c r="E190" s="404"/>
      <c r="F190" s="404"/>
      <c r="G190" s="404"/>
      <c r="H190" s="404"/>
      <c r="I190" s="404"/>
      <c r="J190" s="404"/>
      <c r="K190" s="404"/>
      <c r="L190" s="404"/>
      <c r="M190" s="404"/>
      <c r="N190" s="404"/>
      <c r="O190" s="404"/>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row>
    <row r="191" spans="1:70" x14ac:dyDescent="0.2">
      <c r="B191" s="741" t="e">
        <f ca="1">B185/B166</f>
        <v>#VALUE!</v>
      </c>
      <c r="D191" s="390" t="s">
        <v>3350</v>
      </c>
      <c r="E191" s="404"/>
      <c r="F191" s="404"/>
      <c r="G191" s="404"/>
      <c r="H191" s="404"/>
      <c r="I191" s="404"/>
      <c r="J191" s="404"/>
      <c r="K191" s="404"/>
      <c r="L191" s="404"/>
      <c r="M191" s="404"/>
      <c r="N191" s="404"/>
      <c r="O191" s="404"/>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row>
    <row r="192" spans="1:70" x14ac:dyDescent="0.2">
      <c r="B192" s="402"/>
      <c r="E192" s="404"/>
      <c r="F192" s="404"/>
      <c r="G192" s="404"/>
      <c r="H192" s="404"/>
      <c r="I192" s="404"/>
      <c r="J192" s="404"/>
      <c r="K192" s="404"/>
      <c r="L192" s="404"/>
      <c r="M192" s="404"/>
      <c r="N192" s="404"/>
      <c r="O192" s="404"/>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row>
    <row r="193" spans="2:70" x14ac:dyDescent="0.2">
      <c r="B193" s="402"/>
      <c r="E193" s="404"/>
      <c r="F193" s="404"/>
      <c r="G193" s="404"/>
      <c r="H193" s="404"/>
      <c r="I193" s="404"/>
      <c r="J193" s="404"/>
      <c r="K193" s="404"/>
      <c r="L193" s="404"/>
      <c r="M193" s="404"/>
      <c r="N193" s="404"/>
      <c r="O193" s="404"/>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row>
    <row r="194" spans="2:70" x14ac:dyDescent="0.2">
      <c r="B194" s="402"/>
      <c r="E194" s="404"/>
      <c r="F194" s="404"/>
      <c r="G194" s="404"/>
      <c r="H194" s="404"/>
      <c r="I194" s="404"/>
      <c r="J194" s="404"/>
      <c r="K194" s="404"/>
      <c r="L194" s="404"/>
      <c r="M194" s="404"/>
      <c r="N194" s="404"/>
      <c r="O194" s="404"/>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row>
    <row r="195" spans="2:70" x14ac:dyDescent="0.2">
      <c r="B195" s="402"/>
      <c r="E195" s="404"/>
      <c r="F195" s="404"/>
      <c r="G195" s="404"/>
      <c r="H195" s="404"/>
      <c r="I195" s="404"/>
      <c r="J195" s="404"/>
      <c r="K195" s="404"/>
      <c r="L195" s="404"/>
      <c r="M195" s="404"/>
      <c r="N195" s="404"/>
      <c r="O195" s="404"/>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row>
    <row r="196" spans="2:70" x14ac:dyDescent="0.2">
      <c r="B196" s="402"/>
      <c r="E196" s="404"/>
      <c r="F196" s="404"/>
      <c r="G196" s="404"/>
      <c r="H196" s="404"/>
      <c r="I196" s="404"/>
      <c r="J196" s="404"/>
      <c r="K196" s="404"/>
      <c r="L196" s="404"/>
      <c r="M196" s="404"/>
      <c r="N196" s="404"/>
      <c r="O196" s="404"/>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row>
    <row r="197" spans="2:70" x14ac:dyDescent="0.2">
      <c r="B197" s="402"/>
      <c r="E197" s="404"/>
      <c r="F197" s="404"/>
      <c r="G197" s="404"/>
      <c r="H197" s="404"/>
      <c r="I197" s="404"/>
      <c r="J197" s="404"/>
      <c r="K197" s="404"/>
      <c r="L197" s="404"/>
      <c r="M197" s="404"/>
      <c r="N197" s="404"/>
      <c r="O197" s="404"/>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row>
    <row r="198" spans="2:70" x14ac:dyDescent="0.2">
      <c r="B198" s="402"/>
      <c r="E198" s="404"/>
      <c r="F198" s="404"/>
      <c r="G198" s="404"/>
      <c r="H198" s="404"/>
      <c r="I198" s="404"/>
      <c r="J198" s="404"/>
      <c r="K198" s="404"/>
      <c r="L198" s="404"/>
      <c r="M198" s="404"/>
      <c r="N198" s="404"/>
      <c r="O198" s="404"/>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row>
    <row r="199" spans="2:70" x14ac:dyDescent="0.2">
      <c r="B199" s="402"/>
      <c r="E199" s="404"/>
      <c r="F199" s="404"/>
      <c r="G199" s="404"/>
      <c r="H199" s="404"/>
      <c r="I199" s="404"/>
      <c r="J199" s="404"/>
      <c r="K199" s="404"/>
      <c r="L199" s="404"/>
      <c r="M199" s="404"/>
      <c r="N199" s="404"/>
      <c r="O199" s="404"/>
      <c r="P199" s="404"/>
      <c r="Q199" s="404"/>
      <c r="R199" s="404"/>
      <c r="S199" s="404"/>
      <c r="T199" s="404"/>
      <c r="U199" s="404"/>
      <c r="V199" s="404"/>
      <c r="W199" s="404"/>
      <c r="X199" s="404"/>
      <c r="Y199" s="404"/>
      <c r="Z199" s="404"/>
      <c r="AA199" s="404"/>
      <c r="AB199" s="404"/>
      <c r="AC199" s="404"/>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row>
    <row r="200" spans="2:70" x14ac:dyDescent="0.2">
      <c r="B200" s="402"/>
      <c r="E200" s="404"/>
      <c r="F200" s="404"/>
      <c r="G200" s="404"/>
      <c r="H200" s="404"/>
      <c r="I200" s="404"/>
      <c r="J200" s="404"/>
      <c r="K200" s="404"/>
      <c r="L200" s="404"/>
      <c r="M200" s="404"/>
      <c r="N200" s="404"/>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row>
    <row r="201" spans="2:70" x14ac:dyDescent="0.2">
      <c r="B201" s="402"/>
      <c r="E201" s="404"/>
      <c r="F201" s="404"/>
      <c r="G201" s="404"/>
      <c r="H201" s="404"/>
      <c r="I201" s="404"/>
      <c r="J201" s="404"/>
      <c r="K201" s="404"/>
      <c r="L201" s="404"/>
      <c r="M201" s="404"/>
      <c r="N201" s="404"/>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row>
    <row r="202" spans="2:70" x14ac:dyDescent="0.2">
      <c r="B202" s="402"/>
      <c r="E202" s="404"/>
      <c r="F202" s="404"/>
      <c r="G202" s="404"/>
      <c r="H202" s="404"/>
      <c r="I202" s="404"/>
      <c r="J202" s="404"/>
      <c r="K202" s="404"/>
      <c r="L202" s="404"/>
      <c r="M202" s="404"/>
      <c r="N202" s="404"/>
      <c r="O202" s="404"/>
      <c r="P202" s="404"/>
      <c r="Q202" s="404"/>
      <c r="R202" s="404"/>
      <c r="S202" s="404"/>
      <c r="T202" s="404"/>
      <c r="U202" s="404"/>
      <c r="V202" s="404"/>
      <c r="W202" s="404"/>
      <c r="X202" s="404"/>
      <c r="Y202" s="404"/>
      <c r="Z202" s="404"/>
      <c r="AA202" s="404"/>
      <c r="AB202" s="404"/>
      <c r="AC202" s="404"/>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row>
    <row r="203" spans="2:70" x14ac:dyDescent="0.2">
      <c r="B203" s="402"/>
      <c r="E203" s="404"/>
      <c r="F203" s="404"/>
      <c r="G203" s="404"/>
      <c r="H203" s="404"/>
      <c r="I203" s="404"/>
      <c r="J203" s="404"/>
      <c r="K203" s="404"/>
      <c r="L203" s="404"/>
      <c r="M203" s="404"/>
      <c r="N203" s="404"/>
      <c r="O203" s="404"/>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row>
    <row r="204" spans="2:70" x14ac:dyDescent="0.2">
      <c r="B204" s="402"/>
      <c r="E204" s="404"/>
      <c r="F204" s="404"/>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row>
    <row r="205" spans="2:70" x14ac:dyDescent="0.2">
      <c r="B205" s="402"/>
      <c r="E205" s="404"/>
      <c r="F205" s="404"/>
      <c r="G205" s="404"/>
      <c r="H205" s="404"/>
      <c r="I205" s="404"/>
      <c r="J205" s="404"/>
      <c r="K205" s="404"/>
      <c r="L205" s="404"/>
      <c r="M205" s="404"/>
      <c r="N205" s="404"/>
      <c r="O205" s="404"/>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row>
    <row r="206" spans="2:70" x14ac:dyDescent="0.2">
      <c r="B206" s="402"/>
      <c r="E206" s="404"/>
      <c r="F206" s="404"/>
      <c r="G206" s="404"/>
      <c r="H206" s="404"/>
      <c r="I206" s="404"/>
      <c r="J206" s="404"/>
      <c r="K206" s="404"/>
      <c r="L206" s="404"/>
      <c r="M206" s="404"/>
      <c r="N206" s="404"/>
      <c r="O206" s="404"/>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row>
    <row r="207" spans="2:70" x14ac:dyDescent="0.2">
      <c r="B207" s="402"/>
      <c r="E207" s="404"/>
      <c r="F207" s="404"/>
      <c r="G207" s="404"/>
      <c r="H207" s="404"/>
      <c r="I207" s="404"/>
      <c r="J207" s="404"/>
      <c r="K207" s="404"/>
      <c r="L207" s="404"/>
      <c r="M207" s="404"/>
      <c r="N207" s="404"/>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row>
    <row r="208" spans="2:70" x14ac:dyDescent="0.2">
      <c r="B208" s="402"/>
      <c r="E208" s="404"/>
      <c r="F208" s="404"/>
      <c r="G208" s="404"/>
      <c r="H208" s="404"/>
      <c r="I208" s="404"/>
      <c r="J208" s="404"/>
      <c r="K208" s="404"/>
      <c r="L208" s="404"/>
      <c r="M208" s="404"/>
      <c r="N208" s="404"/>
      <c r="O208" s="404"/>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row>
    <row r="209" spans="2:70" x14ac:dyDescent="0.2">
      <c r="B209" s="402"/>
      <c r="E209" s="404"/>
      <c r="F209" s="404"/>
      <c r="G209" s="404"/>
      <c r="H209" s="404"/>
      <c r="I209" s="404"/>
      <c r="J209" s="404"/>
      <c r="K209" s="404"/>
      <c r="L209" s="404"/>
      <c r="M209" s="404"/>
      <c r="N209" s="404"/>
      <c r="O209" s="404"/>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row>
    <row r="210" spans="2:70" x14ac:dyDescent="0.2">
      <c r="B210" s="402"/>
      <c r="E210" s="404"/>
      <c r="F210" s="404"/>
      <c r="G210" s="404"/>
      <c r="H210" s="404"/>
      <c r="I210" s="404"/>
      <c r="J210" s="404"/>
      <c r="K210" s="404"/>
      <c r="L210" s="404"/>
      <c r="M210" s="404"/>
      <c r="N210" s="404"/>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row>
    <row r="211" spans="2:70" x14ac:dyDescent="0.2">
      <c r="B211" s="402"/>
      <c r="E211" s="404"/>
      <c r="F211" s="404"/>
      <c r="G211" s="404"/>
      <c r="H211" s="404"/>
      <c r="I211" s="404"/>
      <c r="J211" s="404"/>
      <c r="K211" s="404"/>
      <c r="L211" s="404"/>
      <c r="M211" s="404"/>
      <c r="N211" s="404"/>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row>
    <row r="212" spans="2:70" x14ac:dyDescent="0.2">
      <c r="B212" s="402"/>
      <c r="E212" s="404"/>
      <c r="F212" s="404"/>
      <c r="G212" s="404"/>
      <c r="H212" s="404"/>
      <c r="I212" s="404"/>
      <c r="J212" s="404"/>
      <c r="K212" s="404"/>
      <c r="L212" s="404"/>
      <c r="M212" s="404"/>
      <c r="N212" s="404"/>
      <c r="O212" s="404"/>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row>
    <row r="213" spans="2:70" x14ac:dyDescent="0.2">
      <c r="B213" s="402"/>
      <c r="E213" s="404"/>
      <c r="F213" s="404"/>
      <c r="G213" s="404"/>
      <c r="H213" s="404"/>
      <c r="I213" s="404"/>
      <c r="J213" s="404"/>
      <c r="K213" s="404"/>
      <c r="L213" s="404"/>
      <c r="M213" s="404"/>
      <c r="N213" s="404"/>
      <c r="O213" s="404"/>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row>
    <row r="214" spans="2:70" x14ac:dyDescent="0.2">
      <c r="B214" s="402"/>
      <c r="E214" s="404"/>
      <c r="F214" s="404"/>
      <c r="G214" s="404"/>
      <c r="H214" s="404"/>
      <c r="I214" s="404"/>
      <c r="J214" s="404"/>
      <c r="K214" s="404"/>
      <c r="L214" s="404"/>
      <c r="M214" s="404"/>
      <c r="N214" s="404"/>
      <c r="O214" s="404"/>
      <c r="P214" s="404"/>
      <c r="Q214" s="404"/>
      <c r="R214" s="404"/>
      <c r="S214" s="404"/>
      <c r="T214" s="404"/>
      <c r="U214" s="404"/>
      <c r="V214" s="404"/>
      <c r="W214" s="404"/>
      <c r="X214" s="404"/>
      <c r="Y214" s="404"/>
      <c r="Z214" s="404"/>
      <c r="AA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row>
    <row r="215" spans="2:70" x14ac:dyDescent="0.2">
      <c r="E215" s="404"/>
      <c r="F215" s="404"/>
      <c r="G215" s="404"/>
      <c r="H215" s="404"/>
      <c r="I215" s="404"/>
      <c r="J215" s="404"/>
      <c r="K215" s="404"/>
      <c r="L215" s="404"/>
      <c r="M215" s="404"/>
      <c r="N215" s="404"/>
      <c r="O215" s="404"/>
      <c r="P215" s="404"/>
      <c r="Q215" s="404"/>
      <c r="R215" s="404"/>
      <c r="S215" s="404"/>
      <c r="T215" s="404"/>
      <c r="U215" s="404"/>
      <c r="V215" s="404"/>
      <c r="W215" s="404"/>
      <c r="X215" s="404"/>
      <c r="Y215" s="404"/>
      <c r="Z215" s="404"/>
      <c r="AA215" s="404"/>
      <c r="AB215" s="404"/>
      <c r="AC215" s="404"/>
      <c r="AD215" s="404"/>
      <c r="AE215" s="404"/>
      <c r="AF215" s="404"/>
      <c r="AG215" s="404"/>
      <c r="AH215" s="404"/>
      <c r="AI215" s="404"/>
      <c r="AJ215" s="404"/>
      <c r="AK215" s="404"/>
      <c r="AL215" s="404"/>
      <c r="AM215" s="404"/>
      <c r="AN215" s="404"/>
      <c r="AO215" s="404"/>
      <c r="AP215" s="404"/>
      <c r="AQ215" s="404"/>
      <c r="AR215" s="404"/>
      <c r="AS215" s="404"/>
      <c r="AT215" s="404"/>
      <c r="AU215" s="404"/>
      <c r="AV215" s="404"/>
      <c r="AW215" s="404"/>
      <c r="AX215" s="404"/>
      <c r="AY215" s="404"/>
      <c r="AZ215" s="404"/>
      <c r="BA215" s="404"/>
      <c r="BB215" s="404"/>
      <c r="BC215" s="404"/>
      <c r="BD215" s="404"/>
      <c r="BE215" s="404"/>
      <c r="BF215" s="404"/>
      <c r="BG215" s="404"/>
      <c r="BH215" s="404"/>
      <c r="BI215" s="404"/>
      <c r="BJ215" s="404"/>
      <c r="BK215" s="404"/>
      <c r="BL215" s="404"/>
      <c r="BM215" s="404"/>
      <c r="BN215" s="404"/>
      <c r="BO215" s="404"/>
      <c r="BP215" s="404"/>
      <c r="BQ215" s="404"/>
      <c r="BR215" s="404"/>
    </row>
    <row r="216" spans="2:70" ht="75.75" customHeight="1" x14ac:dyDescent="0.2">
      <c r="F216" s="412" t="s">
        <v>3525</v>
      </c>
      <c r="G216" s="412" t="s">
        <v>3526</v>
      </c>
      <c r="H216" s="412" t="s">
        <v>3527</v>
      </c>
      <c r="J216" s="412"/>
      <c r="K216" s="412" t="s">
        <v>211</v>
      </c>
      <c r="L216" s="412" t="s">
        <v>3528</v>
      </c>
      <c r="N216" s="412" t="s">
        <v>3529</v>
      </c>
      <c r="P216" s="412" t="s">
        <v>212</v>
      </c>
      <c r="Q216" s="412" t="s">
        <v>3530</v>
      </c>
    </row>
    <row r="218" spans="2:70" x14ac:dyDescent="0.2">
      <c r="K218" s="390">
        <v>0</v>
      </c>
      <c r="L218" s="390">
        <v>0</v>
      </c>
      <c r="P218" s="390">
        <v>0</v>
      </c>
      <c r="Q218" s="390">
        <v>0</v>
      </c>
    </row>
    <row r="219" spans="2:70" x14ac:dyDescent="0.2">
      <c r="F219" s="390">
        <v>-25</v>
      </c>
      <c r="G219" s="402" t="e">
        <f>MAX($E$15-MAX(F219,$E$14),0)</f>
        <v>#VALUE!</v>
      </c>
      <c r="H219" s="390" t="e">
        <f ca="1">HLOOKUP($F219,$E$6:$BR$8,2,FALSE)</f>
        <v>#N/A</v>
      </c>
      <c r="K219" s="390">
        <v>0</v>
      </c>
      <c r="L219" s="390" t="e">
        <f>G219</f>
        <v>#VALUE!</v>
      </c>
      <c r="N219" s="390" t="e">
        <f ca="1">HLOOKUP($F219,$E$6:$BR$8,3,FALSE)</f>
        <v>#N/A</v>
      </c>
      <c r="P219" s="390">
        <f>P218</f>
        <v>0</v>
      </c>
      <c r="Q219" s="390" t="e">
        <f>G219</f>
        <v>#VALUE!</v>
      </c>
    </row>
    <row r="220" spans="2:70" x14ac:dyDescent="0.2">
      <c r="K220" s="390" t="e">
        <f ca="1">K218+H219</f>
        <v>#N/A</v>
      </c>
      <c r="L220" s="390" t="e">
        <f>L219</f>
        <v>#VALUE!</v>
      </c>
      <c r="P220" s="390" t="e">
        <f ca="1">P218+N219</f>
        <v>#N/A</v>
      </c>
      <c r="Q220" s="390" t="e">
        <f>Q219</f>
        <v>#VALUE!</v>
      </c>
    </row>
    <row r="221" spans="2:70" x14ac:dyDescent="0.2">
      <c r="K221" s="390" t="e">
        <f ca="1">K220</f>
        <v>#N/A</v>
      </c>
      <c r="L221" s="390">
        <v>0</v>
      </c>
      <c r="P221" s="390" t="e">
        <f ca="1">P220</f>
        <v>#N/A</v>
      </c>
      <c r="Q221" s="390">
        <v>0</v>
      </c>
    </row>
    <row r="222" spans="2:70" x14ac:dyDescent="0.2">
      <c r="F222" s="390">
        <f>F219+1</f>
        <v>-24</v>
      </c>
      <c r="G222" s="402" t="e">
        <f>MAX($E$15-MAX(F222,$E$14),0)</f>
        <v>#VALUE!</v>
      </c>
      <c r="H222" s="390" t="e">
        <f ca="1">HLOOKUP($F222,$E$6:$BR$8,2,FALSE)</f>
        <v>#N/A</v>
      </c>
      <c r="K222" s="390" t="e">
        <f ca="1">K221</f>
        <v>#N/A</v>
      </c>
      <c r="L222" s="390" t="e">
        <f>G222</f>
        <v>#VALUE!</v>
      </c>
      <c r="N222" s="390" t="e">
        <f ca="1">HLOOKUP($F222,$E$6:$BR$8,3,FALSE)</f>
        <v>#N/A</v>
      </c>
      <c r="P222" s="390" t="e">
        <f ca="1">P221</f>
        <v>#N/A</v>
      </c>
      <c r="Q222" s="390" t="e">
        <f>G222</f>
        <v>#VALUE!</v>
      </c>
    </row>
    <row r="223" spans="2:70" x14ac:dyDescent="0.2">
      <c r="K223" s="390" t="e">
        <f ca="1">K222+H222</f>
        <v>#N/A</v>
      </c>
      <c r="L223" s="390" t="e">
        <f>L222</f>
        <v>#VALUE!</v>
      </c>
      <c r="P223" s="390" t="e">
        <f ca="1">P221+N222</f>
        <v>#N/A</v>
      </c>
      <c r="Q223" s="390" t="e">
        <f>Q222</f>
        <v>#VALUE!</v>
      </c>
    </row>
    <row r="224" spans="2:70" x14ac:dyDescent="0.2">
      <c r="K224" s="390" t="e">
        <f ca="1">K223</f>
        <v>#N/A</v>
      </c>
      <c r="L224" s="390">
        <v>0</v>
      </c>
      <c r="P224" s="390" t="e">
        <f ca="1">P223</f>
        <v>#N/A</v>
      </c>
      <c r="Q224" s="390">
        <v>0</v>
      </c>
    </row>
    <row r="225" spans="6:17" x14ac:dyDescent="0.2">
      <c r="F225" s="390">
        <f>F222+1</f>
        <v>-23</v>
      </c>
      <c r="G225" s="402" t="e">
        <f>MAX($E$15-MAX(F225,$E$14),0)</f>
        <v>#VALUE!</v>
      </c>
      <c r="H225" s="390" t="e">
        <f ca="1">HLOOKUP($F225,$E$6:$BR$8,2,FALSE)</f>
        <v>#N/A</v>
      </c>
      <c r="K225" s="390" t="e">
        <f ca="1">K224</f>
        <v>#N/A</v>
      </c>
      <c r="L225" s="390" t="e">
        <f>G225</f>
        <v>#VALUE!</v>
      </c>
      <c r="N225" s="390" t="e">
        <f ca="1">HLOOKUP($F225,$E$6:$BR$8,3,FALSE)</f>
        <v>#N/A</v>
      </c>
      <c r="P225" s="390" t="e">
        <f ca="1">P224</f>
        <v>#N/A</v>
      </c>
      <c r="Q225" s="390" t="e">
        <f>G225</f>
        <v>#VALUE!</v>
      </c>
    </row>
    <row r="226" spans="6:17" x14ac:dyDescent="0.2">
      <c r="K226" s="390" t="e">
        <f ca="1">K225+H225</f>
        <v>#N/A</v>
      </c>
      <c r="L226" s="390" t="e">
        <f>L225</f>
        <v>#VALUE!</v>
      </c>
      <c r="P226" s="390" t="e">
        <f ca="1">P224+N225</f>
        <v>#N/A</v>
      </c>
      <c r="Q226" s="390" t="e">
        <f>Q225</f>
        <v>#VALUE!</v>
      </c>
    </row>
    <row r="227" spans="6:17" x14ac:dyDescent="0.2">
      <c r="K227" s="390" t="e">
        <f ca="1">K226</f>
        <v>#N/A</v>
      </c>
      <c r="L227" s="390">
        <v>0</v>
      </c>
      <c r="P227" s="390" t="e">
        <f ca="1">P226</f>
        <v>#N/A</v>
      </c>
      <c r="Q227" s="390">
        <v>0</v>
      </c>
    </row>
    <row r="228" spans="6:17" x14ac:dyDescent="0.2">
      <c r="F228" s="390">
        <f>F225+1</f>
        <v>-22</v>
      </c>
      <c r="G228" s="402" t="e">
        <f>MAX($E$15-MAX(F228,$E$14),0)</f>
        <v>#VALUE!</v>
      </c>
      <c r="H228" s="390" t="e">
        <f ca="1">HLOOKUP($F228,$E$6:$BR$8,2,FALSE)</f>
        <v>#N/A</v>
      </c>
      <c r="K228" s="390" t="e">
        <f ca="1">K227</f>
        <v>#N/A</v>
      </c>
      <c r="L228" s="390" t="e">
        <f>G228</f>
        <v>#VALUE!</v>
      </c>
      <c r="N228" s="390" t="e">
        <f ca="1">HLOOKUP($F228,$E$6:$BR$8,3,FALSE)</f>
        <v>#N/A</v>
      </c>
      <c r="P228" s="390" t="e">
        <f ca="1">P227</f>
        <v>#N/A</v>
      </c>
      <c r="Q228" s="390" t="e">
        <f>G228</f>
        <v>#VALUE!</v>
      </c>
    </row>
    <row r="229" spans="6:17" x14ac:dyDescent="0.2">
      <c r="K229" s="390" t="e">
        <f ca="1">K228+H228</f>
        <v>#N/A</v>
      </c>
      <c r="L229" s="390" t="e">
        <f>L228</f>
        <v>#VALUE!</v>
      </c>
      <c r="P229" s="390" t="e">
        <f ca="1">P227+N228</f>
        <v>#N/A</v>
      </c>
      <c r="Q229" s="390" t="e">
        <f>Q228</f>
        <v>#VALUE!</v>
      </c>
    </row>
    <row r="230" spans="6:17" x14ac:dyDescent="0.2">
      <c r="K230" s="390" t="e">
        <f ca="1">K229</f>
        <v>#N/A</v>
      </c>
      <c r="L230" s="390">
        <v>0</v>
      </c>
      <c r="P230" s="390" t="e">
        <f ca="1">P229</f>
        <v>#N/A</v>
      </c>
      <c r="Q230" s="390">
        <v>0</v>
      </c>
    </row>
    <row r="231" spans="6:17" x14ac:dyDescent="0.2">
      <c r="F231" s="390">
        <f>F228+1</f>
        <v>-21</v>
      </c>
      <c r="G231" s="402" t="e">
        <f>MAX($E$15-MAX(F231,$E$14),0)</f>
        <v>#VALUE!</v>
      </c>
      <c r="H231" s="390" t="e">
        <f ca="1">HLOOKUP($F231,$E$6:$BR$8,2,FALSE)</f>
        <v>#N/A</v>
      </c>
      <c r="K231" s="390" t="e">
        <f ca="1">K230</f>
        <v>#N/A</v>
      </c>
      <c r="L231" s="390" t="e">
        <f>G231</f>
        <v>#VALUE!</v>
      </c>
      <c r="N231" s="390" t="e">
        <f ca="1">HLOOKUP($F231,$E$6:$BR$8,3,FALSE)</f>
        <v>#N/A</v>
      </c>
      <c r="P231" s="390" t="e">
        <f ca="1">P230</f>
        <v>#N/A</v>
      </c>
      <c r="Q231" s="390" t="e">
        <f>G231</f>
        <v>#VALUE!</v>
      </c>
    </row>
    <row r="232" spans="6:17" x14ac:dyDescent="0.2">
      <c r="K232" s="390" t="e">
        <f ca="1">K231+H231</f>
        <v>#N/A</v>
      </c>
      <c r="L232" s="390" t="e">
        <f>L231</f>
        <v>#VALUE!</v>
      </c>
      <c r="P232" s="390" t="e">
        <f ca="1">P230+N231</f>
        <v>#N/A</v>
      </c>
      <c r="Q232" s="390" t="e">
        <f>Q231</f>
        <v>#VALUE!</v>
      </c>
    </row>
    <row r="233" spans="6:17" x14ac:dyDescent="0.2">
      <c r="K233" s="390" t="e">
        <f ca="1">K232</f>
        <v>#N/A</v>
      </c>
      <c r="L233" s="390">
        <v>0</v>
      </c>
      <c r="P233" s="390" t="e">
        <f ca="1">P232</f>
        <v>#N/A</v>
      </c>
      <c r="Q233" s="390">
        <v>0</v>
      </c>
    </row>
    <row r="234" spans="6:17" x14ac:dyDescent="0.2">
      <c r="F234" s="390">
        <f>F231+1</f>
        <v>-20</v>
      </c>
      <c r="G234" s="402" t="e">
        <f>MAX($E$15-MAX(F234,$E$14),0)</f>
        <v>#VALUE!</v>
      </c>
      <c r="H234" s="390" t="e">
        <f ca="1">HLOOKUP($F234,$E$6:$BR$8,2,FALSE)</f>
        <v>#N/A</v>
      </c>
      <c r="K234" s="390" t="e">
        <f ca="1">K233</f>
        <v>#N/A</v>
      </c>
      <c r="L234" s="390" t="e">
        <f>G234</f>
        <v>#VALUE!</v>
      </c>
      <c r="N234" s="390" t="e">
        <f ca="1">HLOOKUP($F234,$E$6:$BR$8,3,FALSE)</f>
        <v>#N/A</v>
      </c>
      <c r="P234" s="390" t="e">
        <f ca="1">P233</f>
        <v>#N/A</v>
      </c>
      <c r="Q234" s="390" t="e">
        <f>G234</f>
        <v>#VALUE!</v>
      </c>
    </row>
    <row r="235" spans="6:17" x14ac:dyDescent="0.2">
      <c r="K235" s="390" t="e">
        <f ca="1">K234+H234</f>
        <v>#N/A</v>
      </c>
      <c r="L235" s="390" t="e">
        <f>L234</f>
        <v>#VALUE!</v>
      </c>
      <c r="P235" s="390" t="e">
        <f ca="1">P233+N234</f>
        <v>#N/A</v>
      </c>
      <c r="Q235" s="390" t="e">
        <f>Q234</f>
        <v>#VALUE!</v>
      </c>
    </row>
    <row r="236" spans="6:17" x14ac:dyDescent="0.2">
      <c r="K236" s="390" t="e">
        <f ca="1">K235</f>
        <v>#N/A</v>
      </c>
      <c r="L236" s="390">
        <v>0</v>
      </c>
      <c r="P236" s="390" t="e">
        <f ca="1">P235</f>
        <v>#N/A</v>
      </c>
      <c r="Q236" s="390">
        <v>0</v>
      </c>
    </row>
    <row r="237" spans="6:17" x14ac:dyDescent="0.2">
      <c r="F237" s="390">
        <f>F234+1</f>
        <v>-19</v>
      </c>
      <c r="G237" s="402" t="e">
        <f>MAX($E$15-MAX(F237,$E$14),0)</f>
        <v>#VALUE!</v>
      </c>
      <c r="H237" s="390" t="e">
        <f ca="1">HLOOKUP($F237,$E$6:$BR$8,2,FALSE)</f>
        <v>#N/A</v>
      </c>
      <c r="K237" s="390" t="e">
        <f ca="1">K236</f>
        <v>#N/A</v>
      </c>
      <c r="L237" s="390" t="e">
        <f>G237</f>
        <v>#VALUE!</v>
      </c>
      <c r="N237" s="390" t="e">
        <f ca="1">HLOOKUP($F237,$E$6:$BR$8,3,FALSE)</f>
        <v>#N/A</v>
      </c>
      <c r="P237" s="390" t="e">
        <f ca="1">P236</f>
        <v>#N/A</v>
      </c>
      <c r="Q237" s="390" t="e">
        <f>G237</f>
        <v>#VALUE!</v>
      </c>
    </row>
    <row r="238" spans="6:17" x14ac:dyDescent="0.2">
      <c r="K238" s="390" t="e">
        <f ca="1">K237+H237</f>
        <v>#N/A</v>
      </c>
      <c r="L238" s="390" t="e">
        <f>L237</f>
        <v>#VALUE!</v>
      </c>
      <c r="P238" s="390" t="e">
        <f ca="1">P236+N237</f>
        <v>#N/A</v>
      </c>
      <c r="Q238" s="390" t="e">
        <f>Q237</f>
        <v>#VALUE!</v>
      </c>
    </row>
    <row r="239" spans="6:17" x14ac:dyDescent="0.2">
      <c r="K239" s="390" t="e">
        <f ca="1">K238</f>
        <v>#N/A</v>
      </c>
      <c r="L239" s="390">
        <v>0</v>
      </c>
      <c r="P239" s="390" t="e">
        <f ca="1">P238</f>
        <v>#N/A</v>
      </c>
      <c r="Q239" s="390">
        <v>0</v>
      </c>
    </row>
    <row r="240" spans="6:17" x14ac:dyDescent="0.2">
      <c r="F240" s="390">
        <f>F237+1</f>
        <v>-18</v>
      </c>
      <c r="G240" s="402" t="e">
        <f>MAX($E$15-MAX(F240,$E$14),0)</f>
        <v>#VALUE!</v>
      </c>
      <c r="H240" s="390" t="e">
        <f ca="1">HLOOKUP($F240,$E$6:$BR$8,2,FALSE)</f>
        <v>#N/A</v>
      </c>
      <c r="K240" s="390" t="e">
        <f ca="1">K239</f>
        <v>#N/A</v>
      </c>
      <c r="L240" s="390" t="e">
        <f>G240</f>
        <v>#VALUE!</v>
      </c>
      <c r="N240" s="390" t="e">
        <f ca="1">HLOOKUP($F240,$E$6:$BR$8,3,FALSE)</f>
        <v>#N/A</v>
      </c>
      <c r="P240" s="390" t="e">
        <f ca="1">P239</f>
        <v>#N/A</v>
      </c>
      <c r="Q240" s="390" t="e">
        <f>G240</f>
        <v>#VALUE!</v>
      </c>
    </row>
    <row r="241" spans="6:17" x14ac:dyDescent="0.2">
      <c r="K241" s="390" t="e">
        <f ca="1">K240+H240</f>
        <v>#N/A</v>
      </c>
      <c r="L241" s="390" t="e">
        <f>L240</f>
        <v>#VALUE!</v>
      </c>
      <c r="P241" s="390" t="e">
        <f ca="1">P239+N240</f>
        <v>#N/A</v>
      </c>
      <c r="Q241" s="390" t="e">
        <f>Q240</f>
        <v>#VALUE!</v>
      </c>
    </row>
    <row r="242" spans="6:17" x14ac:dyDescent="0.2">
      <c r="K242" s="390" t="e">
        <f ca="1">K241</f>
        <v>#N/A</v>
      </c>
      <c r="L242" s="390">
        <v>0</v>
      </c>
      <c r="P242" s="390" t="e">
        <f ca="1">P241</f>
        <v>#N/A</v>
      </c>
      <c r="Q242" s="390">
        <v>0</v>
      </c>
    </row>
    <row r="243" spans="6:17" x14ac:dyDescent="0.2">
      <c r="F243" s="390">
        <f>F240+1</f>
        <v>-17</v>
      </c>
      <c r="G243" s="402" t="e">
        <f>MAX($E$15-MAX(F243,$E$14),0)</f>
        <v>#VALUE!</v>
      </c>
      <c r="H243" s="390" t="e">
        <f ca="1">HLOOKUP($F243,$E$6:$BR$8,2,FALSE)</f>
        <v>#N/A</v>
      </c>
      <c r="K243" s="390" t="e">
        <f ca="1">K242</f>
        <v>#N/A</v>
      </c>
      <c r="L243" s="390" t="e">
        <f>G243</f>
        <v>#VALUE!</v>
      </c>
      <c r="N243" s="390" t="e">
        <f ca="1">HLOOKUP($F243,$E$6:$BR$8,3,FALSE)</f>
        <v>#N/A</v>
      </c>
      <c r="P243" s="390" t="e">
        <f ca="1">P242</f>
        <v>#N/A</v>
      </c>
      <c r="Q243" s="390" t="e">
        <f>G243</f>
        <v>#VALUE!</v>
      </c>
    </row>
    <row r="244" spans="6:17" x14ac:dyDescent="0.2">
      <c r="K244" s="390" t="e">
        <f ca="1">K243+H243</f>
        <v>#N/A</v>
      </c>
      <c r="L244" s="390" t="e">
        <f>L243</f>
        <v>#VALUE!</v>
      </c>
      <c r="P244" s="390" t="e">
        <f ca="1">P242+N243</f>
        <v>#N/A</v>
      </c>
      <c r="Q244" s="390" t="e">
        <f>Q243</f>
        <v>#VALUE!</v>
      </c>
    </row>
    <row r="245" spans="6:17" x14ac:dyDescent="0.2">
      <c r="K245" s="390" t="e">
        <f ca="1">K244</f>
        <v>#N/A</v>
      </c>
      <c r="L245" s="390">
        <v>0</v>
      </c>
      <c r="P245" s="390" t="e">
        <f ca="1">P244</f>
        <v>#N/A</v>
      </c>
      <c r="Q245" s="390">
        <v>0</v>
      </c>
    </row>
    <row r="246" spans="6:17" x14ac:dyDescent="0.2">
      <c r="F246" s="390">
        <f>F243+1</f>
        <v>-16</v>
      </c>
      <c r="G246" s="402" t="e">
        <f>MAX($E$15-MAX(F246,$E$14),0)</f>
        <v>#VALUE!</v>
      </c>
      <c r="H246" s="390" t="e">
        <f ca="1">HLOOKUP($F246,$E$6:$BR$8,2,FALSE)</f>
        <v>#N/A</v>
      </c>
      <c r="K246" s="390" t="e">
        <f ca="1">K245</f>
        <v>#N/A</v>
      </c>
      <c r="L246" s="390" t="e">
        <f>G246</f>
        <v>#VALUE!</v>
      </c>
      <c r="N246" s="390" t="e">
        <f ca="1">HLOOKUP($F246,$E$6:$BR$8,3,FALSE)</f>
        <v>#N/A</v>
      </c>
      <c r="P246" s="390" t="e">
        <f ca="1">P245</f>
        <v>#N/A</v>
      </c>
      <c r="Q246" s="390" t="e">
        <f>G246</f>
        <v>#VALUE!</v>
      </c>
    </row>
    <row r="247" spans="6:17" x14ac:dyDescent="0.2">
      <c r="K247" s="390" t="e">
        <f ca="1">K246+H246</f>
        <v>#N/A</v>
      </c>
      <c r="L247" s="390" t="e">
        <f>L246</f>
        <v>#VALUE!</v>
      </c>
      <c r="P247" s="390" t="e">
        <f ca="1">P245+N246</f>
        <v>#N/A</v>
      </c>
      <c r="Q247" s="390" t="e">
        <f>Q246</f>
        <v>#VALUE!</v>
      </c>
    </row>
    <row r="248" spans="6:17" x14ac:dyDescent="0.2">
      <c r="K248" s="390" t="e">
        <f ca="1">K247</f>
        <v>#N/A</v>
      </c>
      <c r="L248" s="390">
        <v>0</v>
      </c>
      <c r="P248" s="390" t="e">
        <f ca="1">P247</f>
        <v>#N/A</v>
      </c>
      <c r="Q248" s="390">
        <v>0</v>
      </c>
    </row>
    <row r="249" spans="6:17" x14ac:dyDescent="0.2">
      <c r="F249" s="390">
        <f>F246+1</f>
        <v>-15</v>
      </c>
      <c r="G249" s="402" t="e">
        <f>MAX($E$15-MAX(F249,$E$14),0)</f>
        <v>#VALUE!</v>
      </c>
      <c r="H249" s="390" t="e">
        <f ca="1">HLOOKUP($F249,$E$6:$BR$8,2,FALSE)</f>
        <v>#N/A</v>
      </c>
      <c r="K249" s="390" t="e">
        <f ca="1">K248</f>
        <v>#N/A</v>
      </c>
      <c r="L249" s="390" t="e">
        <f>G249</f>
        <v>#VALUE!</v>
      </c>
      <c r="N249" s="390" t="e">
        <f ca="1">HLOOKUP($F249,$E$6:$BR$8,3,FALSE)</f>
        <v>#N/A</v>
      </c>
      <c r="P249" s="390" t="e">
        <f ca="1">P248</f>
        <v>#N/A</v>
      </c>
      <c r="Q249" s="390" t="e">
        <f>G249</f>
        <v>#VALUE!</v>
      </c>
    </row>
    <row r="250" spans="6:17" x14ac:dyDescent="0.2">
      <c r="K250" s="390" t="e">
        <f ca="1">K249+H249</f>
        <v>#N/A</v>
      </c>
      <c r="L250" s="390" t="e">
        <f>L249</f>
        <v>#VALUE!</v>
      </c>
      <c r="P250" s="390" t="e">
        <f ca="1">P248+N249</f>
        <v>#N/A</v>
      </c>
      <c r="Q250" s="390" t="e">
        <f>Q249</f>
        <v>#VALUE!</v>
      </c>
    </row>
    <row r="251" spans="6:17" x14ac:dyDescent="0.2">
      <c r="K251" s="390" t="e">
        <f ca="1">K250</f>
        <v>#N/A</v>
      </c>
      <c r="L251" s="390">
        <v>0</v>
      </c>
      <c r="P251" s="390" t="e">
        <f ca="1">P250</f>
        <v>#N/A</v>
      </c>
      <c r="Q251" s="390">
        <v>0</v>
      </c>
    </row>
    <row r="252" spans="6:17" x14ac:dyDescent="0.2">
      <c r="F252" s="390">
        <f>F249+1</f>
        <v>-14</v>
      </c>
      <c r="G252" s="402" t="e">
        <f>MAX($E$15-MAX(F252,$E$14),0)</f>
        <v>#VALUE!</v>
      </c>
      <c r="H252" s="390" t="e">
        <f ca="1">HLOOKUP($F252,$E$6:$BR$8,2,FALSE)</f>
        <v>#N/A</v>
      </c>
      <c r="K252" s="390" t="e">
        <f ca="1">K251</f>
        <v>#N/A</v>
      </c>
      <c r="L252" s="390" t="e">
        <f>G252</f>
        <v>#VALUE!</v>
      </c>
      <c r="N252" s="390" t="e">
        <f ca="1">HLOOKUP($F252,$E$6:$BR$8,3,FALSE)</f>
        <v>#N/A</v>
      </c>
      <c r="P252" s="390" t="e">
        <f ca="1">P251</f>
        <v>#N/A</v>
      </c>
      <c r="Q252" s="390" t="e">
        <f>G252</f>
        <v>#VALUE!</v>
      </c>
    </row>
    <row r="253" spans="6:17" x14ac:dyDescent="0.2">
      <c r="K253" s="390" t="e">
        <f ca="1">K252+H252</f>
        <v>#N/A</v>
      </c>
      <c r="L253" s="390" t="e">
        <f>L252</f>
        <v>#VALUE!</v>
      </c>
      <c r="P253" s="390" t="e">
        <f ca="1">P251+N252</f>
        <v>#N/A</v>
      </c>
      <c r="Q253" s="390" t="e">
        <f>Q252</f>
        <v>#VALUE!</v>
      </c>
    </row>
    <row r="254" spans="6:17" x14ac:dyDescent="0.2">
      <c r="K254" s="390" t="e">
        <f ca="1">K253</f>
        <v>#N/A</v>
      </c>
      <c r="L254" s="390">
        <v>0</v>
      </c>
      <c r="P254" s="390" t="e">
        <f ca="1">P253</f>
        <v>#N/A</v>
      </c>
      <c r="Q254" s="390">
        <v>0</v>
      </c>
    </row>
    <row r="255" spans="6:17" x14ac:dyDescent="0.2">
      <c r="F255" s="390">
        <f>F252+1</f>
        <v>-13</v>
      </c>
      <c r="G255" s="402" t="e">
        <f>MAX($E$15-MAX(F255,$E$14),0)</f>
        <v>#VALUE!</v>
      </c>
      <c r="H255" s="390" t="e">
        <f ca="1">HLOOKUP($F255,$E$6:$BR$8,2,FALSE)</f>
        <v>#N/A</v>
      </c>
      <c r="K255" s="390" t="e">
        <f ca="1">K254</f>
        <v>#N/A</v>
      </c>
      <c r="L255" s="390" t="e">
        <f>G255</f>
        <v>#VALUE!</v>
      </c>
      <c r="N255" s="390" t="e">
        <f ca="1">HLOOKUP($F255,$E$6:$BR$8,3,FALSE)</f>
        <v>#N/A</v>
      </c>
      <c r="P255" s="390" t="e">
        <f ca="1">P254</f>
        <v>#N/A</v>
      </c>
      <c r="Q255" s="390" t="e">
        <f>G255</f>
        <v>#VALUE!</v>
      </c>
    </row>
    <row r="256" spans="6:17" x14ac:dyDescent="0.2">
      <c r="K256" s="390" t="e">
        <f ca="1">K255+H255</f>
        <v>#N/A</v>
      </c>
      <c r="L256" s="390" t="e">
        <f>L255</f>
        <v>#VALUE!</v>
      </c>
      <c r="P256" s="390" t="e">
        <f ca="1">P254+N255</f>
        <v>#N/A</v>
      </c>
      <c r="Q256" s="390" t="e">
        <f>Q255</f>
        <v>#VALUE!</v>
      </c>
    </row>
    <row r="257" spans="6:17" x14ac:dyDescent="0.2">
      <c r="K257" s="390" t="e">
        <f ca="1">K256</f>
        <v>#N/A</v>
      </c>
      <c r="L257" s="390">
        <v>0</v>
      </c>
      <c r="P257" s="390" t="e">
        <f ca="1">P256</f>
        <v>#N/A</v>
      </c>
      <c r="Q257" s="390">
        <v>0</v>
      </c>
    </row>
    <row r="258" spans="6:17" x14ac:dyDescent="0.2">
      <c r="F258" s="390">
        <f>F255+1</f>
        <v>-12</v>
      </c>
      <c r="G258" s="402" t="e">
        <f>MAX($E$15-MAX(F258,$E$14),0)</f>
        <v>#VALUE!</v>
      </c>
      <c r="H258" s="390" t="e">
        <f ca="1">HLOOKUP($F258,$E$6:$BR$8,2,FALSE)</f>
        <v>#N/A</v>
      </c>
      <c r="K258" s="390" t="e">
        <f ca="1">K257</f>
        <v>#N/A</v>
      </c>
      <c r="L258" s="390" t="e">
        <f>G258</f>
        <v>#VALUE!</v>
      </c>
      <c r="N258" s="390" t="e">
        <f ca="1">HLOOKUP($F258,$E$6:$BR$8,3,FALSE)</f>
        <v>#N/A</v>
      </c>
      <c r="P258" s="390" t="e">
        <f ca="1">P257</f>
        <v>#N/A</v>
      </c>
      <c r="Q258" s="390" t="e">
        <f>G258</f>
        <v>#VALUE!</v>
      </c>
    </row>
    <row r="259" spans="6:17" x14ac:dyDescent="0.2">
      <c r="K259" s="390" t="e">
        <f ca="1">K258+H258</f>
        <v>#N/A</v>
      </c>
      <c r="L259" s="390" t="e">
        <f>L258</f>
        <v>#VALUE!</v>
      </c>
      <c r="P259" s="390" t="e">
        <f ca="1">P257+N258</f>
        <v>#N/A</v>
      </c>
      <c r="Q259" s="390" t="e">
        <f>Q258</f>
        <v>#VALUE!</v>
      </c>
    </row>
    <row r="260" spans="6:17" x14ac:dyDescent="0.2">
      <c r="K260" s="390" t="e">
        <f ca="1">K259</f>
        <v>#N/A</v>
      </c>
      <c r="L260" s="390">
        <v>0</v>
      </c>
      <c r="P260" s="390" t="e">
        <f ca="1">P259</f>
        <v>#N/A</v>
      </c>
      <c r="Q260" s="390">
        <v>0</v>
      </c>
    </row>
    <row r="261" spans="6:17" x14ac:dyDescent="0.2">
      <c r="F261" s="390">
        <f>F258+1</f>
        <v>-11</v>
      </c>
      <c r="G261" s="402" t="e">
        <f>MAX($E$15-MAX(F261,$E$14),0)</f>
        <v>#VALUE!</v>
      </c>
      <c r="H261" s="390" t="e">
        <f ca="1">HLOOKUP($F261,$E$6:$BR$8,2,FALSE)</f>
        <v>#N/A</v>
      </c>
      <c r="K261" s="390" t="e">
        <f ca="1">K260</f>
        <v>#N/A</v>
      </c>
      <c r="L261" s="390" t="e">
        <f>G261</f>
        <v>#VALUE!</v>
      </c>
      <c r="N261" s="390" t="e">
        <f ca="1">HLOOKUP($F261,$E$6:$BR$8,3,FALSE)</f>
        <v>#N/A</v>
      </c>
      <c r="P261" s="390" t="e">
        <f ca="1">P260</f>
        <v>#N/A</v>
      </c>
      <c r="Q261" s="390" t="e">
        <f>G261</f>
        <v>#VALUE!</v>
      </c>
    </row>
    <row r="262" spans="6:17" x14ac:dyDescent="0.2">
      <c r="K262" s="390" t="e">
        <f ca="1">K261+H261</f>
        <v>#N/A</v>
      </c>
      <c r="L262" s="390" t="e">
        <f>L261</f>
        <v>#VALUE!</v>
      </c>
      <c r="P262" s="390" t="e">
        <f ca="1">P260+N261</f>
        <v>#N/A</v>
      </c>
      <c r="Q262" s="390" t="e">
        <f>Q261</f>
        <v>#VALUE!</v>
      </c>
    </row>
    <row r="263" spans="6:17" x14ac:dyDescent="0.2">
      <c r="K263" s="390" t="e">
        <f ca="1">K262</f>
        <v>#N/A</v>
      </c>
      <c r="L263" s="390">
        <v>0</v>
      </c>
      <c r="P263" s="390" t="e">
        <f ca="1">P262</f>
        <v>#N/A</v>
      </c>
      <c r="Q263" s="390">
        <v>0</v>
      </c>
    </row>
    <row r="264" spans="6:17" x14ac:dyDescent="0.2">
      <c r="F264" s="390">
        <f>F261+1</f>
        <v>-10</v>
      </c>
      <c r="G264" s="402" t="e">
        <f>MAX($E$15-MAX(F264,$E$14),0)</f>
        <v>#VALUE!</v>
      </c>
      <c r="H264" s="390" t="e">
        <f ca="1">HLOOKUP($F264,$E$6:$BR$8,2,FALSE)</f>
        <v>#N/A</v>
      </c>
      <c r="K264" s="390" t="e">
        <f ca="1">K263</f>
        <v>#N/A</v>
      </c>
      <c r="L264" s="390" t="e">
        <f>G264</f>
        <v>#VALUE!</v>
      </c>
      <c r="N264" s="390" t="e">
        <f ca="1">HLOOKUP($F264,$E$6:$BR$8,3,FALSE)</f>
        <v>#N/A</v>
      </c>
      <c r="P264" s="390" t="e">
        <f ca="1">P263</f>
        <v>#N/A</v>
      </c>
      <c r="Q264" s="390" t="e">
        <f>G264</f>
        <v>#VALUE!</v>
      </c>
    </row>
    <row r="265" spans="6:17" x14ac:dyDescent="0.2">
      <c r="K265" s="390" t="e">
        <f ca="1">K264+H264</f>
        <v>#N/A</v>
      </c>
      <c r="L265" s="390" t="e">
        <f>L264</f>
        <v>#VALUE!</v>
      </c>
      <c r="P265" s="390" t="e">
        <f ca="1">P263+N264</f>
        <v>#N/A</v>
      </c>
      <c r="Q265" s="390" t="e">
        <f>Q264</f>
        <v>#VALUE!</v>
      </c>
    </row>
    <row r="266" spans="6:17" x14ac:dyDescent="0.2">
      <c r="K266" s="390" t="e">
        <f ca="1">K265</f>
        <v>#N/A</v>
      </c>
      <c r="L266" s="390">
        <v>0</v>
      </c>
      <c r="P266" s="390" t="e">
        <f ca="1">P265</f>
        <v>#N/A</v>
      </c>
      <c r="Q266" s="390">
        <v>0</v>
      </c>
    </row>
    <row r="267" spans="6:17" x14ac:dyDescent="0.2">
      <c r="F267" s="390">
        <f>F264+1</f>
        <v>-9</v>
      </c>
      <c r="G267" s="402" t="e">
        <f>MAX($E$15-MAX(F267,$E$14),0)</f>
        <v>#VALUE!</v>
      </c>
      <c r="H267" s="390" t="e">
        <f ca="1">HLOOKUP($F267,$E$6:$BR$8,2,FALSE)</f>
        <v>#N/A</v>
      </c>
      <c r="K267" s="390" t="e">
        <f ca="1">K266</f>
        <v>#N/A</v>
      </c>
      <c r="L267" s="390" t="e">
        <f>G267</f>
        <v>#VALUE!</v>
      </c>
      <c r="N267" s="390" t="e">
        <f ca="1">HLOOKUP($F267,$E$6:$BR$8,3,FALSE)</f>
        <v>#N/A</v>
      </c>
      <c r="P267" s="390" t="e">
        <f ca="1">P266</f>
        <v>#N/A</v>
      </c>
      <c r="Q267" s="390" t="e">
        <f>G267</f>
        <v>#VALUE!</v>
      </c>
    </row>
    <row r="268" spans="6:17" x14ac:dyDescent="0.2">
      <c r="K268" s="390" t="e">
        <f ca="1">K267+H267</f>
        <v>#N/A</v>
      </c>
      <c r="L268" s="390" t="e">
        <f>L267</f>
        <v>#VALUE!</v>
      </c>
      <c r="P268" s="390" t="e">
        <f ca="1">P266+N267</f>
        <v>#N/A</v>
      </c>
      <c r="Q268" s="390" t="e">
        <f>Q267</f>
        <v>#VALUE!</v>
      </c>
    </row>
    <row r="269" spans="6:17" x14ac:dyDescent="0.2">
      <c r="K269" s="390" t="e">
        <f ca="1">K268</f>
        <v>#N/A</v>
      </c>
      <c r="L269" s="390">
        <v>0</v>
      </c>
      <c r="P269" s="390" t="e">
        <f ca="1">P268</f>
        <v>#N/A</v>
      </c>
      <c r="Q269" s="390">
        <v>0</v>
      </c>
    </row>
    <row r="270" spans="6:17" x14ac:dyDescent="0.2">
      <c r="F270" s="390">
        <f>F267+1</f>
        <v>-8</v>
      </c>
      <c r="G270" s="402" t="e">
        <f>MAX($E$15-MAX(F270,$E$14),0)</f>
        <v>#VALUE!</v>
      </c>
      <c r="H270" s="390" t="e">
        <f ca="1">HLOOKUP($F270,$E$6:$BR$8,2,FALSE)</f>
        <v>#N/A</v>
      </c>
      <c r="K270" s="390" t="e">
        <f ca="1">K269</f>
        <v>#N/A</v>
      </c>
      <c r="L270" s="390" t="e">
        <f>G270</f>
        <v>#VALUE!</v>
      </c>
      <c r="N270" s="390" t="e">
        <f ca="1">HLOOKUP($F270,$E$6:$BR$8,3,FALSE)</f>
        <v>#N/A</v>
      </c>
      <c r="P270" s="390" t="e">
        <f ca="1">P269</f>
        <v>#N/A</v>
      </c>
      <c r="Q270" s="390" t="e">
        <f>G270</f>
        <v>#VALUE!</v>
      </c>
    </row>
    <row r="271" spans="6:17" x14ac:dyDescent="0.2">
      <c r="K271" s="390" t="e">
        <f ca="1">K270+H270</f>
        <v>#N/A</v>
      </c>
      <c r="L271" s="390" t="e">
        <f>L270</f>
        <v>#VALUE!</v>
      </c>
      <c r="P271" s="390" t="e">
        <f ca="1">P269+N270</f>
        <v>#N/A</v>
      </c>
      <c r="Q271" s="390" t="e">
        <f>Q270</f>
        <v>#VALUE!</v>
      </c>
    </row>
    <row r="272" spans="6:17" x14ac:dyDescent="0.2">
      <c r="K272" s="390" t="e">
        <f ca="1">K271</f>
        <v>#N/A</v>
      </c>
      <c r="L272" s="390">
        <v>0</v>
      </c>
      <c r="P272" s="390" t="e">
        <f ca="1">P271</f>
        <v>#N/A</v>
      </c>
      <c r="Q272" s="390">
        <v>0</v>
      </c>
    </row>
    <row r="273" spans="6:17" x14ac:dyDescent="0.2">
      <c r="F273" s="390">
        <f>F270+1</f>
        <v>-7</v>
      </c>
      <c r="G273" s="402" t="e">
        <f>MAX($E$15-MAX(F273,$E$14),0)</f>
        <v>#VALUE!</v>
      </c>
      <c r="H273" s="390" t="e">
        <f ca="1">HLOOKUP($F273,$E$6:$BR$8,2,FALSE)</f>
        <v>#N/A</v>
      </c>
      <c r="K273" s="390" t="e">
        <f ca="1">K272</f>
        <v>#N/A</v>
      </c>
      <c r="L273" s="390" t="e">
        <f>G273</f>
        <v>#VALUE!</v>
      </c>
      <c r="N273" s="390" t="e">
        <f ca="1">HLOOKUP($F273,$E$6:$BR$8,3,FALSE)</f>
        <v>#N/A</v>
      </c>
      <c r="P273" s="390" t="e">
        <f ca="1">P272</f>
        <v>#N/A</v>
      </c>
      <c r="Q273" s="390" t="e">
        <f>G273</f>
        <v>#VALUE!</v>
      </c>
    </row>
    <row r="274" spans="6:17" x14ac:dyDescent="0.2">
      <c r="K274" s="390" t="e">
        <f ca="1">K273+H273</f>
        <v>#N/A</v>
      </c>
      <c r="L274" s="390" t="e">
        <f>L273</f>
        <v>#VALUE!</v>
      </c>
      <c r="P274" s="390" t="e">
        <f ca="1">P272+N273</f>
        <v>#N/A</v>
      </c>
      <c r="Q274" s="390" t="e">
        <f>Q273</f>
        <v>#VALUE!</v>
      </c>
    </row>
    <row r="275" spans="6:17" x14ac:dyDescent="0.2">
      <c r="K275" s="390" t="e">
        <f ca="1">K274</f>
        <v>#N/A</v>
      </c>
      <c r="L275" s="390">
        <v>0</v>
      </c>
      <c r="P275" s="390" t="e">
        <f ca="1">P274</f>
        <v>#N/A</v>
      </c>
      <c r="Q275" s="390">
        <v>0</v>
      </c>
    </row>
    <row r="276" spans="6:17" x14ac:dyDescent="0.2">
      <c r="F276" s="390">
        <f>F273+1</f>
        <v>-6</v>
      </c>
      <c r="G276" s="402" t="e">
        <f>MAX($E$15-MAX(F276,$E$14),0)</f>
        <v>#VALUE!</v>
      </c>
      <c r="H276" s="390" t="e">
        <f ca="1">HLOOKUP($F276,$E$6:$BR$8,2,FALSE)</f>
        <v>#N/A</v>
      </c>
      <c r="K276" s="390" t="e">
        <f ca="1">K275</f>
        <v>#N/A</v>
      </c>
      <c r="L276" s="390" t="e">
        <f>G276</f>
        <v>#VALUE!</v>
      </c>
      <c r="N276" s="390" t="e">
        <f ca="1">HLOOKUP($F276,$E$6:$BR$8,3,FALSE)</f>
        <v>#N/A</v>
      </c>
      <c r="P276" s="390" t="e">
        <f ca="1">P275</f>
        <v>#N/A</v>
      </c>
      <c r="Q276" s="390" t="e">
        <f>G276</f>
        <v>#VALUE!</v>
      </c>
    </row>
    <row r="277" spans="6:17" x14ac:dyDescent="0.2">
      <c r="K277" s="390" t="e">
        <f ca="1">K276+H276</f>
        <v>#N/A</v>
      </c>
      <c r="L277" s="390" t="e">
        <f>L276</f>
        <v>#VALUE!</v>
      </c>
      <c r="P277" s="390" t="e">
        <f ca="1">P275+N276</f>
        <v>#N/A</v>
      </c>
      <c r="Q277" s="390" t="e">
        <f>Q276</f>
        <v>#VALUE!</v>
      </c>
    </row>
    <row r="278" spans="6:17" x14ac:dyDescent="0.2">
      <c r="K278" s="390" t="e">
        <f ca="1">K277</f>
        <v>#N/A</v>
      </c>
      <c r="L278" s="390">
        <v>0</v>
      </c>
      <c r="P278" s="390" t="e">
        <f ca="1">P277</f>
        <v>#N/A</v>
      </c>
      <c r="Q278" s="390">
        <v>0</v>
      </c>
    </row>
    <row r="279" spans="6:17" x14ac:dyDescent="0.2">
      <c r="F279" s="390">
        <f>F276+1</f>
        <v>-5</v>
      </c>
      <c r="G279" s="402" t="e">
        <f>MAX($E$15-MAX(F279,$E$14),0)</f>
        <v>#VALUE!</v>
      </c>
      <c r="H279" s="390" t="e">
        <f ca="1">HLOOKUP($F279,$E$6:$BR$8,2,FALSE)</f>
        <v>#N/A</v>
      </c>
      <c r="K279" s="390" t="e">
        <f ca="1">K278</f>
        <v>#N/A</v>
      </c>
      <c r="L279" s="390" t="e">
        <f>G279</f>
        <v>#VALUE!</v>
      </c>
      <c r="N279" s="390" t="e">
        <f ca="1">HLOOKUP($F279,$E$6:$BR$8,3,FALSE)</f>
        <v>#N/A</v>
      </c>
      <c r="P279" s="390" t="e">
        <f ca="1">P278</f>
        <v>#N/A</v>
      </c>
      <c r="Q279" s="390" t="e">
        <f>G279</f>
        <v>#VALUE!</v>
      </c>
    </row>
    <row r="280" spans="6:17" x14ac:dyDescent="0.2">
      <c r="K280" s="390" t="e">
        <f ca="1">K279+H279</f>
        <v>#N/A</v>
      </c>
      <c r="L280" s="390" t="e">
        <f>L279</f>
        <v>#VALUE!</v>
      </c>
      <c r="P280" s="390" t="e">
        <f ca="1">P278+N279</f>
        <v>#N/A</v>
      </c>
      <c r="Q280" s="390" t="e">
        <f>Q279</f>
        <v>#VALUE!</v>
      </c>
    </row>
    <row r="281" spans="6:17" x14ac:dyDescent="0.2">
      <c r="K281" s="390" t="e">
        <f ca="1">K280</f>
        <v>#N/A</v>
      </c>
      <c r="L281" s="390">
        <v>0</v>
      </c>
      <c r="P281" s="390" t="e">
        <f ca="1">P280</f>
        <v>#N/A</v>
      </c>
      <c r="Q281" s="390">
        <v>0</v>
      </c>
    </row>
    <row r="282" spans="6:17" x14ac:dyDescent="0.2">
      <c r="F282" s="390">
        <f>F279+1</f>
        <v>-4</v>
      </c>
      <c r="G282" s="402" t="e">
        <f>MAX($E$15-MAX(F282,$E$14),0)</f>
        <v>#VALUE!</v>
      </c>
      <c r="H282" s="390" t="e">
        <f ca="1">HLOOKUP($F282,$E$6:$BR$8,2,FALSE)</f>
        <v>#N/A</v>
      </c>
      <c r="K282" s="390" t="e">
        <f ca="1">K281</f>
        <v>#N/A</v>
      </c>
      <c r="L282" s="390" t="e">
        <f>G282</f>
        <v>#VALUE!</v>
      </c>
      <c r="N282" s="390" t="e">
        <f ca="1">HLOOKUP($F282,$E$6:$BR$8,3,FALSE)</f>
        <v>#N/A</v>
      </c>
      <c r="P282" s="390" t="e">
        <f ca="1">P281</f>
        <v>#N/A</v>
      </c>
      <c r="Q282" s="390" t="e">
        <f>G282</f>
        <v>#VALUE!</v>
      </c>
    </row>
    <row r="283" spans="6:17" x14ac:dyDescent="0.2">
      <c r="K283" s="390" t="e">
        <f ca="1">K282+H282</f>
        <v>#N/A</v>
      </c>
      <c r="L283" s="390" t="e">
        <f>L282</f>
        <v>#VALUE!</v>
      </c>
      <c r="P283" s="390" t="e">
        <f ca="1">P281+N282</f>
        <v>#N/A</v>
      </c>
      <c r="Q283" s="390" t="e">
        <f>Q282</f>
        <v>#VALUE!</v>
      </c>
    </row>
    <row r="284" spans="6:17" x14ac:dyDescent="0.2">
      <c r="K284" s="390" t="e">
        <f ca="1">K283</f>
        <v>#N/A</v>
      </c>
      <c r="L284" s="390">
        <v>0</v>
      </c>
      <c r="P284" s="390" t="e">
        <f ca="1">P283</f>
        <v>#N/A</v>
      </c>
      <c r="Q284" s="390">
        <v>0</v>
      </c>
    </row>
    <row r="285" spans="6:17" x14ac:dyDescent="0.2">
      <c r="F285" s="390">
        <f>F282+1</f>
        <v>-3</v>
      </c>
      <c r="G285" s="402" t="e">
        <f>MAX($E$15-MAX(F285,$E$14),0)</f>
        <v>#VALUE!</v>
      </c>
      <c r="H285" s="390" t="e">
        <f ca="1">HLOOKUP($F285,$E$6:$BR$8,2,FALSE)</f>
        <v>#N/A</v>
      </c>
      <c r="K285" s="390" t="e">
        <f ca="1">K284</f>
        <v>#N/A</v>
      </c>
      <c r="L285" s="390" t="e">
        <f>G285</f>
        <v>#VALUE!</v>
      </c>
      <c r="N285" s="390" t="e">
        <f ca="1">HLOOKUP($F285,$E$6:$BR$8,3,FALSE)</f>
        <v>#N/A</v>
      </c>
      <c r="P285" s="390" t="e">
        <f ca="1">P284</f>
        <v>#N/A</v>
      </c>
      <c r="Q285" s="390" t="e">
        <f>G285</f>
        <v>#VALUE!</v>
      </c>
    </row>
    <row r="286" spans="6:17" x14ac:dyDescent="0.2">
      <c r="K286" s="390" t="e">
        <f ca="1">K285+H285</f>
        <v>#N/A</v>
      </c>
      <c r="L286" s="390" t="e">
        <f>L285</f>
        <v>#VALUE!</v>
      </c>
      <c r="P286" s="390" t="e">
        <f ca="1">P284+N285</f>
        <v>#N/A</v>
      </c>
      <c r="Q286" s="390" t="e">
        <f>Q285</f>
        <v>#VALUE!</v>
      </c>
    </row>
    <row r="287" spans="6:17" x14ac:dyDescent="0.2">
      <c r="K287" s="390" t="e">
        <f ca="1">K286</f>
        <v>#N/A</v>
      </c>
      <c r="L287" s="390">
        <v>0</v>
      </c>
      <c r="P287" s="390" t="e">
        <f ca="1">P286</f>
        <v>#N/A</v>
      </c>
      <c r="Q287" s="390">
        <v>0</v>
      </c>
    </row>
    <row r="288" spans="6:17" x14ac:dyDescent="0.2">
      <c r="F288" s="390">
        <f>F285+1</f>
        <v>-2</v>
      </c>
      <c r="G288" s="402" t="e">
        <f>MAX($E$15-MAX(F288,$E$14),0)</f>
        <v>#VALUE!</v>
      </c>
      <c r="H288" s="390" t="e">
        <f ca="1">HLOOKUP($F288,$E$6:$BR$8,2,FALSE)</f>
        <v>#N/A</v>
      </c>
      <c r="K288" s="390" t="e">
        <f ca="1">K287</f>
        <v>#N/A</v>
      </c>
      <c r="L288" s="390" t="e">
        <f>G288</f>
        <v>#VALUE!</v>
      </c>
      <c r="N288" s="390" t="e">
        <f ca="1">HLOOKUP($F288,$E$6:$BR$8,3,FALSE)</f>
        <v>#N/A</v>
      </c>
      <c r="P288" s="390" t="e">
        <f ca="1">P287</f>
        <v>#N/A</v>
      </c>
      <c r="Q288" s="390" t="e">
        <f>G288</f>
        <v>#VALUE!</v>
      </c>
    </row>
    <row r="289" spans="6:17" x14ac:dyDescent="0.2">
      <c r="K289" s="390" t="e">
        <f ca="1">K288+H288</f>
        <v>#N/A</v>
      </c>
      <c r="L289" s="390" t="e">
        <f>L288</f>
        <v>#VALUE!</v>
      </c>
      <c r="P289" s="390" t="e">
        <f ca="1">P287+N288</f>
        <v>#N/A</v>
      </c>
      <c r="Q289" s="390" t="e">
        <f>Q288</f>
        <v>#VALUE!</v>
      </c>
    </row>
    <row r="290" spans="6:17" x14ac:dyDescent="0.2">
      <c r="K290" s="390" t="e">
        <f ca="1">K289</f>
        <v>#N/A</v>
      </c>
      <c r="L290" s="390">
        <v>0</v>
      </c>
      <c r="P290" s="390" t="e">
        <f ca="1">P289</f>
        <v>#N/A</v>
      </c>
      <c r="Q290" s="390">
        <v>0</v>
      </c>
    </row>
    <row r="291" spans="6:17" x14ac:dyDescent="0.2">
      <c r="F291" s="390">
        <f>F288+1</f>
        <v>-1</v>
      </c>
      <c r="G291" s="402" t="e">
        <f>MAX($E$15-MAX(F291,$E$14),0)</f>
        <v>#VALUE!</v>
      </c>
      <c r="H291" s="390" t="e">
        <f ca="1">HLOOKUP($F291,$E$6:$BR$8,2,FALSE)</f>
        <v>#N/A</v>
      </c>
      <c r="K291" s="390" t="e">
        <f ca="1">K290</f>
        <v>#N/A</v>
      </c>
      <c r="L291" s="390" t="e">
        <f>G291</f>
        <v>#VALUE!</v>
      </c>
      <c r="N291" s="390" t="e">
        <f ca="1">HLOOKUP($F291,$E$6:$BR$8,3,FALSE)</f>
        <v>#N/A</v>
      </c>
      <c r="P291" s="390" t="e">
        <f ca="1">P290</f>
        <v>#N/A</v>
      </c>
      <c r="Q291" s="390" t="e">
        <f>G291</f>
        <v>#VALUE!</v>
      </c>
    </row>
    <row r="292" spans="6:17" x14ac:dyDescent="0.2">
      <c r="K292" s="390" t="e">
        <f ca="1">K291+H291</f>
        <v>#N/A</v>
      </c>
      <c r="L292" s="390" t="e">
        <f>L291</f>
        <v>#VALUE!</v>
      </c>
      <c r="P292" s="390" t="e">
        <f ca="1">P290+N291</f>
        <v>#N/A</v>
      </c>
      <c r="Q292" s="390" t="e">
        <f>Q291</f>
        <v>#VALUE!</v>
      </c>
    </row>
    <row r="293" spans="6:17" x14ac:dyDescent="0.2">
      <c r="K293" s="390" t="e">
        <f ca="1">K292</f>
        <v>#N/A</v>
      </c>
      <c r="L293" s="390">
        <v>0</v>
      </c>
      <c r="P293" s="390" t="e">
        <f ca="1">P292</f>
        <v>#N/A</v>
      </c>
      <c r="Q293" s="390">
        <v>0</v>
      </c>
    </row>
    <row r="294" spans="6:17" x14ac:dyDescent="0.2">
      <c r="F294" s="390">
        <f>F291+1</f>
        <v>0</v>
      </c>
      <c r="G294" s="402" t="e">
        <f>MAX($E$15-MAX(F294,$E$14),0)</f>
        <v>#VALUE!</v>
      </c>
      <c r="H294" s="390" t="e">
        <f ca="1">HLOOKUP($F294,$E$6:$BR$8,2,FALSE)</f>
        <v>#N/A</v>
      </c>
      <c r="K294" s="390" t="e">
        <f ca="1">K293</f>
        <v>#N/A</v>
      </c>
      <c r="L294" s="390" t="e">
        <f>G294</f>
        <v>#VALUE!</v>
      </c>
      <c r="N294" s="390" t="e">
        <f ca="1">HLOOKUP($F294,$E$6:$BR$8,3,FALSE)</f>
        <v>#N/A</v>
      </c>
      <c r="P294" s="390" t="e">
        <f ca="1">P293</f>
        <v>#N/A</v>
      </c>
      <c r="Q294" s="390" t="e">
        <f>G294</f>
        <v>#VALUE!</v>
      </c>
    </row>
    <row r="295" spans="6:17" x14ac:dyDescent="0.2">
      <c r="K295" s="390" t="e">
        <f ca="1">K294+H294</f>
        <v>#N/A</v>
      </c>
      <c r="L295" s="390" t="e">
        <f>L294</f>
        <v>#VALUE!</v>
      </c>
      <c r="P295" s="390" t="e">
        <f ca="1">P293+N294</f>
        <v>#N/A</v>
      </c>
      <c r="Q295" s="390" t="e">
        <f>Q294</f>
        <v>#VALUE!</v>
      </c>
    </row>
    <row r="296" spans="6:17" x14ac:dyDescent="0.2">
      <c r="K296" s="390" t="e">
        <f ca="1">K295</f>
        <v>#N/A</v>
      </c>
      <c r="L296" s="390">
        <v>0</v>
      </c>
      <c r="P296" s="390" t="e">
        <f ca="1">P295</f>
        <v>#N/A</v>
      </c>
      <c r="Q296" s="390">
        <v>0</v>
      </c>
    </row>
    <row r="297" spans="6:17" x14ac:dyDescent="0.2">
      <c r="F297" s="390">
        <f>F294+1</f>
        <v>1</v>
      </c>
      <c r="G297" s="402" t="e">
        <f>MAX($E$15-MAX(F297,$E$14),0)</f>
        <v>#VALUE!</v>
      </c>
      <c r="H297" s="390" t="e">
        <f ca="1">HLOOKUP($F297,$E$6:$BR$8,2,FALSE)</f>
        <v>#N/A</v>
      </c>
      <c r="K297" s="390" t="e">
        <f ca="1">K296</f>
        <v>#N/A</v>
      </c>
      <c r="L297" s="390" t="e">
        <f>G297</f>
        <v>#VALUE!</v>
      </c>
      <c r="N297" s="390" t="e">
        <f ca="1">HLOOKUP($F297,$E$6:$BR$8,3,FALSE)</f>
        <v>#N/A</v>
      </c>
      <c r="P297" s="390" t="e">
        <f ca="1">P296</f>
        <v>#N/A</v>
      </c>
      <c r="Q297" s="390" t="e">
        <f>G297</f>
        <v>#VALUE!</v>
      </c>
    </row>
    <row r="298" spans="6:17" x14ac:dyDescent="0.2">
      <c r="K298" s="390" t="e">
        <f ca="1">K297+H297</f>
        <v>#N/A</v>
      </c>
      <c r="L298" s="390" t="e">
        <f>L297</f>
        <v>#VALUE!</v>
      </c>
      <c r="P298" s="390" t="e">
        <f ca="1">P296+N297</f>
        <v>#N/A</v>
      </c>
      <c r="Q298" s="390" t="e">
        <f>Q297</f>
        <v>#VALUE!</v>
      </c>
    </row>
    <row r="299" spans="6:17" x14ac:dyDescent="0.2">
      <c r="K299" s="390" t="e">
        <f ca="1">K298</f>
        <v>#N/A</v>
      </c>
      <c r="L299" s="390">
        <v>0</v>
      </c>
      <c r="P299" s="390" t="e">
        <f ca="1">P298</f>
        <v>#N/A</v>
      </c>
      <c r="Q299" s="390">
        <v>0</v>
      </c>
    </row>
    <row r="300" spans="6:17" x14ac:dyDescent="0.2">
      <c r="F300" s="390">
        <f>F297+1</f>
        <v>2</v>
      </c>
      <c r="G300" s="402" t="e">
        <f>MAX($E$15-MAX(F300,$E$14),0)</f>
        <v>#VALUE!</v>
      </c>
      <c r="H300" s="390" t="e">
        <f ca="1">HLOOKUP($F300,$E$6:$BR$8,2,FALSE)</f>
        <v>#N/A</v>
      </c>
      <c r="K300" s="390" t="e">
        <f ca="1">K299</f>
        <v>#N/A</v>
      </c>
      <c r="L300" s="390" t="e">
        <f>G300</f>
        <v>#VALUE!</v>
      </c>
      <c r="N300" s="390" t="e">
        <f ca="1">HLOOKUP($F300,$E$6:$BR$8,3,FALSE)</f>
        <v>#N/A</v>
      </c>
      <c r="P300" s="390" t="e">
        <f ca="1">P299</f>
        <v>#N/A</v>
      </c>
      <c r="Q300" s="390" t="e">
        <f>G300</f>
        <v>#VALUE!</v>
      </c>
    </row>
    <row r="301" spans="6:17" x14ac:dyDescent="0.2">
      <c r="K301" s="390" t="e">
        <f ca="1">K300+H300</f>
        <v>#N/A</v>
      </c>
      <c r="L301" s="390" t="e">
        <f>L300</f>
        <v>#VALUE!</v>
      </c>
      <c r="P301" s="390" t="e">
        <f ca="1">P299+N300</f>
        <v>#N/A</v>
      </c>
      <c r="Q301" s="390" t="e">
        <f>Q300</f>
        <v>#VALUE!</v>
      </c>
    </row>
    <row r="302" spans="6:17" x14ac:dyDescent="0.2">
      <c r="K302" s="390" t="e">
        <f ca="1">K301</f>
        <v>#N/A</v>
      </c>
      <c r="L302" s="390">
        <v>0</v>
      </c>
      <c r="P302" s="390" t="e">
        <f ca="1">P301</f>
        <v>#N/A</v>
      </c>
      <c r="Q302" s="390">
        <v>0</v>
      </c>
    </row>
    <row r="303" spans="6:17" x14ac:dyDescent="0.2">
      <c r="F303" s="390">
        <f>F300+1</f>
        <v>3</v>
      </c>
      <c r="G303" s="402" t="e">
        <f>MAX($E$15-MAX(F303,$E$14),0)</f>
        <v>#VALUE!</v>
      </c>
      <c r="H303" s="390" t="e">
        <f ca="1">HLOOKUP($F303,$E$6:$BR$8,2,FALSE)</f>
        <v>#N/A</v>
      </c>
      <c r="K303" s="390" t="e">
        <f ca="1">K302</f>
        <v>#N/A</v>
      </c>
      <c r="L303" s="390" t="e">
        <f>G303</f>
        <v>#VALUE!</v>
      </c>
      <c r="N303" s="390" t="e">
        <f ca="1">HLOOKUP($F303,$E$6:$BR$8,3,FALSE)</f>
        <v>#N/A</v>
      </c>
      <c r="P303" s="390" t="e">
        <f ca="1">P302</f>
        <v>#N/A</v>
      </c>
      <c r="Q303" s="390" t="e">
        <f>G303</f>
        <v>#VALUE!</v>
      </c>
    </row>
    <row r="304" spans="6:17" x14ac:dyDescent="0.2">
      <c r="K304" s="390" t="e">
        <f ca="1">K303+H303</f>
        <v>#N/A</v>
      </c>
      <c r="L304" s="390" t="e">
        <f>L303</f>
        <v>#VALUE!</v>
      </c>
      <c r="P304" s="390" t="e">
        <f ca="1">P302+N303</f>
        <v>#N/A</v>
      </c>
      <c r="Q304" s="390" t="e">
        <f>Q303</f>
        <v>#VALUE!</v>
      </c>
    </row>
    <row r="305" spans="6:17" x14ac:dyDescent="0.2">
      <c r="K305" s="390" t="e">
        <f ca="1">K304</f>
        <v>#N/A</v>
      </c>
      <c r="L305" s="390">
        <v>0</v>
      </c>
      <c r="P305" s="390" t="e">
        <f ca="1">P304</f>
        <v>#N/A</v>
      </c>
      <c r="Q305" s="390">
        <v>0</v>
      </c>
    </row>
    <row r="306" spans="6:17" x14ac:dyDescent="0.2">
      <c r="F306" s="390">
        <f>F303+1</f>
        <v>4</v>
      </c>
      <c r="G306" s="402" t="e">
        <f>MAX($E$15-MAX(F306,$E$14),0)</f>
        <v>#VALUE!</v>
      </c>
      <c r="H306" s="390" t="e">
        <f ca="1">HLOOKUP($F306,$E$6:$BR$8,2,FALSE)</f>
        <v>#N/A</v>
      </c>
      <c r="K306" s="390" t="e">
        <f ca="1">K305</f>
        <v>#N/A</v>
      </c>
      <c r="L306" s="390" t="e">
        <f>G306</f>
        <v>#VALUE!</v>
      </c>
      <c r="N306" s="390" t="e">
        <f ca="1">HLOOKUP($F306,$E$6:$BR$8,3,FALSE)</f>
        <v>#N/A</v>
      </c>
      <c r="P306" s="390" t="e">
        <f ca="1">P305</f>
        <v>#N/A</v>
      </c>
      <c r="Q306" s="390" t="e">
        <f>G306</f>
        <v>#VALUE!</v>
      </c>
    </row>
    <row r="307" spans="6:17" x14ac:dyDescent="0.2">
      <c r="K307" s="390" t="e">
        <f ca="1">K306+H306</f>
        <v>#N/A</v>
      </c>
      <c r="L307" s="390" t="e">
        <f>L306</f>
        <v>#VALUE!</v>
      </c>
      <c r="P307" s="390" t="e">
        <f ca="1">P305+N306</f>
        <v>#N/A</v>
      </c>
      <c r="Q307" s="390" t="e">
        <f>Q306</f>
        <v>#VALUE!</v>
      </c>
    </row>
    <row r="308" spans="6:17" x14ac:dyDescent="0.2">
      <c r="K308" s="390" t="e">
        <f ca="1">K307</f>
        <v>#N/A</v>
      </c>
      <c r="L308" s="390">
        <v>0</v>
      </c>
      <c r="P308" s="390" t="e">
        <f ca="1">P307</f>
        <v>#N/A</v>
      </c>
      <c r="Q308" s="390">
        <v>0</v>
      </c>
    </row>
    <row r="309" spans="6:17" x14ac:dyDescent="0.2">
      <c r="F309" s="390">
        <f>F306+1</f>
        <v>5</v>
      </c>
      <c r="G309" s="402" t="e">
        <f>MAX($E$15-MAX(F309,$E$14),0)</f>
        <v>#VALUE!</v>
      </c>
      <c r="H309" s="390" t="e">
        <f ca="1">HLOOKUP($F309,$E$6:$BR$8,2,FALSE)</f>
        <v>#N/A</v>
      </c>
      <c r="K309" s="390" t="e">
        <f ca="1">K308</f>
        <v>#N/A</v>
      </c>
      <c r="L309" s="390" t="e">
        <f>G309</f>
        <v>#VALUE!</v>
      </c>
      <c r="N309" s="390" t="e">
        <f ca="1">HLOOKUP($F309,$E$6:$BR$8,3,FALSE)</f>
        <v>#N/A</v>
      </c>
      <c r="P309" s="390" t="e">
        <f ca="1">P308</f>
        <v>#N/A</v>
      </c>
      <c r="Q309" s="390" t="e">
        <f>G309</f>
        <v>#VALUE!</v>
      </c>
    </row>
    <row r="310" spans="6:17" x14ac:dyDescent="0.2">
      <c r="K310" s="390" t="e">
        <f ca="1">K309+H309</f>
        <v>#N/A</v>
      </c>
      <c r="L310" s="390" t="e">
        <f>L309</f>
        <v>#VALUE!</v>
      </c>
      <c r="P310" s="390" t="e">
        <f ca="1">P308+N309</f>
        <v>#N/A</v>
      </c>
      <c r="Q310" s="390" t="e">
        <f>Q309</f>
        <v>#VALUE!</v>
      </c>
    </row>
    <row r="311" spans="6:17" x14ac:dyDescent="0.2">
      <c r="K311" s="390" t="e">
        <f ca="1">K310</f>
        <v>#N/A</v>
      </c>
      <c r="L311" s="390">
        <v>0</v>
      </c>
      <c r="P311" s="390" t="e">
        <f ca="1">P310</f>
        <v>#N/A</v>
      </c>
      <c r="Q311" s="390">
        <v>0</v>
      </c>
    </row>
    <row r="312" spans="6:17" x14ac:dyDescent="0.2">
      <c r="F312" s="390">
        <f>F309+1</f>
        <v>6</v>
      </c>
      <c r="G312" s="402" t="e">
        <f>MAX($E$15-MAX(F312,$E$14),0)</f>
        <v>#VALUE!</v>
      </c>
      <c r="H312" s="390" t="e">
        <f ca="1">HLOOKUP($F312,$E$6:$BR$8,2,FALSE)</f>
        <v>#N/A</v>
      </c>
      <c r="K312" s="390" t="e">
        <f ca="1">K311</f>
        <v>#N/A</v>
      </c>
      <c r="L312" s="390" t="e">
        <f>G312</f>
        <v>#VALUE!</v>
      </c>
      <c r="N312" s="390" t="e">
        <f ca="1">HLOOKUP($F312,$E$6:$BR$8,3,FALSE)</f>
        <v>#N/A</v>
      </c>
      <c r="P312" s="390" t="e">
        <f ca="1">P311</f>
        <v>#N/A</v>
      </c>
      <c r="Q312" s="390" t="e">
        <f>G312</f>
        <v>#VALUE!</v>
      </c>
    </row>
    <row r="313" spans="6:17" x14ac:dyDescent="0.2">
      <c r="K313" s="390" t="e">
        <f ca="1">K312+H312</f>
        <v>#N/A</v>
      </c>
      <c r="L313" s="390" t="e">
        <f>L312</f>
        <v>#VALUE!</v>
      </c>
      <c r="P313" s="390" t="e">
        <f ca="1">P311+N312</f>
        <v>#N/A</v>
      </c>
      <c r="Q313" s="390" t="e">
        <f>Q312</f>
        <v>#VALUE!</v>
      </c>
    </row>
    <row r="314" spans="6:17" x14ac:dyDescent="0.2">
      <c r="K314" s="390" t="e">
        <f ca="1">K313</f>
        <v>#N/A</v>
      </c>
      <c r="L314" s="390">
        <v>0</v>
      </c>
      <c r="P314" s="390" t="e">
        <f ca="1">P313</f>
        <v>#N/A</v>
      </c>
      <c r="Q314" s="390">
        <v>0</v>
      </c>
    </row>
    <row r="315" spans="6:17" x14ac:dyDescent="0.2">
      <c r="F315" s="390">
        <f>F312+1</f>
        <v>7</v>
      </c>
      <c r="G315" s="402" t="e">
        <f>MAX($E$15-MAX(F315,$E$14),0)</f>
        <v>#VALUE!</v>
      </c>
      <c r="H315" s="390" t="e">
        <f ca="1">HLOOKUP($F315,$E$6:$BR$8,2,FALSE)</f>
        <v>#N/A</v>
      </c>
      <c r="K315" s="390" t="e">
        <f ca="1">K314</f>
        <v>#N/A</v>
      </c>
      <c r="L315" s="390" t="e">
        <f>G315</f>
        <v>#VALUE!</v>
      </c>
      <c r="N315" s="390" t="e">
        <f ca="1">HLOOKUP($F315,$E$6:$BR$8,3,FALSE)</f>
        <v>#N/A</v>
      </c>
      <c r="P315" s="390" t="e">
        <f ca="1">P314</f>
        <v>#N/A</v>
      </c>
      <c r="Q315" s="390" t="e">
        <f>G315</f>
        <v>#VALUE!</v>
      </c>
    </row>
    <row r="316" spans="6:17" x14ac:dyDescent="0.2">
      <c r="K316" s="390" t="e">
        <f ca="1">K315+H315</f>
        <v>#N/A</v>
      </c>
      <c r="L316" s="390" t="e">
        <f>L315</f>
        <v>#VALUE!</v>
      </c>
      <c r="P316" s="390" t="e">
        <f ca="1">P314+N315</f>
        <v>#N/A</v>
      </c>
      <c r="Q316" s="390" t="e">
        <f>Q315</f>
        <v>#VALUE!</v>
      </c>
    </row>
    <row r="317" spans="6:17" x14ac:dyDescent="0.2">
      <c r="K317" s="390" t="e">
        <f ca="1">K316</f>
        <v>#N/A</v>
      </c>
      <c r="L317" s="390">
        <v>0</v>
      </c>
      <c r="P317" s="390" t="e">
        <f ca="1">P316</f>
        <v>#N/A</v>
      </c>
      <c r="Q317" s="390">
        <v>0</v>
      </c>
    </row>
    <row r="318" spans="6:17" x14ac:dyDescent="0.2">
      <c r="F318" s="390">
        <f>F315+1</f>
        <v>8</v>
      </c>
      <c r="G318" s="402" t="e">
        <f>MAX($E$15-MAX(F318,$E$14),0)</f>
        <v>#VALUE!</v>
      </c>
      <c r="H318" s="390" t="e">
        <f ca="1">HLOOKUP($F318,$E$6:$BR$8,2,FALSE)</f>
        <v>#N/A</v>
      </c>
      <c r="K318" s="390" t="e">
        <f ca="1">K317</f>
        <v>#N/A</v>
      </c>
      <c r="L318" s="390" t="e">
        <f>G318</f>
        <v>#VALUE!</v>
      </c>
      <c r="N318" s="390" t="e">
        <f ca="1">HLOOKUP($F318,$E$6:$BR$8,3,FALSE)</f>
        <v>#N/A</v>
      </c>
      <c r="P318" s="390" t="e">
        <f ca="1">P317</f>
        <v>#N/A</v>
      </c>
      <c r="Q318" s="390" t="e">
        <f>G318</f>
        <v>#VALUE!</v>
      </c>
    </row>
    <row r="319" spans="6:17" x14ac:dyDescent="0.2">
      <c r="K319" s="390" t="e">
        <f ca="1">K318+H318</f>
        <v>#N/A</v>
      </c>
      <c r="L319" s="390" t="e">
        <f>L318</f>
        <v>#VALUE!</v>
      </c>
      <c r="P319" s="390" t="e">
        <f ca="1">P317+N318</f>
        <v>#N/A</v>
      </c>
      <c r="Q319" s="390" t="e">
        <f>Q318</f>
        <v>#VALUE!</v>
      </c>
    </row>
    <row r="320" spans="6:17" x14ac:dyDescent="0.2">
      <c r="K320" s="390" t="e">
        <f ca="1">K319</f>
        <v>#N/A</v>
      </c>
      <c r="L320" s="390">
        <v>0</v>
      </c>
      <c r="P320" s="390" t="e">
        <f ca="1">P319</f>
        <v>#N/A</v>
      </c>
      <c r="Q320" s="390">
        <v>0</v>
      </c>
    </row>
    <row r="321" spans="6:17" x14ac:dyDescent="0.2">
      <c r="F321" s="390">
        <f>F318+1</f>
        <v>9</v>
      </c>
      <c r="G321" s="402" t="e">
        <f>MAX($E$15-MAX(F321,$E$14),0)</f>
        <v>#VALUE!</v>
      </c>
      <c r="H321" s="390" t="e">
        <f ca="1">HLOOKUP($F321,$E$6:$BR$8,2,FALSE)</f>
        <v>#N/A</v>
      </c>
      <c r="K321" s="390" t="e">
        <f ca="1">K320</f>
        <v>#N/A</v>
      </c>
      <c r="L321" s="390" t="e">
        <f>G321</f>
        <v>#VALUE!</v>
      </c>
      <c r="N321" s="390" t="e">
        <f ca="1">HLOOKUP($F321,$E$6:$BR$8,3,FALSE)</f>
        <v>#N/A</v>
      </c>
      <c r="P321" s="390" t="e">
        <f ca="1">P320</f>
        <v>#N/A</v>
      </c>
      <c r="Q321" s="390" t="e">
        <f>G321</f>
        <v>#VALUE!</v>
      </c>
    </row>
    <row r="322" spans="6:17" x14ac:dyDescent="0.2">
      <c r="K322" s="390" t="e">
        <f ca="1">K321+H321</f>
        <v>#N/A</v>
      </c>
      <c r="L322" s="390" t="e">
        <f>L321</f>
        <v>#VALUE!</v>
      </c>
      <c r="P322" s="390" t="e">
        <f ca="1">P320+N321</f>
        <v>#N/A</v>
      </c>
      <c r="Q322" s="390" t="e">
        <f>Q321</f>
        <v>#VALUE!</v>
      </c>
    </row>
    <row r="323" spans="6:17" x14ac:dyDescent="0.2">
      <c r="K323" s="390" t="e">
        <f ca="1">K322</f>
        <v>#N/A</v>
      </c>
      <c r="L323" s="390">
        <v>0</v>
      </c>
      <c r="P323" s="390" t="e">
        <f ca="1">P322</f>
        <v>#N/A</v>
      </c>
      <c r="Q323" s="390">
        <v>0</v>
      </c>
    </row>
    <row r="324" spans="6:17" x14ac:dyDescent="0.2">
      <c r="F324" s="390">
        <f>F321+1</f>
        <v>10</v>
      </c>
      <c r="G324" s="402" t="e">
        <f>MAX($E$15-MAX(F324,$E$14),0)</f>
        <v>#VALUE!</v>
      </c>
      <c r="H324" s="390" t="e">
        <f ca="1">HLOOKUP($F324,$E$6:$BR$8,2,FALSE)</f>
        <v>#N/A</v>
      </c>
      <c r="K324" s="390" t="e">
        <f ca="1">K323</f>
        <v>#N/A</v>
      </c>
      <c r="L324" s="390" t="e">
        <f>G324</f>
        <v>#VALUE!</v>
      </c>
      <c r="N324" s="390" t="e">
        <f ca="1">HLOOKUP($F324,$E$6:$BR$8,3,FALSE)</f>
        <v>#N/A</v>
      </c>
      <c r="P324" s="390" t="e">
        <f ca="1">P323</f>
        <v>#N/A</v>
      </c>
      <c r="Q324" s="390" t="e">
        <f>G324</f>
        <v>#VALUE!</v>
      </c>
    </row>
    <row r="325" spans="6:17" x14ac:dyDescent="0.2">
      <c r="K325" s="390" t="e">
        <f ca="1">K324+H324</f>
        <v>#N/A</v>
      </c>
      <c r="L325" s="390" t="e">
        <f>L324</f>
        <v>#VALUE!</v>
      </c>
      <c r="P325" s="390" t="e">
        <f ca="1">P323+N324</f>
        <v>#N/A</v>
      </c>
      <c r="Q325" s="390" t="e">
        <f>Q324</f>
        <v>#VALUE!</v>
      </c>
    </row>
    <row r="326" spans="6:17" x14ac:dyDescent="0.2">
      <c r="K326" s="390" t="e">
        <f ca="1">K325</f>
        <v>#N/A</v>
      </c>
      <c r="L326" s="390">
        <v>0</v>
      </c>
      <c r="P326" s="390" t="e">
        <f ca="1">P325</f>
        <v>#N/A</v>
      </c>
      <c r="Q326" s="390">
        <v>0</v>
      </c>
    </row>
    <row r="327" spans="6:17" x14ac:dyDescent="0.2">
      <c r="F327" s="390">
        <f>F324+1</f>
        <v>11</v>
      </c>
      <c r="G327" s="402" t="e">
        <f>MAX($E$15-MAX(F327,$E$14),0)</f>
        <v>#VALUE!</v>
      </c>
      <c r="H327" s="390" t="e">
        <f ca="1">HLOOKUP($F327,$E$6:$BR$8,2,FALSE)</f>
        <v>#N/A</v>
      </c>
      <c r="K327" s="390" t="e">
        <f ca="1">K326</f>
        <v>#N/A</v>
      </c>
      <c r="L327" s="390" t="e">
        <f>G327</f>
        <v>#VALUE!</v>
      </c>
      <c r="N327" s="390" t="e">
        <f ca="1">HLOOKUP($F327,$E$6:$BR$8,3,FALSE)</f>
        <v>#N/A</v>
      </c>
      <c r="P327" s="390" t="e">
        <f ca="1">P326</f>
        <v>#N/A</v>
      </c>
      <c r="Q327" s="390" t="e">
        <f>G327</f>
        <v>#VALUE!</v>
      </c>
    </row>
    <row r="328" spans="6:17" x14ac:dyDescent="0.2">
      <c r="K328" s="390" t="e">
        <f ca="1">K327+H327</f>
        <v>#N/A</v>
      </c>
      <c r="L328" s="390" t="e">
        <f>L327</f>
        <v>#VALUE!</v>
      </c>
      <c r="P328" s="390" t="e">
        <f ca="1">P326+N327</f>
        <v>#N/A</v>
      </c>
      <c r="Q328" s="390" t="e">
        <f>Q327</f>
        <v>#VALUE!</v>
      </c>
    </row>
    <row r="329" spans="6:17" x14ac:dyDescent="0.2">
      <c r="K329" s="390" t="e">
        <f ca="1">K328</f>
        <v>#N/A</v>
      </c>
      <c r="L329" s="390">
        <v>0</v>
      </c>
      <c r="P329" s="390" t="e">
        <f ca="1">P328</f>
        <v>#N/A</v>
      </c>
      <c r="Q329" s="390">
        <v>0</v>
      </c>
    </row>
    <row r="330" spans="6:17" x14ac:dyDescent="0.2">
      <c r="F330" s="390">
        <f>F327+1</f>
        <v>12</v>
      </c>
      <c r="G330" s="402" t="e">
        <f>MAX($E$15-MAX(F330,$E$14),0)</f>
        <v>#VALUE!</v>
      </c>
      <c r="H330" s="390" t="e">
        <f ca="1">HLOOKUP($F330,$E$6:$BR$8,2,FALSE)</f>
        <v>#N/A</v>
      </c>
      <c r="K330" s="390" t="e">
        <f ca="1">K329</f>
        <v>#N/A</v>
      </c>
      <c r="L330" s="390" t="e">
        <f>G330</f>
        <v>#VALUE!</v>
      </c>
      <c r="N330" s="390" t="e">
        <f ca="1">HLOOKUP($F330,$E$6:$BR$8,3,FALSE)</f>
        <v>#N/A</v>
      </c>
      <c r="P330" s="390" t="e">
        <f ca="1">P329</f>
        <v>#N/A</v>
      </c>
      <c r="Q330" s="390" t="e">
        <f>G330</f>
        <v>#VALUE!</v>
      </c>
    </row>
    <row r="331" spans="6:17" x14ac:dyDescent="0.2">
      <c r="K331" s="390" t="e">
        <f ca="1">K330+H330</f>
        <v>#N/A</v>
      </c>
      <c r="L331" s="390" t="e">
        <f>L330</f>
        <v>#VALUE!</v>
      </c>
      <c r="P331" s="390" t="e">
        <f ca="1">P329+N330</f>
        <v>#N/A</v>
      </c>
      <c r="Q331" s="390" t="e">
        <f>Q330</f>
        <v>#VALUE!</v>
      </c>
    </row>
    <row r="332" spans="6:17" x14ac:dyDescent="0.2">
      <c r="K332" s="390" t="e">
        <f ca="1">K331</f>
        <v>#N/A</v>
      </c>
      <c r="L332" s="390">
        <v>0</v>
      </c>
      <c r="P332" s="390" t="e">
        <f ca="1">P331</f>
        <v>#N/A</v>
      </c>
      <c r="Q332" s="390">
        <v>0</v>
      </c>
    </row>
    <row r="333" spans="6:17" x14ac:dyDescent="0.2">
      <c r="F333" s="390">
        <f>F330+1</f>
        <v>13</v>
      </c>
      <c r="G333" s="402" t="e">
        <f>MAX($E$15-MAX(F333,$E$14),0)</f>
        <v>#VALUE!</v>
      </c>
      <c r="H333" s="390" t="e">
        <f ca="1">HLOOKUP($F333,$E$6:$BR$8,2,FALSE)</f>
        <v>#N/A</v>
      </c>
      <c r="K333" s="390" t="e">
        <f ca="1">K332</f>
        <v>#N/A</v>
      </c>
      <c r="L333" s="390" t="e">
        <f>G333</f>
        <v>#VALUE!</v>
      </c>
      <c r="N333" s="390" t="e">
        <f ca="1">HLOOKUP($F333,$E$6:$BR$8,3,FALSE)</f>
        <v>#N/A</v>
      </c>
      <c r="P333" s="390" t="e">
        <f ca="1">P332</f>
        <v>#N/A</v>
      </c>
      <c r="Q333" s="390" t="e">
        <f>G333</f>
        <v>#VALUE!</v>
      </c>
    </row>
    <row r="334" spans="6:17" x14ac:dyDescent="0.2">
      <c r="K334" s="390" t="e">
        <f ca="1">K333+H333</f>
        <v>#N/A</v>
      </c>
      <c r="L334" s="390" t="e">
        <f>L333</f>
        <v>#VALUE!</v>
      </c>
      <c r="P334" s="390" t="e">
        <f ca="1">P332+N333</f>
        <v>#N/A</v>
      </c>
      <c r="Q334" s="390" t="e">
        <f>Q333</f>
        <v>#VALUE!</v>
      </c>
    </row>
    <row r="335" spans="6:17" x14ac:dyDescent="0.2">
      <c r="K335" s="390" t="e">
        <f ca="1">K334</f>
        <v>#N/A</v>
      </c>
      <c r="L335" s="390">
        <v>0</v>
      </c>
      <c r="P335" s="390" t="e">
        <f ca="1">P334</f>
        <v>#N/A</v>
      </c>
      <c r="Q335" s="390">
        <v>0</v>
      </c>
    </row>
    <row r="336" spans="6:17" x14ac:dyDescent="0.2">
      <c r="F336" s="390">
        <f>F333+1</f>
        <v>14</v>
      </c>
      <c r="G336" s="402" t="e">
        <f>MAX($E$15-MAX(F336,$E$14),0)</f>
        <v>#VALUE!</v>
      </c>
      <c r="H336" s="390" t="e">
        <f ca="1">HLOOKUP($F336,$E$6:$BR$8,2,FALSE)</f>
        <v>#N/A</v>
      </c>
      <c r="K336" s="390" t="e">
        <f ca="1">K335</f>
        <v>#N/A</v>
      </c>
      <c r="L336" s="390" t="e">
        <f>G336</f>
        <v>#VALUE!</v>
      </c>
      <c r="N336" s="390" t="e">
        <f ca="1">HLOOKUP($F336,$E$6:$BR$8,3,FALSE)</f>
        <v>#N/A</v>
      </c>
      <c r="P336" s="390" t="e">
        <f ca="1">P335</f>
        <v>#N/A</v>
      </c>
      <c r="Q336" s="390" t="e">
        <f>G336</f>
        <v>#VALUE!</v>
      </c>
    </row>
    <row r="337" spans="6:17" x14ac:dyDescent="0.2">
      <c r="K337" s="390" t="e">
        <f ca="1">K336+H336</f>
        <v>#N/A</v>
      </c>
      <c r="L337" s="390" t="e">
        <f>L336</f>
        <v>#VALUE!</v>
      </c>
      <c r="P337" s="390" t="e">
        <f ca="1">P335+N336</f>
        <v>#N/A</v>
      </c>
      <c r="Q337" s="390" t="e">
        <f>Q336</f>
        <v>#VALUE!</v>
      </c>
    </row>
    <row r="338" spans="6:17" x14ac:dyDescent="0.2">
      <c r="K338" s="390" t="e">
        <f ca="1">K337</f>
        <v>#N/A</v>
      </c>
      <c r="L338" s="390">
        <v>0</v>
      </c>
      <c r="P338" s="390" t="e">
        <f ca="1">P337</f>
        <v>#N/A</v>
      </c>
      <c r="Q338" s="390">
        <v>0</v>
      </c>
    </row>
    <row r="339" spans="6:17" x14ac:dyDescent="0.2">
      <c r="F339" s="390">
        <f>F336+1</f>
        <v>15</v>
      </c>
      <c r="G339" s="402" t="e">
        <f>MAX($E$15-MAX(F339,$E$14),0)</f>
        <v>#VALUE!</v>
      </c>
      <c r="H339" s="390" t="e">
        <f ca="1">HLOOKUP($F339,$E$6:$BR$8,2,FALSE)</f>
        <v>#N/A</v>
      </c>
      <c r="K339" s="390" t="e">
        <f ca="1">K338</f>
        <v>#N/A</v>
      </c>
      <c r="L339" s="390" t="e">
        <f>G339</f>
        <v>#VALUE!</v>
      </c>
      <c r="N339" s="390" t="e">
        <f ca="1">HLOOKUP($F339,$E$6:$BR$8,3,FALSE)</f>
        <v>#N/A</v>
      </c>
      <c r="P339" s="390" t="e">
        <f ca="1">P338</f>
        <v>#N/A</v>
      </c>
      <c r="Q339" s="390" t="e">
        <f>G339</f>
        <v>#VALUE!</v>
      </c>
    </row>
    <row r="340" spans="6:17" x14ac:dyDescent="0.2">
      <c r="K340" s="390" t="e">
        <f ca="1">K339+H339</f>
        <v>#N/A</v>
      </c>
      <c r="L340" s="390" t="e">
        <f>L339</f>
        <v>#VALUE!</v>
      </c>
      <c r="P340" s="390" t="e">
        <f ca="1">P338+N339</f>
        <v>#N/A</v>
      </c>
      <c r="Q340" s="390" t="e">
        <f>Q339</f>
        <v>#VALUE!</v>
      </c>
    </row>
    <row r="341" spans="6:17" x14ac:dyDescent="0.2">
      <c r="K341" s="390" t="e">
        <f ca="1">K340</f>
        <v>#N/A</v>
      </c>
      <c r="L341" s="390">
        <v>0</v>
      </c>
      <c r="P341" s="390" t="e">
        <f ca="1">P340</f>
        <v>#N/A</v>
      </c>
      <c r="Q341" s="390">
        <v>0</v>
      </c>
    </row>
    <row r="342" spans="6:17" x14ac:dyDescent="0.2">
      <c r="F342" s="390">
        <f>F339+1</f>
        <v>16</v>
      </c>
      <c r="G342" s="402" t="e">
        <f>MAX($E$15-MAX(F342,$E$14),0)</f>
        <v>#VALUE!</v>
      </c>
      <c r="H342" s="390" t="e">
        <f ca="1">HLOOKUP($F342,$E$6:$BR$8,2,FALSE)</f>
        <v>#N/A</v>
      </c>
      <c r="K342" s="390" t="e">
        <f ca="1">K341</f>
        <v>#N/A</v>
      </c>
      <c r="L342" s="390" t="e">
        <f>G342</f>
        <v>#VALUE!</v>
      </c>
      <c r="N342" s="390" t="e">
        <f ca="1">HLOOKUP($F342,$E$6:$BR$8,3,FALSE)</f>
        <v>#N/A</v>
      </c>
      <c r="P342" s="390" t="e">
        <f ca="1">P341</f>
        <v>#N/A</v>
      </c>
      <c r="Q342" s="390" t="e">
        <f>G342</f>
        <v>#VALUE!</v>
      </c>
    </row>
    <row r="343" spans="6:17" x14ac:dyDescent="0.2">
      <c r="K343" s="390" t="e">
        <f ca="1">K342+H342</f>
        <v>#N/A</v>
      </c>
      <c r="L343" s="390" t="e">
        <f>L342</f>
        <v>#VALUE!</v>
      </c>
      <c r="P343" s="390" t="e">
        <f ca="1">P341+N342</f>
        <v>#N/A</v>
      </c>
      <c r="Q343" s="390" t="e">
        <f>Q342</f>
        <v>#VALUE!</v>
      </c>
    </row>
    <row r="344" spans="6:17" x14ac:dyDescent="0.2">
      <c r="K344" s="390" t="e">
        <f ca="1">K343</f>
        <v>#N/A</v>
      </c>
      <c r="L344" s="390">
        <v>0</v>
      </c>
      <c r="P344" s="390" t="e">
        <f ca="1">P343</f>
        <v>#N/A</v>
      </c>
      <c r="Q344" s="390">
        <v>0</v>
      </c>
    </row>
    <row r="345" spans="6:17" x14ac:dyDescent="0.2">
      <c r="F345" s="390">
        <f>F342+1</f>
        <v>17</v>
      </c>
      <c r="G345" s="402" t="e">
        <f>MAX($E$15-MAX(F345,$E$14),0)</f>
        <v>#VALUE!</v>
      </c>
      <c r="H345" s="390" t="e">
        <f ca="1">HLOOKUP($F345,$E$6:$BR$8,2,FALSE)</f>
        <v>#N/A</v>
      </c>
      <c r="K345" s="390" t="e">
        <f ca="1">K344</f>
        <v>#N/A</v>
      </c>
      <c r="L345" s="390" t="e">
        <f>G345</f>
        <v>#VALUE!</v>
      </c>
      <c r="N345" s="390" t="e">
        <f ca="1">HLOOKUP($F345,$E$6:$BR$8,3,FALSE)</f>
        <v>#N/A</v>
      </c>
      <c r="P345" s="390" t="e">
        <f ca="1">P344</f>
        <v>#N/A</v>
      </c>
      <c r="Q345" s="390" t="e">
        <f>G345</f>
        <v>#VALUE!</v>
      </c>
    </row>
    <row r="346" spans="6:17" x14ac:dyDescent="0.2">
      <c r="K346" s="390" t="e">
        <f ca="1">K345+H345</f>
        <v>#N/A</v>
      </c>
      <c r="L346" s="390" t="e">
        <f>L345</f>
        <v>#VALUE!</v>
      </c>
      <c r="P346" s="390" t="e">
        <f ca="1">P344+N345</f>
        <v>#N/A</v>
      </c>
      <c r="Q346" s="390" t="e">
        <f>Q345</f>
        <v>#VALUE!</v>
      </c>
    </row>
    <row r="347" spans="6:17" x14ac:dyDescent="0.2">
      <c r="K347" s="390" t="e">
        <f ca="1">K346</f>
        <v>#N/A</v>
      </c>
      <c r="L347" s="390">
        <v>0</v>
      </c>
      <c r="P347" s="390" t="e">
        <f ca="1">P346</f>
        <v>#N/A</v>
      </c>
      <c r="Q347" s="390">
        <v>0</v>
      </c>
    </row>
    <row r="348" spans="6:17" x14ac:dyDescent="0.2">
      <c r="F348" s="390">
        <f>F345+1</f>
        <v>18</v>
      </c>
      <c r="G348" s="402" t="e">
        <f>MAX($E$15-MAX(F348,$E$14),0)</f>
        <v>#VALUE!</v>
      </c>
      <c r="H348" s="390" t="e">
        <f ca="1">HLOOKUP($F348,$E$6:$BR$8,2,FALSE)</f>
        <v>#N/A</v>
      </c>
      <c r="K348" s="390" t="e">
        <f ca="1">K347</f>
        <v>#N/A</v>
      </c>
      <c r="L348" s="390" t="e">
        <f>G348</f>
        <v>#VALUE!</v>
      </c>
      <c r="N348" s="390" t="e">
        <f ca="1">HLOOKUP($F348,$E$6:$BR$8,3,FALSE)</f>
        <v>#N/A</v>
      </c>
      <c r="P348" s="390" t="e">
        <f ca="1">P347</f>
        <v>#N/A</v>
      </c>
      <c r="Q348" s="390" t="e">
        <f>G348</f>
        <v>#VALUE!</v>
      </c>
    </row>
    <row r="349" spans="6:17" x14ac:dyDescent="0.2">
      <c r="K349" s="390" t="e">
        <f ca="1">K348+H348</f>
        <v>#N/A</v>
      </c>
      <c r="L349" s="390" t="e">
        <f>L348</f>
        <v>#VALUE!</v>
      </c>
      <c r="P349" s="390" t="e">
        <f ca="1">P347+N348</f>
        <v>#N/A</v>
      </c>
      <c r="Q349" s="390" t="e">
        <f>Q348</f>
        <v>#VALUE!</v>
      </c>
    </row>
    <row r="350" spans="6:17" x14ac:dyDescent="0.2">
      <c r="K350" s="390" t="e">
        <f ca="1">K349</f>
        <v>#N/A</v>
      </c>
      <c r="L350" s="390">
        <v>0</v>
      </c>
      <c r="P350" s="390" t="e">
        <f ca="1">P349</f>
        <v>#N/A</v>
      </c>
      <c r="Q350" s="390">
        <v>0</v>
      </c>
    </row>
    <row r="351" spans="6:17" x14ac:dyDescent="0.2">
      <c r="F351" s="390">
        <f>F348+1</f>
        <v>19</v>
      </c>
      <c r="G351" s="402" t="e">
        <f>MAX($E$15-MAX(F351,$E$14),0)</f>
        <v>#VALUE!</v>
      </c>
      <c r="H351" s="390" t="e">
        <f ca="1">HLOOKUP($F351,$E$6:$BR$8,2,FALSE)</f>
        <v>#N/A</v>
      </c>
      <c r="K351" s="390" t="e">
        <f ca="1">K350</f>
        <v>#N/A</v>
      </c>
      <c r="L351" s="390" t="e">
        <f>G351</f>
        <v>#VALUE!</v>
      </c>
      <c r="N351" s="390" t="e">
        <f ca="1">HLOOKUP($F351,$E$6:$BR$8,3,FALSE)</f>
        <v>#N/A</v>
      </c>
      <c r="P351" s="390" t="e">
        <f ca="1">P350</f>
        <v>#N/A</v>
      </c>
      <c r="Q351" s="390" t="e">
        <f>G351</f>
        <v>#VALUE!</v>
      </c>
    </row>
    <row r="352" spans="6:17" x14ac:dyDescent="0.2">
      <c r="K352" s="390" t="e">
        <f ca="1">K351+H351</f>
        <v>#N/A</v>
      </c>
      <c r="L352" s="390" t="e">
        <f>L351</f>
        <v>#VALUE!</v>
      </c>
      <c r="P352" s="390" t="e">
        <f ca="1">P350+N351</f>
        <v>#N/A</v>
      </c>
      <c r="Q352" s="390" t="e">
        <f>Q351</f>
        <v>#VALUE!</v>
      </c>
    </row>
    <row r="353" spans="6:17" x14ac:dyDescent="0.2">
      <c r="K353" s="390" t="e">
        <f ca="1">K352</f>
        <v>#N/A</v>
      </c>
      <c r="L353" s="390">
        <v>0</v>
      </c>
      <c r="P353" s="390" t="e">
        <f ca="1">P352</f>
        <v>#N/A</v>
      </c>
      <c r="Q353" s="390">
        <v>0</v>
      </c>
    </row>
    <row r="354" spans="6:17" x14ac:dyDescent="0.2">
      <c r="F354" s="390">
        <f>F351+1</f>
        <v>20</v>
      </c>
      <c r="G354" s="402" t="e">
        <f>MAX($E$15-MAX(F354,$E$14),0)</f>
        <v>#VALUE!</v>
      </c>
      <c r="H354" s="390" t="e">
        <f ca="1">HLOOKUP($F354,$E$6:$BR$8,2,FALSE)</f>
        <v>#N/A</v>
      </c>
      <c r="K354" s="390" t="e">
        <f ca="1">K353</f>
        <v>#N/A</v>
      </c>
      <c r="L354" s="390" t="e">
        <f>G354</f>
        <v>#VALUE!</v>
      </c>
      <c r="N354" s="390" t="e">
        <f ca="1">HLOOKUP($F354,$E$6:$BR$8,3,FALSE)</f>
        <v>#N/A</v>
      </c>
      <c r="P354" s="390" t="e">
        <f ca="1">P353</f>
        <v>#N/A</v>
      </c>
      <c r="Q354" s="390" t="e">
        <f>G354</f>
        <v>#VALUE!</v>
      </c>
    </row>
    <row r="355" spans="6:17" x14ac:dyDescent="0.2">
      <c r="K355" s="390" t="e">
        <f ca="1">K354+H354</f>
        <v>#N/A</v>
      </c>
      <c r="L355" s="390" t="e">
        <f>L354</f>
        <v>#VALUE!</v>
      </c>
      <c r="P355" s="390" t="e">
        <f ca="1">P353+N354</f>
        <v>#N/A</v>
      </c>
      <c r="Q355" s="390" t="e">
        <f>Q354</f>
        <v>#VALUE!</v>
      </c>
    </row>
    <row r="356" spans="6:17" x14ac:dyDescent="0.2">
      <c r="K356" s="390" t="e">
        <f ca="1">K355</f>
        <v>#N/A</v>
      </c>
      <c r="L356" s="390">
        <v>0</v>
      </c>
      <c r="P356" s="390" t="e">
        <f ca="1">P355</f>
        <v>#N/A</v>
      </c>
      <c r="Q356" s="390">
        <v>0</v>
      </c>
    </row>
    <row r="357" spans="6:17" x14ac:dyDescent="0.2">
      <c r="F357" s="390">
        <f>F354+1</f>
        <v>21</v>
      </c>
      <c r="G357" s="402" t="e">
        <f>MAX($E$15-MAX(F357,$E$14),0)</f>
        <v>#VALUE!</v>
      </c>
      <c r="H357" s="390" t="e">
        <f ca="1">HLOOKUP($F357,$E$6:$BR$8,2,FALSE)</f>
        <v>#N/A</v>
      </c>
      <c r="K357" s="390" t="e">
        <f ca="1">K356</f>
        <v>#N/A</v>
      </c>
      <c r="L357" s="390" t="e">
        <f>G357</f>
        <v>#VALUE!</v>
      </c>
      <c r="N357" s="390" t="e">
        <f ca="1">HLOOKUP($F357,$E$6:$BR$8,3,FALSE)</f>
        <v>#N/A</v>
      </c>
      <c r="P357" s="390" t="e">
        <f ca="1">P356</f>
        <v>#N/A</v>
      </c>
      <c r="Q357" s="390" t="e">
        <f>G357</f>
        <v>#VALUE!</v>
      </c>
    </row>
    <row r="358" spans="6:17" x14ac:dyDescent="0.2">
      <c r="K358" s="390" t="e">
        <f ca="1">K357+H357</f>
        <v>#N/A</v>
      </c>
      <c r="L358" s="390" t="e">
        <f>L357</f>
        <v>#VALUE!</v>
      </c>
      <c r="P358" s="390" t="e">
        <f ca="1">P356+N357</f>
        <v>#N/A</v>
      </c>
      <c r="Q358" s="390" t="e">
        <f>Q357</f>
        <v>#VALUE!</v>
      </c>
    </row>
    <row r="359" spans="6:17" x14ac:dyDescent="0.2">
      <c r="K359" s="390" t="e">
        <f ca="1">K358</f>
        <v>#N/A</v>
      </c>
      <c r="L359" s="390">
        <v>0</v>
      </c>
      <c r="P359" s="390" t="e">
        <f ca="1">P358</f>
        <v>#N/A</v>
      </c>
      <c r="Q359" s="390">
        <v>0</v>
      </c>
    </row>
    <row r="360" spans="6:17" x14ac:dyDescent="0.2">
      <c r="F360" s="390">
        <f>F357+1</f>
        <v>22</v>
      </c>
      <c r="G360" s="402" t="e">
        <f>MAX($E$15-MAX(F360,$E$14),0)</f>
        <v>#VALUE!</v>
      </c>
      <c r="H360" s="390" t="e">
        <f ca="1">HLOOKUP($F360,$E$6:$BR$8,2,FALSE)</f>
        <v>#N/A</v>
      </c>
      <c r="K360" s="390" t="e">
        <f ca="1">K359</f>
        <v>#N/A</v>
      </c>
      <c r="L360" s="390" t="e">
        <f>G360</f>
        <v>#VALUE!</v>
      </c>
      <c r="N360" s="390" t="e">
        <f ca="1">HLOOKUP($F360,$E$6:$BR$8,3,FALSE)</f>
        <v>#N/A</v>
      </c>
      <c r="P360" s="390" t="e">
        <f ca="1">P359</f>
        <v>#N/A</v>
      </c>
      <c r="Q360" s="390" t="e">
        <f>G360</f>
        <v>#VALUE!</v>
      </c>
    </row>
    <row r="361" spans="6:17" x14ac:dyDescent="0.2">
      <c r="K361" s="390" t="e">
        <f ca="1">K360+H360</f>
        <v>#N/A</v>
      </c>
      <c r="L361" s="390" t="e">
        <f>L360</f>
        <v>#VALUE!</v>
      </c>
      <c r="P361" s="390" t="e">
        <f ca="1">P359+N360</f>
        <v>#N/A</v>
      </c>
      <c r="Q361" s="390" t="e">
        <f>Q360</f>
        <v>#VALUE!</v>
      </c>
    </row>
    <row r="362" spans="6:17" x14ac:dyDescent="0.2">
      <c r="K362" s="390" t="e">
        <f ca="1">K361</f>
        <v>#N/A</v>
      </c>
      <c r="L362" s="390">
        <v>0</v>
      </c>
      <c r="P362" s="390" t="e">
        <f ca="1">P361</f>
        <v>#N/A</v>
      </c>
      <c r="Q362" s="390">
        <v>0</v>
      </c>
    </row>
    <row r="363" spans="6:17" x14ac:dyDescent="0.2">
      <c r="F363" s="390">
        <f>F360+1</f>
        <v>23</v>
      </c>
      <c r="G363" s="402" t="e">
        <f>MAX($E$15-MAX(F363,$E$14),0)</f>
        <v>#VALUE!</v>
      </c>
      <c r="H363" s="390" t="e">
        <f ca="1">HLOOKUP($F363,$E$6:$BR$8,2,FALSE)</f>
        <v>#N/A</v>
      </c>
      <c r="K363" s="390" t="e">
        <f ca="1">K362</f>
        <v>#N/A</v>
      </c>
      <c r="L363" s="390" t="e">
        <f>G363</f>
        <v>#VALUE!</v>
      </c>
      <c r="N363" s="390" t="e">
        <f ca="1">HLOOKUP($F363,$E$6:$BR$8,3,FALSE)</f>
        <v>#N/A</v>
      </c>
      <c r="P363" s="390" t="e">
        <f ca="1">P362</f>
        <v>#N/A</v>
      </c>
      <c r="Q363" s="390" t="e">
        <f>G363</f>
        <v>#VALUE!</v>
      </c>
    </row>
    <row r="364" spans="6:17" x14ac:dyDescent="0.2">
      <c r="K364" s="390" t="e">
        <f ca="1">K363+H363</f>
        <v>#N/A</v>
      </c>
      <c r="L364" s="390" t="e">
        <f>L363</f>
        <v>#VALUE!</v>
      </c>
      <c r="P364" s="390" t="e">
        <f ca="1">P362+N363</f>
        <v>#N/A</v>
      </c>
      <c r="Q364" s="390" t="e">
        <f>Q363</f>
        <v>#VALUE!</v>
      </c>
    </row>
    <row r="365" spans="6:17" x14ac:dyDescent="0.2">
      <c r="K365" s="390" t="e">
        <f ca="1">K364</f>
        <v>#N/A</v>
      </c>
      <c r="L365" s="390">
        <v>0</v>
      </c>
      <c r="P365" s="390" t="e">
        <f ca="1">P364</f>
        <v>#N/A</v>
      </c>
      <c r="Q365" s="390">
        <v>0</v>
      </c>
    </row>
    <row r="366" spans="6:17" x14ac:dyDescent="0.2">
      <c r="F366" s="390">
        <f>F363+1</f>
        <v>24</v>
      </c>
      <c r="G366" s="402" t="e">
        <f>MAX($E$15-MAX(F366,$E$14),0)</f>
        <v>#VALUE!</v>
      </c>
      <c r="H366" s="390" t="e">
        <f ca="1">HLOOKUP($F366,$E$6:$BR$8,2,FALSE)</f>
        <v>#N/A</v>
      </c>
      <c r="K366" s="390" t="e">
        <f ca="1">K365</f>
        <v>#N/A</v>
      </c>
      <c r="L366" s="390" t="e">
        <f>G366</f>
        <v>#VALUE!</v>
      </c>
      <c r="N366" s="390" t="e">
        <f ca="1">HLOOKUP($F366,$E$6:$BR$8,3,FALSE)</f>
        <v>#N/A</v>
      </c>
      <c r="P366" s="390" t="e">
        <f ca="1">P365</f>
        <v>#N/A</v>
      </c>
      <c r="Q366" s="390" t="e">
        <f>G366</f>
        <v>#VALUE!</v>
      </c>
    </row>
    <row r="367" spans="6:17" x14ac:dyDescent="0.2">
      <c r="K367" s="390" t="e">
        <f ca="1">K366+H366</f>
        <v>#N/A</v>
      </c>
      <c r="L367" s="390" t="e">
        <f>L366</f>
        <v>#VALUE!</v>
      </c>
      <c r="P367" s="390" t="e">
        <f ca="1">P365+N366</f>
        <v>#N/A</v>
      </c>
      <c r="Q367" s="390" t="e">
        <f>Q366</f>
        <v>#VALUE!</v>
      </c>
    </row>
    <row r="368" spans="6:17" x14ac:dyDescent="0.2">
      <c r="K368" s="390" t="e">
        <f ca="1">K367</f>
        <v>#N/A</v>
      </c>
      <c r="L368" s="390">
        <v>0</v>
      </c>
      <c r="P368" s="390" t="e">
        <f ca="1">P367</f>
        <v>#N/A</v>
      </c>
      <c r="Q368" s="390">
        <v>0</v>
      </c>
    </row>
    <row r="369" spans="6:17" x14ac:dyDescent="0.2">
      <c r="F369" s="390">
        <f>F366+1</f>
        <v>25</v>
      </c>
      <c r="G369" s="402" t="e">
        <f>MAX($E$15-MAX(F369,$E$14),0)</f>
        <v>#VALUE!</v>
      </c>
      <c r="H369" s="390" t="e">
        <f ca="1">HLOOKUP($F369,$E$6:$BR$8,2,FALSE)</f>
        <v>#N/A</v>
      </c>
      <c r="K369" s="390" t="e">
        <f ca="1">K368</f>
        <v>#N/A</v>
      </c>
      <c r="L369" s="390" t="e">
        <f>G369</f>
        <v>#VALUE!</v>
      </c>
      <c r="N369" s="390" t="e">
        <f ca="1">HLOOKUP($F369,$E$6:$BR$8,3,FALSE)</f>
        <v>#N/A</v>
      </c>
      <c r="P369" s="390" t="e">
        <f ca="1">P368</f>
        <v>#N/A</v>
      </c>
      <c r="Q369" s="390" t="e">
        <f>G369</f>
        <v>#VALUE!</v>
      </c>
    </row>
    <row r="370" spans="6:17" x14ac:dyDescent="0.2">
      <c r="K370" s="390" t="e">
        <f ca="1">K369+H369</f>
        <v>#N/A</v>
      </c>
      <c r="L370" s="390" t="e">
        <f>L369</f>
        <v>#VALUE!</v>
      </c>
      <c r="P370" s="390" t="e">
        <f ca="1">P368+N369</f>
        <v>#N/A</v>
      </c>
      <c r="Q370" s="390" t="e">
        <f>Q369</f>
        <v>#VALUE!</v>
      </c>
    </row>
    <row r="371" spans="6:17" x14ac:dyDescent="0.2">
      <c r="K371" s="390" t="e">
        <f ca="1">K370</f>
        <v>#N/A</v>
      </c>
      <c r="L371" s="390">
        <v>0</v>
      </c>
      <c r="P371" s="390" t="e">
        <f ca="1">P370</f>
        <v>#N/A</v>
      </c>
      <c r="Q371" s="390">
        <v>0</v>
      </c>
    </row>
    <row r="372" spans="6:17" x14ac:dyDescent="0.2">
      <c r="F372" s="390">
        <f>F369+1</f>
        <v>26</v>
      </c>
      <c r="G372" s="402" t="e">
        <f>MAX($E$15-MAX(F372,$E$14),0)</f>
        <v>#VALUE!</v>
      </c>
      <c r="H372" s="390" t="e">
        <f ca="1">HLOOKUP($F372,$E$6:$BR$8,2,FALSE)</f>
        <v>#N/A</v>
      </c>
      <c r="K372" s="390" t="e">
        <f ca="1">K371</f>
        <v>#N/A</v>
      </c>
      <c r="L372" s="390" t="e">
        <f>G372</f>
        <v>#VALUE!</v>
      </c>
      <c r="N372" s="390" t="e">
        <f ca="1">HLOOKUP($F372,$E$6:$BR$8,3,FALSE)</f>
        <v>#N/A</v>
      </c>
      <c r="P372" s="390" t="e">
        <f ca="1">P371</f>
        <v>#N/A</v>
      </c>
      <c r="Q372" s="390" t="e">
        <f>G372</f>
        <v>#VALUE!</v>
      </c>
    </row>
    <row r="373" spans="6:17" x14ac:dyDescent="0.2">
      <c r="K373" s="390" t="e">
        <f ca="1">K372+H372</f>
        <v>#N/A</v>
      </c>
      <c r="L373" s="390" t="e">
        <f>L372</f>
        <v>#VALUE!</v>
      </c>
      <c r="P373" s="390" t="e">
        <f ca="1">P371+N372</f>
        <v>#N/A</v>
      </c>
      <c r="Q373" s="390" t="e">
        <f>Q372</f>
        <v>#VALUE!</v>
      </c>
    </row>
    <row r="374" spans="6:17" x14ac:dyDescent="0.2">
      <c r="K374" s="390" t="e">
        <f ca="1">K373</f>
        <v>#N/A</v>
      </c>
      <c r="L374" s="390">
        <v>0</v>
      </c>
      <c r="P374" s="390" t="e">
        <f ca="1">P373</f>
        <v>#N/A</v>
      </c>
      <c r="Q374" s="390">
        <v>0</v>
      </c>
    </row>
    <row r="375" spans="6:17" x14ac:dyDescent="0.2">
      <c r="F375" s="390">
        <f>F372+1</f>
        <v>27</v>
      </c>
      <c r="G375" s="402" t="e">
        <f>MAX($E$15-MAX(F375,$E$14),0)</f>
        <v>#VALUE!</v>
      </c>
      <c r="H375" s="390" t="e">
        <f ca="1">HLOOKUP($F375,$E$6:$BR$8,2,FALSE)</f>
        <v>#N/A</v>
      </c>
      <c r="K375" s="390" t="e">
        <f ca="1">K374</f>
        <v>#N/A</v>
      </c>
      <c r="L375" s="390" t="e">
        <f>G375</f>
        <v>#VALUE!</v>
      </c>
      <c r="N375" s="390" t="e">
        <f ca="1">HLOOKUP($F375,$E$6:$BR$8,3,FALSE)</f>
        <v>#N/A</v>
      </c>
      <c r="P375" s="390" t="e">
        <f ca="1">P374</f>
        <v>#N/A</v>
      </c>
      <c r="Q375" s="390" t="e">
        <f>G375</f>
        <v>#VALUE!</v>
      </c>
    </row>
    <row r="376" spans="6:17" x14ac:dyDescent="0.2">
      <c r="K376" s="390" t="e">
        <f ca="1">K375+H375</f>
        <v>#N/A</v>
      </c>
      <c r="L376" s="390" t="e">
        <f>L375</f>
        <v>#VALUE!</v>
      </c>
      <c r="P376" s="390" t="e">
        <f ca="1">P374+N375</f>
        <v>#N/A</v>
      </c>
      <c r="Q376" s="390" t="e">
        <f>Q375</f>
        <v>#VALUE!</v>
      </c>
    </row>
    <row r="377" spans="6:17" x14ac:dyDescent="0.2">
      <c r="K377" s="390" t="e">
        <f ca="1">K376</f>
        <v>#N/A</v>
      </c>
      <c r="L377" s="390">
        <v>0</v>
      </c>
      <c r="P377" s="390" t="e">
        <f ca="1">P376</f>
        <v>#N/A</v>
      </c>
      <c r="Q377" s="390">
        <v>0</v>
      </c>
    </row>
    <row r="378" spans="6:17" x14ac:dyDescent="0.2">
      <c r="F378" s="390">
        <f>F375+1</f>
        <v>28</v>
      </c>
      <c r="G378" s="402" t="e">
        <f>MAX($E$15-MAX(F378,$E$14),0)</f>
        <v>#VALUE!</v>
      </c>
      <c r="H378" s="390" t="e">
        <f ca="1">HLOOKUP($F378,$E$6:$BR$8,2,FALSE)</f>
        <v>#N/A</v>
      </c>
      <c r="K378" s="390" t="e">
        <f ca="1">K377</f>
        <v>#N/A</v>
      </c>
      <c r="L378" s="390" t="e">
        <f>G378</f>
        <v>#VALUE!</v>
      </c>
      <c r="N378" s="390" t="e">
        <f ca="1">HLOOKUP($F378,$E$6:$BR$8,3,FALSE)</f>
        <v>#N/A</v>
      </c>
      <c r="P378" s="390" t="e">
        <f ca="1">P377</f>
        <v>#N/A</v>
      </c>
      <c r="Q378" s="390" t="e">
        <f>G378</f>
        <v>#VALUE!</v>
      </c>
    </row>
    <row r="379" spans="6:17" x14ac:dyDescent="0.2">
      <c r="K379" s="390" t="e">
        <f ca="1">K378+H378</f>
        <v>#N/A</v>
      </c>
      <c r="L379" s="390" t="e">
        <f>L378</f>
        <v>#VALUE!</v>
      </c>
      <c r="P379" s="390" t="e">
        <f ca="1">P377+N378</f>
        <v>#N/A</v>
      </c>
      <c r="Q379" s="390" t="e">
        <f>Q378</f>
        <v>#VALUE!</v>
      </c>
    </row>
    <row r="380" spans="6:17" x14ac:dyDescent="0.2">
      <c r="K380" s="390" t="e">
        <f ca="1">K379</f>
        <v>#N/A</v>
      </c>
      <c r="L380" s="390">
        <v>0</v>
      </c>
      <c r="P380" s="390" t="e">
        <f ca="1">P379</f>
        <v>#N/A</v>
      </c>
      <c r="Q380" s="390">
        <v>0</v>
      </c>
    </row>
    <row r="381" spans="6:17" x14ac:dyDescent="0.2">
      <c r="F381" s="390">
        <f>F378+1</f>
        <v>29</v>
      </c>
      <c r="G381" s="402" t="e">
        <f>MAX($E$15-MAX(F381,$E$14),0)</f>
        <v>#VALUE!</v>
      </c>
      <c r="H381" s="390" t="e">
        <f ca="1">HLOOKUP($F381,$E$6:$BR$8,2,FALSE)</f>
        <v>#N/A</v>
      </c>
      <c r="K381" s="390" t="e">
        <f ca="1">K380</f>
        <v>#N/A</v>
      </c>
      <c r="L381" s="390" t="e">
        <f>G381</f>
        <v>#VALUE!</v>
      </c>
      <c r="N381" s="390" t="e">
        <f ca="1">HLOOKUP($F381,$E$6:$BR$8,3,FALSE)</f>
        <v>#N/A</v>
      </c>
      <c r="P381" s="390" t="e">
        <f ca="1">P380</f>
        <v>#N/A</v>
      </c>
      <c r="Q381" s="390" t="e">
        <f>G381</f>
        <v>#VALUE!</v>
      </c>
    </row>
    <row r="382" spans="6:17" x14ac:dyDescent="0.2">
      <c r="K382" s="390" t="e">
        <f ca="1">K381+H381</f>
        <v>#N/A</v>
      </c>
      <c r="L382" s="390" t="e">
        <f>L381</f>
        <v>#VALUE!</v>
      </c>
      <c r="P382" s="390" t="e">
        <f ca="1">P380+N381</f>
        <v>#N/A</v>
      </c>
      <c r="Q382" s="390" t="e">
        <f>Q381</f>
        <v>#VALUE!</v>
      </c>
    </row>
    <row r="383" spans="6:17" x14ac:dyDescent="0.2">
      <c r="K383" s="390" t="e">
        <f ca="1">K382</f>
        <v>#N/A</v>
      </c>
      <c r="L383" s="390">
        <v>0</v>
      </c>
      <c r="P383" s="390" t="e">
        <f ca="1">P382</f>
        <v>#N/A</v>
      </c>
      <c r="Q383" s="390">
        <v>0</v>
      </c>
    </row>
    <row r="384" spans="6:17" x14ac:dyDescent="0.2">
      <c r="F384" s="390">
        <f>F381+1</f>
        <v>30</v>
      </c>
      <c r="G384" s="402" t="e">
        <f>MAX($E$15-MAX(F384,$E$14),0)</f>
        <v>#VALUE!</v>
      </c>
      <c r="H384" s="390" t="e">
        <f ca="1">HLOOKUP($F384,$E$6:$BR$8,2,FALSE)</f>
        <v>#N/A</v>
      </c>
      <c r="K384" s="390" t="e">
        <f ca="1">K383</f>
        <v>#N/A</v>
      </c>
      <c r="L384" s="390" t="e">
        <f>G384</f>
        <v>#VALUE!</v>
      </c>
      <c r="N384" s="390" t="e">
        <f ca="1">HLOOKUP($F384,$E$6:$BR$8,3,FALSE)</f>
        <v>#N/A</v>
      </c>
      <c r="P384" s="390" t="e">
        <f ca="1">P383</f>
        <v>#N/A</v>
      </c>
      <c r="Q384" s="390" t="e">
        <f>G384</f>
        <v>#VALUE!</v>
      </c>
    </row>
    <row r="385" spans="6:17" x14ac:dyDescent="0.2">
      <c r="K385" s="390" t="e">
        <f ca="1">K384+H384</f>
        <v>#N/A</v>
      </c>
      <c r="L385" s="390" t="e">
        <f>L384</f>
        <v>#VALUE!</v>
      </c>
      <c r="P385" s="390" t="e">
        <f ca="1">P383+N384</f>
        <v>#N/A</v>
      </c>
      <c r="Q385" s="390" t="e">
        <f>Q384</f>
        <v>#VALUE!</v>
      </c>
    </row>
    <row r="386" spans="6:17" x14ac:dyDescent="0.2">
      <c r="K386" s="390" t="e">
        <f ca="1">K385</f>
        <v>#N/A</v>
      </c>
      <c r="L386" s="390">
        <v>0</v>
      </c>
      <c r="P386" s="390" t="e">
        <f ca="1">P385</f>
        <v>#N/A</v>
      </c>
      <c r="Q386" s="390">
        <v>0</v>
      </c>
    </row>
    <row r="387" spans="6:17" x14ac:dyDescent="0.2">
      <c r="F387" s="390">
        <f>F384+1</f>
        <v>31</v>
      </c>
      <c r="G387" s="402" t="e">
        <f>MAX($E$15-MAX(F387,$E$14),0)</f>
        <v>#VALUE!</v>
      </c>
      <c r="H387" s="390" t="e">
        <f ca="1">HLOOKUP($F387,$E$6:$BR$8,2,FALSE)</f>
        <v>#N/A</v>
      </c>
      <c r="K387" s="390" t="e">
        <f ca="1">K386</f>
        <v>#N/A</v>
      </c>
      <c r="L387" s="390" t="e">
        <f>G387</f>
        <v>#VALUE!</v>
      </c>
      <c r="N387" s="390" t="e">
        <f ca="1">HLOOKUP($F387,$E$6:$BR$8,3,FALSE)</f>
        <v>#N/A</v>
      </c>
      <c r="P387" s="390" t="e">
        <f ca="1">P386</f>
        <v>#N/A</v>
      </c>
      <c r="Q387" s="390" t="e">
        <f>G387</f>
        <v>#VALUE!</v>
      </c>
    </row>
    <row r="388" spans="6:17" x14ac:dyDescent="0.2">
      <c r="K388" s="390" t="e">
        <f ca="1">K387+H387</f>
        <v>#N/A</v>
      </c>
      <c r="L388" s="390" t="e">
        <f>L387</f>
        <v>#VALUE!</v>
      </c>
      <c r="P388" s="390" t="e">
        <f ca="1">P386+N387</f>
        <v>#N/A</v>
      </c>
      <c r="Q388" s="390" t="e">
        <f>Q387</f>
        <v>#VALUE!</v>
      </c>
    </row>
    <row r="389" spans="6:17" x14ac:dyDescent="0.2">
      <c r="K389" s="390" t="e">
        <f ca="1">K388</f>
        <v>#N/A</v>
      </c>
      <c r="L389" s="390">
        <v>0</v>
      </c>
      <c r="P389" s="390" t="e">
        <f ca="1">P388</f>
        <v>#N/A</v>
      </c>
      <c r="Q389" s="390">
        <v>0</v>
      </c>
    </row>
    <row r="390" spans="6:17" x14ac:dyDescent="0.2">
      <c r="F390" s="390">
        <f>F387+1</f>
        <v>32</v>
      </c>
      <c r="G390" s="402" t="e">
        <f>MAX($E$15-MAX(F390,$E$14),0)</f>
        <v>#VALUE!</v>
      </c>
      <c r="H390" s="390" t="e">
        <f ca="1">HLOOKUP($F390,$E$6:$BR$8,2,FALSE)</f>
        <v>#N/A</v>
      </c>
      <c r="K390" s="390" t="e">
        <f ca="1">K389</f>
        <v>#N/A</v>
      </c>
      <c r="L390" s="390" t="e">
        <f>G390</f>
        <v>#VALUE!</v>
      </c>
      <c r="N390" s="390" t="e">
        <f ca="1">HLOOKUP($F390,$E$6:$BR$8,3,FALSE)</f>
        <v>#N/A</v>
      </c>
      <c r="P390" s="390" t="e">
        <f ca="1">P389</f>
        <v>#N/A</v>
      </c>
      <c r="Q390" s="390" t="e">
        <f>G390</f>
        <v>#VALUE!</v>
      </c>
    </row>
    <row r="391" spans="6:17" x14ac:dyDescent="0.2">
      <c r="K391" s="390" t="e">
        <f ca="1">K390+H390</f>
        <v>#N/A</v>
      </c>
      <c r="L391" s="390" t="e">
        <f>L390</f>
        <v>#VALUE!</v>
      </c>
      <c r="P391" s="390" t="e">
        <f ca="1">P389+N390</f>
        <v>#N/A</v>
      </c>
      <c r="Q391" s="390" t="e">
        <f>Q390</f>
        <v>#VALUE!</v>
      </c>
    </row>
    <row r="392" spans="6:17" x14ac:dyDescent="0.2">
      <c r="K392" s="390" t="e">
        <f ca="1">K391</f>
        <v>#N/A</v>
      </c>
      <c r="L392" s="390">
        <v>0</v>
      </c>
      <c r="P392" s="390" t="e">
        <f ca="1">P391</f>
        <v>#N/A</v>
      </c>
      <c r="Q392" s="390">
        <v>0</v>
      </c>
    </row>
    <row r="393" spans="6:17" x14ac:dyDescent="0.2">
      <c r="F393" s="390">
        <f>F390+1</f>
        <v>33</v>
      </c>
      <c r="G393" s="402" t="e">
        <f>MAX($E$15-MAX(F393,$E$14),0)</f>
        <v>#VALUE!</v>
      </c>
      <c r="H393" s="390" t="e">
        <f ca="1">HLOOKUP($F393,$E$6:$BR$8,2,FALSE)</f>
        <v>#N/A</v>
      </c>
      <c r="K393" s="390" t="e">
        <f ca="1">K392</f>
        <v>#N/A</v>
      </c>
      <c r="L393" s="390" t="e">
        <f>G393</f>
        <v>#VALUE!</v>
      </c>
      <c r="N393" s="390" t="e">
        <f ca="1">HLOOKUP($F393,$E$6:$BR$8,3,FALSE)</f>
        <v>#N/A</v>
      </c>
      <c r="P393" s="390" t="e">
        <f ca="1">P392</f>
        <v>#N/A</v>
      </c>
      <c r="Q393" s="390" t="e">
        <f>G393</f>
        <v>#VALUE!</v>
      </c>
    </row>
    <row r="394" spans="6:17" x14ac:dyDescent="0.2">
      <c r="K394" s="390" t="e">
        <f ca="1">K393+H393</f>
        <v>#N/A</v>
      </c>
      <c r="L394" s="390" t="e">
        <f>L393</f>
        <v>#VALUE!</v>
      </c>
      <c r="P394" s="390" t="e">
        <f ca="1">P392+N393</f>
        <v>#N/A</v>
      </c>
      <c r="Q394" s="390" t="e">
        <f>Q393</f>
        <v>#VALUE!</v>
      </c>
    </row>
    <row r="395" spans="6:17" x14ac:dyDescent="0.2">
      <c r="K395" s="390" t="e">
        <f ca="1">K394</f>
        <v>#N/A</v>
      </c>
      <c r="L395" s="390">
        <v>0</v>
      </c>
      <c r="P395" s="390" t="e">
        <f ca="1">P394</f>
        <v>#N/A</v>
      </c>
      <c r="Q395" s="390">
        <v>0</v>
      </c>
    </row>
    <row r="396" spans="6:17" x14ac:dyDescent="0.2">
      <c r="F396" s="390">
        <f>F393+1</f>
        <v>34</v>
      </c>
      <c r="G396" s="402" t="e">
        <f>MAX($E$15-MAX(F396,$E$14),0)</f>
        <v>#VALUE!</v>
      </c>
      <c r="H396" s="390" t="e">
        <f ca="1">HLOOKUP($F396,$E$6:$BR$8,2,FALSE)</f>
        <v>#N/A</v>
      </c>
      <c r="K396" s="390" t="e">
        <f ca="1">K395</f>
        <v>#N/A</v>
      </c>
      <c r="L396" s="390" t="e">
        <f>G396</f>
        <v>#VALUE!</v>
      </c>
      <c r="N396" s="390" t="e">
        <f ca="1">HLOOKUP($F396,$E$6:$BR$8,3,FALSE)</f>
        <v>#N/A</v>
      </c>
      <c r="P396" s="390" t="e">
        <f ca="1">P395</f>
        <v>#N/A</v>
      </c>
      <c r="Q396" s="390" t="e">
        <f>G396</f>
        <v>#VALUE!</v>
      </c>
    </row>
    <row r="397" spans="6:17" x14ac:dyDescent="0.2">
      <c r="K397" s="390" t="e">
        <f ca="1">K396+H396</f>
        <v>#N/A</v>
      </c>
      <c r="L397" s="390" t="e">
        <f>L396</f>
        <v>#VALUE!</v>
      </c>
      <c r="P397" s="390" t="e">
        <f ca="1">P395+N396</f>
        <v>#N/A</v>
      </c>
      <c r="Q397" s="390" t="e">
        <f>Q396</f>
        <v>#VALUE!</v>
      </c>
    </row>
    <row r="398" spans="6:17" x14ac:dyDescent="0.2">
      <c r="K398" s="390" t="e">
        <f ca="1">K397</f>
        <v>#N/A</v>
      </c>
      <c r="L398" s="390">
        <v>0</v>
      </c>
      <c r="P398" s="390" t="e">
        <f ca="1">P397</f>
        <v>#N/A</v>
      </c>
      <c r="Q398" s="390">
        <v>0</v>
      </c>
    </row>
    <row r="399" spans="6:17" x14ac:dyDescent="0.2">
      <c r="F399" s="390">
        <f>F396+1</f>
        <v>35</v>
      </c>
      <c r="G399" s="402" t="e">
        <f>MAX($E$15-MAX(F399,$E$14),0)</f>
        <v>#VALUE!</v>
      </c>
      <c r="H399" s="390" t="e">
        <f ca="1">HLOOKUP($F399,$E$6:$BR$8,2,FALSE)</f>
        <v>#N/A</v>
      </c>
      <c r="K399" s="390" t="e">
        <f ca="1">K398</f>
        <v>#N/A</v>
      </c>
      <c r="L399" s="390" t="e">
        <f>G399</f>
        <v>#VALUE!</v>
      </c>
      <c r="N399" s="390" t="e">
        <f ca="1">HLOOKUP($F399,$E$6:$BR$8,3,FALSE)</f>
        <v>#N/A</v>
      </c>
      <c r="P399" s="390" t="e">
        <f ca="1">P398</f>
        <v>#N/A</v>
      </c>
      <c r="Q399" s="390" t="e">
        <f>G399</f>
        <v>#VALUE!</v>
      </c>
    </row>
    <row r="400" spans="6:17" x14ac:dyDescent="0.2">
      <c r="K400" s="390" t="e">
        <f ca="1">K399+H399</f>
        <v>#N/A</v>
      </c>
      <c r="L400" s="390" t="e">
        <f>L399</f>
        <v>#VALUE!</v>
      </c>
      <c r="P400" s="390" t="e">
        <f ca="1">P398+N399</f>
        <v>#N/A</v>
      </c>
      <c r="Q400" s="390" t="e">
        <f>Q399</f>
        <v>#VALUE!</v>
      </c>
    </row>
    <row r="401" spans="6:17" x14ac:dyDescent="0.2">
      <c r="K401" s="390" t="e">
        <f ca="1">K400</f>
        <v>#N/A</v>
      </c>
      <c r="L401" s="390">
        <v>0</v>
      </c>
      <c r="P401" s="390" t="e">
        <f ca="1">P400</f>
        <v>#N/A</v>
      </c>
      <c r="Q401" s="390">
        <v>0</v>
      </c>
    </row>
    <row r="402" spans="6:17" x14ac:dyDescent="0.2">
      <c r="F402" s="390">
        <f>F399+1</f>
        <v>36</v>
      </c>
      <c r="G402" s="402" t="e">
        <f>MAX($E$15-MAX(F402,$E$14),0)</f>
        <v>#VALUE!</v>
      </c>
      <c r="H402" s="390" t="e">
        <f ca="1">HLOOKUP($F402,$E$6:$BR$8,2,FALSE)</f>
        <v>#N/A</v>
      </c>
      <c r="K402" s="390" t="e">
        <f ca="1">K401</f>
        <v>#N/A</v>
      </c>
      <c r="L402" s="390" t="e">
        <f>G402</f>
        <v>#VALUE!</v>
      </c>
      <c r="N402" s="390" t="e">
        <f ca="1">HLOOKUP($F402,$E$6:$BR$8,3,FALSE)</f>
        <v>#N/A</v>
      </c>
      <c r="P402" s="390" t="e">
        <f ca="1">P401</f>
        <v>#N/A</v>
      </c>
      <c r="Q402" s="390" t="e">
        <f>G402</f>
        <v>#VALUE!</v>
      </c>
    </row>
    <row r="403" spans="6:17" x14ac:dyDescent="0.2">
      <c r="K403" s="390" t="e">
        <f ca="1">K402+H402</f>
        <v>#N/A</v>
      </c>
      <c r="L403" s="390" t="e">
        <f>L402</f>
        <v>#VALUE!</v>
      </c>
      <c r="P403" s="390" t="e">
        <f ca="1">P401+N402</f>
        <v>#N/A</v>
      </c>
      <c r="Q403" s="390" t="e">
        <f>Q402</f>
        <v>#VALUE!</v>
      </c>
    </row>
    <row r="404" spans="6:17" x14ac:dyDescent="0.2">
      <c r="K404" s="390" t="e">
        <f ca="1">K403</f>
        <v>#N/A</v>
      </c>
      <c r="L404" s="390">
        <v>0</v>
      </c>
      <c r="P404" s="390" t="e">
        <f ca="1">P403</f>
        <v>#N/A</v>
      </c>
      <c r="Q404" s="390">
        <v>0</v>
      </c>
    </row>
    <row r="405" spans="6:17" x14ac:dyDescent="0.2">
      <c r="F405" s="390">
        <f>F402+1</f>
        <v>37</v>
      </c>
      <c r="G405" s="402" t="e">
        <f>MAX($E$15-MAX(F405,$E$14),0)</f>
        <v>#VALUE!</v>
      </c>
      <c r="H405" s="390" t="e">
        <f ca="1">HLOOKUP($F405,$E$6:$BR$8,2,FALSE)</f>
        <v>#N/A</v>
      </c>
      <c r="K405" s="390" t="e">
        <f ca="1">K404</f>
        <v>#N/A</v>
      </c>
      <c r="L405" s="390" t="e">
        <f>G405</f>
        <v>#VALUE!</v>
      </c>
      <c r="N405" s="390" t="e">
        <f ca="1">HLOOKUP($F405,$E$6:$BR$8,3,FALSE)</f>
        <v>#N/A</v>
      </c>
      <c r="P405" s="390" t="e">
        <f ca="1">P404</f>
        <v>#N/A</v>
      </c>
      <c r="Q405" s="390" t="e">
        <f>G405</f>
        <v>#VALUE!</v>
      </c>
    </row>
    <row r="406" spans="6:17" x14ac:dyDescent="0.2">
      <c r="K406" s="390" t="e">
        <f ca="1">K405+H405</f>
        <v>#N/A</v>
      </c>
      <c r="L406" s="390" t="e">
        <f>L405</f>
        <v>#VALUE!</v>
      </c>
      <c r="P406" s="390" t="e">
        <f ca="1">P404+N405</f>
        <v>#N/A</v>
      </c>
      <c r="Q406" s="390" t="e">
        <f>Q405</f>
        <v>#VALUE!</v>
      </c>
    </row>
    <row r="407" spans="6:17" x14ac:dyDescent="0.2">
      <c r="K407" s="390" t="e">
        <f ca="1">K406</f>
        <v>#N/A</v>
      </c>
      <c r="L407" s="390">
        <v>0</v>
      </c>
      <c r="P407" s="390" t="e">
        <f ca="1">P406</f>
        <v>#N/A</v>
      </c>
      <c r="Q407" s="390">
        <v>0</v>
      </c>
    </row>
    <row r="408" spans="6:17" x14ac:dyDescent="0.2">
      <c r="F408" s="390">
        <f>F405+1</f>
        <v>38</v>
      </c>
      <c r="G408" s="402" t="e">
        <f>MAX($E$15-MAX(F408,$E$14),0)</f>
        <v>#VALUE!</v>
      </c>
      <c r="H408" s="390" t="e">
        <f ca="1">HLOOKUP($F408,$E$6:$BR$8,2,FALSE)</f>
        <v>#N/A</v>
      </c>
      <c r="K408" s="390" t="e">
        <f ca="1">K407</f>
        <v>#N/A</v>
      </c>
      <c r="L408" s="390" t="e">
        <f>G408</f>
        <v>#VALUE!</v>
      </c>
      <c r="N408" s="390" t="e">
        <f ca="1">HLOOKUP($F408,$E$6:$BR$8,3,FALSE)</f>
        <v>#N/A</v>
      </c>
      <c r="P408" s="390" t="e">
        <f ca="1">P407</f>
        <v>#N/A</v>
      </c>
      <c r="Q408" s="390" t="e">
        <f>G408</f>
        <v>#VALUE!</v>
      </c>
    </row>
    <row r="409" spans="6:17" x14ac:dyDescent="0.2">
      <c r="K409" s="390" t="e">
        <f ca="1">K408+H408</f>
        <v>#N/A</v>
      </c>
      <c r="L409" s="390" t="e">
        <f>L408</f>
        <v>#VALUE!</v>
      </c>
      <c r="P409" s="390" t="e">
        <f ca="1">P407+N408</f>
        <v>#N/A</v>
      </c>
      <c r="Q409" s="390" t="e">
        <f>Q408</f>
        <v>#VALUE!</v>
      </c>
    </row>
    <row r="410" spans="6:17" x14ac:dyDescent="0.2">
      <c r="K410" s="390" t="e">
        <f ca="1">K409</f>
        <v>#N/A</v>
      </c>
      <c r="L410" s="390">
        <v>0</v>
      </c>
      <c r="P410" s="390" t="e">
        <f ca="1">P409</f>
        <v>#N/A</v>
      </c>
      <c r="Q410" s="390">
        <v>0</v>
      </c>
    </row>
    <row r="411" spans="6:17" x14ac:dyDescent="0.2">
      <c r="F411" s="390">
        <f>F408+1</f>
        <v>39</v>
      </c>
      <c r="G411" s="402" t="e">
        <f>MAX($E$15-MAX(F411,$E$14),0)</f>
        <v>#VALUE!</v>
      </c>
      <c r="H411" s="390" t="e">
        <f ca="1">HLOOKUP($F411,$E$6:$BR$8,2,FALSE)</f>
        <v>#N/A</v>
      </c>
      <c r="K411" s="390" t="e">
        <f ca="1">K410</f>
        <v>#N/A</v>
      </c>
      <c r="L411" s="390" t="e">
        <f>G411</f>
        <v>#VALUE!</v>
      </c>
      <c r="N411" s="390" t="e">
        <f ca="1">HLOOKUP($F411,$E$6:$BR$8,3,FALSE)</f>
        <v>#N/A</v>
      </c>
      <c r="P411" s="390" t="e">
        <f ca="1">P410</f>
        <v>#N/A</v>
      </c>
      <c r="Q411" s="390" t="e">
        <f>G411</f>
        <v>#VALUE!</v>
      </c>
    </row>
    <row r="412" spans="6:17" x14ac:dyDescent="0.2">
      <c r="K412" s="390" t="e">
        <f ca="1">K411+H411</f>
        <v>#N/A</v>
      </c>
      <c r="L412" s="390" t="e">
        <f>L411</f>
        <v>#VALUE!</v>
      </c>
      <c r="P412" s="390" t="e">
        <f ca="1">P410+N411</f>
        <v>#N/A</v>
      </c>
      <c r="Q412" s="390" t="e">
        <f>Q411</f>
        <v>#VALUE!</v>
      </c>
    </row>
    <row r="413" spans="6:17" x14ac:dyDescent="0.2">
      <c r="K413" s="390" t="e">
        <f ca="1">K412</f>
        <v>#N/A</v>
      </c>
      <c r="L413" s="390">
        <v>0</v>
      </c>
      <c r="P413" s="390" t="e">
        <f ca="1">P412</f>
        <v>#N/A</v>
      </c>
      <c r="Q413" s="390">
        <v>0</v>
      </c>
    </row>
    <row r="414" spans="6:17" x14ac:dyDescent="0.2">
      <c r="F414" s="390">
        <f>F411+1</f>
        <v>40</v>
      </c>
      <c r="G414" s="402" t="e">
        <f>MAX($E$15-MAX(F414,$E$14),0)</f>
        <v>#VALUE!</v>
      </c>
      <c r="H414" s="390" t="e">
        <f ca="1">HLOOKUP($F414,$E$6:$BR$8,2,FALSE)</f>
        <v>#N/A</v>
      </c>
      <c r="K414" s="390" t="e">
        <f ca="1">K413</f>
        <v>#N/A</v>
      </c>
      <c r="L414" s="390" t="e">
        <f>G414</f>
        <v>#VALUE!</v>
      </c>
      <c r="N414" s="390" t="e">
        <f ca="1">HLOOKUP($F414,$E$6:$BR$8,3,FALSE)</f>
        <v>#N/A</v>
      </c>
      <c r="P414" s="390" t="e">
        <f ca="1">P413</f>
        <v>#N/A</v>
      </c>
      <c r="Q414" s="390" t="e">
        <f>G414</f>
        <v>#VALUE!</v>
      </c>
    </row>
    <row r="415" spans="6:17" x14ac:dyDescent="0.2">
      <c r="K415" s="390" t="e">
        <f ca="1">K414+H414</f>
        <v>#N/A</v>
      </c>
      <c r="L415" s="390" t="e">
        <f>L414</f>
        <v>#VALUE!</v>
      </c>
      <c r="P415" s="390" t="e">
        <f ca="1">P413+N414</f>
        <v>#N/A</v>
      </c>
      <c r="Q415" s="390" t="e">
        <f>Q414</f>
        <v>#VALUE!</v>
      </c>
    </row>
    <row r="416" spans="6:17" x14ac:dyDescent="0.2">
      <c r="K416" s="390" t="e">
        <f ca="1">K415</f>
        <v>#N/A</v>
      </c>
      <c r="L416" s="390">
        <v>0</v>
      </c>
      <c r="P416" s="390" t="e">
        <f ca="1">P415</f>
        <v>#N/A</v>
      </c>
      <c r="Q416" s="390">
        <v>0</v>
      </c>
    </row>
  </sheetData>
  <sheetProtection password="CABA" sheet="1" objects="1" scenarios="1"/>
  <phoneticPr fontId="64" type="noConversion"/>
  <pageMargins left="0.7" right="0.7" top="0.78740157499999996" bottom="0.78740157499999996" header="0.3" footer="0.3"/>
  <pageSetup paperSize="9" orientation="portrait" horizontalDpi="4294967292"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dimension ref="A2:E105"/>
  <sheetViews>
    <sheetView workbookViewId="0">
      <pane xSplit="1" ySplit="4" topLeftCell="B60" activePane="bottomRight" state="frozen"/>
      <selection pane="topRight" activeCell="B1" sqref="B1"/>
      <selection pane="bottomLeft" activeCell="A5" sqref="A5"/>
      <selection pane="bottomRight" activeCell="C95" sqref="C95"/>
    </sheetView>
  </sheetViews>
  <sheetFormatPr baseColWidth="10" defaultColWidth="11.5703125" defaultRowHeight="12.75" x14ac:dyDescent="0.2"/>
  <cols>
    <col min="1" max="1" width="11.5703125" style="251"/>
    <col min="2" max="2" width="75.28515625" style="251" customWidth="1"/>
    <col min="3" max="16384" width="11.5703125" style="251"/>
  </cols>
  <sheetData>
    <row r="2" spans="1:5" x14ac:dyDescent="0.2">
      <c r="A2" s="303" t="s">
        <v>2367</v>
      </c>
    </row>
    <row r="4" spans="1:5" x14ac:dyDescent="0.2">
      <c r="A4" s="304" t="s">
        <v>2366</v>
      </c>
      <c r="B4" s="304" t="s">
        <v>2363</v>
      </c>
      <c r="C4" s="304" t="s">
        <v>2364</v>
      </c>
      <c r="D4" s="305" t="s">
        <v>2365</v>
      </c>
      <c r="E4" s="304" t="s">
        <v>2361</v>
      </c>
    </row>
    <row r="5" spans="1:5" x14ac:dyDescent="0.2">
      <c r="A5" s="1125">
        <v>1</v>
      </c>
      <c r="B5" s="1126" t="s">
        <v>1574</v>
      </c>
      <c r="C5" s="1127">
        <v>41264</v>
      </c>
      <c r="D5" s="1128" t="s">
        <v>1923</v>
      </c>
      <c r="E5" s="1125" t="s">
        <v>2362</v>
      </c>
    </row>
    <row r="6" spans="1:5" ht="22.5" x14ac:dyDescent="0.2">
      <c r="A6" s="1125">
        <v>2</v>
      </c>
      <c r="B6" s="1126" t="s">
        <v>943</v>
      </c>
      <c r="C6" s="1127">
        <v>41288</v>
      </c>
      <c r="D6" s="1128" t="s">
        <v>944</v>
      </c>
      <c r="E6" s="1125" t="s">
        <v>2362</v>
      </c>
    </row>
    <row r="7" spans="1:5" ht="22.5" x14ac:dyDescent="0.2">
      <c r="A7" s="1125">
        <v>3</v>
      </c>
      <c r="B7" s="1126" t="s">
        <v>3862</v>
      </c>
      <c r="C7" s="1127">
        <v>41288</v>
      </c>
      <c r="D7" s="1128" t="s">
        <v>944</v>
      </c>
      <c r="E7" s="1125" t="s">
        <v>2362</v>
      </c>
    </row>
    <row r="8" spans="1:5" x14ac:dyDescent="0.2">
      <c r="A8" s="1125">
        <v>4</v>
      </c>
      <c r="B8" s="1126" t="s">
        <v>2105</v>
      </c>
      <c r="C8" s="1127">
        <v>41294</v>
      </c>
      <c r="D8" s="1128" t="s">
        <v>944</v>
      </c>
      <c r="E8" s="1125" t="s">
        <v>2362</v>
      </c>
    </row>
    <row r="9" spans="1:5" x14ac:dyDescent="0.2">
      <c r="A9" s="1125">
        <v>5</v>
      </c>
      <c r="B9" s="1126" t="s">
        <v>3348</v>
      </c>
      <c r="C9" s="1127">
        <v>41295</v>
      </c>
      <c r="D9" s="1128" t="s">
        <v>944</v>
      </c>
      <c r="E9" s="1125" t="s">
        <v>2362</v>
      </c>
    </row>
    <row r="10" spans="1:5" x14ac:dyDescent="0.2">
      <c r="A10" s="1125">
        <v>6</v>
      </c>
      <c r="B10" s="1126" t="s">
        <v>325</v>
      </c>
      <c r="C10" s="1127">
        <v>41296</v>
      </c>
      <c r="D10" s="1128" t="s">
        <v>944</v>
      </c>
      <c r="E10" s="1125" t="s">
        <v>2362</v>
      </c>
    </row>
    <row r="11" spans="1:5" ht="22.5" x14ac:dyDescent="0.2">
      <c r="A11" s="1125">
        <v>7</v>
      </c>
      <c r="B11" s="1126" t="s">
        <v>2915</v>
      </c>
      <c r="C11" s="1127">
        <v>41313</v>
      </c>
      <c r="D11" s="1128" t="s">
        <v>1601</v>
      </c>
      <c r="E11" s="1125" t="s">
        <v>2362</v>
      </c>
    </row>
    <row r="12" spans="1:5" x14ac:dyDescent="0.2">
      <c r="A12" s="1125">
        <v>8</v>
      </c>
      <c r="B12" s="1126" t="s">
        <v>2917</v>
      </c>
      <c r="C12" s="1127">
        <v>41313</v>
      </c>
      <c r="D12" s="1128" t="s">
        <v>1601</v>
      </c>
      <c r="E12" s="1125" t="s">
        <v>2362</v>
      </c>
    </row>
    <row r="13" spans="1:5" ht="22.5" x14ac:dyDescent="0.2">
      <c r="A13" s="1125">
        <v>9</v>
      </c>
      <c r="B13" s="1126" t="s">
        <v>2916</v>
      </c>
      <c r="C13" s="1127">
        <v>41313</v>
      </c>
      <c r="D13" s="1128" t="s">
        <v>1601</v>
      </c>
      <c r="E13" s="1125" t="s">
        <v>2362</v>
      </c>
    </row>
    <row r="14" spans="1:5" ht="22.5" x14ac:dyDescent="0.2">
      <c r="A14" s="1125">
        <v>10</v>
      </c>
      <c r="B14" s="1126" t="s">
        <v>2918</v>
      </c>
      <c r="C14" s="1127">
        <v>41313</v>
      </c>
      <c r="D14" s="1128" t="s">
        <v>1601</v>
      </c>
      <c r="E14" s="1125" t="s">
        <v>2362</v>
      </c>
    </row>
    <row r="15" spans="1:5" x14ac:dyDescent="0.2">
      <c r="A15" s="1125">
        <v>11</v>
      </c>
      <c r="B15" s="1126" t="s">
        <v>645</v>
      </c>
      <c r="C15" s="1127">
        <v>41313</v>
      </c>
      <c r="D15" s="1128" t="s">
        <v>1601</v>
      </c>
      <c r="E15" s="1125" t="s">
        <v>2362</v>
      </c>
    </row>
    <row r="16" spans="1:5" ht="22.5" x14ac:dyDescent="0.2">
      <c r="A16" s="1125">
        <v>12</v>
      </c>
      <c r="B16" s="1126" t="s">
        <v>2201</v>
      </c>
      <c r="C16" s="1127">
        <v>41313</v>
      </c>
      <c r="D16" s="1128" t="s">
        <v>1601</v>
      </c>
      <c r="E16" s="1125" t="s">
        <v>2362</v>
      </c>
    </row>
    <row r="17" spans="1:5" ht="22.5" x14ac:dyDescent="0.2">
      <c r="A17" s="1125">
        <v>13</v>
      </c>
      <c r="B17" s="1126" t="s">
        <v>3167</v>
      </c>
      <c r="C17" s="1127">
        <v>41317</v>
      </c>
      <c r="D17" s="1128" t="s">
        <v>3166</v>
      </c>
      <c r="E17" s="1125" t="s">
        <v>2362</v>
      </c>
    </row>
    <row r="18" spans="1:5" x14ac:dyDescent="0.2">
      <c r="A18" s="1125">
        <v>14</v>
      </c>
      <c r="B18" s="1126" t="s">
        <v>3168</v>
      </c>
      <c r="C18" s="1127">
        <v>41317</v>
      </c>
      <c r="D18" s="1128" t="s">
        <v>3166</v>
      </c>
      <c r="E18" s="1125" t="s">
        <v>2362</v>
      </c>
    </row>
    <row r="19" spans="1:5" x14ac:dyDescent="0.2">
      <c r="A19" s="1125">
        <v>15</v>
      </c>
      <c r="B19" s="1126" t="s">
        <v>3169</v>
      </c>
      <c r="C19" s="1127">
        <v>41317</v>
      </c>
      <c r="D19" s="1128" t="s">
        <v>3166</v>
      </c>
      <c r="E19" s="1125" t="s">
        <v>2362</v>
      </c>
    </row>
    <row r="20" spans="1:5" x14ac:dyDescent="0.2">
      <c r="A20" s="1125">
        <v>16</v>
      </c>
      <c r="B20" s="1126" t="s">
        <v>3170</v>
      </c>
      <c r="C20" s="1127">
        <v>41317</v>
      </c>
      <c r="D20" s="1128" t="s">
        <v>3166</v>
      </c>
      <c r="E20" s="1125" t="s">
        <v>2362</v>
      </c>
    </row>
    <row r="21" spans="1:5" ht="22.5" x14ac:dyDescent="0.2">
      <c r="A21" s="1125">
        <v>17</v>
      </c>
      <c r="B21" s="1126" t="s">
        <v>359</v>
      </c>
      <c r="C21" s="1127">
        <v>41321</v>
      </c>
      <c r="D21" s="1128" t="s">
        <v>3166</v>
      </c>
      <c r="E21" s="1125" t="s">
        <v>2362</v>
      </c>
    </row>
    <row r="22" spans="1:5" ht="22.5" x14ac:dyDescent="0.2">
      <c r="A22" s="1125">
        <v>18</v>
      </c>
      <c r="B22" s="1126" t="s">
        <v>2651</v>
      </c>
      <c r="C22" s="1127">
        <v>41321</v>
      </c>
      <c r="D22" s="1128" t="s">
        <v>3166</v>
      </c>
      <c r="E22" s="1125" t="s">
        <v>2362</v>
      </c>
    </row>
    <row r="23" spans="1:5" x14ac:dyDescent="0.2">
      <c r="A23" s="1125">
        <v>19</v>
      </c>
      <c r="B23" s="1126" t="s">
        <v>3623</v>
      </c>
      <c r="C23" s="1127">
        <v>41321</v>
      </c>
      <c r="D23" s="1128" t="s">
        <v>3166</v>
      </c>
      <c r="E23" s="1125" t="s">
        <v>2362</v>
      </c>
    </row>
    <row r="24" spans="1:5" ht="22.5" x14ac:dyDescent="0.2">
      <c r="A24" s="1125">
        <v>20</v>
      </c>
      <c r="B24" s="1126" t="s">
        <v>1065</v>
      </c>
      <c r="C24" s="1127">
        <v>41321</v>
      </c>
      <c r="D24" s="1128" t="s">
        <v>3166</v>
      </c>
      <c r="E24" s="1125" t="s">
        <v>2362</v>
      </c>
    </row>
    <row r="25" spans="1:5" ht="22.5" x14ac:dyDescent="0.2">
      <c r="A25" s="1125">
        <v>21</v>
      </c>
      <c r="B25" s="1126" t="s">
        <v>3299</v>
      </c>
      <c r="C25" s="1127">
        <v>41362</v>
      </c>
      <c r="D25" s="1125" t="s">
        <v>3298</v>
      </c>
      <c r="E25" s="1125" t="s">
        <v>2362</v>
      </c>
    </row>
    <row r="26" spans="1:5" x14ac:dyDescent="0.2">
      <c r="A26" s="1125">
        <v>22</v>
      </c>
      <c r="B26" s="1126" t="s">
        <v>3300</v>
      </c>
      <c r="C26" s="1127">
        <v>41362</v>
      </c>
      <c r="D26" s="1125" t="s">
        <v>3298</v>
      </c>
      <c r="E26" s="1125" t="s">
        <v>2362</v>
      </c>
    </row>
    <row r="27" spans="1:5" ht="22.5" x14ac:dyDescent="0.2">
      <c r="A27" s="1125">
        <v>23</v>
      </c>
      <c r="B27" s="1126" t="s">
        <v>3301</v>
      </c>
      <c r="C27" s="1127">
        <v>41362</v>
      </c>
      <c r="D27" s="1125" t="s">
        <v>3298</v>
      </c>
      <c r="E27" s="1125" t="s">
        <v>2362</v>
      </c>
    </row>
    <row r="28" spans="1:5" x14ac:dyDescent="0.2">
      <c r="A28" s="1125">
        <v>24</v>
      </c>
      <c r="B28" s="1126" t="s">
        <v>3302</v>
      </c>
      <c r="C28" s="1127">
        <v>41362</v>
      </c>
      <c r="D28" s="1125" t="s">
        <v>3298</v>
      </c>
      <c r="E28" s="1125" t="s">
        <v>2362</v>
      </c>
    </row>
    <row r="29" spans="1:5" x14ac:dyDescent="0.2">
      <c r="A29" s="1125">
        <v>25</v>
      </c>
      <c r="B29" s="1126" t="s">
        <v>188</v>
      </c>
      <c r="C29" s="1127">
        <v>41362</v>
      </c>
      <c r="D29" s="1125" t="s">
        <v>3298</v>
      </c>
      <c r="E29" s="1125" t="s">
        <v>2362</v>
      </c>
    </row>
    <row r="30" spans="1:5" x14ac:dyDescent="0.2">
      <c r="A30" s="1125">
        <v>26</v>
      </c>
      <c r="B30" s="1126" t="s">
        <v>189</v>
      </c>
      <c r="C30" s="1127">
        <v>41362</v>
      </c>
      <c r="D30" s="1125" t="s">
        <v>3298</v>
      </c>
      <c r="E30" s="1125" t="s">
        <v>2362</v>
      </c>
    </row>
    <row r="31" spans="1:5" x14ac:dyDescent="0.2">
      <c r="A31" s="1125">
        <v>27</v>
      </c>
      <c r="B31" s="1126" t="s">
        <v>190</v>
      </c>
      <c r="C31" s="1127">
        <v>41362</v>
      </c>
      <c r="D31" s="1125" t="s">
        <v>3298</v>
      </c>
      <c r="E31" s="1125" t="s">
        <v>2362</v>
      </c>
    </row>
    <row r="32" spans="1:5" x14ac:dyDescent="0.2">
      <c r="A32" s="1125">
        <v>28</v>
      </c>
      <c r="B32" s="1126" t="s">
        <v>2662</v>
      </c>
      <c r="C32" s="1127">
        <v>41362</v>
      </c>
      <c r="D32" s="1125" t="s">
        <v>3298</v>
      </c>
      <c r="E32" s="1125" t="s">
        <v>2362</v>
      </c>
    </row>
    <row r="33" spans="1:5" x14ac:dyDescent="0.2">
      <c r="A33" s="1125" t="s">
        <v>3412</v>
      </c>
      <c r="B33" s="1126" t="s">
        <v>3413</v>
      </c>
      <c r="C33" s="1127">
        <v>41442</v>
      </c>
      <c r="D33" s="1125" t="s">
        <v>3411</v>
      </c>
      <c r="E33" s="1125" t="s">
        <v>3414</v>
      </c>
    </row>
    <row r="34" spans="1:5" ht="28.15" customHeight="1" x14ac:dyDescent="0.2">
      <c r="A34" s="1125" t="s">
        <v>3415</v>
      </c>
      <c r="B34" s="1126" t="s">
        <v>1390</v>
      </c>
      <c r="C34" s="1127">
        <v>41442</v>
      </c>
      <c r="D34" s="1125" t="s">
        <v>3411</v>
      </c>
      <c r="E34" s="1125" t="s">
        <v>2362</v>
      </c>
    </row>
    <row r="35" spans="1:5" x14ac:dyDescent="0.2">
      <c r="A35" s="1125" t="s">
        <v>3416</v>
      </c>
      <c r="B35" s="1126" t="s">
        <v>3417</v>
      </c>
      <c r="C35" s="1127">
        <v>41442</v>
      </c>
      <c r="D35" s="1125" t="s">
        <v>3411</v>
      </c>
      <c r="E35" s="1125" t="s">
        <v>2362</v>
      </c>
    </row>
    <row r="36" spans="1:5" x14ac:dyDescent="0.2">
      <c r="A36" s="1125" t="s">
        <v>3418</v>
      </c>
      <c r="B36" s="1126" t="s">
        <v>3419</v>
      </c>
      <c r="C36" s="1127">
        <v>41442</v>
      </c>
      <c r="D36" s="1125" t="s">
        <v>3411</v>
      </c>
      <c r="E36" s="1125" t="s">
        <v>2362</v>
      </c>
    </row>
    <row r="37" spans="1:5" ht="27" customHeight="1" x14ac:dyDescent="0.2">
      <c r="A37" s="1125" t="s">
        <v>2653</v>
      </c>
      <c r="B37" s="1126" t="s">
        <v>2654</v>
      </c>
      <c r="C37" s="1127">
        <v>41477</v>
      </c>
      <c r="D37" s="1125" t="s">
        <v>2652</v>
      </c>
      <c r="E37" s="1125" t="s">
        <v>2362</v>
      </c>
    </row>
    <row r="38" spans="1:5" ht="24" customHeight="1" x14ac:dyDescent="0.2">
      <c r="A38" s="1125" t="s">
        <v>1753</v>
      </c>
      <c r="B38" s="1126" t="s">
        <v>2012</v>
      </c>
      <c r="C38" s="1127">
        <v>41563</v>
      </c>
      <c r="D38" s="1125" t="s">
        <v>1754</v>
      </c>
      <c r="E38" s="1125" t="s">
        <v>2362</v>
      </c>
    </row>
    <row r="39" spans="1:5" ht="23.45" customHeight="1" x14ac:dyDescent="0.2">
      <c r="A39" s="1125" t="s">
        <v>3869</v>
      </c>
      <c r="B39" s="1126" t="s">
        <v>3870</v>
      </c>
      <c r="C39" s="1127">
        <v>41564</v>
      </c>
      <c r="D39" s="1125" t="s">
        <v>1754</v>
      </c>
      <c r="E39" s="1125" t="s">
        <v>2362</v>
      </c>
    </row>
    <row r="40" spans="1:5" ht="24" customHeight="1" x14ac:dyDescent="0.2">
      <c r="A40" s="1125" t="s">
        <v>2010</v>
      </c>
      <c r="B40" s="1126" t="s">
        <v>2011</v>
      </c>
      <c r="C40" s="1127">
        <v>41565</v>
      </c>
      <c r="D40" s="1125" t="s">
        <v>1754</v>
      </c>
      <c r="E40" s="1125" t="s">
        <v>2362</v>
      </c>
    </row>
    <row r="41" spans="1:5" ht="22.5" x14ac:dyDescent="0.2">
      <c r="A41" s="1125" t="s">
        <v>3537</v>
      </c>
      <c r="B41" s="1126" t="s">
        <v>3538</v>
      </c>
      <c r="C41" s="1127">
        <v>41667</v>
      </c>
      <c r="D41" s="1125" t="s">
        <v>3536</v>
      </c>
      <c r="E41" s="1125" t="s">
        <v>2362</v>
      </c>
    </row>
    <row r="42" spans="1:5" ht="22.5" x14ac:dyDescent="0.2">
      <c r="A42" s="1125" t="s">
        <v>2655</v>
      </c>
      <c r="B42" s="1126" t="s">
        <v>2656</v>
      </c>
      <c r="C42" s="1127">
        <v>41730</v>
      </c>
      <c r="D42" s="1129" t="s">
        <v>2657</v>
      </c>
      <c r="E42" s="1125" t="s">
        <v>2362</v>
      </c>
    </row>
    <row r="43" spans="1:5" x14ac:dyDescent="0.2">
      <c r="A43" s="1130" t="s">
        <v>3975</v>
      </c>
      <c r="B43" s="1126" t="s">
        <v>4545</v>
      </c>
      <c r="C43" s="1127">
        <v>42334</v>
      </c>
      <c r="D43" s="1131" t="s">
        <v>3974</v>
      </c>
      <c r="E43" s="1125" t="s">
        <v>2362</v>
      </c>
    </row>
    <row r="44" spans="1:5" x14ac:dyDescent="0.2">
      <c r="A44" s="1130" t="s">
        <v>3976</v>
      </c>
      <c r="B44" s="1126" t="s">
        <v>3977</v>
      </c>
      <c r="C44" s="1127">
        <v>42572</v>
      </c>
      <c r="D44" s="1131" t="s">
        <v>3974</v>
      </c>
      <c r="E44" s="1125" t="s">
        <v>2362</v>
      </c>
    </row>
    <row r="45" spans="1:5" x14ac:dyDescent="0.2">
      <c r="A45" s="1130" t="s">
        <v>4437</v>
      </c>
      <c r="B45" s="1126" t="s">
        <v>4438</v>
      </c>
      <c r="C45" s="1127">
        <v>42656</v>
      </c>
      <c r="D45" s="1131" t="s">
        <v>4436</v>
      </c>
      <c r="E45" s="1125" t="s">
        <v>2362</v>
      </c>
    </row>
    <row r="46" spans="1:5" ht="22.5" x14ac:dyDescent="0.2">
      <c r="A46" s="1130" t="s">
        <v>4460</v>
      </c>
      <c r="B46" s="1126" t="s">
        <v>4461</v>
      </c>
      <c r="C46" s="1127">
        <v>42917</v>
      </c>
      <c r="D46" s="1131" t="s">
        <v>4459</v>
      </c>
      <c r="E46" s="1125" t="s">
        <v>2362</v>
      </c>
    </row>
    <row r="47" spans="1:5" x14ac:dyDescent="0.2">
      <c r="A47" s="1130" t="s">
        <v>4463</v>
      </c>
      <c r="B47" s="1126" t="s">
        <v>4466</v>
      </c>
      <c r="C47" s="1127">
        <v>42917</v>
      </c>
      <c r="D47" s="1131" t="s">
        <v>4462</v>
      </c>
      <c r="E47" s="1125" t="s">
        <v>2362</v>
      </c>
    </row>
    <row r="48" spans="1:5" ht="22.5" x14ac:dyDescent="0.2">
      <c r="A48" s="1130" t="s">
        <v>4467</v>
      </c>
      <c r="B48" s="1126" t="s">
        <v>4468</v>
      </c>
      <c r="C48" s="1127">
        <v>42917</v>
      </c>
      <c r="D48" s="1131" t="s">
        <v>4462</v>
      </c>
      <c r="E48" s="1125" t="s">
        <v>2362</v>
      </c>
    </row>
    <row r="49" spans="1:5" ht="33.75" x14ac:dyDescent="0.2">
      <c r="A49" s="1125">
        <v>29</v>
      </c>
      <c r="B49" s="1126" t="s">
        <v>4489</v>
      </c>
      <c r="C49" s="1127">
        <v>42919</v>
      </c>
      <c r="D49" s="1132" t="s">
        <v>4487</v>
      </c>
      <c r="E49" s="1125" t="s">
        <v>4488</v>
      </c>
    </row>
    <row r="50" spans="1:5" ht="22.5" x14ac:dyDescent="0.2">
      <c r="A50" s="1125">
        <v>30</v>
      </c>
      <c r="B50" s="1126" t="s">
        <v>4491</v>
      </c>
      <c r="C50" s="1127">
        <v>43140</v>
      </c>
      <c r="D50" s="1129" t="s">
        <v>4486</v>
      </c>
      <c r="E50" s="1125" t="s">
        <v>4490</v>
      </c>
    </row>
    <row r="51" spans="1:5" x14ac:dyDescent="0.2">
      <c r="A51" s="1125">
        <v>31</v>
      </c>
      <c r="B51" s="1126" t="s">
        <v>4542</v>
      </c>
      <c r="C51" s="1127">
        <v>43255</v>
      </c>
      <c r="D51" s="1129" t="s">
        <v>4543</v>
      </c>
      <c r="E51" s="1125" t="s">
        <v>4490</v>
      </c>
    </row>
    <row r="52" spans="1:5" x14ac:dyDescent="0.2">
      <c r="A52" s="1125">
        <v>32</v>
      </c>
      <c r="B52" s="1126" t="s">
        <v>4544</v>
      </c>
      <c r="C52" s="1127">
        <v>43437</v>
      </c>
      <c r="D52" s="1129" t="s">
        <v>4529</v>
      </c>
      <c r="E52" s="1125" t="s">
        <v>4490</v>
      </c>
    </row>
    <row r="53" spans="1:5" ht="22.5" x14ac:dyDescent="0.2">
      <c r="A53" s="1125">
        <v>33</v>
      </c>
      <c r="B53" s="1126" t="s">
        <v>4550</v>
      </c>
      <c r="C53" s="1127">
        <v>43557</v>
      </c>
      <c r="D53" s="1129" t="s">
        <v>4574</v>
      </c>
      <c r="E53" s="1125" t="s">
        <v>2362</v>
      </c>
    </row>
    <row r="54" spans="1:5" x14ac:dyDescent="0.2">
      <c r="A54" s="1125">
        <v>34</v>
      </c>
      <c r="B54" s="1126" t="s">
        <v>4546</v>
      </c>
      <c r="C54" s="1127">
        <v>43557</v>
      </c>
      <c r="D54" s="1129" t="s">
        <v>4574</v>
      </c>
      <c r="E54" s="1125" t="s">
        <v>2362</v>
      </c>
    </row>
    <row r="55" spans="1:5" x14ac:dyDescent="0.2">
      <c r="A55" s="1125">
        <v>35</v>
      </c>
      <c r="B55" s="1126" t="s">
        <v>4575</v>
      </c>
      <c r="C55" s="1127">
        <v>43563</v>
      </c>
      <c r="D55" s="1129" t="s">
        <v>4574</v>
      </c>
      <c r="E55" s="1125" t="s">
        <v>4490</v>
      </c>
    </row>
    <row r="56" spans="1:5" x14ac:dyDescent="0.2">
      <c r="A56" s="1125">
        <v>36</v>
      </c>
      <c r="B56" s="1126" t="s">
        <v>4593</v>
      </c>
      <c r="C56" s="1127">
        <v>43591</v>
      </c>
      <c r="D56" s="1129" t="s">
        <v>4594</v>
      </c>
      <c r="E56" s="1125" t="s">
        <v>4490</v>
      </c>
    </row>
    <row r="57" spans="1:5" x14ac:dyDescent="0.2">
      <c r="A57" s="1125">
        <v>37</v>
      </c>
      <c r="B57" s="1126" t="s">
        <v>4595</v>
      </c>
      <c r="C57" s="1127">
        <v>43612</v>
      </c>
      <c r="D57" s="1129" t="s">
        <v>4596</v>
      </c>
      <c r="E57" s="1125" t="s">
        <v>4488</v>
      </c>
    </row>
    <row r="58" spans="1:5" x14ac:dyDescent="0.2">
      <c r="A58" s="1125">
        <v>38</v>
      </c>
      <c r="B58" s="1126" t="s">
        <v>4597</v>
      </c>
      <c r="C58" s="1127">
        <v>43752</v>
      </c>
      <c r="D58" s="1132" t="s">
        <v>4587</v>
      </c>
      <c r="E58" s="1125" t="s">
        <v>4599</v>
      </c>
    </row>
    <row r="59" spans="1:5" x14ac:dyDescent="0.2">
      <c r="A59" s="1125">
        <v>39</v>
      </c>
      <c r="B59" s="1126" t="s">
        <v>4601</v>
      </c>
      <c r="C59" s="1127">
        <v>43755</v>
      </c>
      <c r="D59" s="1129" t="s">
        <v>4598</v>
      </c>
      <c r="E59" s="1125" t="s">
        <v>4600</v>
      </c>
    </row>
    <row r="60" spans="1:5" x14ac:dyDescent="0.2">
      <c r="A60" s="1125">
        <v>40</v>
      </c>
      <c r="B60" s="1126" t="s">
        <v>4602</v>
      </c>
      <c r="C60" s="1127">
        <v>43762</v>
      </c>
      <c r="D60" s="1129" t="s">
        <v>4462</v>
      </c>
      <c r="E60" s="1125" t="s">
        <v>2362</v>
      </c>
    </row>
    <row r="61" spans="1:5" x14ac:dyDescent="0.2">
      <c r="A61" s="1125">
        <v>41</v>
      </c>
      <c r="B61" s="1126" t="s">
        <v>4668</v>
      </c>
      <c r="C61" s="1127">
        <v>43788</v>
      </c>
      <c r="D61" s="1129" t="s">
        <v>4669</v>
      </c>
      <c r="E61" s="1125" t="s">
        <v>4599</v>
      </c>
    </row>
    <row r="62" spans="1:5" x14ac:dyDescent="0.2">
      <c r="A62" s="1125">
        <v>42</v>
      </c>
      <c r="B62" s="1126" t="s">
        <v>4670</v>
      </c>
      <c r="C62" s="1127">
        <v>43789</v>
      </c>
      <c r="D62" s="1132" t="s">
        <v>4671</v>
      </c>
      <c r="E62" s="1125" t="s">
        <v>4599</v>
      </c>
    </row>
    <row r="63" spans="1:5" x14ac:dyDescent="0.2">
      <c r="A63" s="1125">
        <v>43</v>
      </c>
      <c r="B63" s="1126" t="s">
        <v>4672</v>
      </c>
      <c r="C63" s="1127">
        <v>43816</v>
      </c>
      <c r="D63" s="1169" t="s">
        <v>4638</v>
      </c>
      <c r="E63" s="1130" t="s">
        <v>4599</v>
      </c>
    </row>
    <row r="64" spans="1:5" x14ac:dyDescent="0.2">
      <c r="A64" s="1125">
        <v>44</v>
      </c>
      <c r="B64" s="1139" t="s">
        <v>4703</v>
      </c>
      <c r="C64" s="1127">
        <v>43977</v>
      </c>
      <c r="D64" s="1169" t="s">
        <v>4702</v>
      </c>
      <c r="E64" s="1125" t="s">
        <v>4599</v>
      </c>
    </row>
    <row r="65" spans="1:5" x14ac:dyDescent="0.2">
      <c r="A65" s="1125">
        <v>45</v>
      </c>
      <c r="B65" s="1139" t="s">
        <v>4713</v>
      </c>
      <c r="C65" s="1127">
        <v>44077</v>
      </c>
      <c r="D65" s="1169" t="s">
        <v>4704</v>
      </c>
      <c r="E65" s="1125" t="s">
        <v>4599</v>
      </c>
    </row>
    <row r="66" spans="1:5" x14ac:dyDescent="0.2">
      <c r="A66" s="1125">
        <v>46</v>
      </c>
      <c r="B66" s="1139" t="s">
        <v>4713</v>
      </c>
      <c r="C66" s="1127">
        <v>44138</v>
      </c>
      <c r="D66" s="1169" t="s">
        <v>4887</v>
      </c>
      <c r="E66" s="1125" t="s">
        <v>4599</v>
      </c>
    </row>
    <row r="67" spans="1:5" x14ac:dyDescent="0.2">
      <c r="A67" s="1125">
        <v>47</v>
      </c>
      <c r="B67" s="1126" t="s">
        <v>4888</v>
      </c>
      <c r="C67" s="1127">
        <v>44168</v>
      </c>
      <c r="D67" s="1169" t="s">
        <v>4889</v>
      </c>
      <c r="E67" s="1125" t="s">
        <v>4599</v>
      </c>
    </row>
    <row r="68" spans="1:5" x14ac:dyDescent="0.2">
      <c r="A68" s="1125">
        <v>48</v>
      </c>
      <c r="B68" s="1126" t="s">
        <v>4890</v>
      </c>
      <c r="C68" s="1127">
        <v>44266</v>
      </c>
      <c r="D68" s="1169" t="s">
        <v>4892</v>
      </c>
      <c r="E68" s="1125" t="s">
        <v>4599</v>
      </c>
    </row>
    <row r="69" spans="1:5" ht="14.45" customHeight="1" x14ac:dyDescent="0.2">
      <c r="A69" s="1170">
        <v>49</v>
      </c>
      <c r="B69" s="1171" t="s">
        <v>4891</v>
      </c>
      <c r="C69" s="1174">
        <v>44271</v>
      </c>
      <c r="D69" s="1169" t="s">
        <v>4886</v>
      </c>
      <c r="E69" s="1125" t="s">
        <v>4599</v>
      </c>
    </row>
    <row r="70" spans="1:5" ht="14.45" customHeight="1" x14ac:dyDescent="0.2">
      <c r="A70" s="1172">
        <v>50</v>
      </c>
      <c r="B70" s="1173" t="s">
        <v>4971</v>
      </c>
      <c r="C70" s="1175">
        <v>44386</v>
      </c>
      <c r="D70" s="1176" t="s">
        <v>5075</v>
      </c>
      <c r="E70" s="1135" t="s">
        <v>4599</v>
      </c>
    </row>
    <row r="71" spans="1:5" x14ac:dyDescent="0.2">
      <c r="A71" s="1125">
        <v>51</v>
      </c>
      <c r="B71" s="1133" t="s">
        <v>5088</v>
      </c>
      <c r="C71" s="1174">
        <v>44550</v>
      </c>
      <c r="D71" s="1169" t="s">
        <v>4972</v>
      </c>
      <c r="E71" s="1125" t="s">
        <v>4599</v>
      </c>
    </row>
    <row r="72" spans="1:5" x14ac:dyDescent="0.2">
      <c r="A72" s="1125">
        <v>52</v>
      </c>
      <c r="B72" s="1133" t="s">
        <v>5146</v>
      </c>
      <c r="C72" s="1127">
        <v>44600</v>
      </c>
      <c r="D72" s="1169" t="s">
        <v>5076</v>
      </c>
      <c r="E72" s="1125" t="s">
        <v>4599</v>
      </c>
    </row>
    <row r="73" spans="1:5" x14ac:dyDescent="0.2">
      <c r="A73" s="1125">
        <v>53</v>
      </c>
      <c r="B73" s="1133" t="s">
        <v>5147</v>
      </c>
      <c r="C73" s="1127">
        <v>44680</v>
      </c>
      <c r="D73" s="1169" t="s">
        <v>5077</v>
      </c>
      <c r="E73" s="1130" t="s">
        <v>4599</v>
      </c>
    </row>
    <row r="74" spans="1:5" x14ac:dyDescent="0.2">
      <c r="A74" s="1125">
        <v>54</v>
      </c>
      <c r="B74" s="1133" t="s">
        <v>5157</v>
      </c>
      <c r="C74" s="1127">
        <v>44736</v>
      </c>
      <c r="D74" s="1169" t="s">
        <v>5078</v>
      </c>
      <c r="E74" s="1125" t="s">
        <v>4599</v>
      </c>
    </row>
    <row r="75" spans="1:5" x14ac:dyDescent="0.2">
      <c r="A75" s="1125">
        <v>55</v>
      </c>
      <c r="B75" s="1133" t="s">
        <v>5157</v>
      </c>
      <c r="C75" s="1127">
        <v>44757</v>
      </c>
      <c r="D75" s="1169" t="s">
        <v>5079</v>
      </c>
      <c r="E75" s="1125" t="s">
        <v>4599</v>
      </c>
    </row>
    <row r="76" spans="1:5" x14ac:dyDescent="0.2">
      <c r="A76" s="1125">
        <v>56</v>
      </c>
      <c r="B76" s="1133" t="s">
        <v>5164</v>
      </c>
      <c r="C76" s="1127">
        <v>44775</v>
      </c>
      <c r="D76" s="1169" t="s">
        <v>5080</v>
      </c>
      <c r="E76" s="1125" t="s">
        <v>4599</v>
      </c>
    </row>
    <row r="77" spans="1:5" x14ac:dyDescent="0.2">
      <c r="A77" s="1125">
        <v>57</v>
      </c>
      <c r="B77" s="1133" t="s">
        <v>5175</v>
      </c>
      <c r="C77" s="1127">
        <v>44805</v>
      </c>
      <c r="D77" s="1169" t="s">
        <v>5081</v>
      </c>
      <c r="E77" s="1125" t="s">
        <v>4599</v>
      </c>
    </row>
    <row r="78" spans="1:5" x14ac:dyDescent="0.2">
      <c r="A78" s="1125">
        <v>58</v>
      </c>
      <c r="B78" s="1133" t="s">
        <v>5253</v>
      </c>
      <c r="C78" s="1127">
        <v>44929</v>
      </c>
      <c r="D78" s="1169" t="s">
        <v>5082</v>
      </c>
      <c r="E78" s="1125" t="s">
        <v>4599</v>
      </c>
    </row>
    <row r="79" spans="1:5" x14ac:dyDescent="0.2">
      <c r="A79" s="1125">
        <v>59</v>
      </c>
      <c r="B79" s="1133" t="s">
        <v>5265</v>
      </c>
      <c r="C79" s="1127">
        <v>45022</v>
      </c>
      <c r="D79" s="1169" t="s">
        <v>5083</v>
      </c>
      <c r="E79" s="1125" t="s">
        <v>4599</v>
      </c>
    </row>
    <row r="80" spans="1:5" x14ac:dyDescent="0.2">
      <c r="A80" s="1125">
        <v>60</v>
      </c>
      <c r="B80" s="1134" t="s">
        <v>5292</v>
      </c>
      <c r="C80" s="1127">
        <v>45112</v>
      </c>
      <c r="D80" s="1169" t="s">
        <v>5084</v>
      </c>
      <c r="E80" s="1125" t="s">
        <v>4599</v>
      </c>
    </row>
    <row r="81" spans="1:5" x14ac:dyDescent="0.2">
      <c r="A81" s="1125">
        <v>61</v>
      </c>
      <c r="B81" s="1134" t="s">
        <v>5318</v>
      </c>
      <c r="C81" s="1127">
        <v>45197</v>
      </c>
      <c r="D81" s="1169" t="s">
        <v>5085</v>
      </c>
      <c r="E81" s="1130" t="s">
        <v>4599</v>
      </c>
    </row>
    <row r="82" spans="1:5" x14ac:dyDescent="0.2">
      <c r="A82" s="1125">
        <v>62</v>
      </c>
      <c r="B82" s="1133" t="s">
        <v>5351</v>
      </c>
      <c r="C82" s="1127">
        <v>45280</v>
      </c>
      <c r="D82" s="1169" t="s">
        <v>5086</v>
      </c>
      <c r="E82" s="1125" t="s">
        <v>4599</v>
      </c>
    </row>
    <row r="83" spans="1:5" x14ac:dyDescent="0.2">
      <c r="A83" s="1125">
        <v>63</v>
      </c>
      <c r="B83" s="1133" t="s">
        <v>5399</v>
      </c>
      <c r="C83" s="1127">
        <v>45379</v>
      </c>
      <c r="D83" s="1169" t="s">
        <v>5087</v>
      </c>
      <c r="E83" s="1125" t="s">
        <v>4599</v>
      </c>
    </row>
    <row r="84" spans="1:5" x14ac:dyDescent="0.2">
      <c r="A84" s="1125">
        <v>64</v>
      </c>
      <c r="B84" s="1133" t="s">
        <v>5462</v>
      </c>
      <c r="C84" s="1127">
        <v>45478</v>
      </c>
      <c r="D84" s="1169" t="s">
        <v>5400</v>
      </c>
      <c r="E84" s="1125" t="s">
        <v>4599</v>
      </c>
    </row>
    <row r="85" spans="1:5" x14ac:dyDescent="0.2">
      <c r="A85" s="1125">
        <v>65</v>
      </c>
      <c r="B85" s="1133" t="s">
        <v>5522</v>
      </c>
      <c r="C85" s="1127">
        <v>45580</v>
      </c>
      <c r="D85" s="1169" t="s">
        <v>5521</v>
      </c>
      <c r="E85" s="1125" t="s">
        <v>4599</v>
      </c>
    </row>
    <row r="86" spans="1:5" x14ac:dyDescent="0.2">
      <c r="A86" s="1125">
        <v>66</v>
      </c>
      <c r="B86" s="1133" t="s">
        <v>5573</v>
      </c>
      <c r="C86" s="1127">
        <v>45681</v>
      </c>
      <c r="D86" s="1169" t="s">
        <v>5523</v>
      </c>
      <c r="E86" s="1125" t="s">
        <v>4599</v>
      </c>
    </row>
    <row r="87" spans="1:5" x14ac:dyDescent="0.2">
      <c r="A87" s="1125">
        <v>67</v>
      </c>
      <c r="B87" s="1133" t="s">
        <v>5618</v>
      </c>
      <c r="C87" s="1127">
        <v>45900</v>
      </c>
      <c r="D87" s="1169" t="s">
        <v>5524</v>
      </c>
      <c r="E87" s="1130" t="s">
        <v>4599</v>
      </c>
    </row>
    <row r="88" spans="1:5" x14ac:dyDescent="0.2">
      <c r="A88" s="1125">
        <v>68</v>
      </c>
      <c r="B88" s="1133" t="s">
        <v>5617</v>
      </c>
      <c r="C88" s="1127">
        <v>45916</v>
      </c>
      <c r="D88" s="1169" t="s">
        <v>5525</v>
      </c>
      <c r="E88" s="1130" t="s">
        <v>4599</v>
      </c>
    </row>
    <row r="89" spans="1:5" x14ac:dyDescent="0.2">
      <c r="A89" s="1125">
        <v>69</v>
      </c>
      <c r="B89" s="1133" t="s">
        <v>5644</v>
      </c>
      <c r="C89" s="1127">
        <v>45993</v>
      </c>
      <c r="D89" s="1169" t="s">
        <v>5526</v>
      </c>
      <c r="E89" s="1125" t="s">
        <v>4599</v>
      </c>
    </row>
    <row r="90" spans="1:5" x14ac:dyDescent="0.2">
      <c r="A90" s="1125">
        <v>70</v>
      </c>
      <c r="B90" s="1133" t="s">
        <v>5644</v>
      </c>
      <c r="C90" s="1127">
        <v>46050</v>
      </c>
      <c r="D90" s="1169" t="s">
        <v>5527</v>
      </c>
      <c r="E90" s="1125" t="s">
        <v>4599</v>
      </c>
    </row>
    <row r="91" spans="1:5" x14ac:dyDescent="0.2">
      <c r="A91" s="1125">
        <v>71</v>
      </c>
      <c r="B91" s="1133" t="s">
        <v>5644</v>
      </c>
      <c r="C91" s="1127">
        <v>46083</v>
      </c>
      <c r="D91" s="1169" t="s">
        <v>5528</v>
      </c>
      <c r="E91" s="1125" t="s">
        <v>4599</v>
      </c>
    </row>
    <row r="92" spans="1:5" x14ac:dyDescent="0.2">
      <c r="A92" s="1125">
        <v>72</v>
      </c>
      <c r="B92" s="1133" t="s">
        <v>5644</v>
      </c>
      <c r="C92" s="1127">
        <v>46206</v>
      </c>
      <c r="D92" s="1169" t="s">
        <v>5529</v>
      </c>
      <c r="E92" s="1125" t="s">
        <v>4599</v>
      </c>
    </row>
    <row r="93" spans="1:5" x14ac:dyDescent="0.2">
      <c r="A93" s="1125"/>
      <c r="B93" s="1133"/>
      <c r="C93" s="1127"/>
      <c r="D93" s="1169" t="s">
        <v>5530</v>
      </c>
      <c r="E93" s="1125"/>
    </row>
    <row r="94" spans="1:5" x14ac:dyDescent="0.2">
      <c r="A94" s="1125"/>
      <c r="B94" s="1133"/>
      <c r="C94" s="1127"/>
      <c r="D94" s="1169" t="s">
        <v>5531</v>
      </c>
      <c r="E94" s="1125"/>
    </row>
    <row r="95" spans="1:5" x14ac:dyDescent="0.2">
      <c r="A95" s="1125"/>
      <c r="B95" s="1133"/>
      <c r="C95" s="1127"/>
      <c r="D95" s="1169" t="s">
        <v>5532</v>
      </c>
      <c r="E95" s="1125"/>
    </row>
    <row r="96" spans="1:5" x14ac:dyDescent="0.2">
      <c r="A96" s="1125"/>
      <c r="B96" s="1133"/>
      <c r="C96" s="1127"/>
      <c r="D96" s="1169" t="s">
        <v>5533</v>
      </c>
      <c r="E96" s="1125"/>
    </row>
    <row r="97" spans="1:5" x14ac:dyDescent="0.2">
      <c r="A97" s="1125"/>
      <c r="B97" s="1133"/>
      <c r="C97" s="1127"/>
      <c r="D97" s="1169" t="s">
        <v>5534</v>
      </c>
      <c r="E97" s="1125"/>
    </row>
    <row r="98" spans="1:5" x14ac:dyDescent="0.2">
      <c r="A98" s="1125"/>
      <c r="B98" s="1133"/>
      <c r="C98" s="1127"/>
      <c r="D98" s="1169" t="s">
        <v>5535</v>
      </c>
      <c r="E98" s="1125"/>
    </row>
    <row r="99" spans="1:5" x14ac:dyDescent="0.2">
      <c r="A99" s="1125"/>
      <c r="B99" s="1133"/>
      <c r="C99" s="1127"/>
      <c r="D99" s="1169" t="s">
        <v>5536</v>
      </c>
      <c r="E99" s="1125"/>
    </row>
    <row r="100" spans="1:5" x14ac:dyDescent="0.2">
      <c r="A100" s="1125"/>
      <c r="B100" s="1133"/>
      <c r="C100" s="1127"/>
      <c r="D100" s="1128"/>
      <c r="E100" s="1125"/>
    </row>
    <row r="101" spans="1:5" x14ac:dyDescent="0.2">
      <c r="A101" s="1125"/>
      <c r="B101" s="1133"/>
      <c r="C101" s="1127"/>
      <c r="D101" s="1128"/>
      <c r="E101" s="1125"/>
    </row>
    <row r="102" spans="1:5" x14ac:dyDescent="0.2">
      <c r="A102" s="1125"/>
      <c r="B102" s="1133"/>
      <c r="C102" s="1127"/>
      <c r="D102" s="1128"/>
      <c r="E102" s="1125"/>
    </row>
    <row r="103" spans="1:5" x14ac:dyDescent="0.2">
      <c r="A103" s="1135"/>
      <c r="B103" s="1136"/>
      <c r="C103" s="1137"/>
      <c r="D103" s="1138"/>
      <c r="E103" s="1135"/>
    </row>
    <row r="104" spans="1:5" x14ac:dyDescent="0.2">
      <c r="A104" s="1125"/>
      <c r="B104" s="1133"/>
      <c r="C104" s="1127"/>
      <c r="D104" s="1128"/>
      <c r="E104" s="1125"/>
    </row>
    <row r="105" spans="1:5" x14ac:dyDescent="0.2">
      <c r="A105" s="1125"/>
      <c r="B105" s="1133"/>
      <c r="C105" s="1127"/>
      <c r="D105" s="1128"/>
      <c r="E105" s="1125"/>
    </row>
  </sheetData>
  <sheetProtection algorithmName="SHA-512" hashValue="dn6I5IEDx0YilEppmWpnHbqC/R4ZqMsO95Low1P6Ca/rz0foZMg6P4zh0vjWlqMpa7RJRz7m59ep5enZ5yNixA==" saltValue="uHsuvuHGsOXGoAeYTwe2Y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2:BP16"/>
  <sheetViews>
    <sheetView workbookViewId="0">
      <selection activeCell="A46" sqref="A46"/>
    </sheetView>
  </sheetViews>
  <sheetFormatPr baseColWidth="10" defaultColWidth="11.42578125" defaultRowHeight="11.25" x14ac:dyDescent="0.2"/>
  <cols>
    <col min="1" max="3" width="11.42578125" style="490" customWidth="1"/>
    <col min="4" max="68" width="4.85546875" style="490" customWidth="1"/>
    <col min="69" max="69" width="3.7109375" style="490" customWidth="1"/>
    <col min="70" max="16384" width="11.42578125" style="490"/>
  </cols>
  <sheetData>
    <row r="2" spans="1:68" x14ac:dyDescent="0.2">
      <c r="C2" s="490" t="s">
        <v>1743</v>
      </c>
      <c r="D2" s="490" t="e">
        <f ca="1">Berechnungen!E6</f>
        <v>#REF!</v>
      </c>
      <c r="E2" s="490" t="e">
        <f ca="1">Berechnungen!F6</f>
        <v>#REF!</v>
      </c>
      <c r="F2" s="490" t="e">
        <f ca="1">Berechnungen!G6</f>
        <v>#REF!</v>
      </c>
      <c r="G2" s="490" t="e">
        <f ca="1">Berechnungen!H6</f>
        <v>#REF!</v>
      </c>
      <c r="H2" s="490" t="e">
        <f ca="1">Berechnungen!I6</f>
        <v>#REF!</v>
      </c>
      <c r="I2" s="490" t="e">
        <f ca="1">Berechnungen!J6</f>
        <v>#REF!</v>
      </c>
      <c r="J2" s="490" t="e">
        <f ca="1">Berechnungen!K6</f>
        <v>#REF!</v>
      </c>
      <c r="K2" s="490" t="e">
        <f ca="1">Berechnungen!L6</f>
        <v>#REF!</v>
      </c>
      <c r="L2" s="490" t="e">
        <f ca="1">Berechnungen!M6</f>
        <v>#REF!</v>
      </c>
      <c r="M2" s="490" t="e">
        <f ca="1">Berechnungen!N6</f>
        <v>#REF!</v>
      </c>
      <c r="N2" s="490" t="e">
        <f ca="1">Berechnungen!O6</f>
        <v>#REF!</v>
      </c>
      <c r="O2" s="490" t="e">
        <f ca="1">Berechnungen!P6</f>
        <v>#REF!</v>
      </c>
      <c r="P2" s="490" t="e">
        <f ca="1">Berechnungen!Q6</f>
        <v>#REF!</v>
      </c>
      <c r="Q2" s="490" t="e">
        <f ca="1">Berechnungen!R6</f>
        <v>#REF!</v>
      </c>
      <c r="R2" s="490" t="e">
        <f ca="1">Berechnungen!S6</f>
        <v>#REF!</v>
      </c>
      <c r="S2" s="490" t="e">
        <f ca="1">Berechnungen!T6</f>
        <v>#REF!</v>
      </c>
      <c r="T2" s="490" t="e">
        <f ca="1">Berechnungen!U6</f>
        <v>#REF!</v>
      </c>
      <c r="U2" s="490" t="e">
        <f ca="1">Berechnungen!V6</f>
        <v>#REF!</v>
      </c>
      <c r="V2" s="490" t="e">
        <f ca="1">Berechnungen!W6</f>
        <v>#REF!</v>
      </c>
      <c r="W2" s="490" t="e">
        <f ca="1">Berechnungen!X6</f>
        <v>#REF!</v>
      </c>
      <c r="X2" s="490" t="e">
        <f ca="1">Berechnungen!Y6</f>
        <v>#REF!</v>
      </c>
      <c r="Y2" s="490" t="e">
        <f ca="1">Berechnungen!Z6</f>
        <v>#REF!</v>
      </c>
      <c r="Z2" s="490" t="e">
        <f ca="1">Berechnungen!AA6</f>
        <v>#REF!</v>
      </c>
      <c r="AA2" s="490" t="e">
        <f ca="1">Berechnungen!AB6</f>
        <v>#REF!</v>
      </c>
      <c r="AB2" s="490" t="e">
        <f ca="1">Berechnungen!AC6</f>
        <v>#REF!</v>
      </c>
      <c r="AC2" s="490" t="e">
        <f ca="1">Berechnungen!AD6</f>
        <v>#REF!</v>
      </c>
      <c r="AD2" s="490" t="e">
        <f ca="1">Berechnungen!AE6</f>
        <v>#REF!</v>
      </c>
      <c r="AE2" s="490" t="e">
        <f ca="1">Berechnungen!AF6</f>
        <v>#REF!</v>
      </c>
      <c r="AF2" s="490" t="e">
        <f ca="1">Berechnungen!AG6</f>
        <v>#REF!</v>
      </c>
      <c r="AG2" s="490" t="e">
        <f ca="1">Berechnungen!AH6</f>
        <v>#REF!</v>
      </c>
      <c r="AH2" s="490" t="e">
        <f ca="1">Berechnungen!AI6</f>
        <v>#REF!</v>
      </c>
      <c r="AI2" s="490" t="e">
        <f ca="1">Berechnungen!AJ6</f>
        <v>#REF!</v>
      </c>
      <c r="AJ2" s="490" t="e">
        <f ca="1">Berechnungen!AK6</f>
        <v>#REF!</v>
      </c>
      <c r="AK2" s="490" t="e">
        <f ca="1">Berechnungen!AL6</f>
        <v>#REF!</v>
      </c>
      <c r="AL2" s="490" t="e">
        <f ca="1">Berechnungen!AM6</f>
        <v>#REF!</v>
      </c>
      <c r="AM2" s="490" t="e">
        <f ca="1">Berechnungen!AN6</f>
        <v>#REF!</v>
      </c>
      <c r="AN2" s="490" t="e">
        <f ca="1">Berechnungen!AO6</f>
        <v>#REF!</v>
      </c>
      <c r="AO2" s="490" t="e">
        <f ca="1">Berechnungen!AP6</f>
        <v>#REF!</v>
      </c>
      <c r="AP2" s="490" t="e">
        <f ca="1">Berechnungen!AQ6</f>
        <v>#REF!</v>
      </c>
      <c r="AQ2" s="490" t="e">
        <f ca="1">Berechnungen!AR6</f>
        <v>#REF!</v>
      </c>
      <c r="AR2" s="490" t="e">
        <f ca="1">Berechnungen!AS6</f>
        <v>#REF!</v>
      </c>
      <c r="AS2" s="490" t="e">
        <f ca="1">Berechnungen!AT6</f>
        <v>#REF!</v>
      </c>
      <c r="AT2" s="490" t="e">
        <f ca="1">Berechnungen!AU6</f>
        <v>#REF!</v>
      </c>
      <c r="AU2" s="490" t="e">
        <f ca="1">Berechnungen!AV6</f>
        <v>#REF!</v>
      </c>
      <c r="AV2" s="490" t="e">
        <f ca="1">Berechnungen!AW6</f>
        <v>#REF!</v>
      </c>
      <c r="AW2" s="490" t="e">
        <f ca="1">Berechnungen!AX6</f>
        <v>#REF!</v>
      </c>
      <c r="AX2" s="490" t="e">
        <f ca="1">Berechnungen!AY6</f>
        <v>#REF!</v>
      </c>
      <c r="AY2" s="490" t="e">
        <f ca="1">Berechnungen!AZ6</f>
        <v>#REF!</v>
      </c>
      <c r="AZ2" s="490" t="e">
        <f ca="1">Berechnungen!BA6</f>
        <v>#REF!</v>
      </c>
      <c r="BA2" s="490" t="e">
        <f ca="1">Berechnungen!BB6</f>
        <v>#REF!</v>
      </c>
      <c r="BB2" s="490" t="e">
        <f ca="1">Berechnungen!BC6</f>
        <v>#REF!</v>
      </c>
      <c r="BC2" s="490" t="e">
        <f ca="1">Berechnungen!BD6</f>
        <v>#REF!</v>
      </c>
      <c r="BD2" s="490" t="e">
        <f ca="1">Berechnungen!BE6</f>
        <v>#REF!</v>
      </c>
      <c r="BE2" s="490" t="e">
        <f ca="1">Berechnungen!BF6</f>
        <v>#REF!</v>
      </c>
      <c r="BF2" s="490" t="e">
        <f ca="1">Berechnungen!BG6</f>
        <v>#REF!</v>
      </c>
      <c r="BG2" s="490" t="e">
        <f ca="1">Berechnungen!BH6</f>
        <v>#REF!</v>
      </c>
      <c r="BH2" s="490" t="e">
        <f ca="1">Berechnungen!BI6</f>
        <v>#REF!</v>
      </c>
      <c r="BI2" s="490" t="e">
        <f ca="1">Berechnungen!BJ6</f>
        <v>#REF!</v>
      </c>
      <c r="BJ2" s="490" t="e">
        <f ca="1">Berechnungen!BK6</f>
        <v>#REF!</v>
      </c>
      <c r="BK2" s="490" t="e">
        <f ca="1">Berechnungen!BL6</f>
        <v>#REF!</v>
      </c>
      <c r="BL2" s="490" t="e">
        <f ca="1">Berechnungen!BM6</f>
        <v>#REF!</v>
      </c>
      <c r="BM2" s="490" t="e">
        <f ca="1">Berechnungen!BN6</f>
        <v>#REF!</v>
      </c>
      <c r="BN2" s="490" t="e">
        <f ca="1">Berechnungen!BO6</f>
        <v>#REF!</v>
      </c>
      <c r="BO2" s="490" t="e">
        <f ca="1">Berechnungen!BP6</f>
        <v>#REF!</v>
      </c>
      <c r="BP2" s="490" t="e">
        <f ca="1">Berechnungen!BQ6</f>
        <v>#REF!</v>
      </c>
    </row>
    <row r="3" spans="1:68" x14ac:dyDescent="0.2">
      <c r="C3" s="490" t="s">
        <v>3666</v>
      </c>
      <c r="D3" s="490" t="e">
        <f ca="1">Berechnungen!E7</f>
        <v>#REF!</v>
      </c>
      <c r="E3" s="490" t="e">
        <f ca="1">Berechnungen!F7</f>
        <v>#REF!</v>
      </c>
      <c r="F3" s="490" t="e">
        <f ca="1">Berechnungen!G7</f>
        <v>#REF!</v>
      </c>
      <c r="G3" s="490" t="e">
        <f ca="1">Berechnungen!H7</f>
        <v>#REF!</v>
      </c>
      <c r="H3" s="490" t="e">
        <f ca="1">Berechnungen!I7</f>
        <v>#REF!</v>
      </c>
      <c r="I3" s="490" t="e">
        <f ca="1">Berechnungen!J7</f>
        <v>#REF!</v>
      </c>
      <c r="J3" s="490" t="e">
        <f ca="1">Berechnungen!K7</f>
        <v>#REF!</v>
      </c>
      <c r="K3" s="490" t="e">
        <f ca="1">Berechnungen!L7</f>
        <v>#REF!</v>
      </c>
      <c r="L3" s="490" t="e">
        <f ca="1">Berechnungen!M7</f>
        <v>#REF!</v>
      </c>
      <c r="M3" s="490" t="e">
        <f ca="1">Berechnungen!N7</f>
        <v>#REF!</v>
      </c>
      <c r="N3" s="490" t="e">
        <f ca="1">Berechnungen!O7</f>
        <v>#REF!</v>
      </c>
      <c r="O3" s="490" t="e">
        <f ca="1">Berechnungen!P7</f>
        <v>#REF!</v>
      </c>
      <c r="P3" s="490" t="e">
        <f ca="1">Berechnungen!Q7</f>
        <v>#REF!</v>
      </c>
      <c r="Q3" s="490" t="e">
        <f ca="1">Berechnungen!R7</f>
        <v>#REF!</v>
      </c>
      <c r="R3" s="490" t="e">
        <f ca="1">Berechnungen!S7</f>
        <v>#REF!</v>
      </c>
      <c r="S3" s="490" t="e">
        <f ca="1">Berechnungen!T7</f>
        <v>#REF!</v>
      </c>
      <c r="T3" s="490" t="e">
        <f ca="1">Berechnungen!U7</f>
        <v>#REF!</v>
      </c>
      <c r="U3" s="490" t="e">
        <f ca="1">Berechnungen!V7</f>
        <v>#REF!</v>
      </c>
      <c r="V3" s="490" t="e">
        <f ca="1">Berechnungen!W7</f>
        <v>#REF!</v>
      </c>
      <c r="W3" s="490" t="e">
        <f ca="1">Berechnungen!X7</f>
        <v>#REF!</v>
      </c>
      <c r="X3" s="490" t="e">
        <f ca="1">Berechnungen!Y7</f>
        <v>#REF!</v>
      </c>
      <c r="Y3" s="490" t="e">
        <f ca="1">Berechnungen!Z7</f>
        <v>#REF!</v>
      </c>
      <c r="Z3" s="490" t="e">
        <f ca="1">Berechnungen!AA7</f>
        <v>#REF!</v>
      </c>
      <c r="AA3" s="490" t="e">
        <f ca="1">Berechnungen!AB7</f>
        <v>#REF!</v>
      </c>
      <c r="AB3" s="490" t="e">
        <f ca="1">Berechnungen!AC7</f>
        <v>#REF!</v>
      </c>
      <c r="AC3" s="490" t="e">
        <f ca="1">Berechnungen!AD7</f>
        <v>#REF!</v>
      </c>
      <c r="AD3" s="490" t="e">
        <f ca="1">Berechnungen!AE7</f>
        <v>#REF!</v>
      </c>
      <c r="AE3" s="490" t="e">
        <f ca="1">Berechnungen!AF7</f>
        <v>#REF!</v>
      </c>
      <c r="AF3" s="490" t="e">
        <f ca="1">Berechnungen!AG7</f>
        <v>#REF!</v>
      </c>
      <c r="AG3" s="490" t="e">
        <f ca="1">Berechnungen!AH7</f>
        <v>#REF!</v>
      </c>
      <c r="AH3" s="490" t="e">
        <f ca="1">Berechnungen!AI7</f>
        <v>#REF!</v>
      </c>
      <c r="AI3" s="490" t="e">
        <f ca="1">Berechnungen!AJ7</f>
        <v>#REF!</v>
      </c>
      <c r="AJ3" s="490" t="e">
        <f ca="1">Berechnungen!AK7</f>
        <v>#REF!</v>
      </c>
      <c r="AK3" s="490" t="e">
        <f ca="1">Berechnungen!AL7</f>
        <v>#REF!</v>
      </c>
      <c r="AL3" s="490" t="e">
        <f ca="1">Berechnungen!AM7</f>
        <v>#REF!</v>
      </c>
      <c r="AM3" s="490" t="e">
        <f ca="1">Berechnungen!AN7</f>
        <v>#REF!</v>
      </c>
      <c r="AN3" s="490" t="e">
        <f ca="1">Berechnungen!AO7</f>
        <v>#REF!</v>
      </c>
      <c r="AO3" s="490" t="e">
        <f ca="1">Berechnungen!AP7</f>
        <v>#REF!</v>
      </c>
      <c r="AP3" s="490" t="e">
        <f ca="1">Berechnungen!AQ7</f>
        <v>#REF!</v>
      </c>
      <c r="AQ3" s="490" t="e">
        <f ca="1">Berechnungen!AR7</f>
        <v>#REF!</v>
      </c>
      <c r="AR3" s="490" t="e">
        <f ca="1">Berechnungen!AS7</f>
        <v>#REF!</v>
      </c>
      <c r="AS3" s="490" t="e">
        <f ca="1">Berechnungen!AT7</f>
        <v>#REF!</v>
      </c>
      <c r="AT3" s="490" t="e">
        <f ca="1">Berechnungen!AU7</f>
        <v>#REF!</v>
      </c>
      <c r="AU3" s="490" t="e">
        <f ca="1">Berechnungen!AV7</f>
        <v>#REF!</v>
      </c>
      <c r="AV3" s="490" t="e">
        <f ca="1">Berechnungen!AW7</f>
        <v>#REF!</v>
      </c>
      <c r="AW3" s="490" t="e">
        <f ca="1">Berechnungen!AX7</f>
        <v>#REF!</v>
      </c>
      <c r="AX3" s="490" t="e">
        <f ca="1">Berechnungen!AY7</f>
        <v>#REF!</v>
      </c>
      <c r="AY3" s="490" t="e">
        <f ca="1">Berechnungen!AZ7</f>
        <v>#REF!</v>
      </c>
      <c r="AZ3" s="490" t="e">
        <f ca="1">Berechnungen!BA7</f>
        <v>#REF!</v>
      </c>
      <c r="BA3" s="490" t="e">
        <f ca="1">Berechnungen!BB7</f>
        <v>#REF!</v>
      </c>
      <c r="BB3" s="490" t="e">
        <f ca="1">Berechnungen!BC7</f>
        <v>#REF!</v>
      </c>
      <c r="BC3" s="490" t="e">
        <f ca="1">Berechnungen!BD7</f>
        <v>#REF!</v>
      </c>
      <c r="BD3" s="490" t="e">
        <f ca="1">Berechnungen!BE7</f>
        <v>#REF!</v>
      </c>
      <c r="BE3" s="490" t="e">
        <f ca="1">Berechnungen!BF7</f>
        <v>#REF!</v>
      </c>
      <c r="BF3" s="490" t="e">
        <f ca="1">Berechnungen!BG7</f>
        <v>#REF!</v>
      </c>
      <c r="BG3" s="490" t="e">
        <f ca="1">Berechnungen!BH7</f>
        <v>#REF!</v>
      </c>
      <c r="BH3" s="490" t="e">
        <f ca="1">Berechnungen!BI7</f>
        <v>#REF!</v>
      </c>
      <c r="BI3" s="490" t="e">
        <f ca="1">Berechnungen!BJ7</f>
        <v>#REF!</v>
      </c>
      <c r="BJ3" s="490" t="e">
        <f ca="1">Berechnungen!BK7</f>
        <v>#REF!</v>
      </c>
      <c r="BK3" s="490" t="e">
        <f ca="1">Berechnungen!BL7</f>
        <v>#REF!</v>
      </c>
      <c r="BL3" s="490" t="e">
        <f ca="1">Berechnungen!BM7</f>
        <v>#REF!</v>
      </c>
      <c r="BM3" s="490" t="e">
        <f ca="1">Berechnungen!BN7</f>
        <v>#REF!</v>
      </c>
      <c r="BN3" s="490" t="e">
        <f ca="1">Berechnungen!BO7</f>
        <v>#REF!</v>
      </c>
      <c r="BO3" s="490" t="e">
        <f ca="1">Berechnungen!BP7</f>
        <v>#REF!</v>
      </c>
      <c r="BP3" s="490" t="e">
        <f ca="1">Berechnungen!BQ7</f>
        <v>#REF!</v>
      </c>
    </row>
    <row r="4" spans="1:68" x14ac:dyDescent="0.2">
      <c r="A4" s="491" t="e">
        <f ca="1">SUM(D4:BP4)</f>
        <v>#REF!</v>
      </c>
      <c r="C4" s="490" t="s">
        <v>1354</v>
      </c>
      <c r="D4" s="490" t="e">
        <f ca="1">Berechnungen!E69</f>
        <v>#REF!</v>
      </c>
      <c r="E4" s="490" t="e">
        <f ca="1">Berechnungen!F69</f>
        <v>#REF!</v>
      </c>
      <c r="F4" s="490" t="e">
        <f ca="1">Berechnungen!G69</f>
        <v>#REF!</v>
      </c>
      <c r="G4" s="490" t="e">
        <f ca="1">Berechnungen!H69</f>
        <v>#REF!</v>
      </c>
      <c r="H4" s="490" t="e">
        <f ca="1">Berechnungen!I69</f>
        <v>#REF!</v>
      </c>
      <c r="I4" s="490" t="e">
        <f ca="1">Berechnungen!J69</f>
        <v>#REF!</v>
      </c>
      <c r="J4" s="490" t="e">
        <f ca="1">Berechnungen!K69</f>
        <v>#REF!</v>
      </c>
      <c r="K4" s="490" t="e">
        <f ca="1">Berechnungen!L69</f>
        <v>#REF!</v>
      </c>
      <c r="L4" s="490" t="e">
        <f ca="1">Berechnungen!M69</f>
        <v>#REF!</v>
      </c>
      <c r="M4" s="490" t="e">
        <f ca="1">Berechnungen!N69</f>
        <v>#REF!</v>
      </c>
      <c r="N4" s="490" t="e">
        <f ca="1">Berechnungen!O69</f>
        <v>#REF!</v>
      </c>
      <c r="O4" s="490" t="e">
        <f ca="1">Berechnungen!P69</f>
        <v>#REF!</v>
      </c>
      <c r="P4" s="490" t="e">
        <f ca="1">Berechnungen!Q69</f>
        <v>#REF!</v>
      </c>
      <c r="Q4" s="490" t="e">
        <f ca="1">Berechnungen!R69</f>
        <v>#REF!</v>
      </c>
      <c r="R4" s="490" t="e">
        <f ca="1">Berechnungen!S69</f>
        <v>#REF!</v>
      </c>
      <c r="S4" s="490" t="e">
        <f ca="1">Berechnungen!T69</f>
        <v>#REF!</v>
      </c>
      <c r="T4" s="490" t="e">
        <f ca="1">Berechnungen!U69</f>
        <v>#REF!</v>
      </c>
      <c r="U4" s="490" t="e">
        <f ca="1">Berechnungen!V69</f>
        <v>#REF!</v>
      </c>
      <c r="V4" s="490" t="e">
        <f ca="1">Berechnungen!W69</f>
        <v>#REF!</v>
      </c>
      <c r="W4" s="490" t="e">
        <f ca="1">Berechnungen!X69</f>
        <v>#REF!</v>
      </c>
      <c r="X4" s="490" t="e">
        <f ca="1">Berechnungen!Y69</f>
        <v>#REF!</v>
      </c>
      <c r="Y4" s="490" t="e">
        <f ca="1">Berechnungen!Z69</f>
        <v>#REF!</v>
      </c>
      <c r="Z4" s="490" t="e">
        <f ca="1">Berechnungen!AA69</f>
        <v>#REF!</v>
      </c>
      <c r="AA4" s="490" t="e">
        <f ca="1">Berechnungen!AB69</f>
        <v>#REF!</v>
      </c>
      <c r="AB4" s="490" t="e">
        <f ca="1">Berechnungen!AC69</f>
        <v>#REF!</v>
      </c>
      <c r="AC4" s="490" t="e">
        <f ca="1">Berechnungen!AD69</f>
        <v>#REF!</v>
      </c>
      <c r="AD4" s="490" t="e">
        <f ca="1">Berechnungen!AE69</f>
        <v>#REF!</v>
      </c>
      <c r="AE4" s="490" t="e">
        <f ca="1">Berechnungen!AF69</f>
        <v>#REF!</v>
      </c>
      <c r="AF4" s="490" t="e">
        <f ca="1">Berechnungen!AG69</f>
        <v>#REF!</v>
      </c>
      <c r="AG4" s="490" t="e">
        <f ca="1">Berechnungen!AH69</f>
        <v>#REF!</v>
      </c>
      <c r="AH4" s="490" t="e">
        <f ca="1">Berechnungen!AI69</f>
        <v>#REF!</v>
      </c>
      <c r="AI4" s="490" t="e">
        <f ca="1">Berechnungen!AJ69</f>
        <v>#REF!</v>
      </c>
      <c r="AJ4" s="490" t="e">
        <f ca="1">Berechnungen!AK69</f>
        <v>#REF!</v>
      </c>
      <c r="AK4" s="490" t="e">
        <f ca="1">Berechnungen!AL69</f>
        <v>#REF!</v>
      </c>
      <c r="AL4" s="490" t="e">
        <f ca="1">Berechnungen!AM69</f>
        <v>#REF!</v>
      </c>
      <c r="AM4" s="490" t="e">
        <f ca="1">Berechnungen!AN69</f>
        <v>#REF!</v>
      </c>
      <c r="AN4" s="490" t="e">
        <f ca="1">Berechnungen!AO69</f>
        <v>#REF!</v>
      </c>
      <c r="AO4" s="490" t="e">
        <f ca="1">Berechnungen!AP69</f>
        <v>#REF!</v>
      </c>
      <c r="AP4" s="490" t="e">
        <f ca="1">Berechnungen!AQ69</f>
        <v>#REF!</v>
      </c>
      <c r="AQ4" s="490" t="e">
        <f ca="1">Berechnungen!AR69</f>
        <v>#REF!</v>
      </c>
      <c r="AR4" s="490" t="e">
        <f ca="1">Berechnungen!AS69</f>
        <v>#REF!</v>
      </c>
      <c r="AS4" s="490" t="e">
        <f ca="1">Berechnungen!AT69</f>
        <v>#REF!</v>
      </c>
      <c r="AT4" s="490" t="e">
        <f ca="1">Berechnungen!AU69</f>
        <v>#REF!</v>
      </c>
      <c r="AU4" s="490" t="e">
        <f ca="1">Berechnungen!AV69</f>
        <v>#REF!</v>
      </c>
      <c r="AV4" s="490" t="e">
        <f ca="1">Berechnungen!AW69</f>
        <v>#REF!</v>
      </c>
      <c r="AW4" s="490" t="e">
        <f ca="1">Berechnungen!AX69</f>
        <v>#REF!</v>
      </c>
      <c r="AX4" s="490" t="e">
        <f ca="1">Berechnungen!AY69</f>
        <v>#REF!</v>
      </c>
      <c r="AY4" s="490" t="e">
        <f ca="1">Berechnungen!AZ69</f>
        <v>#REF!</v>
      </c>
      <c r="AZ4" s="490" t="e">
        <f ca="1">Berechnungen!BA69</f>
        <v>#REF!</v>
      </c>
      <c r="BA4" s="490" t="e">
        <f ca="1">Berechnungen!BB69</f>
        <v>#REF!</v>
      </c>
      <c r="BB4" s="490" t="e">
        <f ca="1">Berechnungen!BC69</f>
        <v>#REF!</v>
      </c>
      <c r="BC4" s="490" t="e">
        <f ca="1">Berechnungen!BD69</f>
        <v>#REF!</v>
      </c>
      <c r="BD4" s="490" t="e">
        <f ca="1">Berechnungen!BE69</f>
        <v>#REF!</v>
      </c>
      <c r="BE4" s="490" t="e">
        <f ca="1">Berechnungen!BF69</f>
        <v>#REF!</v>
      </c>
      <c r="BF4" s="490" t="e">
        <f ca="1">Berechnungen!BG69</f>
        <v>#REF!</v>
      </c>
      <c r="BG4" s="490" t="e">
        <f ca="1">Berechnungen!BH69</f>
        <v>#REF!</v>
      </c>
      <c r="BH4" s="490" t="e">
        <f ca="1">Berechnungen!BI69</f>
        <v>#REF!</v>
      </c>
      <c r="BI4" s="490" t="e">
        <f ca="1">Berechnungen!BJ69</f>
        <v>#REF!</v>
      </c>
      <c r="BJ4" s="490" t="e">
        <f ca="1">Berechnungen!BK69</f>
        <v>#REF!</v>
      </c>
      <c r="BK4" s="490" t="e">
        <f ca="1">Berechnungen!BL69</f>
        <v>#REF!</v>
      </c>
      <c r="BL4" s="490" t="e">
        <f ca="1">Berechnungen!BM69</f>
        <v>#REF!</v>
      </c>
      <c r="BM4" s="490" t="e">
        <f ca="1">Berechnungen!BN69</f>
        <v>#REF!</v>
      </c>
      <c r="BN4" s="490" t="e">
        <f ca="1">Berechnungen!BO69</f>
        <v>#REF!</v>
      </c>
      <c r="BO4" s="490" t="e">
        <f ca="1">Berechnungen!BP69</f>
        <v>#REF!</v>
      </c>
      <c r="BP4" s="490" t="e">
        <f ca="1">Berechnungen!BQ69</f>
        <v>#REF!</v>
      </c>
    </row>
    <row r="5" spans="1:68" x14ac:dyDescent="0.2">
      <c r="A5" s="491" t="e">
        <f ca="1">SUM(D5:BP5)</f>
        <v>#REF!</v>
      </c>
      <c r="C5" s="490" t="s">
        <v>1355</v>
      </c>
      <c r="D5" s="490" t="e">
        <f ca="1">Berechnungen!E77</f>
        <v>#REF!</v>
      </c>
      <c r="E5" s="490" t="e">
        <f ca="1">Berechnungen!F77</f>
        <v>#REF!</v>
      </c>
      <c r="F5" s="490" t="e">
        <f ca="1">Berechnungen!G77</f>
        <v>#REF!</v>
      </c>
      <c r="G5" s="490" t="e">
        <f ca="1">Berechnungen!H77</f>
        <v>#REF!</v>
      </c>
      <c r="H5" s="490" t="e">
        <f ca="1">Berechnungen!I77</f>
        <v>#REF!</v>
      </c>
      <c r="I5" s="490" t="e">
        <f ca="1">Berechnungen!J77</f>
        <v>#REF!</v>
      </c>
      <c r="J5" s="490" t="e">
        <f ca="1">Berechnungen!K77</f>
        <v>#REF!</v>
      </c>
      <c r="K5" s="490" t="e">
        <f ca="1">Berechnungen!L77</f>
        <v>#REF!</v>
      </c>
      <c r="L5" s="490" t="e">
        <f ca="1">Berechnungen!M77</f>
        <v>#REF!</v>
      </c>
      <c r="M5" s="490" t="e">
        <f ca="1">Berechnungen!N77</f>
        <v>#REF!</v>
      </c>
      <c r="N5" s="490" t="e">
        <f ca="1">Berechnungen!O77</f>
        <v>#REF!</v>
      </c>
      <c r="O5" s="490" t="e">
        <f ca="1">Berechnungen!P77</f>
        <v>#REF!</v>
      </c>
      <c r="P5" s="490" t="e">
        <f ca="1">Berechnungen!Q77</f>
        <v>#REF!</v>
      </c>
      <c r="Q5" s="490" t="e">
        <f ca="1">Berechnungen!R77</f>
        <v>#REF!</v>
      </c>
      <c r="R5" s="490" t="e">
        <f ca="1">Berechnungen!S77</f>
        <v>#REF!</v>
      </c>
      <c r="S5" s="490" t="e">
        <f ca="1">Berechnungen!T77</f>
        <v>#REF!</v>
      </c>
      <c r="T5" s="490" t="e">
        <f ca="1">Berechnungen!U77</f>
        <v>#REF!</v>
      </c>
      <c r="U5" s="490" t="e">
        <f ca="1">Berechnungen!V77</f>
        <v>#REF!</v>
      </c>
      <c r="V5" s="490" t="e">
        <f ca="1">Berechnungen!W77</f>
        <v>#REF!</v>
      </c>
      <c r="W5" s="490" t="e">
        <f ca="1">Berechnungen!X77</f>
        <v>#REF!</v>
      </c>
      <c r="X5" s="490" t="e">
        <f ca="1">Berechnungen!Y77</f>
        <v>#REF!</v>
      </c>
      <c r="Y5" s="490" t="e">
        <f ca="1">Berechnungen!Z77</f>
        <v>#REF!</v>
      </c>
      <c r="Z5" s="490" t="e">
        <f ca="1">Berechnungen!AA77</f>
        <v>#REF!</v>
      </c>
      <c r="AA5" s="490" t="e">
        <f ca="1">Berechnungen!AB77</f>
        <v>#REF!</v>
      </c>
      <c r="AB5" s="490" t="e">
        <f ca="1">Berechnungen!AC77</f>
        <v>#REF!</v>
      </c>
      <c r="AC5" s="490" t="e">
        <f ca="1">Berechnungen!AD77</f>
        <v>#REF!</v>
      </c>
      <c r="AD5" s="490" t="e">
        <f ca="1">Berechnungen!AE77</f>
        <v>#REF!</v>
      </c>
      <c r="AE5" s="490" t="e">
        <f ca="1">Berechnungen!AF77</f>
        <v>#REF!</v>
      </c>
      <c r="AF5" s="490" t="e">
        <f ca="1">Berechnungen!AG77</f>
        <v>#REF!</v>
      </c>
      <c r="AG5" s="490" t="e">
        <f ca="1">Berechnungen!AH77</f>
        <v>#REF!</v>
      </c>
      <c r="AH5" s="490" t="e">
        <f ca="1">Berechnungen!AI77</f>
        <v>#REF!</v>
      </c>
      <c r="AI5" s="490" t="e">
        <f ca="1">Berechnungen!AJ77</f>
        <v>#REF!</v>
      </c>
      <c r="AJ5" s="490" t="e">
        <f ca="1">Berechnungen!AK77</f>
        <v>#REF!</v>
      </c>
      <c r="AK5" s="490" t="e">
        <f ca="1">Berechnungen!AL77</f>
        <v>#REF!</v>
      </c>
      <c r="AL5" s="490" t="e">
        <f ca="1">Berechnungen!AM77</f>
        <v>#REF!</v>
      </c>
      <c r="AM5" s="490" t="e">
        <f ca="1">Berechnungen!AN77</f>
        <v>#REF!</v>
      </c>
      <c r="AN5" s="490" t="e">
        <f ca="1">Berechnungen!AO77</f>
        <v>#REF!</v>
      </c>
      <c r="AO5" s="490" t="e">
        <f ca="1">Berechnungen!AP77</f>
        <v>#REF!</v>
      </c>
      <c r="AP5" s="490" t="e">
        <f ca="1">Berechnungen!AQ77</f>
        <v>#REF!</v>
      </c>
      <c r="AQ5" s="490" t="e">
        <f ca="1">Berechnungen!AR77</f>
        <v>#REF!</v>
      </c>
      <c r="AR5" s="490" t="e">
        <f ca="1">Berechnungen!AS77</f>
        <v>#REF!</v>
      </c>
      <c r="AS5" s="490" t="e">
        <f ca="1">Berechnungen!AT77</f>
        <v>#REF!</v>
      </c>
      <c r="AT5" s="490" t="e">
        <f ca="1">Berechnungen!AU77</f>
        <v>#REF!</v>
      </c>
      <c r="AU5" s="490" t="e">
        <f ca="1">Berechnungen!AV77</f>
        <v>#REF!</v>
      </c>
      <c r="AV5" s="490" t="e">
        <f ca="1">Berechnungen!AW77</f>
        <v>#REF!</v>
      </c>
      <c r="AW5" s="490" t="e">
        <f ca="1">Berechnungen!AX77</f>
        <v>#REF!</v>
      </c>
      <c r="AX5" s="490" t="e">
        <f ca="1">Berechnungen!AY77</f>
        <v>#REF!</v>
      </c>
      <c r="AY5" s="490" t="e">
        <f ca="1">Berechnungen!AZ77</f>
        <v>#REF!</v>
      </c>
      <c r="AZ5" s="490" t="e">
        <f ca="1">Berechnungen!BA77</f>
        <v>#REF!</v>
      </c>
      <c r="BA5" s="490" t="e">
        <f ca="1">Berechnungen!BB77</f>
        <v>#REF!</v>
      </c>
      <c r="BB5" s="490" t="e">
        <f ca="1">Berechnungen!BC77</f>
        <v>#REF!</v>
      </c>
      <c r="BC5" s="490" t="e">
        <f ca="1">Berechnungen!BD77</f>
        <v>#REF!</v>
      </c>
      <c r="BD5" s="490" t="e">
        <f ca="1">Berechnungen!BE77</f>
        <v>#REF!</v>
      </c>
      <c r="BE5" s="490" t="e">
        <f ca="1">Berechnungen!BF77</f>
        <v>#REF!</v>
      </c>
      <c r="BF5" s="490" t="e">
        <f ca="1">Berechnungen!BG77</f>
        <v>#REF!</v>
      </c>
      <c r="BG5" s="490" t="e">
        <f ca="1">Berechnungen!BH77</f>
        <v>#REF!</v>
      </c>
      <c r="BH5" s="490" t="e">
        <f ca="1">Berechnungen!BI77</f>
        <v>#REF!</v>
      </c>
      <c r="BI5" s="490" t="e">
        <f ca="1">Berechnungen!BJ77</f>
        <v>#REF!</v>
      </c>
      <c r="BJ5" s="490" t="e">
        <f ca="1">Berechnungen!BK77</f>
        <v>#REF!</v>
      </c>
      <c r="BK5" s="490" t="e">
        <f ca="1">Berechnungen!BL77</f>
        <v>#REF!</v>
      </c>
      <c r="BL5" s="490" t="e">
        <f ca="1">Berechnungen!BM77</f>
        <v>#REF!</v>
      </c>
      <c r="BM5" s="490" t="e">
        <f ca="1">Berechnungen!BN77</f>
        <v>#REF!</v>
      </c>
      <c r="BN5" s="490" t="e">
        <f ca="1">Berechnungen!BO77</f>
        <v>#REF!</v>
      </c>
      <c r="BO5" s="490" t="e">
        <f ca="1">Berechnungen!BP77</f>
        <v>#REF!</v>
      </c>
      <c r="BP5" s="490" t="e">
        <f ca="1">Berechnungen!BQ77</f>
        <v>#REF!</v>
      </c>
    </row>
    <row r="6" spans="1:68" s="493" customFormat="1" x14ac:dyDescent="0.2">
      <c r="A6" s="492" t="e">
        <f ca="1">SUM(D6:BP6)</f>
        <v>#REF!</v>
      </c>
      <c r="B6" s="493" t="s">
        <v>3665</v>
      </c>
      <c r="C6" s="493" t="s">
        <v>1356</v>
      </c>
      <c r="D6" s="493" t="e">
        <f ca="1">Berechnungen!E75</f>
        <v>#REF!</v>
      </c>
      <c r="E6" s="493" t="e">
        <f ca="1">Berechnungen!F75</f>
        <v>#REF!</v>
      </c>
      <c r="F6" s="493" t="e">
        <f ca="1">Berechnungen!G75</f>
        <v>#REF!</v>
      </c>
      <c r="G6" s="493" t="e">
        <f ca="1">Berechnungen!H75</f>
        <v>#REF!</v>
      </c>
      <c r="H6" s="493" t="e">
        <f ca="1">Berechnungen!I75</f>
        <v>#REF!</v>
      </c>
      <c r="I6" s="493" t="e">
        <f ca="1">Berechnungen!J75</f>
        <v>#REF!</v>
      </c>
      <c r="J6" s="493" t="e">
        <f ca="1">Berechnungen!K75</f>
        <v>#REF!</v>
      </c>
      <c r="K6" s="493" t="e">
        <f ca="1">Berechnungen!L75</f>
        <v>#REF!</v>
      </c>
      <c r="L6" s="493" t="e">
        <f ca="1">Berechnungen!M75</f>
        <v>#REF!</v>
      </c>
      <c r="M6" s="493" t="e">
        <f ca="1">Berechnungen!N75</f>
        <v>#REF!</v>
      </c>
      <c r="N6" s="493" t="e">
        <f ca="1">Berechnungen!O75</f>
        <v>#REF!</v>
      </c>
      <c r="O6" s="493" t="e">
        <f ca="1">Berechnungen!P75</f>
        <v>#REF!</v>
      </c>
      <c r="P6" s="493" t="e">
        <f ca="1">Berechnungen!Q75</f>
        <v>#REF!</v>
      </c>
      <c r="Q6" s="493" t="e">
        <f ca="1">Berechnungen!R75</f>
        <v>#REF!</v>
      </c>
      <c r="R6" s="493" t="e">
        <f ca="1">Berechnungen!S75</f>
        <v>#REF!</v>
      </c>
      <c r="S6" s="493" t="e">
        <f ca="1">Berechnungen!T75</f>
        <v>#REF!</v>
      </c>
      <c r="T6" s="493" t="e">
        <f ca="1">Berechnungen!U75</f>
        <v>#REF!</v>
      </c>
      <c r="U6" s="493" t="e">
        <f ca="1">Berechnungen!V75</f>
        <v>#REF!</v>
      </c>
      <c r="V6" s="493" t="e">
        <f ca="1">Berechnungen!W75</f>
        <v>#REF!</v>
      </c>
      <c r="W6" s="493" t="e">
        <f ca="1">Berechnungen!X75</f>
        <v>#REF!</v>
      </c>
      <c r="X6" s="493" t="e">
        <f ca="1">Berechnungen!Y75</f>
        <v>#REF!</v>
      </c>
      <c r="Y6" s="493" t="e">
        <f ca="1">Berechnungen!Z75</f>
        <v>#REF!</v>
      </c>
      <c r="Z6" s="493" t="e">
        <f ca="1">Berechnungen!AA75</f>
        <v>#REF!</v>
      </c>
      <c r="AA6" s="493" t="e">
        <f ca="1">Berechnungen!AB75</f>
        <v>#REF!</v>
      </c>
      <c r="AB6" s="493" t="e">
        <f ca="1">Berechnungen!AC75</f>
        <v>#REF!</v>
      </c>
      <c r="AC6" s="493" t="e">
        <f ca="1">Berechnungen!AD75</f>
        <v>#REF!</v>
      </c>
      <c r="AD6" s="493" t="e">
        <f ca="1">Berechnungen!AE75</f>
        <v>#REF!</v>
      </c>
      <c r="AE6" s="493" t="e">
        <f ca="1">Berechnungen!AF75</f>
        <v>#REF!</v>
      </c>
      <c r="AF6" s="493" t="e">
        <f ca="1">Berechnungen!AG75</f>
        <v>#REF!</v>
      </c>
      <c r="AG6" s="493" t="e">
        <f ca="1">Berechnungen!AH75</f>
        <v>#REF!</v>
      </c>
      <c r="AH6" s="493" t="e">
        <f ca="1">Berechnungen!AI75</f>
        <v>#REF!</v>
      </c>
      <c r="AI6" s="493" t="e">
        <f ca="1">Berechnungen!AJ75</f>
        <v>#REF!</v>
      </c>
      <c r="AJ6" s="493" t="e">
        <f ca="1">Berechnungen!AK75</f>
        <v>#REF!</v>
      </c>
      <c r="AK6" s="493" t="e">
        <f ca="1">Berechnungen!AL75</f>
        <v>#REF!</v>
      </c>
      <c r="AL6" s="493" t="e">
        <f ca="1">Berechnungen!AM75</f>
        <v>#REF!</v>
      </c>
      <c r="AM6" s="493" t="e">
        <f ca="1">Berechnungen!AN75</f>
        <v>#REF!</v>
      </c>
      <c r="AN6" s="493" t="e">
        <f ca="1">Berechnungen!AO75</f>
        <v>#REF!</v>
      </c>
      <c r="AO6" s="493" t="e">
        <f ca="1">Berechnungen!AP75</f>
        <v>#REF!</v>
      </c>
      <c r="AP6" s="493" t="e">
        <f ca="1">Berechnungen!AQ75</f>
        <v>#REF!</v>
      </c>
      <c r="AQ6" s="493" t="e">
        <f ca="1">Berechnungen!AR75</f>
        <v>#REF!</v>
      </c>
      <c r="AR6" s="493" t="e">
        <f ca="1">Berechnungen!AS75</f>
        <v>#REF!</v>
      </c>
      <c r="AS6" s="493" t="e">
        <f ca="1">Berechnungen!AT75</f>
        <v>#REF!</v>
      </c>
      <c r="AT6" s="493" t="e">
        <f ca="1">Berechnungen!AU75</f>
        <v>#REF!</v>
      </c>
      <c r="AU6" s="493" t="e">
        <f ca="1">Berechnungen!AV75</f>
        <v>#REF!</v>
      </c>
      <c r="AV6" s="493" t="e">
        <f ca="1">Berechnungen!AW75</f>
        <v>#REF!</v>
      </c>
      <c r="AW6" s="493" t="e">
        <f ca="1">Berechnungen!AX75</f>
        <v>#REF!</v>
      </c>
      <c r="AX6" s="493" t="e">
        <f ca="1">Berechnungen!AY75</f>
        <v>#REF!</v>
      </c>
      <c r="AY6" s="493" t="e">
        <f ca="1">Berechnungen!AZ75</f>
        <v>#REF!</v>
      </c>
      <c r="AZ6" s="493" t="e">
        <f ca="1">Berechnungen!BA75</f>
        <v>#REF!</v>
      </c>
      <c r="BA6" s="493" t="e">
        <f ca="1">Berechnungen!BB75</f>
        <v>#REF!</v>
      </c>
      <c r="BB6" s="493" t="e">
        <f ca="1">Berechnungen!BC75</f>
        <v>#REF!</v>
      </c>
      <c r="BC6" s="493" t="e">
        <f ca="1">Berechnungen!BD75</f>
        <v>#REF!</v>
      </c>
      <c r="BD6" s="493" t="e">
        <f ca="1">Berechnungen!BE75</f>
        <v>#REF!</v>
      </c>
      <c r="BE6" s="493" t="e">
        <f ca="1">Berechnungen!BF75</f>
        <v>#REF!</v>
      </c>
      <c r="BF6" s="493" t="e">
        <f ca="1">Berechnungen!BG75</f>
        <v>#REF!</v>
      </c>
      <c r="BG6" s="493" t="e">
        <f ca="1">Berechnungen!BH75</f>
        <v>#REF!</v>
      </c>
      <c r="BH6" s="493" t="e">
        <f ca="1">Berechnungen!BI75</f>
        <v>#REF!</v>
      </c>
      <c r="BI6" s="493" t="e">
        <f ca="1">Berechnungen!BJ75</f>
        <v>#REF!</v>
      </c>
      <c r="BJ6" s="493" t="e">
        <f ca="1">Berechnungen!BK75</f>
        <v>#REF!</v>
      </c>
      <c r="BK6" s="493" t="e">
        <f ca="1">Berechnungen!BL75</f>
        <v>#REF!</v>
      </c>
      <c r="BL6" s="493" t="e">
        <f ca="1">Berechnungen!BM75</f>
        <v>#REF!</v>
      </c>
      <c r="BM6" s="493" t="e">
        <f ca="1">Berechnungen!BN75</f>
        <v>#REF!</v>
      </c>
      <c r="BN6" s="493" t="e">
        <f ca="1">Berechnungen!BO75</f>
        <v>#REF!</v>
      </c>
      <c r="BO6" s="493" t="e">
        <f ca="1">Berechnungen!BP75</f>
        <v>#REF!</v>
      </c>
      <c r="BP6" s="493" t="e">
        <f ca="1">Berechnungen!BQ75</f>
        <v>#REF!</v>
      </c>
    </row>
    <row r="7" spans="1:68" x14ac:dyDescent="0.2">
      <c r="C7" s="490" t="s">
        <v>1357</v>
      </c>
      <c r="D7" s="490" t="e">
        <f ca="1">(D4&gt;0)*D3</f>
        <v>#REF!</v>
      </c>
      <c r="E7" s="490" t="e">
        <f t="shared" ref="E7:BP7" ca="1" si="0">(E4&gt;0)*E3</f>
        <v>#REF!</v>
      </c>
      <c r="F7" s="490" t="e">
        <f t="shared" ca="1" si="0"/>
        <v>#REF!</v>
      </c>
      <c r="G7" s="490" t="e">
        <f t="shared" ca="1" si="0"/>
        <v>#REF!</v>
      </c>
      <c r="H7" s="490" t="e">
        <f t="shared" ca="1" si="0"/>
        <v>#REF!</v>
      </c>
      <c r="I7" s="490" t="e">
        <f t="shared" ca="1" si="0"/>
        <v>#REF!</v>
      </c>
      <c r="J7" s="490" t="e">
        <f t="shared" ca="1" si="0"/>
        <v>#REF!</v>
      </c>
      <c r="K7" s="490" t="e">
        <f t="shared" ca="1" si="0"/>
        <v>#REF!</v>
      </c>
      <c r="L7" s="490" t="e">
        <f t="shared" ca="1" si="0"/>
        <v>#REF!</v>
      </c>
      <c r="M7" s="490" t="e">
        <f t="shared" ca="1" si="0"/>
        <v>#REF!</v>
      </c>
      <c r="N7" s="490" t="e">
        <f t="shared" ca="1" si="0"/>
        <v>#REF!</v>
      </c>
      <c r="O7" s="490" t="e">
        <f t="shared" ca="1" si="0"/>
        <v>#REF!</v>
      </c>
      <c r="P7" s="490" t="e">
        <f t="shared" ca="1" si="0"/>
        <v>#REF!</v>
      </c>
      <c r="Q7" s="490" t="e">
        <f t="shared" ca="1" si="0"/>
        <v>#REF!</v>
      </c>
      <c r="R7" s="490" t="e">
        <f t="shared" ca="1" si="0"/>
        <v>#REF!</v>
      </c>
      <c r="S7" s="490" t="e">
        <f t="shared" ca="1" si="0"/>
        <v>#REF!</v>
      </c>
      <c r="T7" s="490" t="e">
        <f t="shared" ca="1" si="0"/>
        <v>#REF!</v>
      </c>
      <c r="U7" s="490" t="e">
        <f t="shared" ca="1" si="0"/>
        <v>#REF!</v>
      </c>
      <c r="V7" s="490" t="e">
        <f t="shared" ca="1" si="0"/>
        <v>#REF!</v>
      </c>
      <c r="W7" s="490" t="e">
        <f t="shared" ca="1" si="0"/>
        <v>#REF!</v>
      </c>
      <c r="X7" s="490" t="e">
        <f t="shared" ca="1" si="0"/>
        <v>#REF!</v>
      </c>
      <c r="Y7" s="490" t="e">
        <f t="shared" ca="1" si="0"/>
        <v>#REF!</v>
      </c>
      <c r="Z7" s="490" t="e">
        <f t="shared" ca="1" si="0"/>
        <v>#REF!</v>
      </c>
      <c r="AA7" s="490" t="e">
        <f t="shared" ca="1" si="0"/>
        <v>#REF!</v>
      </c>
      <c r="AB7" s="490" t="e">
        <f t="shared" ca="1" si="0"/>
        <v>#REF!</v>
      </c>
      <c r="AC7" s="490" t="e">
        <f t="shared" ca="1" si="0"/>
        <v>#REF!</v>
      </c>
      <c r="AD7" s="490" t="e">
        <f t="shared" ca="1" si="0"/>
        <v>#REF!</v>
      </c>
      <c r="AE7" s="490" t="e">
        <f t="shared" ca="1" si="0"/>
        <v>#REF!</v>
      </c>
      <c r="AF7" s="490" t="e">
        <f t="shared" ca="1" si="0"/>
        <v>#REF!</v>
      </c>
      <c r="AG7" s="490" t="e">
        <f t="shared" ca="1" si="0"/>
        <v>#REF!</v>
      </c>
      <c r="AH7" s="490" t="e">
        <f t="shared" ca="1" si="0"/>
        <v>#REF!</v>
      </c>
      <c r="AI7" s="490" t="e">
        <f t="shared" ca="1" si="0"/>
        <v>#REF!</v>
      </c>
      <c r="AJ7" s="490" t="e">
        <f t="shared" ca="1" si="0"/>
        <v>#REF!</v>
      </c>
      <c r="AK7" s="490" t="e">
        <f t="shared" ca="1" si="0"/>
        <v>#REF!</v>
      </c>
      <c r="AL7" s="490" t="e">
        <f t="shared" ca="1" si="0"/>
        <v>#REF!</v>
      </c>
      <c r="AM7" s="490" t="e">
        <f t="shared" ca="1" si="0"/>
        <v>#REF!</v>
      </c>
      <c r="AN7" s="490" t="e">
        <f t="shared" ca="1" si="0"/>
        <v>#REF!</v>
      </c>
      <c r="AO7" s="490" t="e">
        <f t="shared" ca="1" si="0"/>
        <v>#REF!</v>
      </c>
      <c r="AP7" s="490" t="e">
        <f t="shared" ca="1" si="0"/>
        <v>#REF!</v>
      </c>
      <c r="AQ7" s="490" t="e">
        <f t="shared" ca="1" si="0"/>
        <v>#REF!</v>
      </c>
      <c r="AR7" s="490" t="e">
        <f t="shared" ca="1" si="0"/>
        <v>#REF!</v>
      </c>
      <c r="AS7" s="490" t="e">
        <f t="shared" ca="1" si="0"/>
        <v>#REF!</v>
      </c>
      <c r="AT7" s="490" t="e">
        <f t="shared" ca="1" si="0"/>
        <v>#REF!</v>
      </c>
      <c r="AU7" s="490" t="e">
        <f t="shared" ca="1" si="0"/>
        <v>#REF!</v>
      </c>
      <c r="AV7" s="490" t="e">
        <f t="shared" ca="1" si="0"/>
        <v>#REF!</v>
      </c>
      <c r="AW7" s="490" t="e">
        <f t="shared" ca="1" si="0"/>
        <v>#REF!</v>
      </c>
      <c r="AX7" s="490" t="e">
        <f t="shared" ca="1" si="0"/>
        <v>#REF!</v>
      </c>
      <c r="AY7" s="490" t="e">
        <f t="shared" ca="1" si="0"/>
        <v>#REF!</v>
      </c>
      <c r="AZ7" s="490" t="e">
        <f t="shared" ca="1" si="0"/>
        <v>#REF!</v>
      </c>
      <c r="BA7" s="490" t="e">
        <f t="shared" ca="1" si="0"/>
        <v>#REF!</v>
      </c>
      <c r="BB7" s="490" t="e">
        <f t="shared" ca="1" si="0"/>
        <v>#REF!</v>
      </c>
      <c r="BC7" s="490" t="e">
        <f t="shared" ca="1" si="0"/>
        <v>#REF!</v>
      </c>
      <c r="BD7" s="490" t="e">
        <f t="shared" ca="1" si="0"/>
        <v>#REF!</v>
      </c>
      <c r="BE7" s="490" t="e">
        <f t="shared" ca="1" si="0"/>
        <v>#REF!</v>
      </c>
      <c r="BF7" s="490" t="e">
        <f t="shared" ca="1" si="0"/>
        <v>#REF!</v>
      </c>
      <c r="BG7" s="490" t="e">
        <f t="shared" ca="1" si="0"/>
        <v>#REF!</v>
      </c>
      <c r="BH7" s="490" t="e">
        <f t="shared" ca="1" si="0"/>
        <v>#REF!</v>
      </c>
      <c r="BI7" s="490" t="e">
        <f t="shared" ca="1" si="0"/>
        <v>#REF!</v>
      </c>
      <c r="BJ7" s="490" t="e">
        <f t="shared" ca="1" si="0"/>
        <v>#REF!</v>
      </c>
      <c r="BK7" s="490" t="e">
        <f t="shared" ca="1" si="0"/>
        <v>#REF!</v>
      </c>
      <c r="BL7" s="490" t="e">
        <f t="shared" ca="1" si="0"/>
        <v>#REF!</v>
      </c>
      <c r="BM7" s="490" t="e">
        <f t="shared" ca="1" si="0"/>
        <v>#REF!</v>
      </c>
      <c r="BN7" s="490" t="e">
        <f t="shared" ca="1" si="0"/>
        <v>#REF!</v>
      </c>
      <c r="BO7" s="490" t="e">
        <f t="shared" ca="1" si="0"/>
        <v>#REF!</v>
      </c>
      <c r="BP7" s="490" t="e">
        <f t="shared" ca="1" si="0"/>
        <v>#REF!</v>
      </c>
    </row>
    <row r="8" spans="1:68" x14ac:dyDescent="0.2">
      <c r="C8" s="490" t="s">
        <v>1358</v>
      </c>
      <c r="D8" s="490" t="e">
        <f ca="1">D7</f>
        <v>#REF!</v>
      </c>
      <c r="E8" s="490" t="e">
        <f ca="1">D8+E7</f>
        <v>#REF!</v>
      </c>
      <c r="F8" s="490" t="e">
        <f t="shared" ref="F8:BP8" ca="1" si="1">E8+F7</f>
        <v>#REF!</v>
      </c>
      <c r="G8" s="490" t="e">
        <f t="shared" ca="1" si="1"/>
        <v>#REF!</v>
      </c>
      <c r="H8" s="490" t="e">
        <f t="shared" ca="1" si="1"/>
        <v>#REF!</v>
      </c>
      <c r="I8" s="490" t="e">
        <f t="shared" ca="1" si="1"/>
        <v>#REF!</v>
      </c>
      <c r="J8" s="490" t="e">
        <f t="shared" ca="1" si="1"/>
        <v>#REF!</v>
      </c>
      <c r="K8" s="490" t="e">
        <f t="shared" ca="1" si="1"/>
        <v>#REF!</v>
      </c>
      <c r="L8" s="490" t="e">
        <f t="shared" ca="1" si="1"/>
        <v>#REF!</v>
      </c>
      <c r="M8" s="490" t="e">
        <f t="shared" ca="1" si="1"/>
        <v>#REF!</v>
      </c>
      <c r="N8" s="490" t="e">
        <f t="shared" ca="1" si="1"/>
        <v>#REF!</v>
      </c>
      <c r="O8" s="490" t="e">
        <f t="shared" ca="1" si="1"/>
        <v>#REF!</v>
      </c>
      <c r="P8" s="490" t="e">
        <f t="shared" ca="1" si="1"/>
        <v>#REF!</v>
      </c>
      <c r="Q8" s="490" t="e">
        <f t="shared" ca="1" si="1"/>
        <v>#REF!</v>
      </c>
      <c r="R8" s="490" t="e">
        <f t="shared" ca="1" si="1"/>
        <v>#REF!</v>
      </c>
      <c r="S8" s="490" t="e">
        <f t="shared" ca="1" si="1"/>
        <v>#REF!</v>
      </c>
      <c r="T8" s="490" t="e">
        <f t="shared" ca="1" si="1"/>
        <v>#REF!</v>
      </c>
      <c r="U8" s="490" t="e">
        <f t="shared" ca="1" si="1"/>
        <v>#REF!</v>
      </c>
      <c r="V8" s="490" t="e">
        <f t="shared" ca="1" si="1"/>
        <v>#REF!</v>
      </c>
      <c r="W8" s="490" t="e">
        <f t="shared" ca="1" si="1"/>
        <v>#REF!</v>
      </c>
      <c r="X8" s="490" t="e">
        <f t="shared" ca="1" si="1"/>
        <v>#REF!</v>
      </c>
      <c r="Y8" s="490" t="e">
        <f t="shared" ca="1" si="1"/>
        <v>#REF!</v>
      </c>
      <c r="Z8" s="490" t="e">
        <f t="shared" ca="1" si="1"/>
        <v>#REF!</v>
      </c>
      <c r="AA8" s="490" t="e">
        <f t="shared" ca="1" si="1"/>
        <v>#REF!</v>
      </c>
      <c r="AB8" s="490" t="e">
        <f t="shared" ca="1" si="1"/>
        <v>#REF!</v>
      </c>
      <c r="AC8" s="490" t="e">
        <f t="shared" ca="1" si="1"/>
        <v>#REF!</v>
      </c>
      <c r="AD8" s="490" t="e">
        <f t="shared" ca="1" si="1"/>
        <v>#REF!</v>
      </c>
      <c r="AE8" s="490" t="e">
        <f t="shared" ca="1" si="1"/>
        <v>#REF!</v>
      </c>
      <c r="AF8" s="490" t="e">
        <f t="shared" ca="1" si="1"/>
        <v>#REF!</v>
      </c>
      <c r="AG8" s="490" t="e">
        <f t="shared" ca="1" si="1"/>
        <v>#REF!</v>
      </c>
      <c r="AH8" s="490" t="e">
        <f t="shared" ca="1" si="1"/>
        <v>#REF!</v>
      </c>
      <c r="AI8" s="490" t="e">
        <f t="shared" ca="1" si="1"/>
        <v>#REF!</v>
      </c>
      <c r="AJ8" s="490" t="e">
        <f t="shared" ca="1" si="1"/>
        <v>#REF!</v>
      </c>
      <c r="AK8" s="490" t="e">
        <f t="shared" ca="1" si="1"/>
        <v>#REF!</v>
      </c>
      <c r="AL8" s="490" t="e">
        <f t="shared" ca="1" si="1"/>
        <v>#REF!</v>
      </c>
      <c r="AM8" s="490" t="e">
        <f t="shared" ca="1" si="1"/>
        <v>#REF!</v>
      </c>
      <c r="AN8" s="490" t="e">
        <f t="shared" ca="1" si="1"/>
        <v>#REF!</v>
      </c>
      <c r="AO8" s="490" t="e">
        <f t="shared" ca="1" si="1"/>
        <v>#REF!</v>
      </c>
      <c r="AP8" s="490" t="e">
        <f t="shared" ca="1" si="1"/>
        <v>#REF!</v>
      </c>
      <c r="AQ8" s="490" t="e">
        <f t="shared" ca="1" si="1"/>
        <v>#REF!</v>
      </c>
      <c r="AR8" s="490" t="e">
        <f t="shared" ca="1" si="1"/>
        <v>#REF!</v>
      </c>
      <c r="AS8" s="490" t="e">
        <f t="shared" ca="1" si="1"/>
        <v>#REF!</v>
      </c>
      <c r="AT8" s="490" t="e">
        <f t="shared" ca="1" si="1"/>
        <v>#REF!</v>
      </c>
      <c r="AU8" s="490" t="e">
        <f t="shared" ca="1" si="1"/>
        <v>#REF!</v>
      </c>
      <c r="AV8" s="490" t="e">
        <f t="shared" ca="1" si="1"/>
        <v>#REF!</v>
      </c>
      <c r="AW8" s="490" t="e">
        <f t="shared" ca="1" si="1"/>
        <v>#REF!</v>
      </c>
      <c r="AX8" s="490" t="e">
        <f t="shared" ca="1" si="1"/>
        <v>#REF!</v>
      </c>
      <c r="AY8" s="490" t="e">
        <f t="shared" ca="1" si="1"/>
        <v>#REF!</v>
      </c>
      <c r="AZ8" s="490" t="e">
        <f t="shared" ca="1" si="1"/>
        <v>#REF!</v>
      </c>
      <c r="BA8" s="490" t="e">
        <f t="shared" ca="1" si="1"/>
        <v>#REF!</v>
      </c>
      <c r="BB8" s="490" t="e">
        <f t="shared" ca="1" si="1"/>
        <v>#REF!</v>
      </c>
      <c r="BC8" s="490" t="e">
        <f t="shared" ca="1" si="1"/>
        <v>#REF!</v>
      </c>
      <c r="BD8" s="490" t="e">
        <f t="shared" ca="1" si="1"/>
        <v>#REF!</v>
      </c>
      <c r="BE8" s="490" t="e">
        <f t="shared" ca="1" si="1"/>
        <v>#REF!</v>
      </c>
      <c r="BF8" s="490" t="e">
        <f t="shared" ca="1" si="1"/>
        <v>#REF!</v>
      </c>
      <c r="BG8" s="490" t="e">
        <f t="shared" ca="1" si="1"/>
        <v>#REF!</v>
      </c>
      <c r="BH8" s="490" t="e">
        <f t="shared" ca="1" si="1"/>
        <v>#REF!</v>
      </c>
      <c r="BI8" s="490" t="e">
        <f t="shared" ca="1" si="1"/>
        <v>#REF!</v>
      </c>
      <c r="BJ8" s="490" t="e">
        <f t="shared" ca="1" si="1"/>
        <v>#REF!</v>
      </c>
      <c r="BK8" s="490" t="e">
        <f t="shared" ca="1" si="1"/>
        <v>#REF!</v>
      </c>
      <c r="BL8" s="490" t="e">
        <f t="shared" ca="1" si="1"/>
        <v>#REF!</v>
      </c>
      <c r="BM8" s="490" t="e">
        <f t="shared" ca="1" si="1"/>
        <v>#REF!</v>
      </c>
      <c r="BN8" s="490" t="e">
        <f t="shared" ca="1" si="1"/>
        <v>#REF!</v>
      </c>
      <c r="BO8" s="490" t="e">
        <f t="shared" ca="1" si="1"/>
        <v>#REF!</v>
      </c>
      <c r="BP8" s="490" t="e">
        <f t="shared" ca="1" si="1"/>
        <v>#REF!</v>
      </c>
    </row>
    <row r="9" spans="1:68" x14ac:dyDescent="0.2">
      <c r="C9" s="490" t="s">
        <v>1359</v>
      </c>
      <c r="D9" s="490" t="e">
        <f ca="1">IF(D4&gt;0,D4/D3,0)</f>
        <v>#REF!</v>
      </c>
      <c r="E9" s="490" t="e">
        <f t="shared" ref="E9:BP9" ca="1" si="2">IF(E4&gt;0,E4/E3,0)</f>
        <v>#REF!</v>
      </c>
      <c r="F9" s="490" t="e">
        <f t="shared" ca="1" si="2"/>
        <v>#REF!</v>
      </c>
      <c r="G9" s="490" t="e">
        <f t="shared" ca="1" si="2"/>
        <v>#REF!</v>
      </c>
      <c r="H9" s="490" t="e">
        <f t="shared" ca="1" si="2"/>
        <v>#REF!</v>
      </c>
      <c r="I9" s="490" t="e">
        <f t="shared" ca="1" si="2"/>
        <v>#REF!</v>
      </c>
      <c r="J9" s="490" t="e">
        <f t="shared" ca="1" si="2"/>
        <v>#REF!</v>
      </c>
      <c r="K9" s="490" t="e">
        <f t="shared" ca="1" si="2"/>
        <v>#REF!</v>
      </c>
      <c r="L9" s="490" t="e">
        <f t="shared" ca="1" si="2"/>
        <v>#REF!</v>
      </c>
      <c r="M9" s="490" t="e">
        <f t="shared" ca="1" si="2"/>
        <v>#REF!</v>
      </c>
      <c r="N9" s="490" t="e">
        <f t="shared" ca="1" si="2"/>
        <v>#REF!</v>
      </c>
      <c r="O9" s="490" t="e">
        <f t="shared" ca="1" si="2"/>
        <v>#REF!</v>
      </c>
      <c r="P9" s="490" t="e">
        <f t="shared" ca="1" si="2"/>
        <v>#REF!</v>
      </c>
      <c r="Q9" s="490" t="e">
        <f t="shared" ca="1" si="2"/>
        <v>#REF!</v>
      </c>
      <c r="R9" s="490" t="e">
        <f t="shared" ca="1" si="2"/>
        <v>#REF!</v>
      </c>
      <c r="S9" s="490" t="e">
        <f t="shared" ca="1" si="2"/>
        <v>#REF!</v>
      </c>
      <c r="T9" s="490" t="e">
        <f t="shared" ca="1" si="2"/>
        <v>#REF!</v>
      </c>
      <c r="U9" s="490" t="e">
        <f t="shared" ca="1" si="2"/>
        <v>#REF!</v>
      </c>
      <c r="V9" s="490" t="e">
        <f t="shared" ca="1" si="2"/>
        <v>#REF!</v>
      </c>
      <c r="W9" s="490" t="e">
        <f t="shared" ca="1" si="2"/>
        <v>#REF!</v>
      </c>
      <c r="X9" s="490" t="e">
        <f t="shared" ca="1" si="2"/>
        <v>#REF!</v>
      </c>
      <c r="Y9" s="490" t="e">
        <f t="shared" ca="1" si="2"/>
        <v>#REF!</v>
      </c>
      <c r="Z9" s="490" t="e">
        <f t="shared" ca="1" si="2"/>
        <v>#REF!</v>
      </c>
      <c r="AA9" s="490" t="e">
        <f t="shared" ca="1" si="2"/>
        <v>#REF!</v>
      </c>
      <c r="AB9" s="490" t="e">
        <f t="shared" ca="1" si="2"/>
        <v>#REF!</v>
      </c>
      <c r="AC9" s="490" t="e">
        <f t="shared" ca="1" si="2"/>
        <v>#REF!</v>
      </c>
      <c r="AD9" s="490" t="e">
        <f t="shared" ca="1" si="2"/>
        <v>#REF!</v>
      </c>
      <c r="AE9" s="490" t="e">
        <f t="shared" ca="1" si="2"/>
        <v>#REF!</v>
      </c>
      <c r="AF9" s="490" t="e">
        <f t="shared" ca="1" si="2"/>
        <v>#REF!</v>
      </c>
      <c r="AG9" s="490" t="e">
        <f t="shared" ca="1" si="2"/>
        <v>#REF!</v>
      </c>
      <c r="AH9" s="490" t="e">
        <f t="shared" ca="1" si="2"/>
        <v>#REF!</v>
      </c>
      <c r="AI9" s="490" t="e">
        <f t="shared" ca="1" si="2"/>
        <v>#REF!</v>
      </c>
      <c r="AJ9" s="490" t="e">
        <f t="shared" ca="1" si="2"/>
        <v>#REF!</v>
      </c>
      <c r="AK9" s="490" t="e">
        <f t="shared" ca="1" si="2"/>
        <v>#REF!</v>
      </c>
      <c r="AL9" s="490" t="e">
        <f t="shared" ca="1" si="2"/>
        <v>#REF!</v>
      </c>
      <c r="AM9" s="490" t="e">
        <f t="shared" ca="1" si="2"/>
        <v>#REF!</v>
      </c>
      <c r="AN9" s="490" t="e">
        <f t="shared" ca="1" si="2"/>
        <v>#REF!</v>
      </c>
      <c r="AO9" s="490" t="e">
        <f t="shared" ca="1" si="2"/>
        <v>#REF!</v>
      </c>
      <c r="AP9" s="490" t="e">
        <f t="shared" ca="1" si="2"/>
        <v>#REF!</v>
      </c>
      <c r="AQ9" s="490" t="e">
        <f t="shared" ca="1" si="2"/>
        <v>#REF!</v>
      </c>
      <c r="AR9" s="490" t="e">
        <f t="shared" ca="1" si="2"/>
        <v>#REF!</v>
      </c>
      <c r="AS9" s="490" t="e">
        <f t="shared" ca="1" si="2"/>
        <v>#REF!</v>
      </c>
      <c r="AT9" s="490" t="e">
        <f t="shared" ca="1" si="2"/>
        <v>#REF!</v>
      </c>
      <c r="AU9" s="490" t="e">
        <f t="shared" ca="1" si="2"/>
        <v>#REF!</v>
      </c>
      <c r="AV9" s="490" t="e">
        <f t="shared" ca="1" si="2"/>
        <v>#REF!</v>
      </c>
      <c r="AW9" s="490" t="e">
        <f t="shared" ca="1" si="2"/>
        <v>#REF!</v>
      </c>
      <c r="AX9" s="490" t="e">
        <f t="shared" ca="1" si="2"/>
        <v>#REF!</v>
      </c>
      <c r="AY9" s="490" t="e">
        <f t="shared" ca="1" si="2"/>
        <v>#REF!</v>
      </c>
      <c r="AZ9" s="490" t="e">
        <f t="shared" ca="1" si="2"/>
        <v>#REF!</v>
      </c>
      <c r="BA9" s="490" t="e">
        <f t="shared" ca="1" si="2"/>
        <v>#REF!</v>
      </c>
      <c r="BB9" s="490" t="e">
        <f t="shared" ca="1" si="2"/>
        <v>#REF!</v>
      </c>
      <c r="BC9" s="490" t="e">
        <f t="shared" ca="1" si="2"/>
        <v>#REF!</v>
      </c>
      <c r="BD9" s="490" t="e">
        <f t="shared" ca="1" si="2"/>
        <v>#REF!</v>
      </c>
      <c r="BE9" s="490" t="e">
        <f t="shared" ca="1" si="2"/>
        <v>#REF!</v>
      </c>
      <c r="BF9" s="490" t="e">
        <f t="shared" ca="1" si="2"/>
        <v>#REF!</v>
      </c>
      <c r="BG9" s="490" t="e">
        <f t="shared" ca="1" si="2"/>
        <v>#REF!</v>
      </c>
      <c r="BH9" s="490" t="e">
        <f t="shared" ca="1" si="2"/>
        <v>#REF!</v>
      </c>
      <c r="BI9" s="490" t="e">
        <f t="shared" ca="1" si="2"/>
        <v>#REF!</v>
      </c>
      <c r="BJ9" s="490" t="e">
        <f t="shared" ca="1" si="2"/>
        <v>#REF!</v>
      </c>
      <c r="BK9" s="490" t="e">
        <f t="shared" ca="1" si="2"/>
        <v>#REF!</v>
      </c>
      <c r="BL9" s="490" t="e">
        <f t="shared" ca="1" si="2"/>
        <v>#REF!</v>
      </c>
      <c r="BM9" s="490" t="e">
        <f t="shared" ca="1" si="2"/>
        <v>#REF!</v>
      </c>
      <c r="BN9" s="490" t="e">
        <f t="shared" ca="1" si="2"/>
        <v>#REF!</v>
      </c>
      <c r="BO9" s="490" t="e">
        <f t="shared" ca="1" si="2"/>
        <v>#REF!</v>
      </c>
      <c r="BP9" s="490" t="e">
        <f t="shared" ca="1" si="2"/>
        <v>#REF!</v>
      </c>
    </row>
    <row r="10" spans="1:68" x14ac:dyDescent="0.2">
      <c r="C10" s="490" t="s">
        <v>1360</v>
      </c>
      <c r="D10" s="490" t="e">
        <f ca="1">IF(D5&gt;0,D5/D3,0)</f>
        <v>#REF!</v>
      </c>
      <c r="E10" s="490" t="e">
        <f t="shared" ref="E10:BP10" ca="1" si="3">IF(E5&gt;0,E5/E3,0)</f>
        <v>#REF!</v>
      </c>
      <c r="F10" s="490" t="e">
        <f t="shared" ca="1" si="3"/>
        <v>#REF!</v>
      </c>
      <c r="G10" s="490" t="e">
        <f t="shared" ca="1" si="3"/>
        <v>#REF!</v>
      </c>
      <c r="H10" s="490" t="e">
        <f t="shared" ca="1" si="3"/>
        <v>#REF!</v>
      </c>
      <c r="I10" s="490" t="e">
        <f t="shared" ca="1" si="3"/>
        <v>#REF!</v>
      </c>
      <c r="J10" s="490" t="e">
        <f t="shared" ca="1" si="3"/>
        <v>#REF!</v>
      </c>
      <c r="K10" s="490" t="e">
        <f t="shared" ca="1" si="3"/>
        <v>#REF!</v>
      </c>
      <c r="L10" s="490" t="e">
        <f t="shared" ca="1" si="3"/>
        <v>#REF!</v>
      </c>
      <c r="M10" s="490" t="e">
        <f t="shared" ca="1" si="3"/>
        <v>#REF!</v>
      </c>
      <c r="N10" s="490" t="e">
        <f t="shared" ca="1" si="3"/>
        <v>#REF!</v>
      </c>
      <c r="O10" s="490" t="e">
        <f t="shared" ca="1" si="3"/>
        <v>#REF!</v>
      </c>
      <c r="P10" s="490" t="e">
        <f t="shared" ca="1" si="3"/>
        <v>#REF!</v>
      </c>
      <c r="Q10" s="490" t="e">
        <f t="shared" ca="1" si="3"/>
        <v>#REF!</v>
      </c>
      <c r="R10" s="490" t="e">
        <f t="shared" ca="1" si="3"/>
        <v>#REF!</v>
      </c>
      <c r="S10" s="490" t="e">
        <f t="shared" ca="1" si="3"/>
        <v>#REF!</v>
      </c>
      <c r="T10" s="490" t="e">
        <f t="shared" ca="1" si="3"/>
        <v>#REF!</v>
      </c>
      <c r="U10" s="490" t="e">
        <f t="shared" ca="1" si="3"/>
        <v>#REF!</v>
      </c>
      <c r="V10" s="490" t="e">
        <f t="shared" ca="1" si="3"/>
        <v>#REF!</v>
      </c>
      <c r="W10" s="490" t="e">
        <f t="shared" ca="1" si="3"/>
        <v>#REF!</v>
      </c>
      <c r="X10" s="490" t="e">
        <f t="shared" ca="1" si="3"/>
        <v>#REF!</v>
      </c>
      <c r="Y10" s="490" t="e">
        <f t="shared" ca="1" si="3"/>
        <v>#REF!</v>
      </c>
      <c r="Z10" s="490" t="e">
        <f t="shared" ca="1" si="3"/>
        <v>#REF!</v>
      </c>
      <c r="AA10" s="490" t="e">
        <f t="shared" ca="1" si="3"/>
        <v>#REF!</v>
      </c>
      <c r="AB10" s="490" t="e">
        <f t="shared" ca="1" si="3"/>
        <v>#REF!</v>
      </c>
      <c r="AC10" s="490" t="e">
        <f t="shared" ca="1" si="3"/>
        <v>#REF!</v>
      </c>
      <c r="AD10" s="490" t="e">
        <f t="shared" ca="1" si="3"/>
        <v>#REF!</v>
      </c>
      <c r="AE10" s="490" t="e">
        <f t="shared" ca="1" si="3"/>
        <v>#REF!</v>
      </c>
      <c r="AF10" s="490" t="e">
        <f t="shared" ca="1" si="3"/>
        <v>#REF!</v>
      </c>
      <c r="AG10" s="490" t="e">
        <f t="shared" ca="1" si="3"/>
        <v>#REF!</v>
      </c>
      <c r="AH10" s="490" t="e">
        <f t="shared" ca="1" si="3"/>
        <v>#REF!</v>
      </c>
      <c r="AI10" s="490" t="e">
        <f t="shared" ca="1" si="3"/>
        <v>#REF!</v>
      </c>
      <c r="AJ10" s="490" t="e">
        <f t="shared" ca="1" si="3"/>
        <v>#REF!</v>
      </c>
      <c r="AK10" s="490" t="e">
        <f t="shared" ca="1" si="3"/>
        <v>#REF!</v>
      </c>
      <c r="AL10" s="490" t="e">
        <f t="shared" ca="1" si="3"/>
        <v>#REF!</v>
      </c>
      <c r="AM10" s="490" t="e">
        <f t="shared" ca="1" si="3"/>
        <v>#REF!</v>
      </c>
      <c r="AN10" s="490" t="e">
        <f t="shared" ca="1" si="3"/>
        <v>#REF!</v>
      </c>
      <c r="AO10" s="490" t="e">
        <f t="shared" ca="1" si="3"/>
        <v>#REF!</v>
      </c>
      <c r="AP10" s="490" t="e">
        <f t="shared" ca="1" si="3"/>
        <v>#REF!</v>
      </c>
      <c r="AQ10" s="490" t="e">
        <f t="shared" ca="1" si="3"/>
        <v>#REF!</v>
      </c>
      <c r="AR10" s="490" t="e">
        <f t="shared" ca="1" si="3"/>
        <v>#REF!</v>
      </c>
      <c r="AS10" s="490" t="e">
        <f t="shared" ca="1" si="3"/>
        <v>#REF!</v>
      </c>
      <c r="AT10" s="490" t="e">
        <f t="shared" ca="1" si="3"/>
        <v>#REF!</v>
      </c>
      <c r="AU10" s="490" t="e">
        <f t="shared" ca="1" si="3"/>
        <v>#REF!</v>
      </c>
      <c r="AV10" s="490" t="e">
        <f t="shared" ca="1" si="3"/>
        <v>#REF!</v>
      </c>
      <c r="AW10" s="490" t="e">
        <f t="shared" ca="1" si="3"/>
        <v>#REF!</v>
      </c>
      <c r="AX10" s="490" t="e">
        <f t="shared" ca="1" si="3"/>
        <v>#REF!</v>
      </c>
      <c r="AY10" s="490" t="e">
        <f t="shared" ca="1" si="3"/>
        <v>#REF!</v>
      </c>
      <c r="AZ10" s="490" t="e">
        <f t="shared" ca="1" si="3"/>
        <v>#REF!</v>
      </c>
      <c r="BA10" s="490" t="e">
        <f t="shared" ca="1" si="3"/>
        <v>#REF!</v>
      </c>
      <c r="BB10" s="490" t="e">
        <f t="shared" ca="1" si="3"/>
        <v>#REF!</v>
      </c>
      <c r="BC10" s="490" t="e">
        <f t="shared" ca="1" si="3"/>
        <v>#REF!</v>
      </c>
      <c r="BD10" s="490" t="e">
        <f t="shared" ca="1" si="3"/>
        <v>#REF!</v>
      </c>
      <c r="BE10" s="490" t="e">
        <f t="shared" ca="1" si="3"/>
        <v>#REF!</v>
      </c>
      <c r="BF10" s="490" t="e">
        <f t="shared" ca="1" si="3"/>
        <v>#REF!</v>
      </c>
      <c r="BG10" s="490" t="e">
        <f t="shared" ca="1" si="3"/>
        <v>#REF!</v>
      </c>
      <c r="BH10" s="490" t="e">
        <f t="shared" ca="1" si="3"/>
        <v>#REF!</v>
      </c>
      <c r="BI10" s="490" t="e">
        <f t="shared" ca="1" si="3"/>
        <v>#REF!</v>
      </c>
      <c r="BJ10" s="490" t="e">
        <f t="shared" ca="1" si="3"/>
        <v>#REF!</v>
      </c>
      <c r="BK10" s="490" t="e">
        <f t="shared" ca="1" si="3"/>
        <v>#REF!</v>
      </c>
      <c r="BL10" s="490" t="e">
        <f t="shared" ca="1" si="3"/>
        <v>#REF!</v>
      </c>
      <c r="BM10" s="490" t="e">
        <f t="shared" ca="1" si="3"/>
        <v>#REF!</v>
      </c>
      <c r="BN10" s="490" t="e">
        <f t="shared" ca="1" si="3"/>
        <v>#REF!</v>
      </c>
      <c r="BO10" s="490" t="e">
        <f t="shared" ca="1" si="3"/>
        <v>#REF!</v>
      </c>
      <c r="BP10" s="490" t="e">
        <f t="shared" ca="1" si="3"/>
        <v>#REF!</v>
      </c>
    </row>
    <row r="11" spans="1:68" s="493" customFormat="1" x14ac:dyDescent="0.2">
      <c r="B11" s="493" t="s">
        <v>3666</v>
      </c>
      <c r="C11" s="493" t="s">
        <v>1361</v>
      </c>
      <c r="D11" s="493" t="e">
        <f ca="1">Berechnungen!E81</f>
        <v>#REF!</v>
      </c>
      <c r="E11" s="493" t="e">
        <f ca="1">Berechnungen!F81</f>
        <v>#REF!</v>
      </c>
      <c r="F11" s="493" t="e">
        <f ca="1">Berechnungen!G81</f>
        <v>#REF!</v>
      </c>
      <c r="G11" s="493" t="e">
        <f ca="1">Berechnungen!H81</f>
        <v>#REF!</v>
      </c>
      <c r="H11" s="493" t="e">
        <f ca="1">Berechnungen!I81</f>
        <v>#REF!</v>
      </c>
      <c r="I11" s="493" t="e">
        <f ca="1">Berechnungen!J81</f>
        <v>#REF!</v>
      </c>
      <c r="J11" s="493" t="e">
        <f ca="1">Berechnungen!K81</f>
        <v>#REF!</v>
      </c>
      <c r="K11" s="493" t="e">
        <f ca="1">Berechnungen!L81</f>
        <v>#REF!</v>
      </c>
      <c r="L11" s="493" t="e">
        <f ca="1">Berechnungen!M81</f>
        <v>#REF!</v>
      </c>
      <c r="M11" s="493" t="e">
        <f ca="1">Berechnungen!N81</f>
        <v>#REF!</v>
      </c>
      <c r="N11" s="493" t="e">
        <f ca="1">Berechnungen!O81</f>
        <v>#REF!</v>
      </c>
      <c r="O11" s="493" t="e">
        <f ca="1">Berechnungen!P81</f>
        <v>#REF!</v>
      </c>
      <c r="P11" s="493" t="e">
        <f ca="1">Berechnungen!Q81</f>
        <v>#REF!</v>
      </c>
      <c r="Q11" s="493" t="e">
        <f ca="1">Berechnungen!R81</f>
        <v>#REF!</v>
      </c>
      <c r="R11" s="493" t="e">
        <f ca="1">Berechnungen!S81</f>
        <v>#REF!</v>
      </c>
      <c r="S11" s="493" t="e">
        <f ca="1">Berechnungen!T81</f>
        <v>#REF!</v>
      </c>
      <c r="T11" s="493" t="e">
        <f ca="1">Berechnungen!U81</f>
        <v>#REF!</v>
      </c>
      <c r="U11" s="493" t="e">
        <f ca="1">Berechnungen!V81</f>
        <v>#REF!</v>
      </c>
      <c r="V11" s="493" t="e">
        <f ca="1">Berechnungen!W81</f>
        <v>#REF!</v>
      </c>
      <c r="W11" s="493" t="e">
        <f ca="1">Berechnungen!X81</f>
        <v>#REF!</v>
      </c>
      <c r="X11" s="493" t="e">
        <f ca="1">Berechnungen!Y81</f>
        <v>#REF!</v>
      </c>
      <c r="Y11" s="493" t="e">
        <f ca="1">Berechnungen!Z81</f>
        <v>#REF!</v>
      </c>
      <c r="Z11" s="493" t="e">
        <f ca="1">Berechnungen!AA81</f>
        <v>#REF!</v>
      </c>
      <c r="AA11" s="493" t="e">
        <f ca="1">Berechnungen!AB81</f>
        <v>#REF!</v>
      </c>
      <c r="AB11" s="493" t="e">
        <f ca="1">Berechnungen!AC81</f>
        <v>#REF!</v>
      </c>
      <c r="AC11" s="493" t="e">
        <f ca="1">Berechnungen!AD81</f>
        <v>#REF!</v>
      </c>
      <c r="AD11" s="493" t="e">
        <f ca="1">Berechnungen!AE81</f>
        <v>#REF!</v>
      </c>
      <c r="AE11" s="493" t="e">
        <f ca="1">Berechnungen!AF81</f>
        <v>#REF!</v>
      </c>
      <c r="AF11" s="493" t="e">
        <f ca="1">Berechnungen!AG81</f>
        <v>#REF!</v>
      </c>
      <c r="AG11" s="493" t="e">
        <f ca="1">Berechnungen!AH81</f>
        <v>#REF!</v>
      </c>
      <c r="AH11" s="493" t="e">
        <f ca="1">Berechnungen!AI81</f>
        <v>#REF!</v>
      </c>
      <c r="AI11" s="493" t="e">
        <f ca="1">Berechnungen!AJ81</f>
        <v>#REF!</v>
      </c>
      <c r="AJ11" s="493" t="e">
        <f ca="1">Berechnungen!AK81</f>
        <v>#REF!</v>
      </c>
      <c r="AK11" s="493" t="e">
        <f ca="1">Berechnungen!AL81</f>
        <v>#REF!</v>
      </c>
      <c r="AL11" s="493" t="e">
        <f ca="1">Berechnungen!AM81</f>
        <v>#REF!</v>
      </c>
      <c r="AM11" s="493" t="e">
        <f ca="1">Berechnungen!AN81</f>
        <v>#REF!</v>
      </c>
      <c r="AN11" s="493" t="e">
        <f ca="1">Berechnungen!AO81</f>
        <v>#REF!</v>
      </c>
      <c r="AO11" s="493" t="e">
        <f ca="1">Berechnungen!AP81</f>
        <v>#REF!</v>
      </c>
      <c r="AP11" s="493" t="e">
        <f ca="1">Berechnungen!AQ81</f>
        <v>#REF!</v>
      </c>
      <c r="AQ11" s="493" t="e">
        <f ca="1">Berechnungen!AR81</f>
        <v>#REF!</v>
      </c>
      <c r="AR11" s="493" t="e">
        <f ca="1">Berechnungen!AS81</f>
        <v>#REF!</v>
      </c>
      <c r="AS11" s="493" t="e">
        <f ca="1">Berechnungen!AT81</f>
        <v>#REF!</v>
      </c>
      <c r="AT11" s="493" t="e">
        <f ca="1">Berechnungen!AU81</f>
        <v>#REF!</v>
      </c>
      <c r="AU11" s="493" t="e">
        <f ca="1">Berechnungen!AV81</f>
        <v>#REF!</v>
      </c>
      <c r="AV11" s="493" t="e">
        <f ca="1">Berechnungen!AW81</f>
        <v>#REF!</v>
      </c>
      <c r="AW11" s="493" t="e">
        <f ca="1">Berechnungen!AX81</f>
        <v>#REF!</v>
      </c>
      <c r="AX11" s="493" t="e">
        <f ca="1">Berechnungen!AY81</f>
        <v>#REF!</v>
      </c>
      <c r="AY11" s="493" t="e">
        <f ca="1">Berechnungen!AZ81</f>
        <v>#REF!</v>
      </c>
      <c r="AZ11" s="493" t="e">
        <f ca="1">Berechnungen!BA81</f>
        <v>#REF!</v>
      </c>
      <c r="BA11" s="493" t="e">
        <f ca="1">Berechnungen!BB81</f>
        <v>#REF!</v>
      </c>
      <c r="BB11" s="493" t="e">
        <f ca="1">Berechnungen!BC81</f>
        <v>#REF!</v>
      </c>
      <c r="BC11" s="493" t="e">
        <f ca="1">Berechnungen!BD81</f>
        <v>#REF!</v>
      </c>
      <c r="BD11" s="493" t="e">
        <f ca="1">Berechnungen!BE81</f>
        <v>#REF!</v>
      </c>
      <c r="BE11" s="493" t="e">
        <f ca="1">Berechnungen!BF81</f>
        <v>#REF!</v>
      </c>
      <c r="BF11" s="493" t="e">
        <f ca="1">Berechnungen!BG81</f>
        <v>#REF!</v>
      </c>
      <c r="BG11" s="493" t="e">
        <f ca="1">Berechnungen!BH81</f>
        <v>#REF!</v>
      </c>
      <c r="BH11" s="493" t="e">
        <f ca="1">Berechnungen!BI81</f>
        <v>#REF!</v>
      </c>
      <c r="BI11" s="493" t="e">
        <f ca="1">Berechnungen!BJ81</f>
        <v>#REF!</v>
      </c>
      <c r="BJ11" s="493" t="e">
        <f ca="1">Berechnungen!BK81</f>
        <v>#REF!</v>
      </c>
      <c r="BK11" s="493" t="e">
        <f ca="1">Berechnungen!BL81</f>
        <v>#REF!</v>
      </c>
      <c r="BL11" s="493" t="e">
        <f ca="1">Berechnungen!BM81</f>
        <v>#REF!</v>
      </c>
      <c r="BM11" s="493" t="e">
        <f ca="1">Berechnungen!BN81</f>
        <v>#REF!</v>
      </c>
      <c r="BN11" s="493" t="e">
        <f ca="1">Berechnungen!BO81</f>
        <v>#REF!</v>
      </c>
      <c r="BO11" s="493" t="e">
        <f ca="1">Berechnungen!BP81</f>
        <v>#REF!</v>
      </c>
      <c r="BP11" s="493" t="e">
        <f ca="1">Berechnungen!BQ81</f>
        <v>#REF!</v>
      </c>
    </row>
    <row r="12" spans="1:68" x14ac:dyDescent="0.2">
      <c r="C12" s="490" t="s">
        <v>1362</v>
      </c>
      <c r="D12" s="490" t="e">
        <f ca="1">D11</f>
        <v>#REF!</v>
      </c>
      <c r="E12" s="490" t="e">
        <f ca="1">D12+E11</f>
        <v>#REF!</v>
      </c>
      <c r="F12" s="490" t="e">
        <f t="shared" ref="F12:AD12" ca="1" si="4">E12+F11</f>
        <v>#REF!</v>
      </c>
      <c r="G12" s="490" t="e">
        <f t="shared" ca="1" si="4"/>
        <v>#REF!</v>
      </c>
      <c r="H12" s="490" t="e">
        <f t="shared" ca="1" si="4"/>
        <v>#REF!</v>
      </c>
      <c r="I12" s="490" t="e">
        <f t="shared" ca="1" si="4"/>
        <v>#REF!</v>
      </c>
      <c r="J12" s="490" t="e">
        <f t="shared" ca="1" si="4"/>
        <v>#REF!</v>
      </c>
      <c r="K12" s="490" t="e">
        <f t="shared" ca="1" si="4"/>
        <v>#REF!</v>
      </c>
      <c r="L12" s="490" t="e">
        <f t="shared" ca="1" si="4"/>
        <v>#REF!</v>
      </c>
      <c r="M12" s="490" t="e">
        <f t="shared" ca="1" si="4"/>
        <v>#REF!</v>
      </c>
      <c r="N12" s="490" t="e">
        <f t="shared" ca="1" si="4"/>
        <v>#REF!</v>
      </c>
      <c r="O12" s="490" t="e">
        <f t="shared" ca="1" si="4"/>
        <v>#REF!</v>
      </c>
      <c r="P12" s="490" t="e">
        <f t="shared" ca="1" si="4"/>
        <v>#REF!</v>
      </c>
      <c r="Q12" s="490" t="e">
        <f t="shared" ca="1" si="4"/>
        <v>#REF!</v>
      </c>
      <c r="R12" s="490" t="e">
        <f t="shared" ca="1" si="4"/>
        <v>#REF!</v>
      </c>
      <c r="S12" s="490" t="e">
        <f t="shared" ca="1" si="4"/>
        <v>#REF!</v>
      </c>
      <c r="T12" s="490" t="e">
        <f t="shared" ca="1" si="4"/>
        <v>#REF!</v>
      </c>
      <c r="U12" s="490" t="e">
        <f t="shared" ca="1" si="4"/>
        <v>#REF!</v>
      </c>
      <c r="V12" s="490" t="e">
        <f t="shared" ca="1" si="4"/>
        <v>#REF!</v>
      </c>
      <c r="W12" s="490" t="e">
        <f t="shared" ca="1" si="4"/>
        <v>#REF!</v>
      </c>
      <c r="X12" s="490" t="e">
        <f t="shared" ca="1" si="4"/>
        <v>#REF!</v>
      </c>
      <c r="Y12" s="490" t="e">
        <f t="shared" ca="1" si="4"/>
        <v>#REF!</v>
      </c>
      <c r="Z12" s="490" t="e">
        <f t="shared" ca="1" si="4"/>
        <v>#REF!</v>
      </c>
      <c r="AA12" s="490" t="e">
        <f t="shared" ca="1" si="4"/>
        <v>#REF!</v>
      </c>
      <c r="AB12" s="490" t="e">
        <f t="shared" ca="1" si="4"/>
        <v>#REF!</v>
      </c>
      <c r="AC12" s="490" t="e">
        <f t="shared" ca="1" si="4"/>
        <v>#REF!</v>
      </c>
      <c r="AD12" s="490" t="e">
        <f t="shared" ca="1" si="4"/>
        <v>#REF!</v>
      </c>
      <c r="AE12" s="490" t="e">
        <f t="shared" ref="AE12:BP12" ca="1" si="5">AD12+AE11</f>
        <v>#REF!</v>
      </c>
      <c r="AF12" s="490" t="e">
        <f t="shared" ca="1" si="5"/>
        <v>#REF!</v>
      </c>
      <c r="AG12" s="490" t="e">
        <f t="shared" ca="1" si="5"/>
        <v>#REF!</v>
      </c>
      <c r="AH12" s="490" t="e">
        <f t="shared" ca="1" si="5"/>
        <v>#REF!</v>
      </c>
      <c r="AI12" s="490" t="e">
        <f t="shared" ca="1" si="5"/>
        <v>#REF!</v>
      </c>
      <c r="AJ12" s="490" t="e">
        <f t="shared" ca="1" si="5"/>
        <v>#REF!</v>
      </c>
      <c r="AK12" s="490" t="e">
        <f t="shared" ca="1" si="5"/>
        <v>#REF!</v>
      </c>
      <c r="AL12" s="490" t="e">
        <f t="shared" ca="1" si="5"/>
        <v>#REF!</v>
      </c>
      <c r="AM12" s="490" t="e">
        <f t="shared" ca="1" si="5"/>
        <v>#REF!</v>
      </c>
      <c r="AN12" s="490" t="e">
        <f t="shared" ca="1" si="5"/>
        <v>#REF!</v>
      </c>
      <c r="AO12" s="490" t="e">
        <f t="shared" ca="1" si="5"/>
        <v>#REF!</v>
      </c>
      <c r="AP12" s="490" t="e">
        <f t="shared" ca="1" si="5"/>
        <v>#REF!</v>
      </c>
      <c r="AQ12" s="490" t="e">
        <f t="shared" ca="1" si="5"/>
        <v>#REF!</v>
      </c>
      <c r="AR12" s="490" t="e">
        <f t="shared" ca="1" si="5"/>
        <v>#REF!</v>
      </c>
      <c r="AS12" s="490" t="e">
        <f t="shared" ca="1" si="5"/>
        <v>#REF!</v>
      </c>
      <c r="AT12" s="490" t="e">
        <f t="shared" ca="1" si="5"/>
        <v>#REF!</v>
      </c>
      <c r="AU12" s="490" t="e">
        <f t="shared" ca="1" si="5"/>
        <v>#REF!</v>
      </c>
      <c r="AV12" s="490" t="e">
        <f t="shared" ca="1" si="5"/>
        <v>#REF!</v>
      </c>
      <c r="AW12" s="490" t="e">
        <f t="shared" ca="1" si="5"/>
        <v>#REF!</v>
      </c>
      <c r="AX12" s="490" t="e">
        <f t="shared" ca="1" si="5"/>
        <v>#REF!</v>
      </c>
      <c r="AY12" s="490" t="e">
        <f t="shared" ca="1" si="5"/>
        <v>#REF!</v>
      </c>
      <c r="AZ12" s="490" t="e">
        <f t="shared" ca="1" si="5"/>
        <v>#REF!</v>
      </c>
      <c r="BA12" s="490" t="e">
        <f t="shared" ca="1" si="5"/>
        <v>#REF!</v>
      </c>
      <c r="BB12" s="490" t="e">
        <f t="shared" ca="1" si="5"/>
        <v>#REF!</v>
      </c>
      <c r="BC12" s="490" t="e">
        <f t="shared" ca="1" si="5"/>
        <v>#REF!</v>
      </c>
      <c r="BD12" s="490" t="e">
        <f t="shared" ca="1" si="5"/>
        <v>#REF!</v>
      </c>
      <c r="BE12" s="490" t="e">
        <f t="shared" ca="1" si="5"/>
        <v>#REF!</v>
      </c>
      <c r="BF12" s="490" t="e">
        <f t="shared" ca="1" si="5"/>
        <v>#REF!</v>
      </c>
      <c r="BG12" s="490" t="e">
        <f t="shared" ca="1" si="5"/>
        <v>#REF!</v>
      </c>
      <c r="BH12" s="490" t="e">
        <f t="shared" ca="1" si="5"/>
        <v>#REF!</v>
      </c>
      <c r="BI12" s="490" t="e">
        <f t="shared" ca="1" si="5"/>
        <v>#REF!</v>
      </c>
      <c r="BJ12" s="490" t="e">
        <f t="shared" ca="1" si="5"/>
        <v>#REF!</v>
      </c>
      <c r="BK12" s="490" t="e">
        <f t="shared" ca="1" si="5"/>
        <v>#REF!</v>
      </c>
      <c r="BL12" s="490" t="e">
        <f t="shared" ca="1" si="5"/>
        <v>#REF!</v>
      </c>
      <c r="BM12" s="490" t="e">
        <f t="shared" ca="1" si="5"/>
        <v>#REF!</v>
      </c>
      <c r="BN12" s="490" t="e">
        <f t="shared" ca="1" si="5"/>
        <v>#REF!</v>
      </c>
      <c r="BO12" s="490" t="e">
        <f t="shared" ca="1" si="5"/>
        <v>#REF!</v>
      </c>
      <c r="BP12" s="490" t="e">
        <f t="shared" ca="1" si="5"/>
        <v>#REF!</v>
      </c>
    </row>
    <row r="13" spans="1:68" s="493" customFormat="1" x14ac:dyDescent="0.2">
      <c r="B13" s="493" t="s">
        <v>3650</v>
      </c>
      <c r="C13" s="493" t="s">
        <v>1363</v>
      </c>
      <c r="D13" s="493" t="e">
        <f ca="1">Berechnungen!E79</f>
        <v>#REF!</v>
      </c>
      <c r="E13" s="493" t="e">
        <f ca="1">Berechnungen!F79</f>
        <v>#REF!</v>
      </c>
      <c r="F13" s="493" t="e">
        <f ca="1">Berechnungen!G79</f>
        <v>#REF!</v>
      </c>
      <c r="G13" s="493" t="e">
        <f ca="1">Berechnungen!H79</f>
        <v>#REF!</v>
      </c>
      <c r="H13" s="493" t="e">
        <f ca="1">Berechnungen!I79</f>
        <v>#REF!</v>
      </c>
      <c r="I13" s="493" t="e">
        <f ca="1">Berechnungen!J79</f>
        <v>#REF!</v>
      </c>
      <c r="J13" s="493" t="e">
        <f ca="1">Berechnungen!K79</f>
        <v>#REF!</v>
      </c>
      <c r="K13" s="493" t="e">
        <f ca="1">Berechnungen!L79</f>
        <v>#REF!</v>
      </c>
      <c r="L13" s="493" t="e">
        <f ca="1">Berechnungen!M79</f>
        <v>#REF!</v>
      </c>
      <c r="M13" s="493" t="e">
        <f ca="1">Berechnungen!N79</f>
        <v>#REF!</v>
      </c>
      <c r="N13" s="493" t="e">
        <f ca="1">Berechnungen!O79</f>
        <v>#REF!</v>
      </c>
      <c r="O13" s="493" t="e">
        <f ca="1">Berechnungen!P79</f>
        <v>#REF!</v>
      </c>
      <c r="P13" s="493" t="e">
        <f ca="1">Berechnungen!Q79</f>
        <v>#REF!</v>
      </c>
      <c r="Q13" s="493" t="e">
        <f ca="1">Berechnungen!R79</f>
        <v>#REF!</v>
      </c>
      <c r="R13" s="493" t="e">
        <f ca="1">Berechnungen!S79</f>
        <v>#REF!</v>
      </c>
      <c r="S13" s="493" t="e">
        <f ca="1">Berechnungen!T79</f>
        <v>#REF!</v>
      </c>
      <c r="T13" s="493" t="e">
        <f ca="1">Berechnungen!U79</f>
        <v>#REF!</v>
      </c>
      <c r="U13" s="493" t="e">
        <f ca="1">Berechnungen!V79</f>
        <v>#REF!</v>
      </c>
      <c r="V13" s="493" t="e">
        <f ca="1">Berechnungen!W79</f>
        <v>#REF!</v>
      </c>
      <c r="W13" s="493" t="e">
        <f ca="1">Berechnungen!X79</f>
        <v>#REF!</v>
      </c>
      <c r="X13" s="493" t="e">
        <f ca="1">Berechnungen!Y79</f>
        <v>#REF!</v>
      </c>
      <c r="Y13" s="493" t="e">
        <f ca="1">Berechnungen!Z79</f>
        <v>#REF!</v>
      </c>
      <c r="Z13" s="493" t="e">
        <f ca="1">Berechnungen!AA79</f>
        <v>#REF!</v>
      </c>
      <c r="AA13" s="493" t="e">
        <f ca="1">Berechnungen!AB79</f>
        <v>#REF!</v>
      </c>
      <c r="AB13" s="493" t="e">
        <f ca="1">Berechnungen!AC79</f>
        <v>#REF!</v>
      </c>
      <c r="AC13" s="493" t="e">
        <f ca="1">Berechnungen!AD79</f>
        <v>#REF!</v>
      </c>
      <c r="AD13" s="493" t="e">
        <f ca="1">Berechnungen!AE79</f>
        <v>#REF!</v>
      </c>
      <c r="AE13" s="493" t="e">
        <f ca="1">Berechnungen!AF79</f>
        <v>#REF!</v>
      </c>
      <c r="AF13" s="493" t="e">
        <f ca="1">Berechnungen!AG79</f>
        <v>#REF!</v>
      </c>
      <c r="AG13" s="493" t="e">
        <f ca="1">Berechnungen!AH79</f>
        <v>#REF!</v>
      </c>
      <c r="AH13" s="493" t="e">
        <f ca="1">Berechnungen!AI79</f>
        <v>#REF!</v>
      </c>
      <c r="AI13" s="493" t="e">
        <f ca="1">Berechnungen!AJ79</f>
        <v>#REF!</v>
      </c>
      <c r="AJ13" s="493" t="e">
        <f ca="1">Berechnungen!AK79</f>
        <v>#REF!</v>
      </c>
      <c r="AK13" s="493" t="e">
        <f ca="1">Berechnungen!AL79</f>
        <v>#REF!</v>
      </c>
      <c r="AL13" s="493" t="e">
        <f ca="1">Berechnungen!AM79</f>
        <v>#REF!</v>
      </c>
      <c r="AM13" s="493" t="e">
        <f ca="1">Berechnungen!AN79</f>
        <v>#REF!</v>
      </c>
      <c r="AN13" s="493" t="e">
        <f ca="1">Berechnungen!AO79</f>
        <v>#REF!</v>
      </c>
      <c r="AO13" s="493" t="e">
        <f ca="1">Berechnungen!AP79</f>
        <v>#REF!</v>
      </c>
      <c r="AP13" s="493" t="e">
        <f ca="1">Berechnungen!AQ79</f>
        <v>#REF!</v>
      </c>
      <c r="AQ13" s="493" t="e">
        <f ca="1">Berechnungen!AR79</f>
        <v>#REF!</v>
      </c>
      <c r="AR13" s="493" t="e">
        <f ca="1">Berechnungen!AS79</f>
        <v>#REF!</v>
      </c>
      <c r="AS13" s="493" t="e">
        <f ca="1">Berechnungen!AT79</f>
        <v>#REF!</v>
      </c>
      <c r="AT13" s="493" t="e">
        <f ca="1">Berechnungen!AU79</f>
        <v>#REF!</v>
      </c>
      <c r="AU13" s="493" t="e">
        <f ca="1">Berechnungen!AV79</f>
        <v>#REF!</v>
      </c>
      <c r="AV13" s="493" t="e">
        <f ca="1">Berechnungen!AW79</f>
        <v>#REF!</v>
      </c>
      <c r="AW13" s="493" t="e">
        <f ca="1">Berechnungen!AX79</f>
        <v>#REF!</v>
      </c>
      <c r="AX13" s="493" t="e">
        <f ca="1">Berechnungen!AY79</f>
        <v>#REF!</v>
      </c>
      <c r="AY13" s="493" t="e">
        <f ca="1">Berechnungen!AZ79</f>
        <v>#REF!</v>
      </c>
      <c r="AZ13" s="493" t="e">
        <f ca="1">Berechnungen!BA79</f>
        <v>#REF!</v>
      </c>
      <c r="BA13" s="493" t="e">
        <f ca="1">Berechnungen!BB79</f>
        <v>#REF!</v>
      </c>
      <c r="BB13" s="493" t="e">
        <f ca="1">Berechnungen!BC79</f>
        <v>#REF!</v>
      </c>
      <c r="BC13" s="493" t="e">
        <f ca="1">Berechnungen!BD79</f>
        <v>#REF!</v>
      </c>
      <c r="BD13" s="493" t="e">
        <f ca="1">Berechnungen!BE79</f>
        <v>#REF!</v>
      </c>
      <c r="BE13" s="493" t="e">
        <f ca="1">Berechnungen!BF79</f>
        <v>#REF!</v>
      </c>
      <c r="BF13" s="493" t="e">
        <f ca="1">Berechnungen!BG79</f>
        <v>#REF!</v>
      </c>
      <c r="BG13" s="493" t="e">
        <f ca="1">Berechnungen!BH79</f>
        <v>#REF!</v>
      </c>
      <c r="BH13" s="493" t="e">
        <f ca="1">Berechnungen!BI79</f>
        <v>#REF!</v>
      </c>
      <c r="BI13" s="493" t="e">
        <f ca="1">Berechnungen!BJ79</f>
        <v>#REF!</v>
      </c>
      <c r="BJ13" s="493" t="e">
        <f ca="1">Berechnungen!BK79</f>
        <v>#REF!</v>
      </c>
      <c r="BK13" s="493" t="e">
        <f ca="1">Berechnungen!BL79</f>
        <v>#REF!</v>
      </c>
      <c r="BL13" s="493" t="e">
        <f ca="1">Berechnungen!BM79</f>
        <v>#REF!</v>
      </c>
      <c r="BM13" s="493" t="e">
        <f ca="1">Berechnungen!BN79</f>
        <v>#REF!</v>
      </c>
      <c r="BN13" s="493" t="e">
        <f ca="1">Berechnungen!BO79</f>
        <v>#REF!</v>
      </c>
      <c r="BO13" s="493" t="e">
        <f ca="1">Berechnungen!BP79</f>
        <v>#REF!</v>
      </c>
      <c r="BP13" s="493" t="e">
        <f ca="1">Berechnungen!BQ79</f>
        <v>#REF!</v>
      </c>
    </row>
    <row r="16" spans="1:68" x14ac:dyDescent="0.2">
      <c r="A16" s="491" t="e">
        <f ca="1">SUM(D16:BP16)</f>
        <v>#REF!</v>
      </c>
      <c r="C16" s="490" t="s">
        <v>1353</v>
      </c>
      <c r="D16" s="490" t="e">
        <f ca="1">D13*D11</f>
        <v>#REF!</v>
      </c>
      <c r="E16" s="490" t="e">
        <f t="shared" ref="E16:BP16" ca="1" si="6">E13*E11</f>
        <v>#REF!</v>
      </c>
      <c r="F16" s="490" t="e">
        <f t="shared" ca="1" si="6"/>
        <v>#REF!</v>
      </c>
      <c r="G16" s="490" t="e">
        <f t="shared" ca="1" si="6"/>
        <v>#REF!</v>
      </c>
      <c r="H16" s="490" t="e">
        <f t="shared" ca="1" si="6"/>
        <v>#REF!</v>
      </c>
      <c r="I16" s="490" t="e">
        <f t="shared" ca="1" si="6"/>
        <v>#REF!</v>
      </c>
      <c r="J16" s="490" t="e">
        <f t="shared" ca="1" si="6"/>
        <v>#REF!</v>
      </c>
      <c r="K16" s="490" t="e">
        <f t="shared" ca="1" si="6"/>
        <v>#REF!</v>
      </c>
      <c r="L16" s="490" t="e">
        <f t="shared" ca="1" si="6"/>
        <v>#REF!</v>
      </c>
      <c r="M16" s="490" t="e">
        <f t="shared" ca="1" si="6"/>
        <v>#REF!</v>
      </c>
      <c r="N16" s="490" t="e">
        <f t="shared" ca="1" si="6"/>
        <v>#REF!</v>
      </c>
      <c r="O16" s="490" t="e">
        <f t="shared" ca="1" si="6"/>
        <v>#REF!</v>
      </c>
      <c r="P16" s="490" t="e">
        <f t="shared" ca="1" si="6"/>
        <v>#REF!</v>
      </c>
      <c r="Q16" s="490" t="e">
        <f t="shared" ca="1" si="6"/>
        <v>#REF!</v>
      </c>
      <c r="R16" s="490" t="e">
        <f t="shared" ca="1" si="6"/>
        <v>#REF!</v>
      </c>
      <c r="S16" s="490" t="e">
        <f t="shared" ca="1" si="6"/>
        <v>#REF!</v>
      </c>
      <c r="T16" s="490" t="e">
        <f t="shared" ca="1" si="6"/>
        <v>#REF!</v>
      </c>
      <c r="U16" s="490" t="e">
        <f t="shared" ca="1" si="6"/>
        <v>#REF!</v>
      </c>
      <c r="V16" s="490" t="e">
        <f t="shared" ca="1" si="6"/>
        <v>#REF!</v>
      </c>
      <c r="W16" s="490" t="e">
        <f t="shared" ca="1" si="6"/>
        <v>#REF!</v>
      </c>
      <c r="X16" s="490" t="e">
        <f t="shared" ca="1" si="6"/>
        <v>#REF!</v>
      </c>
      <c r="Y16" s="490" t="e">
        <f t="shared" ca="1" si="6"/>
        <v>#REF!</v>
      </c>
      <c r="Z16" s="490" t="e">
        <f t="shared" ca="1" si="6"/>
        <v>#REF!</v>
      </c>
      <c r="AA16" s="490" t="e">
        <f t="shared" ca="1" si="6"/>
        <v>#REF!</v>
      </c>
      <c r="AB16" s="490" t="e">
        <f t="shared" ca="1" si="6"/>
        <v>#REF!</v>
      </c>
      <c r="AC16" s="490" t="e">
        <f t="shared" ca="1" si="6"/>
        <v>#REF!</v>
      </c>
      <c r="AD16" s="490" t="e">
        <f t="shared" ca="1" si="6"/>
        <v>#REF!</v>
      </c>
      <c r="AE16" s="490" t="e">
        <f t="shared" ca="1" si="6"/>
        <v>#REF!</v>
      </c>
      <c r="AF16" s="490" t="e">
        <f t="shared" ca="1" si="6"/>
        <v>#REF!</v>
      </c>
      <c r="AG16" s="490" t="e">
        <f t="shared" ca="1" si="6"/>
        <v>#REF!</v>
      </c>
      <c r="AH16" s="490" t="e">
        <f t="shared" ca="1" si="6"/>
        <v>#REF!</v>
      </c>
      <c r="AI16" s="490" t="e">
        <f t="shared" ca="1" si="6"/>
        <v>#REF!</v>
      </c>
      <c r="AJ16" s="490" t="e">
        <f t="shared" ca="1" si="6"/>
        <v>#REF!</v>
      </c>
      <c r="AK16" s="490" t="e">
        <f t="shared" ca="1" si="6"/>
        <v>#REF!</v>
      </c>
      <c r="AL16" s="490" t="e">
        <f t="shared" ca="1" si="6"/>
        <v>#REF!</v>
      </c>
      <c r="AM16" s="490" t="e">
        <f t="shared" ca="1" si="6"/>
        <v>#REF!</v>
      </c>
      <c r="AN16" s="490" t="e">
        <f t="shared" ca="1" si="6"/>
        <v>#REF!</v>
      </c>
      <c r="AO16" s="490" t="e">
        <f t="shared" ca="1" si="6"/>
        <v>#REF!</v>
      </c>
      <c r="AP16" s="490" t="e">
        <f t="shared" ca="1" si="6"/>
        <v>#REF!</v>
      </c>
      <c r="AQ16" s="490" t="e">
        <f t="shared" ca="1" si="6"/>
        <v>#REF!</v>
      </c>
      <c r="AR16" s="490" t="e">
        <f t="shared" ca="1" si="6"/>
        <v>#REF!</v>
      </c>
      <c r="AS16" s="490" t="e">
        <f t="shared" ca="1" si="6"/>
        <v>#REF!</v>
      </c>
      <c r="AT16" s="490" t="e">
        <f t="shared" ca="1" si="6"/>
        <v>#REF!</v>
      </c>
      <c r="AU16" s="490" t="e">
        <f t="shared" ca="1" si="6"/>
        <v>#REF!</v>
      </c>
      <c r="AV16" s="490" t="e">
        <f t="shared" ca="1" si="6"/>
        <v>#REF!</v>
      </c>
      <c r="AW16" s="490" t="e">
        <f t="shared" ca="1" si="6"/>
        <v>#REF!</v>
      </c>
      <c r="AX16" s="490" t="e">
        <f t="shared" ca="1" si="6"/>
        <v>#REF!</v>
      </c>
      <c r="AY16" s="490" t="e">
        <f t="shared" ca="1" si="6"/>
        <v>#REF!</v>
      </c>
      <c r="AZ16" s="490" t="e">
        <f t="shared" ca="1" si="6"/>
        <v>#REF!</v>
      </c>
      <c r="BA16" s="490" t="e">
        <f t="shared" ca="1" si="6"/>
        <v>#REF!</v>
      </c>
      <c r="BB16" s="490" t="e">
        <f t="shared" ca="1" si="6"/>
        <v>#REF!</v>
      </c>
      <c r="BC16" s="490" t="e">
        <f t="shared" ca="1" si="6"/>
        <v>#REF!</v>
      </c>
      <c r="BD16" s="490" t="e">
        <f t="shared" ca="1" si="6"/>
        <v>#REF!</v>
      </c>
      <c r="BE16" s="490" t="e">
        <f t="shared" ca="1" si="6"/>
        <v>#REF!</v>
      </c>
      <c r="BF16" s="490" t="e">
        <f t="shared" ca="1" si="6"/>
        <v>#REF!</v>
      </c>
      <c r="BG16" s="490" t="e">
        <f t="shared" ca="1" si="6"/>
        <v>#REF!</v>
      </c>
      <c r="BH16" s="490" t="e">
        <f t="shared" ca="1" si="6"/>
        <v>#REF!</v>
      </c>
      <c r="BI16" s="490" t="e">
        <f t="shared" ca="1" si="6"/>
        <v>#REF!</v>
      </c>
      <c r="BJ16" s="490" t="e">
        <f t="shared" ca="1" si="6"/>
        <v>#REF!</v>
      </c>
      <c r="BK16" s="490" t="e">
        <f t="shared" ca="1" si="6"/>
        <v>#REF!</v>
      </c>
      <c r="BL16" s="490" t="e">
        <f t="shared" ca="1" si="6"/>
        <v>#REF!</v>
      </c>
      <c r="BM16" s="490" t="e">
        <f t="shared" ca="1" si="6"/>
        <v>#REF!</v>
      </c>
      <c r="BN16" s="490" t="e">
        <f t="shared" ca="1" si="6"/>
        <v>#REF!</v>
      </c>
      <c r="BO16" s="490" t="e">
        <f t="shared" ca="1" si="6"/>
        <v>#REF!</v>
      </c>
      <c r="BP16" s="490" t="e">
        <f t="shared" ca="1" si="6"/>
        <v>#REF!</v>
      </c>
    </row>
  </sheetData>
  <sheetProtection password="CABA" sheet="1" objects="1" scenarios="1"/>
  <phoneticPr fontId="0" type="noConversion"/>
  <pageMargins left="0.7" right="0.7" top="0.78740157499999996" bottom="0.78740157499999996" header="0.3" footer="0.3"/>
  <pageSetup paperSize="9"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2:G341"/>
  <sheetViews>
    <sheetView zoomScaleNormal="100" workbookViewId="0">
      <selection activeCell="G14" sqref="G14"/>
    </sheetView>
  </sheetViews>
  <sheetFormatPr baseColWidth="10" defaultColWidth="11.5703125" defaultRowHeight="12.75" x14ac:dyDescent="0.2"/>
  <cols>
    <col min="1" max="1" width="5.140625" style="1142" customWidth="1"/>
    <col min="2" max="2" width="24.7109375" style="1142" customWidth="1"/>
    <col min="3" max="4" width="24.7109375" style="1140" customWidth="1"/>
    <col min="5" max="5" width="24.7109375" style="1142" customWidth="1"/>
    <col min="6" max="6" width="25.42578125" style="1140" customWidth="1"/>
    <col min="7" max="16384" width="11.5703125" style="1142"/>
  </cols>
  <sheetData>
    <row r="2" spans="1:7" ht="19.899999999999999" customHeight="1" x14ac:dyDescent="0.2">
      <c r="A2" s="1256" t="s">
        <v>1226</v>
      </c>
      <c r="B2" s="1256"/>
      <c r="C2" s="1140">
        <v>2</v>
      </c>
      <c r="D2" s="1141" t="s">
        <v>76</v>
      </c>
      <c r="E2" s="1144" t="s">
        <v>5529</v>
      </c>
      <c r="G2" s="1142" t="s">
        <v>1227</v>
      </c>
    </row>
    <row r="3" spans="1:7" ht="19.899999999999999" customHeight="1" x14ac:dyDescent="0.2">
      <c r="A3" s="1143"/>
      <c r="B3" s="1143"/>
      <c r="D3" s="1141" t="s">
        <v>77</v>
      </c>
      <c r="E3" s="1208">
        <v>46752</v>
      </c>
      <c r="G3" s="1142" t="s">
        <v>74</v>
      </c>
    </row>
    <row r="4" spans="1:7" ht="19.899999999999999" customHeight="1" x14ac:dyDescent="0.2">
      <c r="A4" s="1145"/>
      <c r="B4" s="1146" t="s">
        <v>3470</v>
      </c>
      <c r="C4" s="1147" t="s">
        <v>1227</v>
      </c>
      <c r="D4" s="1148" t="s">
        <v>1228</v>
      </c>
      <c r="E4" s="1149" t="s">
        <v>1229</v>
      </c>
      <c r="F4" s="1148" t="s">
        <v>1697</v>
      </c>
      <c r="G4" s="1142" t="s">
        <v>75</v>
      </c>
    </row>
    <row r="5" spans="1:7" ht="19.899999999999999" customHeight="1" x14ac:dyDescent="0.2">
      <c r="A5" s="1150"/>
      <c r="B5" s="1145"/>
      <c r="C5" s="1151"/>
      <c r="D5" s="1152"/>
      <c r="E5" s="1153"/>
    </row>
    <row r="6" spans="1:7" ht="15.75" x14ac:dyDescent="0.25">
      <c r="A6" s="1154"/>
      <c r="B6" s="1155"/>
      <c r="C6" s="1156" t="s">
        <v>2705</v>
      </c>
      <c r="D6" s="1157"/>
      <c r="E6" s="1158"/>
    </row>
    <row r="7" spans="1:7" x14ac:dyDescent="0.2">
      <c r="A7" s="1159">
        <v>1</v>
      </c>
      <c r="B7" s="1160" t="str">
        <f t="shared" ref="B7:B38" si="0">IF(F7&lt;&gt;"",F7,INDEX($C$7:$F$713,A7,$C$2))</f>
        <v>PAC</v>
      </c>
      <c r="C7" s="1161" t="s">
        <v>2086</v>
      </c>
      <c r="D7" s="1157" t="s">
        <v>3712</v>
      </c>
      <c r="E7" s="1158" t="s">
        <v>1515</v>
      </c>
    </row>
    <row r="8" spans="1:7" ht="24" x14ac:dyDescent="0.2">
      <c r="A8" s="1159">
        <v>2</v>
      </c>
      <c r="B8" s="1160" t="str">
        <f>IF(F8&lt;&gt;"",F8,INDEX($C$7:$F$713,A8,$C$2))</f>
        <v>WPesti / V 8.3.40 / 29.06.2026                valable jusqu'à 31.12.2027</v>
      </c>
      <c r="C8" s="1161" t="s">
        <v>708</v>
      </c>
      <c r="D8" s="1160" t="s">
        <v>708</v>
      </c>
      <c r="E8" s="1158" t="s">
        <v>708</v>
      </c>
      <c r="F8" s="1140" t="str">
        <f>INDEX($C$7:$F$713,A8,$C$2)&amp;E2&amp;" / "&amp;TEXT(WP_Daten!E2,"tt.MM.jjjj                ")&amp;B282&amp;TEXT(E3,"tt.MM.jjjj")</f>
        <v>WPesti / V 8.3.40 / 29.06.2026                valable jusqu'à 31.12.2027</v>
      </c>
    </row>
    <row r="9" spans="1:7" x14ac:dyDescent="0.2">
      <c r="A9" s="1159">
        <v>3</v>
      </c>
      <c r="B9" s="1160" t="str">
        <f t="shared" si="0"/>
        <v>Projet:</v>
      </c>
      <c r="C9" s="1161" t="s">
        <v>3473</v>
      </c>
      <c r="D9" s="1157" t="s">
        <v>3289</v>
      </c>
      <c r="E9" s="1158" t="s">
        <v>2536</v>
      </c>
    </row>
    <row r="10" spans="1:7" ht="13.15" customHeight="1" x14ac:dyDescent="0.2">
      <c r="A10" s="1159">
        <v>4</v>
      </c>
      <c r="B10" s="1160" t="str">
        <f t="shared" si="0"/>
        <v>Données concernant le bâtiment</v>
      </c>
      <c r="C10" s="1161" t="s">
        <v>731</v>
      </c>
      <c r="D10" s="1162" t="s">
        <v>1230</v>
      </c>
      <c r="E10" s="1158" t="s">
        <v>2953</v>
      </c>
    </row>
    <row r="11" spans="1:7" x14ac:dyDescent="0.2">
      <c r="A11" s="1159">
        <v>5</v>
      </c>
      <c r="B11" s="1160" t="str">
        <f t="shared" si="0"/>
        <v xml:space="preserve">Station climatique:    </v>
      </c>
      <c r="C11" s="1161" t="s">
        <v>733</v>
      </c>
      <c r="D11" s="1157" t="s">
        <v>1232</v>
      </c>
      <c r="E11" s="1158" t="s">
        <v>1516</v>
      </c>
    </row>
    <row r="12" spans="1:7" ht="24" x14ac:dyDescent="0.2">
      <c r="A12" s="1159">
        <v>6</v>
      </c>
      <c r="B12" s="1160" t="str">
        <f t="shared" si="0"/>
        <v>Surface de référence énergétique SRE</v>
      </c>
      <c r="C12" s="1161" t="s">
        <v>2340</v>
      </c>
      <c r="D12" s="1157" t="s">
        <v>1231</v>
      </c>
      <c r="E12" s="1158" t="s">
        <v>1517</v>
      </c>
    </row>
    <row r="13" spans="1:7" x14ac:dyDescent="0.2">
      <c r="A13" s="1159">
        <v>7</v>
      </c>
      <c r="B13" s="1160" t="str">
        <f t="shared" si="0"/>
        <v>Catégorie d'ouvrage</v>
      </c>
      <c r="C13" s="1161" t="s">
        <v>735</v>
      </c>
      <c r="D13" s="1157" t="s">
        <v>3672</v>
      </c>
      <c r="E13" s="1158" t="s">
        <v>1614</v>
      </c>
    </row>
    <row r="14" spans="1:7" ht="36" x14ac:dyDescent="0.2">
      <c r="A14" s="1159">
        <v>8</v>
      </c>
      <c r="B14" s="1160" t="str">
        <f t="shared" si="0"/>
        <v>Besoins de chaleur pour le chauffage selon SIA 380/1</v>
      </c>
      <c r="C14" s="1161" t="s">
        <v>740</v>
      </c>
      <c r="D14" s="1157" t="s">
        <v>1233</v>
      </c>
      <c r="E14" s="1158" t="s">
        <v>1615</v>
      </c>
    </row>
    <row r="15" spans="1:7" ht="24" x14ac:dyDescent="0.2">
      <c r="A15" s="1159">
        <v>9</v>
      </c>
      <c r="B15" s="1160" t="str">
        <f t="shared" si="0"/>
        <v>Déperditions par transmission selon SIA 380/1</v>
      </c>
      <c r="C15" s="1161" t="s">
        <v>743</v>
      </c>
      <c r="D15" s="1157" t="s">
        <v>1234</v>
      </c>
      <c r="E15" s="1158" t="s">
        <v>3897</v>
      </c>
    </row>
    <row r="16" spans="1:7" ht="36" x14ac:dyDescent="0.2">
      <c r="A16" s="1159">
        <v>10</v>
      </c>
      <c r="B16" s="1160" t="str">
        <f t="shared" si="0"/>
        <v>Déperditions par renouvellement d'air selon SIA 380/1</v>
      </c>
      <c r="C16" s="1161" t="s">
        <v>749</v>
      </c>
      <c r="D16" s="1157" t="s">
        <v>1235</v>
      </c>
      <c r="E16" s="1158" t="s">
        <v>3898</v>
      </c>
    </row>
    <row r="17" spans="1:6" ht="36" x14ac:dyDescent="0.2">
      <c r="A17" s="1159">
        <v>11</v>
      </c>
      <c r="B17" s="1160" t="str">
        <f t="shared" si="0"/>
        <v>Chauffage: pertes supplémentaires de distribution de chaleur</v>
      </c>
      <c r="C17" s="1161" t="s">
        <v>3642</v>
      </c>
      <c r="D17" s="1157" t="s">
        <v>1881</v>
      </c>
      <c r="E17" s="1158" t="s">
        <v>1616</v>
      </c>
    </row>
    <row r="18" spans="1:6" ht="24" x14ac:dyDescent="0.2">
      <c r="A18" s="1159">
        <v>12</v>
      </c>
      <c r="B18" s="1160" t="str">
        <f t="shared" si="0"/>
        <v>Durée de coupure d'alimentation de la PAC</v>
      </c>
      <c r="C18" s="1161" t="s">
        <v>3646</v>
      </c>
      <c r="D18" s="1157" t="s">
        <v>1469</v>
      </c>
      <c r="E18" s="1158" t="s">
        <v>808</v>
      </c>
    </row>
    <row r="19" spans="1:6" ht="23.45" customHeight="1" x14ac:dyDescent="0.2">
      <c r="A19" s="1159">
        <v>13</v>
      </c>
      <c r="B19" s="1160" t="str">
        <f t="shared" si="0"/>
        <v>Puissance de chauffage nécessaire sans ECS à °C</v>
      </c>
      <c r="C19" s="1161" t="s">
        <v>3607</v>
      </c>
      <c r="D19" s="1157" t="s">
        <v>3609</v>
      </c>
      <c r="E19" s="1158" t="s">
        <v>3608</v>
      </c>
      <c r="F19" s="1140" t="str">
        <f>IF(TaMin&lt;&gt;0,INDEX($C$7:$F$713,A19,$C$2)&amp;TaMin&amp;"°C",INDEX($C$7:$F$713,A19,$C$2)&amp;"-8°C")</f>
        <v>Puissance de chauffage nécessaire sans ECS à °C</v>
      </c>
    </row>
    <row r="20" spans="1:6" ht="36" x14ac:dyDescent="0.2">
      <c r="A20" s="1159">
        <v>14</v>
      </c>
      <c r="B20" s="1160" t="str">
        <f t="shared" si="0"/>
        <v>Besoins de chaleur pour l'ECS selon SIA 380/1</v>
      </c>
      <c r="C20" s="1161" t="s">
        <v>1396</v>
      </c>
      <c r="D20" s="1157" t="s">
        <v>1879</v>
      </c>
      <c r="E20" s="1158" t="s">
        <v>1617</v>
      </c>
    </row>
    <row r="21" spans="1:6" ht="48" x14ac:dyDescent="0.2">
      <c r="A21" s="1159">
        <v>15</v>
      </c>
      <c r="B21" s="1160" t="str">
        <f t="shared" si="0"/>
        <v>Eau chaude sanitaire: pertes supplémentaires d'accumulation et de distribution</v>
      </c>
      <c r="C21" s="1161" t="s">
        <v>1400</v>
      </c>
      <c r="D21" s="1157" t="s">
        <v>1880</v>
      </c>
      <c r="E21" s="1158" t="s">
        <v>1618</v>
      </c>
    </row>
    <row r="22" spans="1:6" ht="24" x14ac:dyDescent="0.2">
      <c r="A22" s="1159">
        <v>16</v>
      </c>
      <c r="B22" s="1160" t="str">
        <f t="shared" si="0"/>
        <v>Installation de pompe à chaleur</v>
      </c>
      <c r="C22" s="1161" t="s">
        <v>1407</v>
      </c>
      <c r="D22" s="1157" t="s">
        <v>1236</v>
      </c>
      <c r="E22" s="1158" t="s">
        <v>3899</v>
      </c>
    </row>
    <row r="23" spans="1:6" ht="24" x14ac:dyDescent="0.2">
      <c r="A23" s="1159">
        <v>17</v>
      </c>
      <c r="B23" s="1160" t="str">
        <f t="shared" si="0"/>
        <v>Nom et type de PAC</v>
      </c>
      <c r="C23" s="1161" t="s">
        <v>1412</v>
      </c>
      <c r="D23" s="1157" t="s">
        <v>1237</v>
      </c>
      <c r="E23" s="1158" t="s">
        <v>1619</v>
      </c>
    </row>
    <row r="24" spans="1:6" x14ac:dyDescent="0.2">
      <c r="A24" s="1159">
        <v>18</v>
      </c>
      <c r="B24" s="1160" t="str">
        <f t="shared" si="0"/>
        <v>choisir -&gt;</v>
      </c>
      <c r="C24" s="1161" t="s">
        <v>1238</v>
      </c>
      <c r="D24" s="1157" t="s">
        <v>1239</v>
      </c>
      <c r="E24" s="1158" t="s">
        <v>521</v>
      </c>
    </row>
    <row r="25" spans="1:6" x14ac:dyDescent="0.2">
      <c r="A25" s="1159">
        <v>19</v>
      </c>
      <c r="B25" s="1160" t="str">
        <f t="shared" si="0"/>
        <v xml:space="preserve">   Erreur!</v>
      </c>
      <c r="C25" s="1161" t="s">
        <v>1240</v>
      </c>
      <c r="D25" s="1157" t="s">
        <v>73</v>
      </c>
      <c r="E25" s="1158" t="s">
        <v>1620</v>
      </c>
    </row>
    <row r="26" spans="1:6" x14ac:dyDescent="0.2">
      <c r="A26" s="1159">
        <v>20</v>
      </c>
      <c r="B26" s="1160" t="str">
        <f t="shared" si="0"/>
        <v>Source de chaleur:</v>
      </c>
      <c r="C26" s="1161" t="s">
        <v>3316</v>
      </c>
      <c r="D26" s="1157" t="s">
        <v>1514</v>
      </c>
      <c r="E26" s="1158" t="s">
        <v>753</v>
      </c>
    </row>
    <row r="27" spans="1:6" ht="24" x14ac:dyDescent="0.2">
      <c r="A27" s="1159">
        <v>21</v>
      </c>
      <c r="B27" s="1160" t="str">
        <f t="shared" si="0"/>
        <v>Utilisation (chauffage ou eau chaude sanitaire)</v>
      </c>
      <c r="C27" s="1161" t="s">
        <v>3347</v>
      </c>
      <c r="D27" s="1157" t="s">
        <v>1882</v>
      </c>
      <c r="E27" s="1158" t="s">
        <v>3900</v>
      </c>
    </row>
    <row r="28" spans="1:6" ht="24" x14ac:dyDescent="0.2">
      <c r="A28" s="1159">
        <v>22</v>
      </c>
      <c r="B28" s="1160" t="str">
        <f t="shared" si="0"/>
        <v>Mode de fonctionnement de la PAC</v>
      </c>
      <c r="C28" s="1161" t="s">
        <v>3475</v>
      </c>
      <c r="D28" s="1157" t="s">
        <v>1241</v>
      </c>
      <c r="E28" s="1158" t="s">
        <v>50</v>
      </c>
    </row>
    <row r="29" spans="1:6" ht="24" x14ac:dyDescent="0.2">
      <c r="A29" s="1159">
        <v>23</v>
      </c>
      <c r="B29" s="1160" t="str">
        <f t="shared" si="0"/>
        <v>Accumulateur de chaleur</v>
      </c>
      <c r="C29" s="1161" t="s">
        <v>1242</v>
      </c>
      <c r="D29" s="1157" t="s">
        <v>1243</v>
      </c>
      <c r="E29" s="1158" t="s">
        <v>1621</v>
      </c>
    </row>
    <row r="30" spans="1:6" ht="24" x14ac:dyDescent="0.2">
      <c r="A30" s="1159">
        <v>24</v>
      </c>
      <c r="B30" s="1160" t="str">
        <f t="shared" si="0"/>
        <v>Commande de l'appoint électrique de chauffage</v>
      </c>
      <c r="C30" s="1161" t="s">
        <v>1244</v>
      </c>
      <c r="D30" s="1157" t="s">
        <v>1883</v>
      </c>
      <c r="E30" s="1158" t="s">
        <v>1622</v>
      </c>
    </row>
    <row r="31" spans="1:6" x14ac:dyDescent="0.2">
      <c r="A31" s="1159">
        <v>25</v>
      </c>
      <c r="B31" s="1160" t="str">
        <f t="shared" si="0"/>
        <v>Installation solaire</v>
      </c>
      <c r="C31" s="1161" t="s">
        <v>119</v>
      </c>
      <c r="D31" s="1157" t="s">
        <v>3277</v>
      </c>
      <c r="E31" s="1158" t="s">
        <v>3901</v>
      </c>
    </row>
    <row r="32" spans="1:6" x14ac:dyDescent="0.2">
      <c r="A32" s="1159">
        <v>26</v>
      </c>
      <c r="B32" s="1160" t="str">
        <f t="shared" si="0"/>
        <v>Résultats</v>
      </c>
      <c r="C32" s="1161" t="s">
        <v>3931</v>
      </c>
      <c r="D32" s="1157" t="s">
        <v>1245</v>
      </c>
      <c r="E32" s="1158" t="s">
        <v>3902</v>
      </c>
    </row>
    <row r="33" spans="1:5" ht="24" x14ac:dyDescent="0.2">
      <c r="A33" s="1159">
        <v>27</v>
      </c>
      <c r="B33" s="1160" t="str">
        <f t="shared" si="0"/>
        <v>Part d'énergie fossile d'appoint pour le chauffage</v>
      </c>
      <c r="C33" s="1161" t="s">
        <v>1246</v>
      </c>
      <c r="D33" s="1157" t="s">
        <v>1888</v>
      </c>
      <c r="E33" s="1158" t="s">
        <v>1623</v>
      </c>
    </row>
    <row r="34" spans="1:5" ht="24" x14ac:dyDescent="0.2">
      <c r="A34" s="1159">
        <v>28</v>
      </c>
      <c r="B34" s="1160" t="str">
        <f t="shared" si="0"/>
        <v>Part d'énergie électrique pour le chauffage</v>
      </c>
      <c r="C34" s="1161" t="s">
        <v>704</v>
      </c>
      <c r="D34" s="1157" t="s">
        <v>1886</v>
      </c>
      <c r="E34" s="1158" t="s">
        <v>1624</v>
      </c>
    </row>
    <row r="35" spans="1:5" ht="36" x14ac:dyDescent="0.2">
      <c r="A35" s="1159">
        <v>29</v>
      </c>
      <c r="B35" s="1160" t="str">
        <f t="shared" si="0"/>
        <v>Part non couverte des besoins de chaleur pour le chauffage</v>
      </c>
      <c r="C35" s="1161" t="s">
        <v>878</v>
      </c>
      <c r="D35" s="1157" t="s">
        <v>1884</v>
      </c>
      <c r="E35" s="1158" t="s">
        <v>1664</v>
      </c>
    </row>
    <row r="36" spans="1:5" ht="24" x14ac:dyDescent="0.2">
      <c r="A36" s="1159">
        <v>30</v>
      </c>
      <c r="B36" s="1160" t="str">
        <f t="shared" si="0"/>
        <v>Part d'énergie électrique pour l'ECS</v>
      </c>
      <c r="C36" s="1161" t="s">
        <v>703</v>
      </c>
      <c r="D36" s="1157" t="s">
        <v>1885</v>
      </c>
      <c r="E36" s="1158" t="s">
        <v>53</v>
      </c>
    </row>
    <row r="37" spans="1:5" ht="24" x14ac:dyDescent="0.2">
      <c r="A37" s="1159">
        <v>31</v>
      </c>
      <c r="B37" s="1160" t="str">
        <f t="shared" si="0"/>
        <v>Part d'énergie fossile d'appoint pour l'ECS</v>
      </c>
      <c r="C37" s="1161" t="s">
        <v>879</v>
      </c>
      <c r="D37" s="1157" t="s">
        <v>1887</v>
      </c>
      <c r="E37" s="1158" t="s">
        <v>54</v>
      </c>
    </row>
    <row r="38" spans="1:5" ht="36" x14ac:dyDescent="0.2">
      <c r="A38" s="1159">
        <v>32</v>
      </c>
      <c r="B38" s="1160" t="str">
        <f t="shared" si="0"/>
        <v>Pertes en mode chauffage (démarrage, accumulateur, etc.)</v>
      </c>
      <c r="C38" s="1161" t="s">
        <v>3934</v>
      </c>
      <c r="D38" s="1157" t="s">
        <v>593</v>
      </c>
      <c r="E38" s="1158" t="s">
        <v>1665</v>
      </c>
    </row>
    <row r="39" spans="1:5" ht="48" x14ac:dyDescent="0.2">
      <c r="A39" s="1159">
        <v>33</v>
      </c>
      <c r="B39" s="1160" t="str">
        <f t="shared" ref="B39:B70" si="1">IF(F39&lt;&gt;"",F39,INDEX($C$7:$F$713,A39,$C$2))</f>
        <v>Pertes en mode préparation d'ECS (démarrage, accumulateur, etc.)</v>
      </c>
      <c r="C39" s="1161" t="s">
        <v>3936</v>
      </c>
      <c r="D39" s="1157" t="s">
        <v>1889</v>
      </c>
      <c r="E39" s="1158" t="s">
        <v>1666</v>
      </c>
    </row>
    <row r="40" spans="1:5" ht="24" x14ac:dyDescent="0.2">
      <c r="A40" s="1159">
        <v>34</v>
      </c>
      <c r="B40" s="1160" t="str">
        <f t="shared" si="1"/>
        <v>Durée de fonctionnement de la pompe à chaleur</v>
      </c>
      <c r="C40" s="1161" t="s">
        <v>3939</v>
      </c>
      <c r="D40" s="1157" t="s">
        <v>594</v>
      </c>
      <c r="E40" s="1158" t="s">
        <v>1699</v>
      </c>
    </row>
    <row r="41" spans="1:5" ht="23.45" customHeight="1" x14ac:dyDescent="0.2">
      <c r="A41" s="1159">
        <v>35</v>
      </c>
      <c r="B41" s="1160" t="str">
        <f t="shared" si="1"/>
        <v>Part et COP annuel de la pompe à chaleur pour le chauffage</v>
      </c>
      <c r="C41" s="1161" t="s">
        <v>3943</v>
      </c>
      <c r="D41" s="1157" t="s">
        <v>595</v>
      </c>
      <c r="E41" s="1158" t="s">
        <v>760</v>
      </c>
    </row>
    <row r="42" spans="1:5" ht="36" x14ac:dyDescent="0.2">
      <c r="A42" s="1159">
        <v>36</v>
      </c>
      <c r="B42" s="1160" t="str">
        <f t="shared" si="1"/>
        <v>Part et COP annuel de la pompe à chaleur pour l'ECS</v>
      </c>
      <c r="C42" s="1161" t="s">
        <v>3947</v>
      </c>
      <c r="D42" s="1157" t="s">
        <v>1890</v>
      </c>
      <c r="E42" s="1158" t="s">
        <v>761</v>
      </c>
    </row>
    <row r="43" spans="1:5" ht="24" x14ac:dyDescent="0.2">
      <c r="A43" s="1159">
        <v>37</v>
      </c>
      <c r="B43" s="1160" t="str">
        <f t="shared" si="1"/>
        <v xml:space="preserve">Facteur de pondération pour le chauffage: </v>
      </c>
      <c r="C43" s="1161" t="s">
        <v>596</v>
      </c>
      <c r="D43" s="1157" t="s">
        <v>2702</v>
      </c>
      <c r="E43" s="1158" t="s">
        <v>762</v>
      </c>
    </row>
    <row r="44" spans="1:5" ht="24" x14ac:dyDescent="0.2">
      <c r="A44" s="1159">
        <v>38</v>
      </c>
      <c r="B44" s="1160" t="str">
        <f t="shared" si="1"/>
        <v>Facteur de pondération pour l'ECS</v>
      </c>
      <c r="C44" s="1161" t="s">
        <v>597</v>
      </c>
      <c r="D44" s="1157" t="s">
        <v>1891</v>
      </c>
      <c r="E44" s="1158" t="s">
        <v>763</v>
      </c>
    </row>
    <row r="45" spans="1:5" ht="24" x14ac:dyDescent="0.2">
      <c r="A45" s="1159">
        <v>39</v>
      </c>
      <c r="B45" s="1160" t="str">
        <f t="shared" si="1"/>
        <v>COP annuel pour chauffage et ECS (COPa [ch+ECS])</v>
      </c>
      <c r="C45" s="1161" t="s">
        <v>598</v>
      </c>
      <c r="D45" s="1157" t="s">
        <v>3403</v>
      </c>
      <c r="E45" s="1158" t="s">
        <v>764</v>
      </c>
    </row>
    <row r="46" spans="1:5" ht="36" x14ac:dyDescent="0.2">
      <c r="A46" s="1159">
        <v>40</v>
      </c>
      <c r="B46" s="1160" t="str">
        <f t="shared" si="1"/>
        <v>Elévation de température dans la PAC en conditions de test selon la norme</v>
      </c>
      <c r="C46" s="1161" t="s">
        <v>599</v>
      </c>
      <c r="D46" s="1157" t="s">
        <v>1892</v>
      </c>
      <c r="E46" s="1158" t="s">
        <v>3903</v>
      </c>
    </row>
    <row r="47" spans="1:5" ht="24" x14ac:dyDescent="0.2">
      <c r="A47" s="1159">
        <v>41</v>
      </c>
      <c r="B47" s="1160" t="str">
        <f t="shared" si="1"/>
        <v>Température de départ du chauffage:</v>
      </c>
      <c r="C47" s="1161" t="s">
        <v>600</v>
      </c>
      <c r="D47" s="1157" t="s">
        <v>601</v>
      </c>
      <c r="E47" s="1158" t="s">
        <v>765</v>
      </c>
    </row>
    <row r="48" spans="1:5" ht="24" x14ac:dyDescent="0.2">
      <c r="A48" s="1159">
        <v>42</v>
      </c>
      <c r="B48" s="1160" t="str">
        <f t="shared" si="1"/>
        <v>Température de retour du chauffage:</v>
      </c>
      <c r="C48" s="1161" t="s">
        <v>1596</v>
      </c>
      <c r="D48" s="1157" t="s">
        <v>1597</v>
      </c>
      <c r="E48" s="1158" t="s">
        <v>766</v>
      </c>
    </row>
    <row r="49" spans="1:5" ht="36" x14ac:dyDescent="0.2">
      <c r="A49" s="1159">
        <v>43</v>
      </c>
      <c r="B49" s="1160" t="str">
        <f t="shared" si="1"/>
        <v>Différence de température accu - départ chauffage</v>
      </c>
      <c r="C49" s="1161" t="s">
        <v>1875</v>
      </c>
      <c r="D49" s="1157" t="s">
        <v>1893</v>
      </c>
      <c r="E49" s="1158" t="s">
        <v>767</v>
      </c>
    </row>
    <row r="50" spans="1:5" ht="48" x14ac:dyDescent="0.2">
      <c r="A50" s="1159">
        <v>44</v>
      </c>
      <c r="B50" s="1160" t="str">
        <f t="shared" si="1"/>
        <v>Température de commutation pour fonctionnement bivalent alternatif</v>
      </c>
      <c r="C50" s="1161" t="s">
        <v>1876</v>
      </c>
      <c r="D50" s="1157" t="s">
        <v>3164</v>
      </c>
      <c r="E50" s="1158" t="s">
        <v>1460</v>
      </c>
    </row>
    <row r="51" spans="1:5" ht="24" x14ac:dyDescent="0.2">
      <c r="A51" s="1159">
        <v>45</v>
      </c>
      <c r="B51" s="1160" t="str">
        <f t="shared" si="1"/>
        <v>Type d'appoint électrique pour ECS :</v>
      </c>
      <c r="C51" s="1161" t="s">
        <v>2107</v>
      </c>
      <c r="D51" s="1157" t="s">
        <v>2106</v>
      </c>
      <c r="E51" s="1158" t="s">
        <v>768</v>
      </c>
    </row>
    <row r="52" spans="1:5" ht="36" x14ac:dyDescent="0.2">
      <c r="A52" s="1159">
        <v>46</v>
      </c>
      <c r="B52" s="1160" t="str">
        <f t="shared" si="1"/>
        <v>Température ECS garantie sans appoint électrique :</v>
      </c>
      <c r="C52" s="1161" t="s">
        <v>2108</v>
      </c>
      <c r="D52" s="1157" t="s">
        <v>3624</v>
      </c>
      <c r="E52" s="1158" t="s">
        <v>769</v>
      </c>
    </row>
    <row r="53" spans="1:5" ht="24" x14ac:dyDescent="0.2">
      <c r="A53" s="1159">
        <v>47</v>
      </c>
      <c r="B53" s="1160" t="str">
        <f t="shared" si="1"/>
        <v>Température ECS avec postchauffage électrique:</v>
      </c>
      <c r="C53" s="1161" t="s">
        <v>2109</v>
      </c>
      <c r="D53" s="1157" t="s">
        <v>2703</v>
      </c>
      <c r="E53" s="1158" t="s">
        <v>1391</v>
      </c>
    </row>
    <row r="54" spans="1:5" ht="24" x14ac:dyDescent="0.2">
      <c r="A54" s="1159">
        <v>48</v>
      </c>
      <c r="B54" s="1160" t="str">
        <f t="shared" si="1"/>
        <v>Capacité de l'accumulateur d'ECS</v>
      </c>
      <c r="C54" s="1161" t="s">
        <v>2110</v>
      </c>
      <c r="D54" s="1157" t="s">
        <v>1894</v>
      </c>
      <c r="E54" s="1158" t="s">
        <v>1392</v>
      </c>
    </row>
    <row r="55" spans="1:5" x14ac:dyDescent="0.2">
      <c r="A55" s="1159">
        <v>49</v>
      </c>
      <c r="B55" s="1160" t="str">
        <f t="shared" si="1"/>
        <v>Surface des absorbeurs</v>
      </c>
      <c r="C55" s="1161" t="s">
        <v>928</v>
      </c>
      <c r="D55" s="1157" t="s">
        <v>1895</v>
      </c>
      <c r="E55" s="1158" t="s">
        <v>1461</v>
      </c>
    </row>
    <row r="56" spans="1:5" ht="24" x14ac:dyDescent="0.2">
      <c r="A56" s="1159">
        <v>50</v>
      </c>
      <c r="B56" s="1160" t="str">
        <f t="shared" si="1"/>
        <v>orientation / inclinaison des collecteurs</v>
      </c>
      <c r="C56" s="1161" t="s">
        <v>1211</v>
      </c>
      <c r="D56" s="1157" t="s">
        <v>2549</v>
      </c>
      <c r="E56" s="1158" t="s">
        <v>1462</v>
      </c>
    </row>
    <row r="57" spans="1:5" ht="24" x14ac:dyDescent="0.2">
      <c r="A57" s="1159">
        <v>51</v>
      </c>
      <c r="B57" s="1160" t="str">
        <f t="shared" si="1"/>
        <v>Apport net par m2 d'absorbeur</v>
      </c>
      <c r="C57" s="1161" t="s">
        <v>931</v>
      </c>
      <c r="D57" s="1157" t="s">
        <v>3673</v>
      </c>
      <c r="E57" s="1158" t="s">
        <v>1463</v>
      </c>
    </row>
    <row r="58" spans="1:5" ht="24" x14ac:dyDescent="0.2">
      <c r="A58" s="1159">
        <v>52</v>
      </c>
      <c r="B58" s="1160" t="str">
        <f t="shared" si="1"/>
        <v>Altitude par rapport au niveau de la mer</v>
      </c>
      <c r="C58" s="1161" t="s">
        <v>932</v>
      </c>
      <c r="D58" s="1157" t="s">
        <v>2436</v>
      </c>
      <c r="E58" s="1158" t="s">
        <v>1393</v>
      </c>
    </row>
    <row r="59" spans="1:5" ht="24" x14ac:dyDescent="0.2">
      <c r="A59" s="1159">
        <v>53</v>
      </c>
      <c r="B59" s="1160" t="str">
        <f t="shared" si="1"/>
        <v>Taux de couverture solaire pour l'ECS</v>
      </c>
      <c r="C59" s="1161" t="s">
        <v>120</v>
      </c>
      <c r="D59" s="1157" t="s">
        <v>1896</v>
      </c>
      <c r="E59" s="1158" t="s">
        <v>1394</v>
      </c>
    </row>
    <row r="60" spans="1:5" ht="24" x14ac:dyDescent="0.2">
      <c r="A60" s="1159">
        <v>54</v>
      </c>
      <c r="B60" s="1160" t="str">
        <f t="shared" si="1"/>
        <v>Taux de couverture solaire pour le chauffage</v>
      </c>
      <c r="C60" s="1161" t="s">
        <v>3669</v>
      </c>
      <c r="D60" s="1157" t="s">
        <v>1897</v>
      </c>
      <c r="E60" s="1158" t="s">
        <v>1686</v>
      </c>
    </row>
    <row r="61" spans="1:5" x14ac:dyDescent="0.2">
      <c r="A61" s="1159">
        <v>55</v>
      </c>
      <c r="B61" s="1160" t="str">
        <f t="shared" si="1"/>
        <v>Pompe à chaleur air/eau</v>
      </c>
      <c r="C61" s="1161" t="s">
        <v>1592</v>
      </c>
      <c r="D61" s="1157" t="s">
        <v>1877</v>
      </c>
      <c r="E61" s="1158" t="s">
        <v>1687</v>
      </c>
    </row>
    <row r="62" spans="1:5" ht="24" x14ac:dyDescent="0.2">
      <c r="A62" s="1159">
        <v>56</v>
      </c>
      <c r="B62" s="1160" t="str">
        <f t="shared" si="1"/>
        <v>Pompe à chaleur sol/eau</v>
      </c>
      <c r="C62" s="1161" t="s">
        <v>720</v>
      </c>
      <c r="D62" s="1157" t="s">
        <v>1878</v>
      </c>
      <c r="E62" s="1158" t="s">
        <v>1062</v>
      </c>
    </row>
    <row r="63" spans="1:5" ht="29.45" customHeight="1" x14ac:dyDescent="0.2">
      <c r="A63" s="1159">
        <v>57</v>
      </c>
      <c r="B63" s="1160" t="str">
        <f t="shared" si="1"/>
        <v>Pompe à chaleur eau/eau</v>
      </c>
      <c r="C63" s="1161" t="s">
        <v>726</v>
      </c>
      <c r="D63" s="1157" t="s">
        <v>2713</v>
      </c>
      <c r="E63" s="1158" t="s">
        <v>1688</v>
      </c>
    </row>
    <row r="64" spans="1:5" x14ac:dyDescent="0.2">
      <c r="A64" s="1159">
        <v>58</v>
      </c>
      <c r="B64" s="1160" t="str">
        <f t="shared" si="1"/>
        <v>PAC avec collecteur terrestre</v>
      </c>
      <c r="C64" s="1161" t="s">
        <v>1222</v>
      </c>
      <c r="D64" s="1157" t="s">
        <v>1191</v>
      </c>
      <c r="E64" s="1158" t="s">
        <v>1689</v>
      </c>
    </row>
    <row r="65" spans="1:5" ht="36" x14ac:dyDescent="0.2">
      <c r="A65" s="1159">
        <v>59</v>
      </c>
      <c r="B65" s="1160" t="str">
        <f t="shared" si="1"/>
        <v>COP aux conditions normalisées 7 °C / 50°C (A7 / W50):</v>
      </c>
      <c r="C65" s="1161" t="s">
        <v>2714</v>
      </c>
      <c r="D65" s="1157" t="s">
        <v>1192</v>
      </c>
      <c r="E65" s="1158" t="s">
        <v>1690</v>
      </c>
    </row>
    <row r="66" spans="1:5" ht="36" x14ac:dyDescent="0.2">
      <c r="A66" s="1159">
        <v>60</v>
      </c>
      <c r="B66" s="1160" t="str">
        <f t="shared" si="1"/>
        <v>COP aux conditions normalisées 7 °C / 50°C (A7 / W50):</v>
      </c>
      <c r="C66" s="1161" t="s">
        <v>2714</v>
      </c>
      <c r="D66" s="1157" t="s">
        <v>1192</v>
      </c>
      <c r="E66" s="1158" t="s">
        <v>1690</v>
      </c>
    </row>
    <row r="67" spans="1:5" ht="36" x14ac:dyDescent="0.2">
      <c r="A67" s="1159">
        <v>61</v>
      </c>
      <c r="B67" s="1160" t="str">
        <f t="shared" si="1"/>
        <v>Puissance électrique soutirée par pompe de sonde:</v>
      </c>
      <c r="C67" s="1161" t="s">
        <v>723</v>
      </c>
      <c r="D67" s="1157" t="s">
        <v>1898</v>
      </c>
      <c r="E67" s="1158" t="s">
        <v>1691</v>
      </c>
    </row>
    <row r="68" spans="1:5" ht="24" x14ac:dyDescent="0.2">
      <c r="A68" s="1159">
        <v>62</v>
      </c>
      <c r="B68" s="1160" t="str">
        <f t="shared" si="1"/>
        <v>COP aux conditions normalisées (W10 / W50):</v>
      </c>
      <c r="C68" s="1161" t="s">
        <v>2715</v>
      </c>
      <c r="D68" s="1157" t="s">
        <v>1193</v>
      </c>
      <c r="E68" s="1158" t="s">
        <v>1692</v>
      </c>
    </row>
    <row r="69" spans="1:5" ht="24" x14ac:dyDescent="0.2">
      <c r="A69" s="1159">
        <v>63</v>
      </c>
      <c r="B69" s="1160" t="str">
        <f t="shared" si="1"/>
        <v>Température de la source (entrée PAC)</v>
      </c>
      <c r="C69" s="1161" t="s">
        <v>3341</v>
      </c>
      <c r="D69" s="1157" t="s">
        <v>3342</v>
      </c>
      <c r="E69" s="1158" t="s">
        <v>3343</v>
      </c>
    </row>
    <row r="70" spans="1:5" ht="37.15" customHeight="1" x14ac:dyDescent="0.2">
      <c r="A70" s="1159">
        <v>64</v>
      </c>
      <c r="B70" s="1160" t="str">
        <f t="shared" si="1"/>
        <v>Puissance électrique soutirée par pompe saumure:</v>
      </c>
      <c r="C70" s="1161" t="s">
        <v>1219</v>
      </c>
      <c r="D70" s="1157" t="s">
        <v>685</v>
      </c>
      <c r="E70" s="1158" t="s">
        <v>1693</v>
      </c>
    </row>
    <row r="71" spans="1:5" ht="36" x14ac:dyDescent="0.2">
      <c r="A71" s="1159">
        <v>65</v>
      </c>
      <c r="B71" s="1160" t="str">
        <f t="shared" ref="B71:B84" si="2">IF(F71&lt;&gt;"",F71,INDEX($C$7:$F$713,A71,$C$2))</f>
        <v>COP aux conditions normalisées -7 °C / 35°C (A-7 / W35):</v>
      </c>
      <c r="C71" s="1161" t="s">
        <v>2111</v>
      </c>
      <c r="D71" s="1157" t="s">
        <v>2229</v>
      </c>
      <c r="E71" s="1158" t="s">
        <v>1694</v>
      </c>
    </row>
    <row r="72" spans="1:5" x14ac:dyDescent="0.2">
      <c r="A72" s="1159">
        <v>66</v>
      </c>
      <c r="B72" s="1160" t="str">
        <f t="shared" si="2"/>
        <v xml:space="preserve">Nombre: </v>
      </c>
      <c r="C72" s="1161" t="s">
        <v>1502</v>
      </c>
      <c r="D72" s="1157" t="s">
        <v>1503</v>
      </c>
      <c r="E72" s="1158" t="s">
        <v>1504</v>
      </c>
    </row>
    <row r="73" spans="1:5" ht="24" x14ac:dyDescent="0.2">
      <c r="A73" s="1159">
        <v>67</v>
      </c>
      <c r="B73" s="1160" t="str">
        <f t="shared" si="2"/>
        <v>COP aux conditions normalisées (W10 / W35):</v>
      </c>
      <c r="C73" s="1161" t="s">
        <v>2112</v>
      </c>
      <c r="D73" s="1157" t="s">
        <v>2230</v>
      </c>
      <c r="E73" s="1158" t="s">
        <v>1695</v>
      </c>
    </row>
    <row r="74" spans="1:5" x14ac:dyDescent="0.2">
      <c r="A74" s="1159">
        <v>68</v>
      </c>
      <c r="B74" s="1160" t="str">
        <f t="shared" si="2"/>
        <v>Surface de collecteurs</v>
      </c>
      <c r="C74" s="1161" t="s">
        <v>1223</v>
      </c>
      <c r="D74" s="1157" t="s">
        <v>1335</v>
      </c>
      <c r="E74" s="1158" t="s">
        <v>1063</v>
      </c>
    </row>
    <row r="75" spans="1:5" x14ac:dyDescent="0.2">
      <c r="A75" s="1159">
        <v>69</v>
      </c>
      <c r="B75" s="1160" t="str">
        <f t="shared" si="2"/>
        <v>choisir -&gt;</v>
      </c>
      <c r="C75" s="1161" t="s">
        <v>1492</v>
      </c>
      <c r="D75" s="1157" t="s">
        <v>1239</v>
      </c>
      <c r="E75" s="1158" t="s">
        <v>521</v>
      </c>
    </row>
    <row r="76" spans="1:5" ht="36" x14ac:dyDescent="0.2">
      <c r="A76" s="1159">
        <v>70</v>
      </c>
      <c r="B76" s="1160" t="str">
        <f t="shared" si="2"/>
        <v>Puissance calorifique aux conditions normalisées -7 °C  (A-7 / W35):</v>
      </c>
      <c r="C76" s="1161" t="s">
        <v>288</v>
      </c>
      <c r="D76" s="1157" t="s">
        <v>1336</v>
      </c>
      <c r="E76" s="1158" t="s">
        <v>522</v>
      </c>
    </row>
    <row r="77" spans="1:5" x14ac:dyDescent="0.2">
      <c r="A77" s="1159">
        <v>71</v>
      </c>
      <c r="B77" s="1160" t="str">
        <f t="shared" si="2"/>
        <v xml:space="preserve">Longueur: </v>
      </c>
      <c r="C77" s="1161" t="s">
        <v>2543</v>
      </c>
      <c r="D77" s="1157" t="s">
        <v>1505</v>
      </c>
      <c r="E77" s="1158" t="s">
        <v>1506</v>
      </c>
    </row>
    <row r="78" spans="1:5" ht="24" x14ac:dyDescent="0.2">
      <c r="A78" s="1159">
        <v>72</v>
      </c>
      <c r="B78" s="1160" t="str">
        <f t="shared" si="2"/>
        <v>Puissance thermique à (W10 / W35):</v>
      </c>
      <c r="C78" s="1161" t="s">
        <v>289</v>
      </c>
      <c r="D78" s="1157" t="s">
        <v>2550</v>
      </c>
      <c r="E78" s="1158" t="s">
        <v>523</v>
      </c>
    </row>
    <row r="79" spans="1:5" x14ac:dyDescent="0.2">
      <c r="A79" s="1159">
        <v>73</v>
      </c>
      <c r="B79" s="1160" t="str">
        <f t="shared" si="2"/>
        <v>Sondes géothermiques:</v>
      </c>
      <c r="C79" s="1161" t="s">
        <v>1500</v>
      </c>
      <c r="D79" s="1157" t="s">
        <v>1499</v>
      </c>
      <c r="E79" s="1158" t="s">
        <v>1501</v>
      </c>
    </row>
    <row r="80" spans="1:5" ht="24" x14ac:dyDescent="0.2">
      <c r="A80" s="1159">
        <v>74</v>
      </c>
      <c r="B80" s="1160" t="str">
        <f t="shared" si="2"/>
        <v>Puissance spécifique soutirée</v>
      </c>
      <c r="C80" s="1161" t="s">
        <v>1220</v>
      </c>
      <c r="D80" s="1157" t="s">
        <v>3401</v>
      </c>
      <c r="E80" s="1158" t="s">
        <v>1575</v>
      </c>
    </row>
    <row r="81" spans="1:5" ht="36" x14ac:dyDescent="0.2">
      <c r="A81" s="1159">
        <v>75</v>
      </c>
      <c r="B81" s="1160" t="str">
        <f t="shared" si="2"/>
        <v>COP aux conditions normalisées +2 °C  (A2 / W35):</v>
      </c>
      <c r="C81" s="1161" t="s">
        <v>290</v>
      </c>
      <c r="D81" s="1157" t="s">
        <v>1337</v>
      </c>
      <c r="E81" s="1158" t="s">
        <v>519</v>
      </c>
    </row>
    <row r="82" spans="1:5" ht="53.45" customHeight="1" x14ac:dyDescent="0.2">
      <c r="A82" s="1159">
        <v>76</v>
      </c>
      <c r="B82" s="1160" t="str">
        <f t="shared" si="2"/>
        <v>Température de dimensionnement des sondes (optionnel, calcul externe)</v>
      </c>
      <c r="C82" s="1161" t="s">
        <v>2343</v>
      </c>
      <c r="D82" s="1157" t="s">
        <v>3399</v>
      </c>
      <c r="E82" s="1158" t="s">
        <v>592</v>
      </c>
    </row>
    <row r="83" spans="1:5" ht="33" customHeight="1" x14ac:dyDescent="0.2">
      <c r="A83" s="1159">
        <v>77</v>
      </c>
      <c r="B83" s="1160" t="str">
        <f t="shared" si="2"/>
        <v xml:space="preserve">Température source de chaleur (si pas 10°C) </v>
      </c>
      <c r="C83" s="1161" t="s">
        <v>727</v>
      </c>
      <c r="D83" s="1157" t="s">
        <v>291</v>
      </c>
      <c r="E83" s="1158" t="s">
        <v>520</v>
      </c>
    </row>
    <row r="84" spans="1:5" ht="48" x14ac:dyDescent="0.2">
      <c r="A84" s="1159">
        <v>78</v>
      </c>
      <c r="B84" s="1160" t="str">
        <f t="shared" si="2"/>
        <v>Température de dimensionnement des sondes (optionnel, calcul externe)</v>
      </c>
      <c r="C84" s="1161" t="s">
        <v>2343</v>
      </c>
      <c r="D84" s="1157" t="s">
        <v>3399</v>
      </c>
      <c r="E84" s="1158" t="s">
        <v>592</v>
      </c>
    </row>
    <row r="85" spans="1:5" x14ac:dyDescent="0.2">
      <c r="A85" s="1159">
        <v>79</v>
      </c>
      <c r="B85" s="1160"/>
      <c r="C85" s="1161"/>
      <c r="D85" s="1157"/>
      <c r="E85" s="1158"/>
    </row>
    <row r="86" spans="1:5" ht="36" x14ac:dyDescent="0.2">
      <c r="A86" s="1159">
        <v>80</v>
      </c>
      <c r="B86" s="1160" t="str">
        <f t="shared" ref="B86:B117" si="3">IF(F86&lt;&gt;"",F86,INDEX($C$7:$F$713,A86,$C$2))</f>
        <v>Puissance calorifique aux conditions normalisées +2 °C  (A2 / W35):</v>
      </c>
      <c r="C86" s="1161" t="s">
        <v>292</v>
      </c>
      <c r="D86" s="1157" t="s">
        <v>1338</v>
      </c>
      <c r="E86" s="1158" t="s">
        <v>524</v>
      </c>
    </row>
    <row r="87" spans="1:5" ht="24" x14ac:dyDescent="0.2">
      <c r="A87" s="1159">
        <v>81</v>
      </c>
      <c r="B87" s="1160" t="str">
        <f t="shared" si="3"/>
        <v>COP aux conditions normalisées (B0 / W50)</v>
      </c>
      <c r="C87" s="1161" t="s">
        <v>293</v>
      </c>
      <c r="D87" s="1157" t="s">
        <v>1339</v>
      </c>
      <c r="E87" s="1158" t="s">
        <v>2927</v>
      </c>
    </row>
    <row r="88" spans="1:5" ht="39.6" customHeight="1" x14ac:dyDescent="0.2">
      <c r="A88" s="1159">
        <v>82</v>
      </c>
      <c r="B88" s="1160" t="str">
        <f t="shared" si="3"/>
        <v>Puissance électrique soutirée par pompe de circulation:</v>
      </c>
      <c r="C88" s="1161" t="s">
        <v>729</v>
      </c>
      <c r="D88" s="1157" t="s">
        <v>686</v>
      </c>
      <c r="E88" s="1158" t="s">
        <v>785</v>
      </c>
    </row>
    <row r="89" spans="1:5" ht="24" x14ac:dyDescent="0.2">
      <c r="A89" s="1159">
        <v>83</v>
      </c>
      <c r="B89" s="1160" t="str">
        <f t="shared" si="3"/>
        <v>COP aux conditions normalisées (B0 / W50)</v>
      </c>
      <c r="C89" s="1161" t="s">
        <v>293</v>
      </c>
      <c r="D89" s="1157" t="s">
        <v>1339</v>
      </c>
      <c r="E89" s="1158" t="s">
        <v>2927</v>
      </c>
    </row>
    <row r="90" spans="1:5" ht="36" x14ac:dyDescent="0.2">
      <c r="A90" s="1159">
        <v>84</v>
      </c>
      <c r="B90" s="1160" t="str">
        <f t="shared" si="3"/>
        <v>COP aux conditions normalisées +7 °C  (A7 / W35):</v>
      </c>
      <c r="C90" s="1161" t="s">
        <v>295</v>
      </c>
      <c r="D90" s="1157" t="s">
        <v>1340</v>
      </c>
      <c r="E90" s="1158" t="s">
        <v>2928</v>
      </c>
    </row>
    <row r="91" spans="1:5" ht="24" x14ac:dyDescent="0.2">
      <c r="A91" s="1159">
        <v>85</v>
      </c>
      <c r="B91" s="1160" t="str">
        <f t="shared" si="3"/>
        <v>Coefficient de performance COP (B0 / W35)</v>
      </c>
      <c r="C91" s="1161" t="s">
        <v>296</v>
      </c>
      <c r="D91" s="1157" t="s">
        <v>294</v>
      </c>
      <c r="E91" s="1158" t="s">
        <v>2929</v>
      </c>
    </row>
    <row r="92" spans="1:5" ht="36" x14ac:dyDescent="0.2">
      <c r="A92" s="1159">
        <v>86</v>
      </c>
      <c r="B92" s="1160" t="str">
        <f t="shared" si="3"/>
        <v>Type de pompe (données nécessaires si puissance &lt; valeur proposée)</v>
      </c>
      <c r="C92" s="1161" t="s">
        <v>730</v>
      </c>
      <c r="D92" s="1157" t="s">
        <v>1900</v>
      </c>
      <c r="E92" s="1158" t="s">
        <v>2930</v>
      </c>
    </row>
    <row r="93" spans="1:5" ht="24" x14ac:dyDescent="0.2">
      <c r="A93" s="1159">
        <v>87</v>
      </c>
      <c r="B93" s="1160" t="str">
        <f t="shared" si="3"/>
        <v>Coefficient de performance COP (B0 / W35)</v>
      </c>
      <c r="C93" s="1161" t="s">
        <v>296</v>
      </c>
      <c r="D93" s="1157" t="s">
        <v>294</v>
      </c>
      <c r="E93" s="1158" t="s">
        <v>2929</v>
      </c>
    </row>
    <row r="94" spans="1:5" ht="36" x14ac:dyDescent="0.2">
      <c r="A94" s="1159">
        <v>88</v>
      </c>
      <c r="B94" s="1160" t="str">
        <f t="shared" si="3"/>
        <v>Puissance calorifique aux conditions normalisées +7 °C (A7 / W35):</v>
      </c>
      <c r="C94" s="1161" t="s">
        <v>298</v>
      </c>
      <c r="D94" s="1157" t="s">
        <v>923</v>
      </c>
      <c r="E94" s="1158" t="s">
        <v>2931</v>
      </c>
    </row>
    <row r="95" spans="1:5" ht="24" x14ac:dyDescent="0.2">
      <c r="A95" s="1159">
        <v>89</v>
      </c>
      <c r="B95" s="1160" t="str">
        <f t="shared" si="3"/>
        <v>Puissance calorifique pour (B0 / W35):</v>
      </c>
      <c r="C95" s="1161" t="s">
        <v>299</v>
      </c>
      <c r="D95" s="1157" t="s">
        <v>297</v>
      </c>
      <c r="E95" s="1158" t="s">
        <v>2932</v>
      </c>
    </row>
    <row r="96" spans="1:5" ht="24" x14ac:dyDescent="0.2">
      <c r="A96" s="1159">
        <v>90</v>
      </c>
      <c r="B96" s="1160" t="str">
        <f t="shared" si="3"/>
        <v>Capacité de l'accumulateur chauffage</v>
      </c>
      <c r="C96" s="1161" t="s">
        <v>300</v>
      </c>
      <c r="D96" s="1157" t="s">
        <v>1781</v>
      </c>
      <c r="E96" s="1158" t="s">
        <v>2933</v>
      </c>
    </row>
    <row r="97" spans="1:5" ht="24" x14ac:dyDescent="0.2">
      <c r="A97" s="1159">
        <v>91</v>
      </c>
      <c r="B97" s="1160" t="str">
        <f t="shared" si="3"/>
        <v>Puissance calorifique pour (B0 / W35):</v>
      </c>
      <c r="C97" s="1161" t="s">
        <v>299</v>
      </c>
      <c r="D97" s="1157" t="s">
        <v>297</v>
      </c>
      <c r="E97" s="1158" t="s">
        <v>2932</v>
      </c>
    </row>
    <row r="98" spans="1:5" ht="24" x14ac:dyDescent="0.2">
      <c r="A98" s="1159">
        <v>92</v>
      </c>
      <c r="B98" s="1160" t="str">
        <f t="shared" si="3"/>
        <v>Capacité de l'accumulateur chauffage</v>
      </c>
      <c r="C98" s="1161" t="s">
        <v>300</v>
      </c>
      <c r="D98" s="1157" t="s">
        <v>1781</v>
      </c>
      <c r="E98" s="1158" t="s">
        <v>2933</v>
      </c>
    </row>
    <row r="99" spans="1:5" x14ac:dyDescent="0.2">
      <c r="A99" s="1159">
        <v>93</v>
      </c>
      <c r="B99" s="1160" t="str">
        <f t="shared" si="3"/>
        <v>Litres</v>
      </c>
      <c r="C99" s="1161" t="s">
        <v>301</v>
      </c>
      <c r="D99" s="1157" t="s">
        <v>302</v>
      </c>
      <c r="E99" s="1158" t="s">
        <v>2934</v>
      </c>
    </row>
    <row r="100" spans="1:5" x14ac:dyDescent="0.2">
      <c r="A100" s="1159">
        <v>94</v>
      </c>
      <c r="B100" s="1160" t="str">
        <f t="shared" si="3"/>
        <v>Habitat collectif</v>
      </c>
      <c r="C100" s="1161" t="s">
        <v>719</v>
      </c>
      <c r="D100" s="1157" t="s">
        <v>304</v>
      </c>
      <c r="E100" s="1158" t="s">
        <v>2935</v>
      </c>
    </row>
    <row r="101" spans="1:5" x14ac:dyDescent="0.2">
      <c r="A101" s="1159">
        <v>95</v>
      </c>
      <c r="B101" s="1160" t="str">
        <f t="shared" si="3"/>
        <v>Habitat individuel</v>
      </c>
      <c r="C101" s="1161" t="s">
        <v>725</v>
      </c>
      <c r="D101" s="1157" t="s">
        <v>305</v>
      </c>
      <c r="E101" s="1158" t="s">
        <v>2936</v>
      </c>
    </row>
    <row r="102" spans="1:5" x14ac:dyDescent="0.2">
      <c r="A102" s="1159">
        <v>96</v>
      </c>
      <c r="B102" s="1160" t="str">
        <f t="shared" si="3"/>
        <v>Administration</v>
      </c>
      <c r="C102" s="1161" t="s">
        <v>732</v>
      </c>
      <c r="D102" s="1157" t="s">
        <v>306</v>
      </c>
      <c r="E102" s="1158" t="s">
        <v>2937</v>
      </c>
    </row>
    <row r="103" spans="1:5" x14ac:dyDescent="0.2">
      <c r="A103" s="1159">
        <v>97</v>
      </c>
      <c r="B103" s="1160" t="str">
        <f t="shared" si="3"/>
        <v>Ecole</v>
      </c>
      <c r="C103" s="1161" t="s">
        <v>734</v>
      </c>
      <c r="D103" s="1157" t="s">
        <v>307</v>
      </c>
      <c r="E103" s="1158" t="s">
        <v>2938</v>
      </c>
    </row>
    <row r="104" spans="1:5" x14ac:dyDescent="0.2">
      <c r="A104" s="1159">
        <v>98</v>
      </c>
      <c r="B104" s="1160" t="str">
        <f t="shared" si="3"/>
        <v>Commerce</v>
      </c>
      <c r="C104" s="1161" t="s">
        <v>736</v>
      </c>
      <c r="D104" s="1157" t="s">
        <v>1785</v>
      </c>
      <c r="E104" s="1158" t="s">
        <v>2939</v>
      </c>
    </row>
    <row r="105" spans="1:5" x14ac:dyDescent="0.2">
      <c r="A105" s="1159">
        <v>99</v>
      </c>
      <c r="B105" s="1160" t="str">
        <f t="shared" si="3"/>
        <v>Restauration</v>
      </c>
      <c r="C105" s="1161" t="s">
        <v>738</v>
      </c>
      <c r="D105" s="1157" t="s">
        <v>308</v>
      </c>
      <c r="E105" s="1158" t="s">
        <v>2940</v>
      </c>
    </row>
    <row r="106" spans="1:5" x14ac:dyDescent="0.2">
      <c r="A106" s="1159">
        <v>100</v>
      </c>
      <c r="B106" s="1160" t="str">
        <f t="shared" si="3"/>
        <v>Lieu de rassemblement</v>
      </c>
      <c r="C106" s="1161" t="s">
        <v>739</v>
      </c>
      <c r="D106" s="1157" t="s">
        <v>1784</v>
      </c>
      <c r="E106" s="1158" t="s">
        <v>2941</v>
      </c>
    </row>
    <row r="107" spans="1:5" x14ac:dyDescent="0.2">
      <c r="A107" s="1159">
        <v>101</v>
      </c>
      <c r="B107" s="1160" t="str">
        <f t="shared" si="3"/>
        <v>Hôpitaux</v>
      </c>
      <c r="C107" s="1161" t="s">
        <v>742</v>
      </c>
      <c r="D107" s="1157" t="s">
        <v>309</v>
      </c>
      <c r="E107" s="1158" t="s">
        <v>2942</v>
      </c>
    </row>
    <row r="108" spans="1:5" x14ac:dyDescent="0.2">
      <c r="A108" s="1159">
        <v>102</v>
      </c>
      <c r="B108" s="1160" t="str">
        <f t="shared" si="3"/>
        <v>Industrie</v>
      </c>
      <c r="C108" s="1161" t="s">
        <v>745</v>
      </c>
      <c r="D108" s="1157" t="s">
        <v>745</v>
      </c>
      <c r="E108" s="1158" t="s">
        <v>745</v>
      </c>
    </row>
    <row r="109" spans="1:5" x14ac:dyDescent="0.2">
      <c r="A109" s="1159">
        <v>103</v>
      </c>
      <c r="B109" s="1160" t="str">
        <f t="shared" si="3"/>
        <v>Dépôt</v>
      </c>
      <c r="C109" s="1161" t="s">
        <v>751</v>
      </c>
      <c r="D109" s="1157" t="s">
        <v>1783</v>
      </c>
      <c r="E109" s="1158" t="s">
        <v>2943</v>
      </c>
    </row>
    <row r="110" spans="1:5" x14ac:dyDescent="0.2">
      <c r="A110" s="1159">
        <v>104</v>
      </c>
      <c r="B110" s="1160" t="str">
        <f t="shared" si="3"/>
        <v>Installation sportive</v>
      </c>
      <c r="C110" s="1161" t="s">
        <v>3644</v>
      </c>
      <c r="D110" s="1157" t="s">
        <v>1782</v>
      </c>
      <c r="E110" s="1158" t="s">
        <v>2944</v>
      </c>
    </row>
    <row r="111" spans="1:5" x14ac:dyDescent="0.2">
      <c r="A111" s="1159">
        <v>105</v>
      </c>
      <c r="B111" s="1160" t="str">
        <f t="shared" si="3"/>
        <v>Piscine</v>
      </c>
      <c r="C111" s="1161" t="s">
        <v>3648</v>
      </c>
      <c r="D111" s="1157" t="s">
        <v>2945</v>
      </c>
      <c r="E111" s="1158" t="s">
        <v>2945</v>
      </c>
    </row>
    <row r="112" spans="1:5" x14ac:dyDescent="0.2">
      <c r="A112" s="1159">
        <v>106</v>
      </c>
      <c r="B112" s="1160" t="str">
        <f t="shared" si="3"/>
        <v>Chauffage</v>
      </c>
      <c r="C112" s="1161" t="s">
        <v>752</v>
      </c>
      <c r="D112" s="1157" t="s">
        <v>310</v>
      </c>
      <c r="E112" s="1158" t="s">
        <v>2946</v>
      </c>
    </row>
    <row r="113" spans="1:5" x14ac:dyDescent="0.2">
      <c r="A113" s="1159">
        <v>107</v>
      </c>
      <c r="B113" s="1160" t="str">
        <f t="shared" si="3"/>
        <v>ECS eau chaude sanitaire</v>
      </c>
      <c r="C113" s="1161" t="s">
        <v>3484</v>
      </c>
      <c r="D113" s="1157" t="s">
        <v>1786</v>
      </c>
      <c r="E113" s="1158" t="s">
        <v>786</v>
      </c>
    </row>
    <row r="114" spans="1:5" x14ac:dyDescent="0.2">
      <c r="A114" s="1159">
        <v>108</v>
      </c>
      <c r="B114" s="1160" t="str">
        <f t="shared" si="3"/>
        <v>Chauffage+ECS</v>
      </c>
      <c r="C114" s="1161" t="s">
        <v>3668</v>
      </c>
      <c r="D114" s="1157" t="s">
        <v>3680</v>
      </c>
      <c r="E114" s="1158" t="s">
        <v>787</v>
      </c>
    </row>
    <row r="115" spans="1:5" ht="24" x14ac:dyDescent="0.2">
      <c r="A115" s="1159">
        <v>109</v>
      </c>
      <c r="B115" s="1160" t="str">
        <f t="shared" si="3"/>
        <v>fonctionnement chauffage monovalent</v>
      </c>
      <c r="C115" s="1161" t="s">
        <v>1684</v>
      </c>
      <c r="D115" s="1157" t="s">
        <v>3681</v>
      </c>
      <c r="E115" s="1158" t="s">
        <v>942</v>
      </c>
    </row>
    <row r="116" spans="1:5" ht="24" x14ac:dyDescent="0.2">
      <c r="A116" s="1159">
        <v>110</v>
      </c>
      <c r="B116" s="1160" t="str">
        <f t="shared" si="3"/>
        <v xml:space="preserve">avec chauffage électrique de secours </v>
      </c>
      <c r="C116" s="1161" t="s">
        <v>783</v>
      </c>
      <c r="D116" s="1157" t="s">
        <v>784</v>
      </c>
      <c r="E116" s="1158" t="s">
        <v>3594</v>
      </c>
    </row>
    <row r="117" spans="1:5" ht="24" x14ac:dyDescent="0.2">
      <c r="A117" s="1159">
        <v>111</v>
      </c>
      <c r="B117" s="1160" t="str">
        <f t="shared" si="3"/>
        <v>Installation bivalente fossile</v>
      </c>
      <c r="C117" s="1161" t="s">
        <v>2658</v>
      </c>
      <c r="D117" s="1160" t="s">
        <v>191</v>
      </c>
      <c r="E117" s="1158" t="s">
        <v>192</v>
      </c>
    </row>
    <row r="118" spans="1:5" ht="13.15" customHeight="1" x14ac:dyDescent="0.2">
      <c r="A118" s="1159">
        <v>112</v>
      </c>
      <c r="B118" s="1160" t="str">
        <f t="shared" ref="B118:B149" si="4">IF(F118&lt;&gt;"",F118,INDEX($C$7:$F$713,A118,$C$2))</f>
        <v>avec accumulateur chauffage</v>
      </c>
      <c r="C118" s="1161" t="s">
        <v>1584</v>
      </c>
      <c r="D118" s="1157" t="s">
        <v>1586</v>
      </c>
      <c r="E118" s="1158" t="s">
        <v>880</v>
      </c>
    </row>
    <row r="119" spans="1:5" ht="24" x14ac:dyDescent="0.2">
      <c r="A119" s="1159">
        <v>113</v>
      </c>
      <c r="B119" s="1160" t="str">
        <f t="shared" si="4"/>
        <v>sans accumulateur chauffage</v>
      </c>
      <c r="C119" s="1161" t="s">
        <v>1585</v>
      </c>
      <c r="D119" s="1157" t="s">
        <v>1587</v>
      </c>
      <c r="E119" s="1158" t="s">
        <v>3595</v>
      </c>
    </row>
    <row r="120" spans="1:5" ht="24" x14ac:dyDescent="0.2">
      <c r="A120" s="1159">
        <v>114</v>
      </c>
      <c r="B120" s="1160" t="str">
        <f t="shared" si="4"/>
        <v>Registre électrique instantané</v>
      </c>
      <c r="C120" s="1161" t="s">
        <v>1588</v>
      </c>
      <c r="D120" s="1157" t="s">
        <v>1787</v>
      </c>
      <c r="E120" s="1158" t="s">
        <v>881</v>
      </c>
    </row>
    <row r="121" spans="1:5" ht="24" x14ac:dyDescent="0.2">
      <c r="A121" s="1159">
        <v>115</v>
      </c>
      <c r="B121" s="1160" t="str">
        <f t="shared" si="4"/>
        <v>Registre électrique dans l'accumulateur</v>
      </c>
      <c r="C121" s="1161" t="s">
        <v>1589</v>
      </c>
      <c r="D121" s="1157" t="s">
        <v>1788</v>
      </c>
      <c r="E121" s="1158" t="s">
        <v>882</v>
      </c>
    </row>
    <row r="122" spans="1:5" ht="36" x14ac:dyDescent="0.2">
      <c r="A122" s="1159">
        <v>116</v>
      </c>
      <c r="B122" s="1160" t="str">
        <f t="shared" si="4"/>
        <v>Registre électrique bloqué durant la charge de l'accu.</v>
      </c>
      <c r="C122" s="1161" t="s">
        <v>1590</v>
      </c>
      <c r="D122" s="1157" t="s">
        <v>1288</v>
      </c>
      <c r="E122" s="1158" t="s">
        <v>883</v>
      </c>
    </row>
    <row r="123" spans="1:5" x14ac:dyDescent="0.2">
      <c r="A123" s="1159">
        <v>117</v>
      </c>
      <c r="B123" s="1160" t="str">
        <f t="shared" si="4"/>
        <v>pas de résistance électrique</v>
      </c>
      <c r="C123" s="1161" t="s">
        <v>357</v>
      </c>
      <c r="D123" s="1157" t="s">
        <v>504</v>
      </c>
      <c r="E123" s="1158" t="s">
        <v>884</v>
      </c>
    </row>
    <row r="124" spans="1:5" ht="24" x14ac:dyDescent="0.2">
      <c r="A124" s="1159">
        <v>118</v>
      </c>
      <c r="B124" s="1160" t="str">
        <f t="shared" si="4"/>
        <v xml:space="preserve">Registre électrique en service en parallèle </v>
      </c>
      <c r="C124" s="1161" t="s">
        <v>502</v>
      </c>
      <c r="D124" s="1157" t="s">
        <v>1789</v>
      </c>
      <c r="E124" s="1158" t="s">
        <v>885</v>
      </c>
    </row>
    <row r="125" spans="1:5" ht="24" x14ac:dyDescent="0.2">
      <c r="A125" s="1159">
        <v>119</v>
      </c>
      <c r="B125" s="1160" t="str">
        <f t="shared" si="4"/>
        <v>Registre électrique pour postchauffage</v>
      </c>
      <c r="C125" s="1161" t="s">
        <v>503</v>
      </c>
      <c r="D125" s="1157" t="s">
        <v>1470</v>
      </c>
      <c r="E125" s="1158" t="s">
        <v>886</v>
      </c>
    </row>
    <row r="126" spans="1:5" ht="24" x14ac:dyDescent="0.2">
      <c r="A126" s="1159">
        <v>120</v>
      </c>
      <c r="B126" s="1160" t="str">
        <f t="shared" si="4"/>
        <v>Collecteurs solaires pour l'ECS</v>
      </c>
      <c r="C126" s="1161" t="s">
        <v>929</v>
      </c>
      <c r="D126" s="1157" t="s">
        <v>1790</v>
      </c>
      <c r="E126" s="1158" t="s">
        <v>789</v>
      </c>
    </row>
    <row r="127" spans="1:5" ht="24" x14ac:dyDescent="0.2">
      <c r="A127" s="1159">
        <v>121</v>
      </c>
      <c r="B127" s="1160" t="str">
        <f t="shared" si="4"/>
        <v>Collecteurs solaires pour chauffage et ECS</v>
      </c>
      <c r="C127" s="1161" t="s">
        <v>930</v>
      </c>
      <c r="D127" s="1157" t="s">
        <v>924</v>
      </c>
      <c r="E127" s="1158" t="s">
        <v>790</v>
      </c>
    </row>
    <row r="128" spans="1:5" x14ac:dyDescent="0.2">
      <c r="A128" s="1159">
        <v>122</v>
      </c>
      <c r="B128" s="1160" t="str">
        <f t="shared" si="4"/>
        <v xml:space="preserve">Azimut [°]:  </v>
      </c>
      <c r="C128" s="1161" t="s">
        <v>1215</v>
      </c>
      <c r="D128" s="1157" t="s">
        <v>1215</v>
      </c>
      <c r="E128" s="1158" t="s">
        <v>1215</v>
      </c>
    </row>
    <row r="129" spans="1:5" x14ac:dyDescent="0.2">
      <c r="A129" s="1159">
        <v>123</v>
      </c>
      <c r="B129" s="1160" t="str">
        <f t="shared" si="4"/>
        <v>Pente [°]:</v>
      </c>
      <c r="C129" s="1161" t="s">
        <v>1216</v>
      </c>
      <c r="D129" s="1157" t="s">
        <v>925</v>
      </c>
      <c r="E129" s="1158" t="s">
        <v>791</v>
      </c>
    </row>
    <row r="130" spans="1:5" x14ac:dyDescent="0.2">
      <c r="A130" s="1159">
        <v>124</v>
      </c>
      <c r="B130" s="1160" t="str">
        <f t="shared" si="4"/>
        <v>m</v>
      </c>
      <c r="C130" s="1161" t="s">
        <v>3497</v>
      </c>
      <c r="D130" s="1157" t="s">
        <v>722</v>
      </c>
      <c r="E130" s="1158" t="s">
        <v>792</v>
      </c>
    </row>
    <row r="131" spans="1:5" x14ac:dyDescent="0.2">
      <c r="A131" s="1159">
        <v>125</v>
      </c>
      <c r="B131" s="1160" t="str">
        <f t="shared" si="4"/>
        <v>impossible</v>
      </c>
      <c r="C131" s="1161" t="s">
        <v>505</v>
      </c>
      <c r="D131" s="1157" t="s">
        <v>926</v>
      </c>
      <c r="E131" s="1158" t="s">
        <v>3596</v>
      </c>
    </row>
    <row r="132" spans="1:5" x14ac:dyDescent="0.2">
      <c r="A132" s="1159">
        <v>126</v>
      </c>
      <c r="B132" s="1160" t="str">
        <f t="shared" si="4"/>
        <v>Danger de gel!</v>
      </c>
      <c r="C132" s="1161" t="s">
        <v>506</v>
      </c>
      <c r="D132" s="1157" t="s">
        <v>507</v>
      </c>
      <c r="E132" s="1158" t="s">
        <v>793</v>
      </c>
    </row>
    <row r="133" spans="1:5" x14ac:dyDescent="0.2">
      <c r="A133" s="1159">
        <v>127</v>
      </c>
      <c r="B133" s="1160" t="str">
        <f t="shared" si="4"/>
        <v>dT utilisateur</v>
      </c>
      <c r="C133" s="1161" t="s">
        <v>508</v>
      </c>
      <c r="D133" s="1157" t="s">
        <v>509</v>
      </c>
      <c r="E133" s="1158" t="s">
        <v>794</v>
      </c>
    </row>
    <row r="134" spans="1:5" x14ac:dyDescent="0.2">
      <c r="A134" s="1159">
        <v>128</v>
      </c>
      <c r="B134" s="1160" t="str">
        <f t="shared" si="4"/>
        <v>T Dep</v>
      </c>
      <c r="C134" s="1161" t="s">
        <v>511</v>
      </c>
      <c r="D134" s="1157" t="s">
        <v>510</v>
      </c>
      <c r="E134" s="1158" t="s">
        <v>795</v>
      </c>
    </row>
    <row r="135" spans="1:5" x14ac:dyDescent="0.2">
      <c r="A135" s="1159">
        <v>129</v>
      </c>
      <c r="B135" s="1160" t="str">
        <f t="shared" si="4"/>
        <v>T Ret</v>
      </c>
      <c r="C135" s="1161" t="s">
        <v>512</v>
      </c>
      <c r="D135" s="1157" t="s">
        <v>513</v>
      </c>
      <c r="E135" s="1158" t="s">
        <v>796</v>
      </c>
    </row>
    <row r="136" spans="1:5" x14ac:dyDescent="0.2">
      <c r="A136" s="1159">
        <v>130</v>
      </c>
      <c r="B136" s="1160" t="str">
        <f t="shared" si="4"/>
        <v>dT accu</v>
      </c>
      <c r="C136" s="1161" t="s">
        <v>514</v>
      </c>
      <c r="D136" s="1157" t="s">
        <v>515</v>
      </c>
      <c r="E136" s="1158" t="s">
        <v>515</v>
      </c>
    </row>
    <row r="137" spans="1:5" x14ac:dyDescent="0.2">
      <c r="A137" s="1159">
        <v>131</v>
      </c>
      <c r="B137" s="1160" t="str">
        <f t="shared" si="4"/>
        <v>Offre de l'installateur:</v>
      </c>
      <c r="C137" s="1161" t="s">
        <v>3894</v>
      </c>
      <c r="D137" s="1157" t="s">
        <v>927</v>
      </c>
      <c r="E137" s="1158" t="s">
        <v>797</v>
      </c>
    </row>
    <row r="138" spans="1:5" ht="24" x14ac:dyDescent="0.2">
      <c r="A138" s="1159">
        <v>132</v>
      </c>
      <c r="B138" s="1160" t="str">
        <f t="shared" si="4"/>
        <v>Exigence minimale pour l'installation PAC</v>
      </c>
      <c r="C138" s="1161" t="s">
        <v>2131</v>
      </c>
      <c r="D138" s="1157" t="s">
        <v>360</v>
      </c>
      <c r="E138" s="1158" t="s">
        <v>798</v>
      </c>
    </row>
    <row r="139" spans="1:5" x14ac:dyDescent="0.2">
      <c r="A139" s="1159">
        <v>133</v>
      </c>
      <c r="B139" s="1160" t="str">
        <f t="shared" si="4"/>
        <v>valeur minimale:</v>
      </c>
      <c r="C139" s="1161" t="s">
        <v>1737</v>
      </c>
      <c r="D139" s="1157" t="s">
        <v>1739</v>
      </c>
      <c r="E139" s="1158" t="s">
        <v>799</v>
      </c>
    </row>
    <row r="140" spans="1:5" x14ac:dyDescent="0.2">
      <c r="A140" s="1159">
        <v>134</v>
      </c>
      <c r="B140" s="1160" t="str">
        <f t="shared" si="4"/>
        <v>valeur proposée:</v>
      </c>
      <c r="C140" s="1161" t="s">
        <v>1738</v>
      </c>
      <c r="D140" s="1157" t="s">
        <v>3400</v>
      </c>
      <c r="E140" s="1158" t="s">
        <v>800</v>
      </c>
    </row>
    <row r="141" spans="1:5" ht="24" x14ac:dyDescent="0.2">
      <c r="A141" s="1159">
        <v>135</v>
      </c>
      <c r="B141" s="1160" t="str">
        <f t="shared" si="4"/>
        <v>Chauffage + production d'ECS décentralisée par PAC</v>
      </c>
      <c r="C141" s="1161" t="s">
        <v>871</v>
      </c>
      <c r="D141" s="1157" t="s">
        <v>1791</v>
      </c>
      <c r="E141" s="1158" t="s">
        <v>1931</v>
      </c>
    </row>
    <row r="142" spans="1:5" ht="24" x14ac:dyDescent="0.2">
      <c r="A142" s="1159">
        <v>136</v>
      </c>
      <c r="B142" s="1160" t="str">
        <f t="shared" si="4"/>
        <v>Besoin de chaleur pour le chauffage Qh,eff:</v>
      </c>
      <c r="C142" s="1161" t="s">
        <v>516</v>
      </c>
      <c r="D142" s="1157" t="s">
        <v>361</v>
      </c>
      <c r="E142" s="1158" t="s">
        <v>801</v>
      </c>
    </row>
    <row r="143" spans="1:5" ht="96" x14ac:dyDescent="0.2">
      <c r="A143" s="1159">
        <v>137</v>
      </c>
      <c r="B143" s="1160" t="str">
        <f t="shared" si="4"/>
        <v>Peut être repris du calcul selon SIA 380/1. Calculé avec le débit d'air neuf thermiquement actif (la RC peut être prise en compte).</v>
      </c>
      <c r="C143" s="1161" t="s">
        <v>517</v>
      </c>
      <c r="D143" s="1157" t="s">
        <v>646</v>
      </c>
      <c r="E143" s="1158" t="s">
        <v>802</v>
      </c>
    </row>
    <row r="144" spans="1:5" ht="24" x14ac:dyDescent="0.2">
      <c r="A144" s="1159">
        <v>138</v>
      </c>
      <c r="B144" s="1160" t="str">
        <f t="shared" si="4"/>
        <v>Déperditions par tranmission:</v>
      </c>
      <c r="C144" s="1161" t="s">
        <v>518</v>
      </c>
      <c r="D144" s="1157" t="s">
        <v>362</v>
      </c>
      <c r="E144" s="1158" t="s">
        <v>803</v>
      </c>
    </row>
    <row r="145" spans="1:5" ht="60" x14ac:dyDescent="0.2">
      <c r="A145" s="1159">
        <v>139</v>
      </c>
      <c r="B145" s="1160" t="str">
        <f t="shared" si="4"/>
        <v>Peuvent être repris du calcul selon SIA 380/1. Si QT et QV sont laissés vides, il est admis que:
(QT+QV)=Qh/15*24</v>
      </c>
      <c r="C145" s="1161" t="s">
        <v>777</v>
      </c>
      <c r="D145" s="1157" t="s">
        <v>647</v>
      </c>
      <c r="E145" s="1158" t="s">
        <v>804</v>
      </c>
    </row>
    <row r="146" spans="1:5" ht="27" customHeight="1" x14ac:dyDescent="0.2">
      <c r="A146" s="1159">
        <v>140</v>
      </c>
      <c r="B146" s="1160" t="str">
        <f t="shared" si="4"/>
        <v xml:space="preserve">puissance de la PAC insuffisante </v>
      </c>
      <c r="C146" s="1161" t="s">
        <v>3946</v>
      </c>
      <c r="D146" s="1157" t="s">
        <v>78</v>
      </c>
      <c r="E146" s="1158" t="s">
        <v>1932</v>
      </c>
    </row>
    <row r="147" spans="1:5" ht="24" x14ac:dyDescent="0.2">
      <c r="A147" s="1159">
        <v>141</v>
      </c>
      <c r="B147" s="1160" t="str">
        <f t="shared" si="4"/>
        <v>Déperditions par renouvellement d'air:</v>
      </c>
      <c r="C147" s="1161" t="s">
        <v>754</v>
      </c>
      <c r="D147" s="1157" t="s">
        <v>363</v>
      </c>
      <c r="E147" s="1158" t="s">
        <v>805</v>
      </c>
    </row>
    <row r="148" spans="1:5" ht="114.6" customHeight="1" x14ac:dyDescent="0.2">
      <c r="A148" s="1159">
        <v>142</v>
      </c>
      <c r="B148" s="1160" t="str">
        <f t="shared" si="4"/>
        <v>Peuvent être repris du calcul selon SIA 380/1. La RC peut être prise en compte dans les déperditions par renouvellement d'air (c-à-d. calculé avec le débit d'air neuf thermiquement actif). Si QT et QV sont laissés vides, il est admis que:
(QT+QV)=Qh/15*24</v>
      </c>
      <c r="C148" s="1161" t="s">
        <v>1700</v>
      </c>
      <c r="D148" s="1157" t="s">
        <v>648</v>
      </c>
      <c r="E148" s="1158" t="s">
        <v>3163</v>
      </c>
    </row>
    <row r="149" spans="1:5" ht="22.9" customHeight="1" x14ac:dyDescent="0.2">
      <c r="A149" s="1159">
        <v>143</v>
      </c>
      <c r="B149" s="1160" t="str">
        <f t="shared" si="4"/>
        <v>Température cible du local le plus chaud (p.ex. salle de bains)</v>
      </c>
      <c r="C149" s="1161" t="s">
        <v>1495</v>
      </c>
      <c r="D149" s="1160" t="s">
        <v>3326</v>
      </c>
      <c r="E149" s="1158" t="s">
        <v>1933</v>
      </c>
    </row>
    <row r="150" spans="1:5" ht="24" x14ac:dyDescent="0.2">
      <c r="A150" s="1159">
        <v>144</v>
      </c>
      <c r="B150" s="1160" t="str">
        <f t="shared" ref="B150:B181" si="5">IF(F150&lt;&gt;"",F150,INDEX($C$7:$F$713,A150,$C$2))</f>
        <v>Valeurs typiques par défaut pour habitations:</v>
      </c>
      <c r="C150" s="1161" t="s">
        <v>755</v>
      </c>
      <c r="D150" s="1157" t="s">
        <v>3531</v>
      </c>
      <c r="E150" s="1158" t="s">
        <v>806</v>
      </c>
    </row>
    <row r="151" spans="1:5" ht="132" x14ac:dyDescent="0.2">
      <c r="A151" s="1159">
        <v>145</v>
      </c>
      <c r="B151" s="1160" t="str">
        <f t="shared" si="5"/>
        <v xml:space="preserve">Pertes de distribution pour bâtiment à construire, chauffage dans la cave, isolée selon prescriptions (armatures, pompes ainsiq ue conduites isolées):  1-3%.  /  Pertes de distribution pour bâtiment à construire, chauffage dans bâtiment voisin:  3-15%.   </v>
      </c>
      <c r="C151" s="1161" t="s">
        <v>1701</v>
      </c>
      <c r="D151" s="1157" t="s">
        <v>2701</v>
      </c>
      <c r="E151" s="1158" t="s">
        <v>1334</v>
      </c>
    </row>
    <row r="152" spans="1:5" ht="25.9" customHeight="1" x14ac:dyDescent="0.2">
      <c r="A152" s="1159">
        <v>146</v>
      </c>
      <c r="B152" s="1160" t="str">
        <f t="shared" si="5"/>
        <v xml:space="preserve">mode anti-légionnellose journalier </v>
      </c>
      <c r="C152" s="1161" t="s">
        <v>1493</v>
      </c>
      <c r="D152" s="1160" t="s">
        <v>3327</v>
      </c>
      <c r="E152" s="1158" t="s">
        <v>1934</v>
      </c>
    </row>
    <row r="153" spans="1:5" ht="24" customHeight="1" x14ac:dyDescent="0.2">
      <c r="A153" s="1159">
        <v>147</v>
      </c>
      <c r="B153" s="1160" t="str">
        <f t="shared" si="5"/>
        <v>mode anti-légionnellose hebdomadaire</v>
      </c>
      <c r="C153" s="1161" t="s">
        <v>1494</v>
      </c>
      <c r="D153" s="1160" t="s">
        <v>3328</v>
      </c>
      <c r="E153" s="1158" t="s">
        <v>0</v>
      </c>
    </row>
    <row r="154" spans="1:5" ht="26.45" customHeight="1" x14ac:dyDescent="0.2">
      <c r="A154" s="1159">
        <v>148</v>
      </c>
      <c r="B154" s="1160" t="str">
        <f t="shared" si="5"/>
        <v>Température de dimensionnement des sondes:</v>
      </c>
      <c r="C154" s="1161" t="s">
        <v>759</v>
      </c>
      <c r="D154" s="1157" t="s">
        <v>3402</v>
      </c>
      <c r="E154" s="1158" t="s">
        <v>807</v>
      </c>
    </row>
    <row r="155" spans="1:5" ht="36" x14ac:dyDescent="0.2">
      <c r="A155" s="1159">
        <v>149</v>
      </c>
      <c r="B155" s="1160" t="str">
        <f t="shared" si="5"/>
        <v>Annexer le calcul externe (p. ex. avec le logiciel EWS) ou laisser vide.</v>
      </c>
      <c r="C155" s="1161" t="s">
        <v>106</v>
      </c>
      <c r="D155" s="1157" t="s">
        <v>364</v>
      </c>
      <c r="E155" s="1158" t="s">
        <v>3119</v>
      </c>
    </row>
    <row r="156" spans="1:5" ht="24" x14ac:dyDescent="0.2">
      <c r="A156" s="1159">
        <v>150</v>
      </c>
      <c r="B156" s="1160" t="str">
        <f t="shared" si="5"/>
        <v>Durée de coupure d'alimentation de la PAC:</v>
      </c>
      <c r="C156" s="1161" t="s">
        <v>778</v>
      </c>
      <c r="D156" s="1157" t="s">
        <v>2597</v>
      </c>
      <c r="E156" s="1158" t="s">
        <v>808</v>
      </c>
    </row>
    <row r="157" spans="1:5" ht="108" x14ac:dyDescent="0.2">
      <c r="A157" s="1159">
        <v>151</v>
      </c>
      <c r="B157" s="1160" t="str">
        <f t="shared" si="5"/>
        <v>(heures par jour): interruptions de l'alimentation électrique de la PAC par le distributeur d'électricité. A demander auprès du distributeur local. Mentionner les temps de coupure effectifs, aux conditions de dimensionnement.</v>
      </c>
      <c r="C157" s="1161" t="s">
        <v>780</v>
      </c>
      <c r="D157" s="1157" t="s">
        <v>193</v>
      </c>
      <c r="E157" s="1158" t="s">
        <v>1871</v>
      </c>
    </row>
    <row r="158" spans="1:5" ht="24" x14ac:dyDescent="0.2">
      <c r="A158" s="1159">
        <v>152</v>
      </c>
      <c r="B158" s="1160" t="str">
        <f t="shared" si="5"/>
        <v>Puissance de chauffage nécessaire:</v>
      </c>
      <c r="C158" s="1161" t="s">
        <v>756</v>
      </c>
      <c r="D158" s="1157" t="s">
        <v>3532</v>
      </c>
      <c r="E158" s="1158" t="s">
        <v>1872</v>
      </c>
    </row>
    <row r="159" spans="1:5" ht="72" x14ac:dyDescent="0.2">
      <c r="A159" s="1159">
        <v>153</v>
      </c>
      <c r="B159" s="1160" t="str">
        <f t="shared" si="5"/>
        <v>La puissance de chauffage nécessaire peut tenir compte des gains de chaleur assurés (max. 10%, resp 1 kW). A justifier séparément.</v>
      </c>
      <c r="C159" s="1161" t="s">
        <v>757</v>
      </c>
      <c r="D159" s="1157" t="s">
        <v>666</v>
      </c>
      <c r="E159" s="1158" t="s">
        <v>1873</v>
      </c>
    </row>
    <row r="160" spans="1:5" ht="24" x14ac:dyDescent="0.2">
      <c r="A160" s="1159">
        <v>154</v>
      </c>
      <c r="B160" s="1160" t="str">
        <f t="shared" si="5"/>
        <v>Puissance de chauffage nécessaire:</v>
      </c>
      <c r="C160" s="1161" t="s">
        <v>756</v>
      </c>
      <c r="D160" s="1157" t="s">
        <v>3532</v>
      </c>
      <c r="E160" s="1158" t="s">
        <v>1872</v>
      </c>
    </row>
    <row r="161" spans="1:5" ht="96" x14ac:dyDescent="0.2">
      <c r="A161" s="1159">
        <v>155</v>
      </c>
      <c r="B161" s="1160" t="str">
        <f t="shared" si="5"/>
        <v>Valeur proposée: si le champ reste vide, le calcul se fait avec une valeur par défaut, calculée comme suit:
(QT+QV)*SRE/3.6/(HGT*1.065)/24*(20-TaMin) [kW].</v>
      </c>
      <c r="C161" s="1161" t="s">
        <v>781</v>
      </c>
      <c r="D161" s="1157" t="s">
        <v>1371</v>
      </c>
      <c r="E161" s="1158" t="s">
        <v>887</v>
      </c>
    </row>
    <row r="162" spans="1:5" ht="108" x14ac:dyDescent="0.2">
      <c r="A162" s="1159">
        <v>156</v>
      </c>
      <c r="B162" s="1160" t="str">
        <f t="shared" si="5"/>
        <v>Valeur minimale: si la valeur introduite est plus petite que la valeur minimale, le calcul se fait avec la valeur minimale, calculée comme suit:
0.85*valeur proposée [kW], resp. valeur proposée - 1.2 kW.</v>
      </c>
      <c r="C162" s="1161" t="s">
        <v>782</v>
      </c>
      <c r="D162" s="1157" t="s">
        <v>667</v>
      </c>
      <c r="E162" s="1158" t="s">
        <v>1874</v>
      </c>
    </row>
    <row r="163" spans="1:5" ht="24" x14ac:dyDescent="0.2">
      <c r="A163" s="1159">
        <v>157</v>
      </c>
      <c r="B163" s="1160" t="str">
        <f t="shared" si="5"/>
        <v>Valeurs typiques par défaut pour habitations:</v>
      </c>
      <c r="C163" s="1161" t="s">
        <v>755</v>
      </c>
      <c r="D163" s="1157" t="s">
        <v>3531</v>
      </c>
      <c r="E163" s="1158" t="s">
        <v>806</v>
      </c>
    </row>
    <row r="164" spans="1:5" ht="48" x14ac:dyDescent="0.2">
      <c r="A164" s="1159">
        <v>158</v>
      </c>
      <c r="B164" s="1160" t="str">
        <f t="shared" si="5"/>
        <v>- Pertes accumulateur + distribution (armatures, pompes ainsi que conduites isolées):     15-30%</v>
      </c>
      <c r="C164" s="1163" t="s">
        <v>758</v>
      </c>
      <c r="D164" s="1164" t="s">
        <v>1510</v>
      </c>
      <c r="E164" s="1165" t="s">
        <v>3349</v>
      </c>
    </row>
    <row r="165" spans="1:5" ht="96" x14ac:dyDescent="0.2">
      <c r="A165" s="1159">
        <v>159</v>
      </c>
      <c r="B165" s="1160" t="str">
        <f t="shared" si="5"/>
        <v>- Pertes accumulateur + distribution + circulation (armatures, pompes ainsi que conduites isolées):     30-50%.    Le besoin en électricité des rubans chauffant est à calculer séparément.</v>
      </c>
      <c r="C165" s="1163" t="s">
        <v>1853</v>
      </c>
      <c r="D165" s="1164" t="s">
        <v>1511</v>
      </c>
      <c r="E165" s="1165" t="s">
        <v>3354</v>
      </c>
    </row>
    <row r="166" spans="1:5" ht="24" x14ac:dyDescent="0.2">
      <c r="A166" s="1159">
        <v>160</v>
      </c>
      <c r="B166" s="1160" t="str">
        <f t="shared" si="5"/>
        <v>Fonctionnement chauffage monovalent:</v>
      </c>
      <c r="C166" s="1161" t="s">
        <v>1854</v>
      </c>
      <c r="D166" s="1157" t="s">
        <v>3533</v>
      </c>
      <c r="E166" s="1158" t="s">
        <v>788</v>
      </c>
    </row>
    <row r="167" spans="1:5" ht="49.15" customHeight="1" x14ac:dyDescent="0.2">
      <c r="A167" s="1159">
        <v>161</v>
      </c>
      <c r="B167" s="1160" t="str">
        <f t="shared" si="5"/>
        <v>Chauffage avec PAC sans chauffage d'appoint et sans corps de chauffe électrique (pour le chauffage)</v>
      </c>
      <c r="C167" s="1161" t="s">
        <v>1855</v>
      </c>
      <c r="D167" s="1157" t="s">
        <v>3534</v>
      </c>
      <c r="E167" s="1158" t="s">
        <v>3355</v>
      </c>
    </row>
    <row r="168" spans="1:5" ht="24.6" customHeight="1" x14ac:dyDescent="0.2">
      <c r="A168" s="1159">
        <v>162</v>
      </c>
      <c r="B168" s="1160" t="str">
        <f t="shared" si="5"/>
        <v>avec chauffage électrique d'appoint:</v>
      </c>
      <c r="C168" s="1161" t="s">
        <v>2552</v>
      </c>
      <c r="D168" s="1157" t="s">
        <v>3535</v>
      </c>
      <c r="E168" s="1158" t="s">
        <v>3594</v>
      </c>
    </row>
    <row r="169" spans="1:5" ht="36.6" customHeight="1" x14ac:dyDescent="0.2">
      <c r="A169" s="1159">
        <v>163</v>
      </c>
      <c r="B169" s="1160" t="str">
        <f t="shared" si="5"/>
        <v xml:space="preserve">Chauffage avec PAC et chauffage électrique d'appoint </v>
      </c>
      <c r="C169" s="1161" t="s">
        <v>2551</v>
      </c>
      <c r="D169" s="1157" t="s">
        <v>407</v>
      </c>
      <c r="E169" s="1158" t="s">
        <v>3356</v>
      </c>
    </row>
    <row r="170" spans="1:5" ht="13.15" customHeight="1" x14ac:dyDescent="0.2">
      <c r="A170" s="1159">
        <v>164</v>
      </c>
      <c r="B170" s="1160" t="str">
        <f t="shared" si="5"/>
        <v>Fonctionnement bivalent fossile:</v>
      </c>
      <c r="C170" s="1161" t="s">
        <v>2309</v>
      </c>
      <c r="D170" s="1157" t="s">
        <v>408</v>
      </c>
      <c r="E170" s="1158" t="s">
        <v>3357</v>
      </c>
    </row>
    <row r="171" spans="1:5" ht="48" x14ac:dyDescent="0.2">
      <c r="A171" s="1159">
        <v>165</v>
      </c>
      <c r="B171" s="1160" t="str">
        <f t="shared" si="5"/>
        <v>Chauffage avec PAC et chaudière d'appoint à mazout ou à gaz pour les pointes de puissance</v>
      </c>
      <c r="C171" s="1161" t="s">
        <v>2308</v>
      </c>
      <c r="D171" s="1157" t="s">
        <v>668</v>
      </c>
      <c r="E171" s="1158" t="s">
        <v>3358</v>
      </c>
    </row>
    <row r="172" spans="1:5" ht="36" x14ac:dyDescent="0.2">
      <c r="A172" s="1159">
        <v>166</v>
      </c>
      <c r="B172" s="1160" t="str">
        <f t="shared" si="5"/>
        <v>Température de dimensionnement des sondes:</v>
      </c>
      <c r="C172" s="1161" t="s">
        <v>759</v>
      </c>
      <c r="D172" s="1157" t="s">
        <v>3402</v>
      </c>
      <c r="E172" s="1158" t="s">
        <v>807</v>
      </c>
    </row>
    <row r="173" spans="1:5" ht="36" x14ac:dyDescent="0.2">
      <c r="A173" s="1159">
        <v>167</v>
      </c>
      <c r="B173" s="1160" t="str">
        <f t="shared" si="5"/>
        <v>Annexer le calcul externe (p. ex. avec le logiciel EWS) ou laisser vide.</v>
      </c>
      <c r="C173" s="1161" t="s">
        <v>107</v>
      </c>
      <c r="D173" s="1157" t="s">
        <v>364</v>
      </c>
      <c r="E173" s="1158" t="s">
        <v>3119</v>
      </c>
    </row>
    <row r="174" spans="1:5" ht="48.6" customHeight="1" x14ac:dyDescent="0.2">
      <c r="A174" s="1159">
        <v>168</v>
      </c>
      <c r="B174" s="1160" t="str">
        <f t="shared" si="5"/>
        <v>Prendre les valeurs selon publications du centre de test pour PAC WPZ, ou calculer avec dT utilisateur = Q / m cp</v>
      </c>
      <c r="C174" s="1161" t="s">
        <v>3904</v>
      </c>
      <c r="D174" s="1157" t="s">
        <v>1512</v>
      </c>
      <c r="E174" s="1158" t="s">
        <v>3359</v>
      </c>
    </row>
    <row r="175" spans="1:5" ht="34.15" customHeight="1" x14ac:dyDescent="0.2">
      <c r="A175" s="1159">
        <v>169</v>
      </c>
      <c r="B175" s="1160" t="str">
        <f t="shared" si="5"/>
        <v>Indique à combien de °C au-dessus de la température de départ l'accumulateur est chargé.</v>
      </c>
      <c r="C175" s="1161" t="s">
        <v>2114</v>
      </c>
      <c r="D175" s="1157" t="s">
        <v>1513</v>
      </c>
      <c r="E175" s="1158" t="s">
        <v>3360</v>
      </c>
    </row>
    <row r="176" spans="1:5" ht="48" x14ac:dyDescent="0.2">
      <c r="A176" s="1159">
        <v>170</v>
      </c>
      <c r="B176" s="1160" t="str">
        <f t="shared" si="5"/>
        <v>Température de commutation pour fonctionnement bivalent alternatif:</v>
      </c>
      <c r="C176" s="1161" t="s">
        <v>108</v>
      </c>
      <c r="D176" s="1157" t="s">
        <v>1471</v>
      </c>
      <c r="E176" s="1158" t="s">
        <v>1460</v>
      </c>
    </row>
    <row r="177" spans="1:5" ht="69" customHeight="1" x14ac:dyDescent="0.2">
      <c r="A177" s="1159">
        <v>171</v>
      </c>
      <c r="B177" s="1160" t="str">
        <f t="shared" si="5"/>
        <v>Température extérieure de dimensionnement au-dessous de laquelle la PAC est complètement déclenchée, le chauffage d'appoint couvrant la totalité des besoins de chaleur.</v>
      </c>
      <c r="C177" s="1161" t="s">
        <v>109</v>
      </c>
      <c r="D177" s="1157" t="s">
        <v>1643</v>
      </c>
      <c r="E177" s="1158" t="s">
        <v>1579</v>
      </c>
    </row>
    <row r="178" spans="1:5" ht="24" x14ac:dyDescent="0.2">
      <c r="A178" s="1159">
        <v>172</v>
      </c>
      <c r="B178" s="1160" t="str">
        <f t="shared" si="5"/>
        <v>Chauffage électrique en fonctionnement parallèle:</v>
      </c>
      <c r="C178" s="1161" t="s">
        <v>110</v>
      </c>
      <c r="D178" s="1157" t="s">
        <v>1644</v>
      </c>
      <c r="E178" s="1158" t="s">
        <v>1580</v>
      </c>
    </row>
    <row r="179" spans="1:5" ht="48" x14ac:dyDescent="0.2">
      <c r="A179" s="1159">
        <v>173</v>
      </c>
      <c r="B179" s="1160" t="str">
        <f t="shared" si="5"/>
        <v>Corps de chauffe monté dans l'accumulateur, non bloqué durant le chargement de l'accumulteur.</v>
      </c>
      <c r="C179" s="1161" t="s">
        <v>111</v>
      </c>
      <c r="D179" s="1157" t="s">
        <v>669</v>
      </c>
      <c r="E179" s="1158" t="s">
        <v>1581</v>
      </c>
    </row>
    <row r="180" spans="1:5" ht="24" x14ac:dyDescent="0.2">
      <c r="A180" s="1159">
        <v>174</v>
      </c>
      <c r="B180" s="1160" t="str">
        <f t="shared" si="5"/>
        <v>Registre électrique pour post-chauffage:</v>
      </c>
      <c r="C180" s="1161" t="s">
        <v>112</v>
      </c>
      <c r="D180" s="1157" t="s">
        <v>3222</v>
      </c>
      <c r="E180" s="1158" t="s">
        <v>1582</v>
      </c>
    </row>
    <row r="181" spans="1:5" ht="84" x14ac:dyDescent="0.2">
      <c r="A181" s="1159">
        <v>175</v>
      </c>
      <c r="B181" s="1160" t="str">
        <f t="shared" si="5"/>
        <v>Registre électrique instantanné après l'accumulateur ou registre électrique dans accumulateur, bloqué durant le chargement de l'accumulateur.</v>
      </c>
      <c r="C181" s="1161" t="s">
        <v>113</v>
      </c>
      <c r="D181" s="1157" t="s">
        <v>670</v>
      </c>
      <c r="E181" s="1158" t="s">
        <v>1583</v>
      </c>
    </row>
    <row r="182" spans="1:5" ht="48" x14ac:dyDescent="0.2">
      <c r="A182" s="1159">
        <v>176</v>
      </c>
      <c r="B182" s="1160" t="str">
        <f t="shared" ref="B182:B213" si="6">IF(F182&lt;&gt;"",F182,INDEX($C$7:$F$713,A182,$C$2))</f>
        <v>Température de l'ECS pouvant être atteinte avec la seule PAC.</v>
      </c>
      <c r="C182" s="1161" t="s">
        <v>114</v>
      </c>
      <c r="D182" s="1157" t="s">
        <v>1645</v>
      </c>
      <c r="E182" s="1158" t="s">
        <v>941</v>
      </c>
    </row>
    <row r="183" spans="1:5" ht="16.899999999999999" customHeight="1" x14ac:dyDescent="0.2">
      <c r="A183" s="1159">
        <v>177</v>
      </c>
      <c r="B183" s="1160" t="str">
        <f t="shared" si="6"/>
        <v>Installation solaire:</v>
      </c>
      <c r="C183" s="1161" t="s">
        <v>1602</v>
      </c>
      <c r="D183" s="1157" t="s">
        <v>1603</v>
      </c>
      <c r="E183" s="1158" t="s">
        <v>3684</v>
      </c>
    </row>
    <row r="184" spans="1:5" ht="72" x14ac:dyDescent="0.2">
      <c r="A184" s="1159">
        <v>178</v>
      </c>
      <c r="B184" s="1160" t="str">
        <f t="shared" si="6"/>
        <v>1. Aucune installation solaire  2. Chauffage solaire ECS  3. Chauffage solaire ECS avec appoint au chauffage</v>
      </c>
      <c r="C184" s="1161" t="s">
        <v>1604</v>
      </c>
      <c r="D184" s="1157" t="s">
        <v>1605</v>
      </c>
      <c r="E184" s="1158" t="s">
        <v>3685</v>
      </c>
    </row>
    <row r="185" spans="1:5" ht="14.45" customHeight="1" x14ac:dyDescent="0.2">
      <c r="A185" s="1159">
        <v>179</v>
      </c>
      <c r="B185" s="1160" t="str">
        <f t="shared" si="6"/>
        <v>Valeurs de calcul pour Tdép</v>
      </c>
      <c r="C185" s="1161" t="s">
        <v>1496</v>
      </c>
      <c r="D185" s="1160" t="s">
        <v>3329</v>
      </c>
      <c r="E185" s="1158" t="s">
        <v>21</v>
      </c>
    </row>
    <row r="186" spans="1:5" ht="23.45" customHeight="1" x14ac:dyDescent="0.2">
      <c r="A186" s="1159">
        <v>180</v>
      </c>
      <c r="B186" s="1160" t="str">
        <f t="shared" si="6"/>
        <v>Taux de couverture du chauffage d'appoint pour chauffage:</v>
      </c>
      <c r="C186" s="1161" t="s">
        <v>115</v>
      </c>
      <c r="D186" s="1157" t="s">
        <v>1646</v>
      </c>
      <c r="E186" s="1158" t="s">
        <v>498</v>
      </c>
    </row>
    <row r="187" spans="1:5" ht="24" x14ac:dyDescent="0.2">
      <c r="A187" s="1159">
        <v>181</v>
      </c>
      <c r="B187" s="1160" t="str">
        <f t="shared" si="6"/>
        <v>A reporter dans le justificatif MINERGIE</v>
      </c>
      <c r="C187" s="1161" t="s">
        <v>1106</v>
      </c>
      <c r="D187" s="1157" t="s">
        <v>1647</v>
      </c>
      <c r="E187" s="1158" t="s">
        <v>499</v>
      </c>
    </row>
    <row r="188" spans="1:5" x14ac:dyDescent="0.2">
      <c r="A188" s="1159">
        <v>182</v>
      </c>
      <c r="B188" s="1160" t="str">
        <f t="shared" si="6"/>
        <v>Surface</v>
      </c>
      <c r="C188" s="1161" t="s">
        <v>1507</v>
      </c>
      <c r="D188" s="1157" t="s">
        <v>1508</v>
      </c>
      <c r="E188" s="1158" t="s">
        <v>1509</v>
      </c>
    </row>
    <row r="189" spans="1:5" ht="23.45" customHeight="1" x14ac:dyDescent="0.2">
      <c r="A189" s="1159">
        <v>183</v>
      </c>
      <c r="B189" s="1160" t="str">
        <f t="shared" si="6"/>
        <v>Taux de couverture du chauffage d'appoint pour chauffage ECS:</v>
      </c>
      <c r="C189" s="1161" t="s">
        <v>1107</v>
      </c>
      <c r="D189" s="1157" t="s">
        <v>1648</v>
      </c>
      <c r="E189" s="1158" t="s">
        <v>500</v>
      </c>
    </row>
    <row r="190" spans="1:5" ht="25.9" customHeight="1" x14ac:dyDescent="0.2">
      <c r="A190" s="1159">
        <v>184</v>
      </c>
      <c r="B190" s="1160" t="str">
        <f t="shared" si="6"/>
        <v>A reporter dans le justificatif MINERGIE</v>
      </c>
      <c r="C190" s="1161" t="s">
        <v>1106</v>
      </c>
      <c r="D190" s="1157" t="s">
        <v>1647</v>
      </c>
      <c r="E190" s="1158" t="s">
        <v>499</v>
      </c>
    </row>
    <row r="191" spans="1:5" ht="24.6" customHeight="1" x14ac:dyDescent="0.2">
      <c r="A191" s="1159">
        <v>185</v>
      </c>
      <c r="B191" s="1160" t="str">
        <f t="shared" si="6"/>
        <v>Taux de couverture de la PAC pour le chauffage:</v>
      </c>
      <c r="C191" s="1161" t="s">
        <v>1007</v>
      </c>
      <c r="D191" s="1157" t="s">
        <v>1649</v>
      </c>
      <c r="E191" s="1158" t="s">
        <v>501</v>
      </c>
    </row>
    <row r="192" spans="1:5" ht="28.9" customHeight="1" x14ac:dyDescent="0.2">
      <c r="A192" s="1159">
        <v>186</v>
      </c>
      <c r="B192" s="1160" t="str">
        <f t="shared" si="6"/>
        <v>A reporter dans le justificatif MINERGIE</v>
      </c>
      <c r="C192" s="1161" t="s">
        <v>1106</v>
      </c>
      <c r="D192" s="1157" t="s">
        <v>1647</v>
      </c>
      <c r="E192" s="1158" t="s">
        <v>499</v>
      </c>
    </row>
    <row r="193" spans="1:5" ht="25.9" customHeight="1" x14ac:dyDescent="0.2">
      <c r="A193" s="1159">
        <v>187</v>
      </c>
      <c r="B193" s="1160" t="str">
        <f t="shared" si="6"/>
        <v>Taux de couverture de la PAC pour ECS</v>
      </c>
      <c r="C193" s="1161" t="s">
        <v>1008</v>
      </c>
      <c r="D193" s="1157" t="s">
        <v>3223</v>
      </c>
      <c r="E193" s="1158" t="s">
        <v>3683</v>
      </c>
    </row>
    <row r="194" spans="1:5" ht="31.15" customHeight="1" x14ac:dyDescent="0.2">
      <c r="A194" s="1159">
        <v>188</v>
      </c>
      <c r="B194" s="1160" t="str">
        <f t="shared" si="6"/>
        <v>A reporter dans le justificatif MINERGIE</v>
      </c>
      <c r="C194" s="1161" t="s">
        <v>1106</v>
      </c>
      <c r="D194" s="1157" t="s">
        <v>1647</v>
      </c>
      <c r="E194" s="1158" t="s">
        <v>499</v>
      </c>
    </row>
    <row r="195" spans="1:5" ht="13.15" customHeight="1" x14ac:dyDescent="0.2">
      <c r="A195" s="1159">
        <v>189</v>
      </c>
      <c r="B195" s="1160" t="str">
        <f t="shared" si="6"/>
        <v>Coefficient de performance</v>
      </c>
      <c r="C195" s="1161" t="s">
        <v>1606</v>
      </c>
      <c r="D195" s="1157" t="s">
        <v>1607</v>
      </c>
      <c r="E195" s="1158" t="s">
        <v>3686</v>
      </c>
    </row>
    <row r="196" spans="1:5" ht="36" customHeight="1" x14ac:dyDescent="0.2">
      <c r="A196" s="1159">
        <v>190</v>
      </c>
      <c r="B196" s="1160" t="str">
        <f t="shared" si="6"/>
        <v>sans tenir compte du chauffage d'appoint électrique / sans RC</v>
      </c>
      <c r="C196" s="1161" t="s">
        <v>1608</v>
      </c>
      <c r="D196" s="1157" t="s">
        <v>1609</v>
      </c>
      <c r="E196" s="1158" t="s">
        <v>3687</v>
      </c>
    </row>
    <row r="197" spans="1:5" ht="27" customHeight="1" x14ac:dyDescent="0.2">
      <c r="A197" s="1159">
        <v>191</v>
      </c>
      <c r="B197" s="1160" t="str">
        <f t="shared" si="6"/>
        <v>Puissance de chauffe pour Tdép</v>
      </c>
      <c r="C197" s="1161" t="s">
        <v>1497</v>
      </c>
      <c r="D197" s="1157" t="s">
        <v>3410</v>
      </c>
      <c r="E197" s="1158" t="s">
        <v>5</v>
      </c>
    </row>
    <row r="198" spans="1:5" ht="24" x14ac:dyDescent="0.2">
      <c r="A198" s="1159">
        <v>192</v>
      </c>
      <c r="B198" s="1160" t="str">
        <f t="shared" si="6"/>
        <v>COP à la température de départ</v>
      </c>
      <c r="C198" s="1161" t="s">
        <v>1498</v>
      </c>
      <c r="D198" s="1160" t="s">
        <v>3330</v>
      </c>
      <c r="E198" s="1158" t="s">
        <v>6</v>
      </c>
    </row>
    <row r="199" spans="1:5" ht="24" x14ac:dyDescent="0.2">
      <c r="A199" s="1159">
        <v>193</v>
      </c>
      <c r="B199" s="1160" t="str">
        <f t="shared" si="6"/>
        <v>Circulation d'ECS / câble chauffant</v>
      </c>
      <c r="C199" s="1161" t="s">
        <v>1591</v>
      </c>
      <c r="D199" s="1160" t="s">
        <v>3331</v>
      </c>
      <c r="E199" s="1158" t="s">
        <v>7</v>
      </c>
    </row>
    <row r="200" spans="1:5" ht="36" x14ac:dyDescent="0.2">
      <c r="A200" s="1159">
        <v>194</v>
      </c>
      <c r="B200" s="1160" t="str">
        <f t="shared" si="6"/>
        <v>Coefficient de performance annuel (COPa) de la PAC, pour le chauffage</v>
      </c>
      <c r="C200" s="1161" t="s">
        <v>651</v>
      </c>
      <c r="D200" s="1157" t="s">
        <v>1650</v>
      </c>
      <c r="E200" s="1158" t="s">
        <v>3688</v>
      </c>
    </row>
    <row r="201" spans="1:5" ht="49.15" customHeight="1" x14ac:dyDescent="0.2">
      <c r="A201" s="1159">
        <v>195</v>
      </c>
      <c r="B201" s="1160" t="str">
        <f t="shared" si="6"/>
        <v>Sans considérer la part de chauffage électrique direct et sans la part de la RC. A reporter dans le justificatif MINERGIE.</v>
      </c>
      <c r="C201" s="1161" t="s">
        <v>652</v>
      </c>
      <c r="D201" s="1157" t="s">
        <v>497</v>
      </c>
      <c r="E201" s="1158" t="s">
        <v>939</v>
      </c>
    </row>
    <row r="202" spans="1:5" ht="36" x14ac:dyDescent="0.2">
      <c r="A202" s="1159">
        <v>196</v>
      </c>
      <c r="B202" s="1160" t="str">
        <f t="shared" si="6"/>
        <v>Coefficient de performance annuel (COPa) de la PAC, pour l'ECS</v>
      </c>
      <c r="C202" s="1161" t="s">
        <v>653</v>
      </c>
      <c r="D202" s="1157" t="s">
        <v>1651</v>
      </c>
      <c r="E202" s="1158" t="s">
        <v>3689</v>
      </c>
    </row>
    <row r="203" spans="1:5" ht="48" x14ac:dyDescent="0.2">
      <c r="A203" s="1159">
        <v>197</v>
      </c>
      <c r="B203" s="1160" t="str">
        <f t="shared" si="6"/>
        <v>sans tenir compte de la part de chauffage électrique direct. A reporter dans le justificatif MINERGIE</v>
      </c>
      <c r="C203" s="1161" t="s">
        <v>654</v>
      </c>
      <c r="D203" s="1157" t="s">
        <v>1652</v>
      </c>
      <c r="E203" s="1158" t="s">
        <v>940</v>
      </c>
    </row>
    <row r="204" spans="1:5" x14ac:dyDescent="0.2">
      <c r="A204" s="1159">
        <v>198</v>
      </c>
      <c r="B204" s="1160" t="str">
        <f t="shared" si="6"/>
        <v>Azimut:</v>
      </c>
      <c r="C204" s="1161" t="s">
        <v>1203</v>
      </c>
      <c r="D204" s="1157" t="s">
        <v>1203</v>
      </c>
      <c r="E204" s="1158" t="s">
        <v>1203</v>
      </c>
    </row>
    <row r="205" spans="1:5" ht="48" x14ac:dyDescent="0.2">
      <c r="A205" s="1159">
        <v>199</v>
      </c>
      <c r="B205" s="1160" t="str">
        <f t="shared" si="6"/>
        <v>Ecart du champ de capteurs par rapport au Sud.  0 = Sud.  90 = Est ou Ouest.  Donnée sans [°].</v>
      </c>
      <c r="C205" s="1161" t="s">
        <v>650</v>
      </c>
      <c r="D205" s="1157" t="s">
        <v>1653</v>
      </c>
      <c r="E205" s="1158" t="s">
        <v>3690</v>
      </c>
    </row>
    <row r="206" spans="1:5" x14ac:dyDescent="0.2">
      <c r="A206" s="1159">
        <v>200</v>
      </c>
      <c r="B206" s="1160" t="str">
        <f t="shared" si="6"/>
        <v>Inclinaison:</v>
      </c>
      <c r="C206" s="1161" t="s">
        <v>1209</v>
      </c>
      <c r="D206" s="1157" t="s">
        <v>3224</v>
      </c>
      <c r="E206" s="1158" t="s">
        <v>3691</v>
      </c>
    </row>
    <row r="207" spans="1:5" ht="36" x14ac:dyDescent="0.2">
      <c r="A207" s="1159">
        <v>201</v>
      </c>
      <c r="B207" s="1160" t="str">
        <f t="shared" si="6"/>
        <v>Pente/inclinaison des collecteurs. 0 = horizontal, 90 = vertical.  Donnée sans [°].</v>
      </c>
      <c r="C207" s="1161" t="s">
        <v>1006</v>
      </c>
      <c r="D207" s="1157" t="s">
        <v>671</v>
      </c>
      <c r="E207" s="1158" t="s">
        <v>3692</v>
      </c>
    </row>
    <row r="208" spans="1:5" x14ac:dyDescent="0.2">
      <c r="A208" s="1159">
        <v>202</v>
      </c>
      <c r="B208" s="1160" t="str">
        <f t="shared" si="6"/>
        <v>Circulation d'ECS</v>
      </c>
      <c r="C208" s="1161" t="s">
        <v>2544</v>
      </c>
      <c r="D208" s="1160" t="s">
        <v>649</v>
      </c>
      <c r="E208" s="1158" t="s">
        <v>2</v>
      </c>
    </row>
    <row r="209" spans="1:5" x14ac:dyDescent="0.2">
      <c r="A209" s="1159">
        <v>203</v>
      </c>
      <c r="B209" s="1160" t="str">
        <f t="shared" si="6"/>
        <v>Câble chauffant</v>
      </c>
      <c r="C209" s="1161" t="s">
        <v>2545</v>
      </c>
      <c r="D209" s="1160" t="s">
        <v>3332</v>
      </c>
      <c r="E209" s="1158" t="s">
        <v>1</v>
      </c>
    </row>
    <row r="210" spans="1:5" x14ac:dyDescent="0.2">
      <c r="A210" s="1159">
        <v>204</v>
      </c>
      <c r="B210" s="1160" t="str">
        <f t="shared" si="6"/>
        <v>Graphique PAC</v>
      </c>
      <c r="C210" s="1161" t="s">
        <v>2706</v>
      </c>
      <c r="D210" s="1157" t="s">
        <v>2707</v>
      </c>
      <c r="E210" s="1158" t="s">
        <v>3693</v>
      </c>
    </row>
    <row r="211" spans="1:5" x14ac:dyDescent="0.2">
      <c r="A211" s="1159">
        <v>205</v>
      </c>
      <c r="B211" s="1160" t="str">
        <f t="shared" si="6"/>
        <v>Calcul de la courbe de charge</v>
      </c>
      <c r="C211" s="1161" t="s">
        <v>3895</v>
      </c>
      <c r="D211" s="1157" t="s">
        <v>311</v>
      </c>
      <c r="E211" s="1158" t="s">
        <v>3694</v>
      </c>
    </row>
    <row r="212" spans="1:5" x14ac:dyDescent="0.2">
      <c r="A212" s="1159">
        <v>206</v>
      </c>
      <c r="B212" s="1160" t="str">
        <f t="shared" si="6"/>
        <v>Climat et profil de charge:</v>
      </c>
      <c r="C212" s="1161" t="s">
        <v>2349</v>
      </c>
      <c r="D212" s="1157" t="s">
        <v>1654</v>
      </c>
      <c r="E212" s="1158" t="s">
        <v>3695</v>
      </c>
    </row>
    <row r="213" spans="1:5" x14ac:dyDescent="0.2">
      <c r="A213" s="1159">
        <v>207</v>
      </c>
      <c r="B213" s="1160" t="str">
        <f t="shared" si="6"/>
        <v>Station climatique</v>
      </c>
      <c r="C213" s="1161" t="s">
        <v>1457</v>
      </c>
      <c r="D213" s="1157" t="s">
        <v>303</v>
      </c>
      <c r="E213" s="1158" t="s">
        <v>1516</v>
      </c>
    </row>
    <row r="214" spans="1:5" x14ac:dyDescent="0.2">
      <c r="A214" s="1159">
        <v>208</v>
      </c>
      <c r="B214" s="1160" t="str">
        <f t="shared" ref="B214:B245" si="7">IF(F214&lt;&gt;"",F214,INDEX($C$7:$F$713,A214,$C$2))</f>
        <v>Période chauffage</v>
      </c>
      <c r="C214" s="1161" t="s">
        <v>1458</v>
      </c>
      <c r="D214" s="1157" t="s">
        <v>313</v>
      </c>
      <c r="E214" s="1158" t="s">
        <v>3696</v>
      </c>
    </row>
    <row r="215" spans="1:5" x14ac:dyDescent="0.2">
      <c r="A215" s="1159">
        <v>209</v>
      </c>
      <c r="B215" s="1160" t="str">
        <f t="shared" si="7"/>
        <v>Correction clim.</v>
      </c>
      <c r="C215" s="1161" t="s">
        <v>2313</v>
      </c>
      <c r="D215" s="1157" t="s">
        <v>312</v>
      </c>
      <c r="E215" s="1158" t="s">
        <v>3697</v>
      </c>
    </row>
    <row r="216" spans="1:5" x14ac:dyDescent="0.2">
      <c r="A216" s="1159">
        <v>210</v>
      </c>
      <c r="B216" s="1160" t="str">
        <f t="shared" si="7"/>
        <v xml:space="preserve">Besoins de chaleur </v>
      </c>
      <c r="C216" s="1161" t="s">
        <v>1459</v>
      </c>
      <c r="D216" s="1157" t="s">
        <v>1466</v>
      </c>
      <c r="E216" s="1158" t="s">
        <v>3698</v>
      </c>
    </row>
    <row r="217" spans="1:5" x14ac:dyDescent="0.2">
      <c r="A217" s="1159">
        <v>211</v>
      </c>
      <c r="B217" s="1160" t="str">
        <f t="shared" si="7"/>
        <v>Gains de chaleur</v>
      </c>
      <c r="C217" s="1161" t="s">
        <v>2318</v>
      </c>
      <c r="D217" s="1157" t="s">
        <v>314</v>
      </c>
      <c r="E217" s="1158" t="s">
        <v>3699</v>
      </c>
    </row>
    <row r="218" spans="1:5" x14ac:dyDescent="0.2">
      <c r="A218" s="1159">
        <v>212</v>
      </c>
      <c r="B218" s="1160" t="str">
        <f t="shared" si="7"/>
        <v>"Part solaire:"</v>
      </c>
      <c r="C218" s="1161" t="s">
        <v>3471</v>
      </c>
      <c r="D218" s="1157" t="s">
        <v>3472</v>
      </c>
      <c r="E218" s="1158" t="s">
        <v>3700</v>
      </c>
    </row>
    <row r="219" spans="1:5" x14ac:dyDescent="0.2">
      <c r="A219" s="1159">
        <v>213</v>
      </c>
      <c r="B219" s="1160" t="str">
        <f t="shared" si="7"/>
        <v>P nécessaire ECS</v>
      </c>
      <c r="C219" s="1161" t="s">
        <v>2322</v>
      </c>
      <c r="D219" s="1157" t="s">
        <v>3679</v>
      </c>
      <c r="E219" s="1158" t="s">
        <v>3701</v>
      </c>
    </row>
    <row r="220" spans="1:5" x14ac:dyDescent="0.2">
      <c r="A220" s="1159">
        <v>214</v>
      </c>
      <c r="B220" s="1160" t="str">
        <f t="shared" si="7"/>
        <v>Pompe à chaleur:</v>
      </c>
      <c r="C220" s="1161" t="s">
        <v>2350</v>
      </c>
      <c r="D220" s="1157" t="s">
        <v>3682</v>
      </c>
      <c r="E220" s="1158" t="s">
        <v>3702</v>
      </c>
    </row>
    <row r="221" spans="1:5" x14ac:dyDescent="0.2">
      <c r="A221" s="1159">
        <v>215</v>
      </c>
      <c r="B221" s="1160" t="str">
        <f t="shared" si="7"/>
        <v>Durée marche PAC</v>
      </c>
      <c r="C221" s="1161" t="s">
        <v>2327</v>
      </c>
      <c r="D221" s="1157" t="s">
        <v>315</v>
      </c>
      <c r="E221" s="1158" t="s">
        <v>3703</v>
      </c>
    </row>
    <row r="222" spans="1:5" x14ac:dyDescent="0.2">
      <c r="A222" s="1159">
        <v>216</v>
      </c>
      <c r="B222" s="1160" t="str">
        <f t="shared" si="7"/>
        <v>Besoin d'électricité PAC</v>
      </c>
      <c r="C222" s="1161" t="s">
        <v>2345</v>
      </c>
      <c r="D222" s="1157" t="s">
        <v>1655</v>
      </c>
      <c r="E222" s="1158" t="s">
        <v>3704</v>
      </c>
    </row>
    <row r="223" spans="1:5" x14ac:dyDescent="0.2">
      <c r="A223" s="1159">
        <v>217</v>
      </c>
      <c r="B223" s="1160" t="str">
        <f t="shared" si="7"/>
        <v>Besoin d'énergie:</v>
      </c>
      <c r="C223" s="1161" t="s">
        <v>2348</v>
      </c>
      <c r="D223" s="1157" t="s">
        <v>3225</v>
      </c>
      <c r="E223" s="1158" t="s">
        <v>3705</v>
      </c>
    </row>
    <row r="224" spans="1:5" x14ac:dyDescent="0.2">
      <c r="A224" s="1159">
        <v>218</v>
      </c>
      <c r="B224" s="1160" t="str">
        <f t="shared" si="7"/>
        <v>Besoins de chaleur</v>
      </c>
      <c r="C224" s="1161" t="s">
        <v>1459</v>
      </c>
      <c r="D224" s="1157" t="s">
        <v>1467</v>
      </c>
      <c r="E224" s="1158" t="s">
        <v>3698</v>
      </c>
    </row>
    <row r="225" spans="1:6" x14ac:dyDescent="0.2">
      <c r="A225" s="1159">
        <v>219</v>
      </c>
      <c r="B225" s="1160" t="str">
        <f t="shared" si="7"/>
        <v>Distribution chauffage</v>
      </c>
      <c r="C225" s="1161" t="s">
        <v>2314</v>
      </c>
      <c r="D225" s="1157" t="s">
        <v>316</v>
      </c>
      <c r="E225" s="1158" t="s">
        <v>3706</v>
      </c>
    </row>
    <row r="226" spans="1:6" x14ac:dyDescent="0.2">
      <c r="A226" s="1159">
        <v>220</v>
      </c>
      <c r="B226" s="1160" t="str">
        <f t="shared" si="7"/>
        <v>Besoins chaleur ECS</v>
      </c>
      <c r="C226" s="1161" t="s">
        <v>2316</v>
      </c>
      <c r="D226" s="1157" t="s">
        <v>317</v>
      </c>
      <c r="E226" s="1158" t="s">
        <v>3707</v>
      </c>
    </row>
    <row r="227" spans="1:6" x14ac:dyDescent="0.2">
      <c r="A227" s="1159">
        <v>221</v>
      </c>
      <c r="B227" s="1160" t="str">
        <f t="shared" si="7"/>
        <v>Distribution ECS</v>
      </c>
      <c r="C227" s="1161" t="s">
        <v>2319</v>
      </c>
      <c r="D227" s="1157" t="s">
        <v>318</v>
      </c>
      <c r="E227" s="1158" t="s">
        <v>3708</v>
      </c>
    </row>
    <row r="228" spans="1:6" x14ac:dyDescent="0.2">
      <c r="A228" s="1159">
        <v>222</v>
      </c>
      <c r="B228" s="1160" t="str">
        <f t="shared" si="7"/>
        <v>Besoins totaux:</v>
      </c>
      <c r="C228" s="1161" t="s">
        <v>2320</v>
      </c>
      <c r="D228" s="1157" t="s">
        <v>3674</v>
      </c>
      <c r="E228" s="1158" t="s">
        <v>870</v>
      </c>
    </row>
    <row r="229" spans="1:6" ht="24" x14ac:dyDescent="0.2">
      <c r="A229" s="1159">
        <v>223</v>
      </c>
      <c r="B229" s="1160" t="str">
        <f t="shared" si="7"/>
        <v>Besoin de puissance de chauffage (sans ECS)</v>
      </c>
      <c r="C229" s="1161" t="s">
        <v>2346</v>
      </c>
      <c r="D229" s="1157" t="s">
        <v>1656</v>
      </c>
      <c r="E229" s="1158" t="s">
        <v>3143</v>
      </c>
    </row>
    <row r="230" spans="1:6" x14ac:dyDescent="0.2">
      <c r="A230" s="1159">
        <v>224</v>
      </c>
      <c r="B230" s="1160" t="str">
        <f t="shared" si="7"/>
        <v>Proposition à °C</v>
      </c>
      <c r="C230" s="1161" t="s">
        <v>320</v>
      </c>
      <c r="D230" s="1157" t="s">
        <v>321</v>
      </c>
      <c r="E230" s="1158" t="s">
        <v>322</v>
      </c>
      <c r="F230" s="1140" t="str">
        <f>IF(TaMin&lt;&gt;0,INDEX($C$7:$F$713,A230,$C$2)&amp;TaMin&amp;"°C",INDEX($C$7:$F$713,A230,$C$2)&amp;"-8°C")</f>
        <v>Proposition à °C</v>
      </c>
    </row>
    <row r="231" spans="1:6" x14ac:dyDescent="0.2">
      <c r="A231" s="1159">
        <v>225</v>
      </c>
      <c r="B231" s="1160" t="str">
        <f t="shared" si="7"/>
        <v>P calculée à °C</v>
      </c>
      <c r="C231" s="1161" t="s">
        <v>319</v>
      </c>
      <c r="D231" s="1157" t="s">
        <v>323</v>
      </c>
      <c r="E231" s="1158" t="s">
        <v>324</v>
      </c>
      <c r="F231" s="1140" t="str">
        <f>IF(TaMin&lt;&gt;0,INDEX($C$7:$F$713,A231,$C$2)&amp;TaMin&amp;"°C",INDEX($C$7:$F$713,A231,$C$2)&amp;"-8°C")</f>
        <v>P calculée à °C</v>
      </c>
    </row>
    <row r="232" spans="1:6" x14ac:dyDescent="0.2">
      <c r="A232" s="1159">
        <v>226</v>
      </c>
      <c r="B232" s="1160" t="str">
        <f t="shared" si="7"/>
        <v xml:space="preserve">P calculée à -8°C </v>
      </c>
      <c r="C232" s="1161" t="s">
        <v>2347</v>
      </c>
      <c r="D232" s="1157" t="s">
        <v>1465</v>
      </c>
      <c r="E232" s="1158" t="s">
        <v>3144</v>
      </c>
    </row>
    <row r="233" spans="1:6" ht="24" x14ac:dyDescent="0.2">
      <c r="A233" s="1159">
        <v>227</v>
      </c>
      <c r="B233" s="1160" t="str">
        <f t="shared" si="7"/>
        <v>Couverture des besoins et COP's:</v>
      </c>
      <c r="C233" s="1161" t="s">
        <v>2351</v>
      </c>
      <c r="D233" s="1157" t="s">
        <v>3226</v>
      </c>
      <c r="E233" s="1158" t="s">
        <v>3145</v>
      </c>
    </row>
    <row r="234" spans="1:6" ht="24" x14ac:dyDescent="0.2">
      <c r="A234" s="1159">
        <v>228</v>
      </c>
      <c r="B234" s="1160" t="str">
        <f t="shared" si="7"/>
        <v>Taux couverture solaire (chauf.)</v>
      </c>
      <c r="C234" s="1161" t="s">
        <v>1217</v>
      </c>
      <c r="D234" s="1157" t="s">
        <v>673</v>
      </c>
      <c r="E234" s="1158" t="s">
        <v>3146</v>
      </c>
    </row>
    <row r="235" spans="1:6" ht="24" x14ac:dyDescent="0.2">
      <c r="A235" s="1159">
        <v>229</v>
      </c>
      <c r="B235" s="1160" t="str">
        <f t="shared" si="7"/>
        <v>Taux couverture solaire (ECS)</v>
      </c>
      <c r="C235" s="1161" t="s">
        <v>1218</v>
      </c>
      <c r="D235" s="1157" t="s">
        <v>672</v>
      </c>
      <c r="E235" s="1158" t="s">
        <v>3147</v>
      </c>
    </row>
    <row r="236" spans="1:6" x14ac:dyDescent="0.2">
      <c r="A236" s="1159">
        <v>230</v>
      </c>
      <c r="B236" s="1160" t="str">
        <f t="shared" si="7"/>
        <v>Taux couverture PAC (chauf)</v>
      </c>
      <c r="C236" s="1161" t="s">
        <v>2324</v>
      </c>
      <c r="D236" s="1157" t="s">
        <v>3675</v>
      </c>
      <c r="E236" s="1158" t="s">
        <v>3148</v>
      </c>
    </row>
    <row r="237" spans="1:6" x14ac:dyDescent="0.2">
      <c r="A237" s="1159">
        <v>231</v>
      </c>
      <c r="B237" s="1160" t="str">
        <f t="shared" si="7"/>
        <v>Taux couverture PAC (ECS)</v>
      </c>
      <c r="C237" s="1161" t="s">
        <v>2325</v>
      </c>
      <c r="D237" s="1157" t="s">
        <v>3676</v>
      </c>
      <c r="E237" s="1158" t="s">
        <v>2096</v>
      </c>
    </row>
    <row r="238" spans="1:6" x14ac:dyDescent="0.2">
      <c r="A238" s="1159">
        <v>232</v>
      </c>
      <c r="B238" s="1160" t="str">
        <f t="shared" si="7"/>
        <v>COPA PAC (chauffage)</v>
      </c>
      <c r="C238" s="1161" t="s">
        <v>2326</v>
      </c>
      <c r="D238" s="1157" t="s">
        <v>3677</v>
      </c>
      <c r="E238" s="1158" t="s">
        <v>2097</v>
      </c>
    </row>
    <row r="239" spans="1:6" x14ac:dyDescent="0.2">
      <c r="A239" s="1159">
        <v>233</v>
      </c>
      <c r="B239" s="1160" t="str">
        <f t="shared" si="7"/>
        <v>COPA PAC (ECS)</v>
      </c>
      <c r="C239" s="1161" t="s">
        <v>2328</v>
      </c>
      <c r="D239" s="1157" t="s">
        <v>3678</v>
      </c>
      <c r="E239" s="1158" t="s">
        <v>2098</v>
      </c>
    </row>
    <row r="240" spans="1:6" x14ac:dyDescent="0.2">
      <c r="A240" s="1159">
        <v>234</v>
      </c>
      <c r="B240" s="1160" t="str">
        <f t="shared" si="7"/>
        <v>PAC pour chauffage:</v>
      </c>
      <c r="C240" s="1161" t="s">
        <v>2312</v>
      </c>
      <c r="D240" s="1157" t="s">
        <v>1657</v>
      </c>
      <c r="E240" s="1158" t="s">
        <v>2099</v>
      </c>
    </row>
    <row r="241" spans="1:5" ht="13.15" customHeight="1" x14ac:dyDescent="0.2">
      <c r="A241" s="1159">
        <v>235</v>
      </c>
      <c r="B241" s="1160" t="str">
        <f t="shared" si="7"/>
        <v>PAC pour ECS:</v>
      </c>
      <c r="C241" s="1161" t="s">
        <v>2315</v>
      </c>
      <c r="D241" s="1157" t="s">
        <v>1658</v>
      </c>
      <c r="E241" s="1158" t="s">
        <v>2100</v>
      </c>
    </row>
    <row r="242" spans="1:5" ht="24" x14ac:dyDescent="0.2">
      <c r="A242" s="1159">
        <v>236</v>
      </c>
      <c r="B242" s="1160" t="str">
        <f t="shared" si="7"/>
        <v>Chauffage d'appoint ECS:</v>
      </c>
      <c r="C242" s="1161" t="s">
        <v>2317</v>
      </c>
      <c r="D242" s="1157" t="s">
        <v>68</v>
      </c>
      <c r="E242" s="1158" t="s">
        <v>2101</v>
      </c>
    </row>
    <row r="243" spans="1:5" x14ac:dyDescent="0.2">
      <c r="A243" s="1159">
        <v>237</v>
      </c>
      <c r="B243" s="1160" t="str">
        <f t="shared" si="7"/>
        <v>Appoint au chauffage:</v>
      </c>
      <c r="C243" s="1161" t="s">
        <v>2344</v>
      </c>
      <c r="D243" s="1157" t="s">
        <v>69</v>
      </c>
      <c r="E243" s="1158" t="s">
        <v>2102</v>
      </c>
    </row>
    <row r="244" spans="1:5" x14ac:dyDescent="0.2">
      <c r="A244" s="1159">
        <v>238</v>
      </c>
      <c r="B244" s="1160" t="str">
        <f t="shared" si="7"/>
        <v>Pertes:</v>
      </c>
      <c r="C244" s="1161" t="s">
        <v>2321</v>
      </c>
      <c r="D244" s="1157" t="s">
        <v>70</v>
      </c>
      <c r="E244" s="1158" t="s">
        <v>2103</v>
      </c>
    </row>
    <row r="245" spans="1:5" x14ac:dyDescent="0.2">
      <c r="A245" s="1159">
        <v>239</v>
      </c>
      <c r="B245" s="1160" t="str">
        <f t="shared" si="7"/>
        <v>Couverture des besoins:</v>
      </c>
      <c r="C245" s="1161" t="s">
        <v>2323</v>
      </c>
      <c r="D245" s="1157" t="s">
        <v>71</v>
      </c>
      <c r="E245" s="1158" t="s">
        <v>2104</v>
      </c>
    </row>
    <row r="246" spans="1:5" ht="24" x14ac:dyDescent="0.2">
      <c r="A246" s="1159">
        <v>240</v>
      </c>
      <c r="B246" s="1160" t="str">
        <f t="shared" ref="B246:B277" si="8">IF(F246&lt;&gt;"",F246,INDEX($C$7:$F$713,A246,$C$2))</f>
        <v>Temp extérieure
Ta</v>
      </c>
      <c r="C246" s="1161" t="s">
        <v>1109</v>
      </c>
      <c r="D246" s="1157" t="s">
        <v>1108</v>
      </c>
      <c r="E246" s="1158" t="s">
        <v>2709</v>
      </c>
    </row>
    <row r="247" spans="1:5" ht="24" x14ac:dyDescent="0.2">
      <c r="A247" s="1159">
        <v>241</v>
      </c>
      <c r="B247" s="1160" t="str">
        <f t="shared" si="8"/>
        <v>Puissance
nécessaire</v>
      </c>
      <c r="C247" s="1161" t="s">
        <v>1110</v>
      </c>
      <c r="D247" s="1157" t="s">
        <v>1111</v>
      </c>
      <c r="E247" s="1158" t="s">
        <v>2710</v>
      </c>
    </row>
    <row r="248" spans="1:5" ht="24" x14ac:dyDescent="0.2">
      <c r="A248" s="1159">
        <v>242</v>
      </c>
      <c r="B248" s="1160" t="str">
        <f t="shared" si="8"/>
        <v>Distribution
BIN</v>
      </c>
      <c r="C248" s="1161" t="s">
        <v>1113</v>
      </c>
      <c r="D248" s="1157" t="s">
        <v>1112</v>
      </c>
      <c r="E248" s="1158" t="s">
        <v>1727</v>
      </c>
    </row>
    <row r="249" spans="1:5" ht="24" x14ac:dyDescent="0.2">
      <c r="A249" s="1159">
        <v>243</v>
      </c>
      <c r="B249" s="1160" t="str">
        <f t="shared" si="8"/>
        <v>Courbe de charge
sans gains de chaleur</v>
      </c>
      <c r="C249" s="1161" t="s">
        <v>1114</v>
      </c>
      <c r="D249" s="1157" t="s">
        <v>1115</v>
      </c>
      <c r="E249" s="1158" t="s">
        <v>1728</v>
      </c>
    </row>
    <row r="250" spans="1:5" ht="24" x14ac:dyDescent="0.2">
      <c r="A250" s="1159">
        <v>244</v>
      </c>
      <c r="B250" s="1160" t="str">
        <f t="shared" si="8"/>
        <v>Fréquence
cumulée</v>
      </c>
      <c r="C250" s="1161" t="s">
        <v>1116</v>
      </c>
      <c r="D250" s="1157" t="s">
        <v>1117</v>
      </c>
      <c r="E250" s="1158" t="s">
        <v>1729</v>
      </c>
    </row>
    <row r="251" spans="1:5" ht="24" x14ac:dyDescent="0.2">
      <c r="A251" s="1159">
        <v>245</v>
      </c>
      <c r="B251" s="1160" t="str">
        <f t="shared" si="8"/>
        <v>Courbe de charge
avec gains chaleur</v>
      </c>
      <c r="C251" s="1161" t="s">
        <v>1712</v>
      </c>
      <c r="D251" s="1157" t="s">
        <v>1713</v>
      </c>
      <c r="E251" s="1158" t="s">
        <v>1730</v>
      </c>
    </row>
    <row r="252" spans="1:5" ht="24" x14ac:dyDescent="0.2">
      <c r="A252" s="1159">
        <v>246</v>
      </c>
      <c r="B252" s="1160" t="str">
        <f t="shared" si="8"/>
        <v>Apport chaleur
PAC</v>
      </c>
      <c r="C252" s="1161" t="s">
        <v>1714</v>
      </c>
      <c r="D252" s="1157" t="s">
        <v>1715</v>
      </c>
      <c r="E252" s="1158" t="s">
        <v>1731</v>
      </c>
    </row>
    <row r="253" spans="1:5" ht="24" x14ac:dyDescent="0.2">
      <c r="A253" s="1159">
        <v>247</v>
      </c>
      <c r="B253" s="1160" t="str">
        <f t="shared" si="8"/>
        <v>PAC + chauffage d'appoint</v>
      </c>
      <c r="C253" s="1161" t="s">
        <v>1716</v>
      </c>
      <c r="D253" s="1157" t="s">
        <v>3227</v>
      </c>
      <c r="E253" s="1158" t="s">
        <v>2711</v>
      </c>
    </row>
    <row r="254" spans="1:5" x14ac:dyDescent="0.2">
      <c r="A254" s="1159">
        <v>248</v>
      </c>
      <c r="B254" s="1160" t="str">
        <f t="shared" si="8"/>
        <v>Abréviations:</v>
      </c>
      <c r="C254" s="1161" t="s">
        <v>2337</v>
      </c>
      <c r="D254" s="1157" t="s">
        <v>1717</v>
      </c>
      <c r="E254" s="1158" t="s">
        <v>2712</v>
      </c>
    </row>
    <row r="255" spans="1:5" ht="69" customHeight="1" x14ac:dyDescent="0.2">
      <c r="A255" s="1159">
        <v>249</v>
      </c>
      <c r="B255" s="1160" t="str">
        <f t="shared" si="8"/>
        <v>PAC = pompe à chaleur; ECS = eau chaude sanitaire;  h = rendement;  COPA = coefficient de perf annuel (sans chauffage d'appoint ni résistance électrique)</v>
      </c>
      <c r="C255" s="1161" t="s">
        <v>1718</v>
      </c>
      <c r="D255" s="1157" t="s">
        <v>1719</v>
      </c>
      <c r="E255" s="1158" t="s">
        <v>2708</v>
      </c>
    </row>
    <row r="256" spans="1:5" ht="24" x14ac:dyDescent="0.2">
      <c r="A256" s="1159">
        <v>250</v>
      </c>
      <c r="B256" s="1160" t="str">
        <f t="shared" si="8"/>
        <v xml:space="preserve"> Besoins de chaleur sans les gains de chaleur</v>
      </c>
      <c r="C256" s="1161" t="s">
        <v>1736</v>
      </c>
      <c r="D256" s="1157" t="s">
        <v>3228</v>
      </c>
      <c r="E256" s="1158" t="s">
        <v>2719</v>
      </c>
    </row>
    <row r="257" spans="1:5" ht="24" x14ac:dyDescent="0.2">
      <c r="A257" s="1159">
        <v>251</v>
      </c>
      <c r="B257" s="1160" t="str">
        <f t="shared" si="8"/>
        <v>Couverture par les capteurs solaires</v>
      </c>
      <c r="C257" s="1161" t="s">
        <v>1735</v>
      </c>
      <c r="D257" s="1157" t="s">
        <v>3229</v>
      </c>
      <c r="E257" s="1158" t="s">
        <v>2720</v>
      </c>
    </row>
    <row r="258" spans="1:5" ht="24" x14ac:dyDescent="0.2">
      <c r="A258" s="1159">
        <v>252</v>
      </c>
      <c r="B258" s="1160" t="str">
        <f t="shared" si="8"/>
        <v xml:space="preserve"> Besoins de chaleur sans capteurs solaires</v>
      </c>
      <c r="C258" s="1161" t="s">
        <v>1734</v>
      </c>
      <c r="D258" s="1157" t="s">
        <v>674</v>
      </c>
      <c r="E258" s="1158" t="s">
        <v>2721</v>
      </c>
    </row>
    <row r="259" spans="1:5" x14ac:dyDescent="0.2">
      <c r="A259" s="1159">
        <v>253</v>
      </c>
      <c r="B259" s="1160" t="str">
        <f t="shared" si="8"/>
        <v xml:space="preserve"> Chauffage d'appoint</v>
      </c>
      <c r="C259" s="1161" t="s">
        <v>1732</v>
      </c>
      <c r="D259" s="1157" t="s">
        <v>1733</v>
      </c>
      <c r="E259" s="1158" t="s">
        <v>2722</v>
      </c>
    </row>
    <row r="260" spans="1:5" ht="36" x14ac:dyDescent="0.2">
      <c r="A260" s="1159">
        <v>254</v>
      </c>
      <c r="B260" s="1160" t="str">
        <f t="shared" si="8"/>
        <v>Charge de base PAC, y c. corps de chauffe ECS</v>
      </c>
      <c r="C260" s="1161" t="s">
        <v>1726</v>
      </c>
      <c r="D260" s="1157" t="s">
        <v>72</v>
      </c>
      <c r="E260" s="1158" t="s">
        <v>2723</v>
      </c>
    </row>
    <row r="261" spans="1:5" x14ac:dyDescent="0.2">
      <c r="A261" s="1159">
        <v>255</v>
      </c>
      <c r="B261" s="1160" t="str">
        <f t="shared" si="8"/>
        <v>Fréquence cumulée</v>
      </c>
      <c r="C261" s="1161" t="s">
        <v>1720</v>
      </c>
      <c r="D261" s="1157" t="s">
        <v>1721</v>
      </c>
      <c r="E261" s="1158" t="s">
        <v>1729</v>
      </c>
    </row>
    <row r="262" spans="1:5" ht="24" x14ac:dyDescent="0.2">
      <c r="A262" s="1159">
        <v>256</v>
      </c>
      <c r="B262" s="1160" t="str">
        <f t="shared" si="8"/>
        <v>Besoin de puissance max [kW]</v>
      </c>
      <c r="C262" s="1161" t="s">
        <v>1722</v>
      </c>
      <c r="D262" s="1157" t="s">
        <v>1723</v>
      </c>
      <c r="E262" s="1158" t="s">
        <v>3651</v>
      </c>
    </row>
    <row r="263" spans="1:5" x14ac:dyDescent="0.2">
      <c r="A263" s="1159">
        <v>257</v>
      </c>
      <c r="B263" s="1160" t="str">
        <f t="shared" si="8"/>
        <v>Heures annuelles</v>
      </c>
      <c r="C263" s="1161" t="s">
        <v>1724</v>
      </c>
      <c r="D263" s="1157" t="s">
        <v>1725</v>
      </c>
      <c r="E263" s="1158" t="s">
        <v>3652</v>
      </c>
    </row>
    <row r="264" spans="1:5" x14ac:dyDescent="0.2">
      <c r="A264" s="1159">
        <v>258</v>
      </c>
      <c r="B264" s="1160" t="str">
        <f t="shared" si="8"/>
        <v>une vitesse</v>
      </c>
      <c r="C264" s="1161" t="s">
        <v>2031</v>
      </c>
      <c r="D264" s="1160" t="s">
        <v>2716</v>
      </c>
      <c r="E264" s="1158" t="s">
        <v>3</v>
      </c>
    </row>
    <row r="265" spans="1:5" x14ac:dyDescent="0.2">
      <c r="A265" s="1159">
        <v>259</v>
      </c>
      <c r="B265" s="1160" t="str">
        <f t="shared" si="8"/>
        <v>2 vitesses</v>
      </c>
      <c r="C265" s="1161" t="s">
        <v>2032</v>
      </c>
      <c r="D265" s="1160" t="s">
        <v>945</v>
      </c>
      <c r="E265" s="1158" t="s">
        <v>4</v>
      </c>
    </row>
    <row r="266" spans="1:5" x14ac:dyDescent="0.2">
      <c r="A266" s="1159">
        <v>260</v>
      </c>
      <c r="B266" s="1160" t="str">
        <f t="shared" si="8"/>
        <v>Plusieurs vitesses</v>
      </c>
      <c r="C266" s="1161" t="s">
        <v>1593</v>
      </c>
      <c r="D266" s="1160" t="s">
        <v>946</v>
      </c>
      <c r="E266" s="1158" t="s">
        <v>8</v>
      </c>
    </row>
    <row r="267" spans="1:5" x14ac:dyDescent="0.2">
      <c r="A267" s="1159">
        <v>261</v>
      </c>
      <c r="B267" s="1160" t="str">
        <f t="shared" si="8"/>
        <v>vitesse variable</v>
      </c>
      <c r="C267" s="1161" t="s">
        <v>1803</v>
      </c>
      <c r="D267" s="1160" t="s">
        <v>3333</v>
      </c>
      <c r="E267" s="1158" t="s">
        <v>9</v>
      </c>
    </row>
    <row r="268" spans="1:5" ht="27.6" customHeight="1" x14ac:dyDescent="0.2">
      <c r="A268" s="1159">
        <v>262</v>
      </c>
      <c r="B268" s="1160" t="str">
        <f t="shared" si="8"/>
        <v>PAC sur air extrait sur installation de ventilation sans récupération de chaleur</v>
      </c>
      <c r="C268" s="1161" t="s">
        <v>1857</v>
      </c>
      <c r="D268" s="1157" t="s">
        <v>3334</v>
      </c>
      <c r="E268" s="1158" t="s">
        <v>10</v>
      </c>
    </row>
    <row r="269" spans="1:5" x14ac:dyDescent="0.2">
      <c r="A269" s="1159">
        <v>263</v>
      </c>
      <c r="B269" s="1160" t="str">
        <f t="shared" si="8"/>
        <v xml:space="preserve">valeur calculée: </v>
      </c>
      <c r="C269" s="1161" t="s">
        <v>1814</v>
      </c>
      <c r="D269" s="1157" t="s">
        <v>1594</v>
      </c>
      <c r="E269" s="1158" t="s">
        <v>1595</v>
      </c>
    </row>
    <row r="270" spans="1:5" x14ac:dyDescent="0.2">
      <c r="A270" s="1159">
        <v>264</v>
      </c>
      <c r="B270" s="1160" t="str">
        <f t="shared" si="8"/>
        <v>pas d'installation solaire</v>
      </c>
      <c r="C270" s="1161" t="s">
        <v>2427</v>
      </c>
      <c r="D270" s="1157" t="s">
        <v>3335</v>
      </c>
      <c r="E270" s="1158" t="s">
        <v>11</v>
      </c>
    </row>
    <row r="271" spans="1:5" ht="27.6" customHeight="1" x14ac:dyDescent="0.2">
      <c r="A271" s="1159">
        <v>265</v>
      </c>
      <c r="B271" s="1160" t="str">
        <f t="shared" si="8"/>
        <v>Chauffage solaire de l'ECS</v>
      </c>
      <c r="C271" s="1161" t="s">
        <v>2429</v>
      </c>
      <c r="D271" s="1157" t="s">
        <v>947</v>
      </c>
      <c r="E271" s="1158" t="s">
        <v>2428</v>
      </c>
    </row>
    <row r="272" spans="1:5" ht="35.450000000000003" customHeight="1" x14ac:dyDescent="0.2">
      <c r="A272" s="1159">
        <v>266</v>
      </c>
      <c r="B272" s="1160" t="str">
        <f t="shared" si="8"/>
        <v>Eau chaude sanitaire ECS + chauffage</v>
      </c>
      <c r="C272" s="1161" t="s">
        <v>2437</v>
      </c>
      <c r="D272" s="1157" t="s">
        <v>3317</v>
      </c>
      <c r="E272" s="1158" t="s">
        <v>2430</v>
      </c>
    </row>
    <row r="273" spans="1:5" x14ac:dyDescent="0.2">
      <c r="A273" s="1159">
        <v>267</v>
      </c>
      <c r="B273" s="1160" t="str">
        <f t="shared" si="8"/>
        <v>(calcul externe)</v>
      </c>
      <c r="C273" s="1161" t="s">
        <v>2433</v>
      </c>
      <c r="D273" s="1157" t="s">
        <v>2431</v>
      </c>
      <c r="E273" s="1158" t="s">
        <v>2432</v>
      </c>
    </row>
    <row r="274" spans="1:5" x14ac:dyDescent="0.2">
      <c r="A274" s="1159">
        <v>268</v>
      </c>
      <c r="B274" s="1160" t="str">
        <f t="shared" si="8"/>
        <v>Non disponibles</v>
      </c>
      <c r="C274" s="1161" t="s">
        <v>2434</v>
      </c>
      <c r="D274" s="1157" t="s">
        <v>3711</v>
      </c>
      <c r="E274" s="1158" t="s">
        <v>3142</v>
      </c>
    </row>
    <row r="275" spans="1:5" x14ac:dyDescent="0.2">
      <c r="A275" s="1159">
        <v>269</v>
      </c>
      <c r="B275" s="1160" t="str">
        <f t="shared" si="8"/>
        <v>Spécifications du collecteur</v>
      </c>
      <c r="C275" s="1161" t="s">
        <v>2435</v>
      </c>
      <c r="D275" s="1160" t="s">
        <v>3336</v>
      </c>
      <c r="E275" s="1158" t="s">
        <v>12</v>
      </c>
    </row>
    <row r="276" spans="1:5" ht="27" customHeight="1" x14ac:dyDescent="0.2">
      <c r="A276" s="1159">
        <v>270</v>
      </c>
      <c r="B276" s="1160" t="str">
        <f t="shared" si="8"/>
        <v>Courbe de chauffe de la PAC (et pas celle des consommateurs de chauffage):</v>
      </c>
      <c r="C276" s="1161" t="s">
        <v>118</v>
      </c>
      <c r="D276" s="1160" t="s">
        <v>3337</v>
      </c>
      <c r="E276" s="1158" t="s">
        <v>13</v>
      </c>
    </row>
    <row r="277" spans="1:5" ht="24" x14ac:dyDescent="0.2">
      <c r="A277" s="1159">
        <v>271</v>
      </c>
      <c r="B277" s="1160" t="str">
        <f t="shared" si="8"/>
        <v>Températures de départ et de retour de la PAC [°C]</v>
      </c>
      <c r="C277" s="1161" t="s">
        <v>2438</v>
      </c>
      <c r="D277" s="1160" t="s">
        <v>3318</v>
      </c>
      <c r="E277" s="1158" t="s">
        <v>14</v>
      </c>
    </row>
    <row r="278" spans="1:5" ht="24" x14ac:dyDescent="0.2">
      <c r="A278" s="1159">
        <v>272</v>
      </c>
      <c r="B278" s="1160" t="str">
        <f t="shared" ref="B278:B285" si="9">IF(F278&lt;&gt;"",F278,INDEX($C$7:$F$713,A278,$C$2))</f>
        <v>Température extérieure Ta [°C]</v>
      </c>
      <c r="C278" s="1161" t="s">
        <v>2439</v>
      </c>
      <c r="D278" s="1157" t="s">
        <v>3319</v>
      </c>
      <c r="E278" s="1158" t="s">
        <v>15</v>
      </c>
    </row>
    <row r="279" spans="1:5" ht="36" x14ac:dyDescent="0.2">
      <c r="A279" s="1159">
        <v>273</v>
      </c>
      <c r="B279" s="1160" t="str">
        <f t="shared" si="9"/>
        <v>Accumulateur combiné chauffage et ECS selon STASCH</v>
      </c>
      <c r="C279" s="1161" t="s">
        <v>1610</v>
      </c>
      <c r="D279" s="1160" t="s">
        <v>2605</v>
      </c>
      <c r="E279" s="1158" t="s">
        <v>59</v>
      </c>
    </row>
    <row r="280" spans="1:5" ht="28.15" customHeight="1" x14ac:dyDescent="0.2">
      <c r="A280" s="1159">
        <v>274</v>
      </c>
      <c r="B280" s="1160" t="str">
        <f t="shared" si="9"/>
        <v>Accuumulateur combiné - 1 prise de retour Accu-PAC</v>
      </c>
      <c r="C280" s="1161" t="s">
        <v>79</v>
      </c>
      <c r="D280" s="1160" t="s">
        <v>1286</v>
      </c>
      <c r="E280" s="1158" t="s">
        <v>48</v>
      </c>
    </row>
    <row r="281" spans="1:5" ht="28.15" customHeight="1" x14ac:dyDescent="0.2">
      <c r="A281" s="1159">
        <v>275</v>
      </c>
      <c r="B281" s="1160" t="str">
        <f t="shared" si="9"/>
        <v>Accuumulateur combiné - 2 prise de retour Accu-PAC</v>
      </c>
      <c r="C281" s="1161" t="s">
        <v>80</v>
      </c>
      <c r="D281" s="1160" t="s">
        <v>1287</v>
      </c>
      <c r="E281" s="1158" t="s">
        <v>49</v>
      </c>
    </row>
    <row r="282" spans="1:5" x14ac:dyDescent="0.2">
      <c r="A282" s="1159">
        <v>276</v>
      </c>
      <c r="B282" s="1160" t="str">
        <f t="shared" si="9"/>
        <v xml:space="preserve">valable jusqu'à </v>
      </c>
      <c r="C282" s="1161" t="s">
        <v>1698</v>
      </c>
      <c r="D282" s="1160" t="s">
        <v>4576</v>
      </c>
      <c r="E282" s="1158" t="s">
        <v>4577</v>
      </c>
    </row>
    <row r="283" spans="1:5" ht="13.15" customHeight="1" x14ac:dyDescent="0.2">
      <c r="A283" s="1159">
        <v>277</v>
      </c>
      <c r="B283" s="1160" t="str">
        <f t="shared" si="9"/>
        <v>Feuille de calcul PACesti</v>
      </c>
      <c r="C283" s="1161" t="s">
        <v>709</v>
      </c>
      <c r="D283" s="1157" t="s">
        <v>3320</v>
      </c>
      <c r="E283" s="1158" t="s">
        <v>16</v>
      </c>
    </row>
    <row r="284" spans="1:5" x14ac:dyDescent="0.2">
      <c r="A284" s="1159">
        <v>278</v>
      </c>
      <c r="B284" s="1160" t="str">
        <f t="shared" si="9"/>
        <v>Entrées en bas</v>
      </c>
      <c r="C284" s="1161" t="s">
        <v>2539</v>
      </c>
      <c r="D284" s="1157" t="s">
        <v>56</v>
      </c>
      <c r="E284" s="1158" t="s">
        <v>58</v>
      </c>
    </row>
    <row r="285" spans="1:5" x14ac:dyDescent="0.2">
      <c r="A285" s="1159">
        <v>279</v>
      </c>
      <c r="B285" s="1160" t="str">
        <f t="shared" si="9"/>
        <v>Liste des PAC</v>
      </c>
      <c r="C285" s="1161" t="s">
        <v>1625</v>
      </c>
      <c r="D285" s="1157" t="s">
        <v>1289</v>
      </c>
      <c r="E285" s="1158" t="str">
        <f>"Elenco dei PdC"</f>
        <v>Elenco dei PdC</v>
      </c>
    </row>
    <row r="286" spans="1:5" x14ac:dyDescent="0.2">
      <c r="A286" s="1159">
        <v>280</v>
      </c>
      <c r="B286" s="1160" t="str">
        <f t="shared" ref="B286:B295" si="10">IF(F286&lt;&gt;"",F286,INDEX($C$7:$F$713,A286,$C$2))</f>
        <v>Entrées dans "Spez"</v>
      </c>
      <c r="C286" s="1161" t="s">
        <v>2540</v>
      </c>
      <c r="D286" s="1157" t="s">
        <v>55</v>
      </c>
      <c r="E286" s="1158" t="s">
        <v>57</v>
      </c>
    </row>
    <row r="287" spans="1:5" ht="36" x14ac:dyDescent="0.2">
      <c r="A287" s="1159">
        <v>281</v>
      </c>
      <c r="B287" s="1160" t="str">
        <f t="shared" si="10"/>
        <v>Installation bivalente fossile alternative</v>
      </c>
      <c r="C287" s="1161" t="s">
        <v>2659</v>
      </c>
      <c r="D287" s="1160" t="s">
        <v>2660</v>
      </c>
      <c r="E287" s="1158" t="s">
        <v>2661</v>
      </c>
    </row>
    <row r="288" spans="1:5" x14ac:dyDescent="0.2">
      <c r="A288" s="1159">
        <v>282</v>
      </c>
      <c r="B288" s="1160">
        <f t="shared" si="10"/>
        <v>0</v>
      </c>
      <c r="C288" s="1166" t="s">
        <v>1364</v>
      </c>
      <c r="D288" s="1157"/>
      <c r="E288" s="1167"/>
    </row>
    <row r="289" spans="1:5" ht="24" x14ac:dyDescent="0.2">
      <c r="A289" s="1159">
        <v>283</v>
      </c>
      <c r="B289" s="1160" t="str">
        <f t="shared" si="10"/>
        <v>PAC, spécifications individuelles</v>
      </c>
      <c r="C289" s="1161" t="s">
        <v>1365</v>
      </c>
      <c r="D289" s="1160" t="s">
        <v>3321</v>
      </c>
      <c r="E289" s="1158" t="s">
        <v>17</v>
      </c>
    </row>
    <row r="290" spans="1:5" x14ac:dyDescent="0.2">
      <c r="A290" s="1159">
        <v>284</v>
      </c>
      <c r="B290" s="1160" t="str">
        <f t="shared" si="10"/>
        <v>Données de la PAC</v>
      </c>
      <c r="C290" s="1161" t="s">
        <v>1366</v>
      </c>
      <c r="D290" s="1160" t="s">
        <v>3322</v>
      </c>
      <c r="E290" s="1158" t="s">
        <v>18</v>
      </c>
    </row>
    <row r="291" spans="1:5" ht="28.15" customHeight="1" x14ac:dyDescent="0.2">
      <c r="A291" s="1159">
        <v>285</v>
      </c>
      <c r="B291" s="1160" t="str">
        <f t="shared" si="10"/>
        <v>Données de puissance de la PAC</v>
      </c>
      <c r="C291" s="1161" t="s">
        <v>1367</v>
      </c>
      <c r="D291" s="1157" t="s">
        <v>3323</v>
      </c>
      <c r="E291" s="1167" t="s">
        <v>19</v>
      </c>
    </row>
    <row r="292" spans="1:5" x14ac:dyDescent="0.2">
      <c r="A292" s="1159">
        <v>286</v>
      </c>
      <c r="B292" s="1160" t="str">
        <f t="shared" si="10"/>
        <v>Pompes:</v>
      </c>
      <c r="C292" s="1161" t="s">
        <v>1810</v>
      </c>
      <c r="D292" s="1157" t="s">
        <v>2440</v>
      </c>
      <c r="E292" s="1167" t="s">
        <v>2441</v>
      </c>
    </row>
    <row r="293" spans="1:5" x14ac:dyDescent="0.2">
      <c r="A293" s="1159">
        <v>287</v>
      </c>
      <c r="B293" s="1160" t="str">
        <f t="shared" si="10"/>
        <v>Consenseur</v>
      </c>
      <c r="C293" s="1161" t="s">
        <v>2557</v>
      </c>
      <c r="D293" s="1157" t="s">
        <v>3324</v>
      </c>
      <c r="E293" s="1167" t="s">
        <v>20</v>
      </c>
    </row>
    <row r="294" spans="1:5" x14ac:dyDescent="0.2">
      <c r="A294" s="1159">
        <v>288</v>
      </c>
      <c r="B294" s="1160" t="str">
        <f t="shared" si="10"/>
        <v>Evaporateur</v>
      </c>
      <c r="C294" s="1161" t="s">
        <v>2442</v>
      </c>
      <c r="D294" s="1157" t="s">
        <v>2444</v>
      </c>
      <c r="E294" s="1167" t="s">
        <v>2445</v>
      </c>
    </row>
    <row r="295" spans="1:5" x14ac:dyDescent="0.2">
      <c r="A295" s="1159">
        <v>289</v>
      </c>
      <c r="B295" s="1160" t="str">
        <f t="shared" si="10"/>
        <v>Ventilateur</v>
      </c>
      <c r="C295" s="1161" t="s">
        <v>2443</v>
      </c>
      <c r="D295" s="1157" t="s">
        <v>2115</v>
      </c>
      <c r="E295" s="1167" t="s">
        <v>2446</v>
      </c>
    </row>
    <row r="296" spans="1:5" ht="39.6" customHeight="1" x14ac:dyDescent="0.2">
      <c r="A296" s="1159">
        <v>290</v>
      </c>
      <c r="B296" s="1160" t="str">
        <f t="shared" ref="B296:B341" si="11">IF(F296&lt;&gt;"",F296,INDEX($C$7:$F$713,A296,$C$2))</f>
        <v>Données introduites en ordre croissant selon la température de la source</v>
      </c>
      <c r="C296" s="1161" t="s">
        <v>1816</v>
      </c>
      <c r="D296" s="1157" t="s">
        <v>3338</v>
      </c>
      <c r="E296" s="1167" t="s">
        <v>22</v>
      </c>
    </row>
    <row r="297" spans="1:5" x14ac:dyDescent="0.2">
      <c r="A297" s="1159">
        <v>291</v>
      </c>
      <c r="B297" s="1160" t="str">
        <f t="shared" si="11"/>
        <v>T Dep</v>
      </c>
      <c r="C297" s="1161" t="s">
        <v>1368</v>
      </c>
      <c r="D297" s="1157" t="s">
        <v>510</v>
      </c>
      <c r="E297" s="1168" t="s">
        <v>795</v>
      </c>
    </row>
    <row r="298" spans="1:5" x14ac:dyDescent="0.2">
      <c r="A298" s="1159">
        <v>292</v>
      </c>
      <c r="B298" s="1160" t="str">
        <f t="shared" si="11"/>
        <v>T Ret</v>
      </c>
      <c r="C298" s="1161" t="s">
        <v>2116</v>
      </c>
      <c r="D298" s="1157" t="s">
        <v>513</v>
      </c>
      <c r="E298" s="1168" t="s">
        <v>796</v>
      </c>
    </row>
    <row r="299" spans="1:5" x14ac:dyDescent="0.2">
      <c r="A299" s="1159">
        <v>293</v>
      </c>
      <c r="B299" s="1160" t="str">
        <f t="shared" si="11"/>
        <v>Puissance therm.</v>
      </c>
      <c r="C299" s="1161" t="s">
        <v>1369</v>
      </c>
      <c r="D299" s="1157" t="s">
        <v>2117</v>
      </c>
      <c r="E299" s="1158" t="s">
        <v>2118</v>
      </c>
    </row>
    <row r="300" spans="1:5" x14ac:dyDescent="0.2">
      <c r="A300" s="1159">
        <v>294</v>
      </c>
      <c r="B300" s="1160" t="str">
        <f t="shared" si="11"/>
        <v>COP</v>
      </c>
      <c r="C300" s="1161" t="s">
        <v>774</v>
      </c>
      <c r="D300" s="1160" t="s">
        <v>774</v>
      </c>
      <c r="E300" s="1158" t="s">
        <v>774</v>
      </c>
    </row>
    <row r="301" spans="1:5" ht="24" x14ac:dyDescent="0.2">
      <c r="A301" s="1159">
        <v>295</v>
      </c>
      <c r="B301" s="1160" t="str">
        <f t="shared" si="11"/>
        <v>Température de la source de chaleur:</v>
      </c>
      <c r="C301" s="1161" t="s">
        <v>1370</v>
      </c>
      <c r="D301" s="1160" t="s">
        <v>1899</v>
      </c>
      <c r="E301" s="1158" t="s">
        <v>23</v>
      </c>
    </row>
    <row r="302" spans="1:5" x14ac:dyDescent="0.2">
      <c r="A302" s="1159">
        <v>296</v>
      </c>
      <c r="B302" s="1160" t="str">
        <f t="shared" si="11"/>
        <v>Pompe de la source</v>
      </c>
      <c r="C302" s="1161" t="s">
        <v>2022</v>
      </c>
      <c r="D302" s="1157" t="s">
        <v>1268</v>
      </c>
      <c r="E302" s="1167" t="s">
        <v>51</v>
      </c>
    </row>
    <row r="303" spans="1:5" x14ac:dyDescent="0.2">
      <c r="A303" s="1159">
        <v>297</v>
      </c>
      <c r="B303" s="1160" t="str">
        <f t="shared" si="11"/>
        <v>Nom et type de la pompe</v>
      </c>
      <c r="C303" s="1161" t="s">
        <v>2016</v>
      </c>
      <c r="D303" s="1157" t="s">
        <v>3325</v>
      </c>
      <c r="E303" s="1167" t="s">
        <v>24</v>
      </c>
    </row>
    <row r="304" spans="1:5" ht="25.5" x14ac:dyDescent="0.2">
      <c r="A304" s="1159">
        <v>298</v>
      </c>
      <c r="B304" s="1160" t="str">
        <f t="shared" si="11"/>
        <v xml:space="preserve">Courant absorbé de la pompe à plein régime </v>
      </c>
      <c r="C304" s="1161" t="s">
        <v>1830</v>
      </c>
      <c r="D304" s="1157" t="s">
        <v>1269</v>
      </c>
      <c r="E304" s="1167" t="s">
        <v>25</v>
      </c>
    </row>
    <row r="305" spans="1:5" ht="28.15" customHeight="1" x14ac:dyDescent="0.2">
      <c r="A305" s="1159">
        <v>299</v>
      </c>
      <c r="B305" s="1160" t="str">
        <f t="shared" si="11"/>
        <v>Perte de charge dynamique à plein régime</v>
      </c>
      <c r="C305" s="1161" t="s">
        <v>1843</v>
      </c>
      <c r="D305" s="1157" t="s">
        <v>1270</v>
      </c>
      <c r="E305" s="1167" t="s">
        <v>26</v>
      </c>
    </row>
    <row r="306" spans="1:5" x14ac:dyDescent="0.2">
      <c r="A306" s="1159">
        <v>300</v>
      </c>
      <c r="B306" s="1160" t="str">
        <f t="shared" si="11"/>
        <v>Débit à plein régime</v>
      </c>
      <c r="C306" s="1161" t="s">
        <v>1831</v>
      </c>
      <c r="D306" s="1160" t="s">
        <v>1271</v>
      </c>
      <c r="E306" s="1158" t="s">
        <v>27</v>
      </c>
    </row>
    <row r="307" spans="1:5" x14ac:dyDescent="0.2">
      <c r="A307" s="1159">
        <v>301</v>
      </c>
      <c r="B307" s="1160" t="str">
        <f t="shared" si="11"/>
        <v>Hauteur statique</v>
      </c>
      <c r="C307" s="1161" t="s">
        <v>2029</v>
      </c>
      <c r="D307" s="1160" t="s">
        <v>1272</v>
      </c>
      <c r="E307" s="1158" t="s">
        <v>52</v>
      </c>
    </row>
    <row r="308" spans="1:5" x14ac:dyDescent="0.2">
      <c r="A308" s="1159">
        <v>302</v>
      </c>
      <c r="B308" s="1160" t="str">
        <f t="shared" si="11"/>
        <v>Mode d'exploitation</v>
      </c>
      <c r="C308" s="1161" t="s">
        <v>2017</v>
      </c>
      <c r="D308" s="1157" t="s">
        <v>1273</v>
      </c>
      <c r="E308" s="1167" t="s">
        <v>28</v>
      </c>
    </row>
    <row r="309" spans="1:5" x14ac:dyDescent="0.2">
      <c r="A309" s="1159">
        <v>303</v>
      </c>
      <c r="B309" s="1160" t="str">
        <f t="shared" si="11"/>
        <v>Régulation</v>
      </c>
      <c r="C309" s="1161" t="s">
        <v>2020</v>
      </c>
      <c r="D309" s="1157" t="s">
        <v>1274</v>
      </c>
      <c r="E309" s="1167" t="s">
        <v>29</v>
      </c>
    </row>
    <row r="310" spans="1:5" x14ac:dyDescent="0.2">
      <c r="A310" s="1159">
        <v>304</v>
      </c>
      <c r="B310" s="1160" t="str">
        <f t="shared" si="11"/>
        <v>Valeur de calcul</v>
      </c>
      <c r="C310" s="1161" t="s">
        <v>1814</v>
      </c>
      <c r="D310" s="1157" t="s">
        <v>1275</v>
      </c>
      <c r="E310" s="1167" t="s">
        <v>30</v>
      </c>
    </row>
    <row r="311" spans="1:5" x14ac:dyDescent="0.2">
      <c r="A311" s="1159">
        <v>305</v>
      </c>
      <c r="B311" s="1160" t="str">
        <f t="shared" si="11"/>
        <v>Valeur estimée</v>
      </c>
      <c r="C311" s="1161" t="s">
        <v>2560</v>
      </c>
      <c r="D311" s="1157" t="s">
        <v>1276</v>
      </c>
      <c r="E311" s="1167" t="s">
        <v>31</v>
      </c>
    </row>
    <row r="312" spans="1:5" ht="25.5" x14ac:dyDescent="0.2">
      <c r="A312" s="1159">
        <v>306</v>
      </c>
      <c r="B312" s="1160" t="str">
        <f t="shared" si="11"/>
        <v>Valeur estimée selon feuille PAC</v>
      </c>
      <c r="C312" s="1161" t="s">
        <v>1813</v>
      </c>
      <c r="D312" s="1157" t="s">
        <v>1277</v>
      </c>
      <c r="E312" s="1167" t="s">
        <v>32</v>
      </c>
    </row>
    <row r="313" spans="1:5" x14ac:dyDescent="0.2">
      <c r="A313" s="1159">
        <v>307</v>
      </c>
      <c r="B313" s="1160" t="str">
        <f t="shared" si="11"/>
        <v>Valeur effective</v>
      </c>
      <c r="C313" s="1161" t="s">
        <v>1817</v>
      </c>
      <c r="D313" s="1157" t="s">
        <v>1278</v>
      </c>
      <c r="E313" s="1167" t="s">
        <v>33</v>
      </c>
    </row>
    <row r="314" spans="1:5" ht="27.6" customHeight="1" x14ac:dyDescent="0.2">
      <c r="A314" s="1159">
        <v>308</v>
      </c>
      <c r="B314" s="1160" t="str">
        <f t="shared" si="11"/>
        <v>Pompe de l'évaporateur ou ventilateur</v>
      </c>
      <c r="C314" s="1161" t="s">
        <v>1821</v>
      </c>
      <c r="D314" s="1157" t="s">
        <v>1279</v>
      </c>
      <c r="E314" s="1167" t="s">
        <v>34</v>
      </c>
    </row>
    <row r="315" spans="1:5" ht="29.45" customHeight="1" x14ac:dyDescent="0.2">
      <c r="A315" s="1159">
        <v>309</v>
      </c>
      <c r="B315" s="1160" t="str">
        <f t="shared" si="11"/>
        <v xml:space="preserve">Courant absorbé de la pompe / ventilateur à plein régime </v>
      </c>
      <c r="C315" s="1161" t="s">
        <v>1825</v>
      </c>
      <c r="D315" s="1157" t="s">
        <v>1280</v>
      </c>
      <c r="E315" s="1167" t="s">
        <v>35</v>
      </c>
    </row>
    <row r="316" spans="1:5" ht="25.5" x14ac:dyDescent="0.2">
      <c r="A316" s="1159">
        <v>310</v>
      </c>
      <c r="B316" s="1160" t="str">
        <f t="shared" si="11"/>
        <v>Perte de charge à l'évaporateur</v>
      </c>
      <c r="C316" s="1161" t="s">
        <v>1822</v>
      </c>
      <c r="D316" s="1157" t="s">
        <v>1281</v>
      </c>
      <c r="E316" s="1167" t="s">
        <v>38</v>
      </c>
    </row>
    <row r="317" spans="1:5" x14ac:dyDescent="0.2">
      <c r="A317" s="1159">
        <v>311</v>
      </c>
      <c r="B317" s="1160" t="str">
        <f t="shared" si="11"/>
        <v>Débit à l'évaporateur</v>
      </c>
      <c r="C317" s="1161" t="s">
        <v>1823</v>
      </c>
      <c r="D317" s="1157" t="s">
        <v>1282</v>
      </c>
      <c r="E317" s="1167" t="s">
        <v>39</v>
      </c>
    </row>
    <row r="318" spans="1:5" x14ac:dyDescent="0.2">
      <c r="A318" s="1159">
        <v>312</v>
      </c>
      <c r="B318" s="1160" t="str">
        <f t="shared" si="11"/>
        <v>Pompe au condenseur</v>
      </c>
      <c r="C318" s="1161" t="s">
        <v>2021</v>
      </c>
      <c r="D318" s="1157" t="s">
        <v>1283</v>
      </c>
      <c r="E318" s="1167" t="s">
        <v>36</v>
      </c>
    </row>
    <row r="319" spans="1:5" ht="41.45" customHeight="1" x14ac:dyDescent="0.2">
      <c r="A319" s="1159">
        <v>313</v>
      </c>
      <c r="B319" s="1160" t="str">
        <f t="shared" si="11"/>
        <v>Courant absorbé par la pompe P1 à plein régime (seule la part du condenseur)</v>
      </c>
      <c r="C319" s="1161" t="s">
        <v>1824</v>
      </c>
      <c r="D319" s="1157" t="s">
        <v>1284</v>
      </c>
      <c r="E319" s="1167" t="s">
        <v>37</v>
      </c>
    </row>
    <row r="320" spans="1:5" ht="33" customHeight="1" x14ac:dyDescent="0.2">
      <c r="A320" s="1159">
        <v>314</v>
      </c>
      <c r="B320" s="1160" t="str">
        <f t="shared" si="11"/>
        <v>Perte de charge nominale au condenseur</v>
      </c>
      <c r="C320" s="1161" t="s">
        <v>2026</v>
      </c>
      <c r="D320" s="1157" t="s">
        <v>1285</v>
      </c>
      <c r="E320" s="1167" t="s">
        <v>40</v>
      </c>
    </row>
    <row r="321" spans="1:5" ht="24" x14ac:dyDescent="0.2">
      <c r="A321" s="1159">
        <v>315</v>
      </c>
      <c r="B321" s="1160" t="str">
        <f t="shared" si="11"/>
        <v>Débit nominal au condenseur</v>
      </c>
      <c r="C321" s="1161" t="s">
        <v>2025</v>
      </c>
      <c r="D321" s="1160" t="s">
        <v>2598</v>
      </c>
      <c r="E321" s="1158" t="s">
        <v>41</v>
      </c>
    </row>
    <row r="322" spans="1:5" x14ac:dyDescent="0.2">
      <c r="A322" s="1159">
        <v>316</v>
      </c>
      <c r="B322" s="1160" t="str">
        <f t="shared" si="11"/>
        <v>inclus dans le COP</v>
      </c>
      <c r="C322" s="1161" t="s">
        <v>1847</v>
      </c>
      <c r="D322" s="1157" t="s">
        <v>2599</v>
      </c>
      <c r="E322" s="1167" t="s">
        <v>42</v>
      </c>
    </row>
    <row r="323" spans="1:5" x14ac:dyDescent="0.2">
      <c r="A323" s="1159">
        <v>317</v>
      </c>
      <c r="B323" s="1160" t="str">
        <f t="shared" si="11"/>
        <v>non calculé</v>
      </c>
      <c r="C323" s="1161" t="s">
        <v>1826</v>
      </c>
      <c r="D323" s="1157" t="s">
        <v>2600</v>
      </c>
      <c r="E323" s="1167" t="s">
        <v>43</v>
      </c>
    </row>
    <row r="324" spans="1:5" x14ac:dyDescent="0.2">
      <c r="A324" s="1159">
        <v>318</v>
      </c>
      <c r="B324" s="1160" t="str">
        <f t="shared" si="11"/>
        <v>toujours en exploitation</v>
      </c>
      <c r="C324" s="1161" t="s">
        <v>2018</v>
      </c>
      <c r="D324" s="1157" t="s">
        <v>2601</v>
      </c>
      <c r="E324" s="1167" t="s">
        <v>44</v>
      </c>
    </row>
    <row r="325" spans="1:5" ht="25.5" x14ac:dyDescent="0.2">
      <c r="A325" s="1159">
        <v>319</v>
      </c>
      <c r="B325" s="1160" t="str">
        <f t="shared" si="11"/>
        <v>seulement en exploitation si la PAC est en service</v>
      </c>
      <c r="C325" s="1161" t="s">
        <v>2019</v>
      </c>
      <c r="D325" s="1157" t="s">
        <v>2602</v>
      </c>
      <c r="E325" s="1167" t="s">
        <v>45</v>
      </c>
    </row>
    <row r="326" spans="1:5" x14ac:dyDescent="0.2">
      <c r="A326" s="1159">
        <v>320</v>
      </c>
      <c r="B326" s="1160" t="str">
        <f t="shared" si="11"/>
        <v>non réglé</v>
      </c>
      <c r="C326" s="1161" t="s">
        <v>2027</v>
      </c>
      <c r="D326" s="1157" t="s">
        <v>2603</v>
      </c>
      <c r="E326" s="1167" t="s">
        <v>46</v>
      </c>
    </row>
    <row r="327" spans="1:5" x14ac:dyDescent="0.2">
      <c r="A327" s="1159">
        <v>321</v>
      </c>
      <c r="B327" s="1160" t="str">
        <f t="shared" si="11"/>
        <v>réglé</v>
      </c>
      <c r="C327" s="1161" t="s">
        <v>2028</v>
      </c>
      <c r="D327" s="1157" t="s">
        <v>2604</v>
      </c>
      <c r="E327" s="1167" t="s">
        <v>47</v>
      </c>
    </row>
    <row r="328" spans="1:5" x14ac:dyDescent="0.2">
      <c r="A328" s="1159">
        <v>322</v>
      </c>
      <c r="B328" s="1160" t="str">
        <f t="shared" si="11"/>
        <v>une vitesse</v>
      </c>
      <c r="C328" s="1161" t="s">
        <v>2031</v>
      </c>
      <c r="D328" s="1157" t="s">
        <v>2716</v>
      </c>
      <c r="E328" s="1167" t="s">
        <v>3</v>
      </c>
    </row>
    <row r="329" spans="1:5" x14ac:dyDescent="0.2">
      <c r="A329" s="1159">
        <v>323</v>
      </c>
      <c r="B329" s="1160" t="str">
        <f t="shared" si="11"/>
        <v>2 vitesses</v>
      </c>
      <c r="C329" s="1161" t="s">
        <v>2032</v>
      </c>
      <c r="D329" s="1157" t="s">
        <v>945</v>
      </c>
      <c r="E329" s="1167" t="s">
        <v>4</v>
      </c>
    </row>
    <row r="330" spans="1:5" x14ac:dyDescent="0.2">
      <c r="A330" s="1159">
        <v>324</v>
      </c>
      <c r="B330" s="1160" t="str">
        <f t="shared" si="11"/>
        <v>réglé</v>
      </c>
      <c r="C330" s="1161" t="s">
        <v>2028</v>
      </c>
      <c r="D330" s="1157" t="s">
        <v>2604</v>
      </c>
      <c r="E330" s="1167" t="s">
        <v>47</v>
      </c>
    </row>
    <row r="331" spans="1:5" x14ac:dyDescent="0.2">
      <c r="A331" s="1159">
        <v>325</v>
      </c>
      <c r="B331" s="1160">
        <f t="shared" si="11"/>
        <v>0</v>
      </c>
      <c r="C331" s="1161"/>
      <c r="D331" s="1157"/>
      <c r="E331" s="1167"/>
    </row>
    <row r="332" spans="1:5" x14ac:dyDescent="0.2">
      <c r="A332" s="1159">
        <v>326</v>
      </c>
      <c r="B332" s="1160">
        <f t="shared" si="11"/>
        <v>0</v>
      </c>
      <c r="C332" s="1161"/>
      <c r="D332" s="1157"/>
      <c r="E332" s="1167"/>
    </row>
    <row r="333" spans="1:5" x14ac:dyDescent="0.2">
      <c r="A333" s="1159">
        <v>327</v>
      </c>
      <c r="B333" s="1160" t="str">
        <f t="shared" si="11"/>
        <v>exclu el. add.</v>
      </c>
      <c r="C333" s="1161" t="s">
        <v>1600</v>
      </c>
      <c r="D333" s="1160" t="s">
        <v>2912</v>
      </c>
      <c r="E333" s="1158" t="s">
        <v>2913</v>
      </c>
    </row>
    <row r="334" spans="1:5" x14ac:dyDescent="0.2">
      <c r="A334" s="1159">
        <v>328</v>
      </c>
      <c r="B334" s="1160" t="str">
        <f t="shared" si="11"/>
        <v>y compris el. add.</v>
      </c>
      <c r="C334" s="1161" t="s">
        <v>2910</v>
      </c>
      <c r="D334" s="1157" t="s">
        <v>2911</v>
      </c>
      <c r="E334" s="1158" t="s">
        <v>2914</v>
      </c>
    </row>
    <row r="335" spans="1:5" x14ac:dyDescent="0.2">
      <c r="A335" s="1159">
        <v>329</v>
      </c>
      <c r="B335" s="1160" t="str">
        <f t="shared" si="11"/>
        <v>Puissance de chauffe PAC</v>
      </c>
      <c r="C335" s="1161" t="s">
        <v>3404</v>
      </c>
      <c r="D335" s="1157" t="s">
        <v>3408</v>
      </c>
      <c r="E335" s="1158" t="s">
        <v>3409</v>
      </c>
    </row>
    <row r="336" spans="1:5" x14ac:dyDescent="0.2">
      <c r="A336" s="1159">
        <v>330</v>
      </c>
      <c r="B336" s="1160" t="str">
        <f t="shared" si="11"/>
        <v>COP</v>
      </c>
      <c r="C336" s="1161" t="s">
        <v>774</v>
      </c>
      <c r="D336" s="1157" t="s">
        <v>774</v>
      </c>
      <c r="E336" s="1167" t="s">
        <v>774</v>
      </c>
    </row>
    <row r="337" spans="1:5" ht="24" x14ac:dyDescent="0.2">
      <c r="A337" s="1159">
        <v>331</v>
      </c>
      <c r="B337" s="1160" t="str">
        <f t="shared" si="11"/>
        <v>Voir aussi feuille "Spez"</v>
      </c>
      <c r="C337" s="1161" t="s">
        <v>3405</v>
      </c>
      <c r="D337" s="1157" t="s">
        <v>3406</v>
      </c>
      <c r="E337" s="1167" t="s">
        <v>3407</v>
      </c>
    </row>
    <row r="338" spans="1:5" ht="25.5" x14ac:dyDescent="0.2">
      <c r="A338" s="1159">
        <v>332</v>
      </c>
      <c r="B338" s="1160" t="str">
        <f t="shared" si="11"/>
        <v>Valeurs de calcul sans évaporateur</v>
      </c>
      <c r="C338" s="1161" t="s">
        <v>4547</v>
      </c>
      <c r="D338" s="1157" t="s">
        <v>4548</v>
      </c>
      <c r="E338" s="1167" t="s">
        <v>4549</v>
      </c>
    </row>
    <row r="339" spans="1:5" x14ac:dyDescent="0.2">
      <c r="A339" s="1159">
        <v>333</v>
      </c>
      <c r="B339" s="1160">
        <f t="shared" si="11"/>
        <v>0</v>
      </c>
      <c r="C339" s="1161"/>
      <c r="D339" s="1157"/>
      <c r="E339" s="1167"/>
    </row>
    <row r="340" spans="1:5" x14ac:dyDescent="0.2">
      <c r="A340" s="1159">
        <v>334</v>
      </c>
      <c r="B340" s="1160">
        <f t="shared" si="11"/>
        <v>0</v>
      </c>
      <c r="C340" s="1161"/>
      <c r="D340" s="1157"/>
      <c r="E340" s="1167"/>
    </row>
    <row r="341" spans="1:5" x14ac:dyDescent="0.2">
      <c r="A341" s="1159">
        <v>335</v>
      </c>
      <c r="B341" s="1160">
        <f t="shared" si="11"/>
        <v>0</v>
      </c>
      <c r="C341" s="1161"/>
      <c r="D341" s="1157"/>
      <c r="E341" s="1167"/>
    </row>
  </sheetData>
  <mergeCells count="1">
    <mergeCell ref="A2:B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025">
              <controlPr defaultSize="0" autoLine="0" autoPict="0">
                <anchor moveWithCells="1">
                  <from>
                    <xdr:col>2</xdr:col>
                    <xdr:colOff>0</xdr:colOff>
                    <xdr:row>1</xdr:row>
                    <xdr:rowOff>0</xdr:rowOff>
                  </from>
                  <to>
                    <xdr:col>2</xdr:col>
                    <xdr:colOff>1600200</xdr:colOff>
                    <xdr:row>2</xdr:row>
                    <xdr:rowOff>0</xdr:rowOff>
                  </to>
                </anchor>
              </controlPr>
            </control>
          </mc:Choice>
        </mc:AlternateContent>
        <mc:AlternateContent xmlns:mc="http://schemas.openxmlformats.org/markup-compatibility/2006">
          <mc:Choice Requires="x14">
            <control shapeId="9218" r:id="rId5" name="Drop Down 1026">
              <controlPr defaultSize="0" autoLine="0" autoPict="0">
                <anchor moveWithCells="1">
                  <from>
                    <xdr:col>2</xdr:col>
                    <xdr:colOff>0</xdr:colOff>
                    <xdr:row>1</xdr:row>
                    <xdr:rowOff>0</xdr:rowOff>
                  </from>
                  <to>
                    <xdr:col>3</xdr:col>
                    <xdr:colOff>0</xdr:colOff>
                    <xdr:row>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87BE-1745-46E3-8B49-C4A1FC3C0079}">
  <dimension ref="A1"/>
  <sheetViews>
    <sheetView workbookViewId="0"/>
  </sheetViews>
  <sheetFormatPr baseColWidth="10" defaultRowHeight="12.75" x14ac:dyDescent="0.2"/>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pageSetUpPr fitToPage="1"/>
  </sheetPr>
  <dimension ref="A1:DH227"/>
  <sheetViews>
    <sheetView tabSelected="1" workbookViewId="0">
      <selection activeCell="B3" sqref="B3:H3"/>
    </sheetView>
  </sheetViews>
  <sheetFormatPr baseColWidth="10" defaultColWidth="11.5703125" defaultRowHeight="12" x14ac:dyDescent="0.2"/>
  <cols>
    <col min="1" max="1" width="2.140625" style="5" customWidth="1"/>
    <col min="2" max="2" width="32.5703125" style="5" customWidth="1"/>
    <col min="3" max="3" width="6.28515625" style="5" customWidth="1"/>
    <col min="4" max="4" width="12.28515625" style="5" customWidth="1"/>
    <col min="5" max="5" width="12.28515625" style="231" customWidth="1"/>
    <col min="6" max="7" width="10.7109375" style="5" customWidth="1"/>
    <col min="8" max="8" width="14.5703125" style="5" customWidth="1"/>
    <col min="9" max="9" width="1.7109375" style="5" customWidth="1"/>
    <col min="10" max="10" width="1.7109375" style="5" hidden="1" customWidth="1"/>
    <col min="11" max="11" width="8.28515625" style="5" hidden="1" customWidth="1"/>
    <col min="12" max="12" width="13.28515625" style="15" hidden="1" customWidth="1"/>
    <col min="13" max="13" width="11.85546875" style="15" hidden="1" customWidth="1"/>
    <col min="14" max="16" width="10.28515625" style="15" hidden="1" customWidth="1"/>
    <col min="17" max="18" width="11.5703125" style="15" hidden="1" customWidth="1"/>
    <col min="19" max="19" width="17.42578125" style="15" hidden="1" customWidth="1"/>
    <col min="20" max="26" width="11.5703125" style="15" hidden="1" customWidth="1"/>
    <col min="27" max="27" width="11.85546875" style="15" hidden="1" customWidth="1"/>
    <col min="28" max="32" width="11.5703125" style="15" hidden="1" customWidth="1"/>
    <col min="33" max="33" width="17.5703125" style="15" hidden="1" customWidth="1"/>
    <col min="34" max="36" width="11.5703125" style="15" hidden="1" customWidth="1"/>
    <col min="37" max="37" width="11.85546875" style="228" customWidth="1"/>
    <col min="38" max="41" width="11.5703125" style="228"/>
    <col min="42" max="48" width="11.5703125" style="5"/>
    <col min="49" max="49" width="10.28515625" style="5" customWidth="1"/>
    <col min="50" max="50" width="11.5703125" style="5"/>
    <col min="51" max="51" width="11.85546875" style="5" customWidth="1"/>
    <col min="52" max="60" width="11.5703125" style="5"/>
    <col min="61" max="61" width="16.42578125" style="5" customWidth="1"/>
    <col min="62" max="107" width="11.5703125" style="5"/>
    <col min="108" max="16384" width="11.5703125" style="15"/>
  </cols>
  <sheetData>
    <row r="1" spans="1:58" ht="17.45" customHeight="1" x14ac:dyDescent="0.2">
      <c r="A1" s="1"/>
      <c r="B1" s="1102" t="str">
        <f>Sprache!B283</f>
        <v>Feuille de calcul PACesti</v>
      </c>
      <c r="E1" s="3"/>
      <c r="F1" s="4"/>
      <c r="G1" s="1264" t="str">
        <f>Sprache!B8</f>
        <v>WPesti / V 8.3.40 / 29.06.2026                valable jusqu'à 31.12.2027</v>
      </c>
      <c r="H1" s="1264"/>
      <c r="L1" s="5"/>
      <c r="M1" s="5"/>
      <c r="N1" s="5"/>
      <c r="O1" s="16"/>
      <c r="P1" s="22"/>
      <c r="Q1" s="5"/>
      <c r="R1" s="5"/>
      <c r="S1" s="5"/>
      <c r="T1" s="5"/>
      <c r="U1" s="5"/>
      <c r="V1" s="5"/>
      <c r="W1" s="5"/>
      <c r="X1" s="5"/>
      <c r="Y1" s="5"/>
      <c r="Z1" s="5"/>
      <c r="AA1" s="5"/>
      <c r="AB1" s="5"/>
      <c r="AC1" s="5"/>
      <c r="AD1" s="5"/>
      <c r="AE1" s="5"/>
      <c r="AF1" s="5"/>
      <c r="AG1" s="5"/>
      <c r="AH1" s="5"/>
      <c r="AI1" s="5"/>
      <c r="AJ1" s="5"/>
      <c r="AK1" s="5"/>
      <c r="AL1" s="19"/>
      <c r="AM1" s="19"/>
      <c r="AN1" s="19"/>
      <c r="AO1" s="19"/>
    </row>
    <row r="2" spans="1:58" ht="15" customHeight="1" x14ac:dyDescent="0.2">
      <c r="A2" s="1"/>
      <c r="B2" s="1101" t="str">
        <f>Sprache!B9</f>
        <v>Projet:</v>
      </c>
      <c r="C2" s="2"/>
      <c r="D2" s="2"/>
      <c r="G2" s="1265"/>
      <c r="H2" s="1265"/>
      <c r="L2" s="94" t="s">
        <v>1696</v>
      </c>
      <c r="M2" s="452">
        <f>IF(H6="",1,MATCH(H6,B68:B100,0))</f>
        <v>1</v>
      </c>
      <c r="N2" s="95" t="b">
        <f>IF(AND(M2&gt;1,M2&lt;34),TRUE,FALSE)</f>
        <v>0</v>
      </c>
      <c r="O2" s="487" t="s">
        <v>1670</v>
      </c>
      <c r="P2" s="488" t="b">
        <v>1</v>
      </c>
      <c r="Q2" s="5"/>
      <c r="R2" s="5"/>
      <c r="S2" s="5"/>
      <c r="T2" s="5"/>
      <c r="U2" s="5"/>
      <c r="V2" s="5"/>
      <c r="W2" s="5"/>
      <c r="X2" s="5"/>
      <c r="Y2" s="5"/>
      <c r="Z2" s="5"/>
      <c r="AA2" s="5"/>
      <c r="AB2" s="5"/>
      <c r="AC2" s="5"/>
      <c r="AD2" s="5"/>
      <c r="AE2" s="5"/>
      <c r="AF2" s="5"/>
      <c r="AG2" s="5"/>
      <c r="AH2" s="5"/>
      <c r="AI2" s="5"/>
      <c r="AJ2" s="5"/>
      <c r="AK2" s="5"/>
      <c r="AL2" s="19"/>
      <c r="AM2" s="377"/>
      <c r="AN2" s="377"/>
      <c r="AO2" s="377"/>
      <c r="AP2" s="377"/>
      <c r="AQ2" s="377"/>
      <c r="AR2" s="377"/>
      <c r="AS2" s="377"/>
      <c r="AT2" s="377"/>
      <c r="AU2" s="377"/>
      <c r="AV2" s="377"/>
      <c r="AW2" s="377"/>
    </row>
    <row r="3" spans="1:58" ht="18" customHeight="1" x14ac:dyDescent="0.2">
      <c r="A3" s="1"/>
      <c r="B3" s="1226"/>
      <c r="C3" s="1227"/>
      <c r="D3" s="1227"/>
      <c r="E3" s="1227"/>
      <c r="F3" s="1227"/>
      <c r="G3" s="1227"/>
      <c r="H3" s="1228"/>
      <c r="L3" s="6" t="s">
        <v>3474</v>
      </c>
      <c r="M3" s="7">
        <f>IF(H7=0,1,MATCH(H7,L5:L17,0))</f>
        <v>1</v>
      </c>
      <c r="N3" s="1235">
        <f>H7</f>
        <v>0</v>
      </c>
      <c r="O3" s="1236"/>
      <c r="P3" s="65" t="s">
        <v>3361</v>
      </c>
      <c r="Q3" s="5"/>
      <c r="R3" s="5"/>
      <c r="S3" s="5"/>
      <c r="T3" s="5"/>
      <c r="U3" s="5"/>
      <c r="V3" s="5"/>
      <c r="W3" s="5"/>
      <c r="X3" s="5"/>
      <c r="Y3" s="5"/>
      <c r="Z3" s="5"/>
      <c r="AA3" s="5"/>
      <c r="AB3" s="5"/>
      <c r="AC3" s="5"/>
      <c r="AD3" s="5"/>
      <c r="AE3" s="5"/>
      <c r="AF3" s="5"/>
      <c r="AG3" s="5"/>
      <c r="AH3" s="5"/>
      <c r="AI3" s="5"/>
      <c r="AJ3" s="5"/>
      <c r="AK3" s="5"/>
      <c r="AL3" s="19"/>
      <c r="AM3" s="377"/>
      <c r="AN3" s="377"/>
      <c r="AO3" s="377"/>
      <c r="AP3" s="377"/>
      <c r="AQ3" s="377"/>
      <c r="AR3" s="377"/>
      <c r="AS3" s="377"/>
      <c r="AT3" s="377"/>
      <c r="AU3" s="377"/>
      <c r="AV3" s="377"/>
      <c r="AW3" s="377"/>
    </row>
    <row r="4" spans="1:58" ht="16.149999999999999" customHeight="1" x14ac:dyDescent="0.3">
      <c r="A4" s="1"/>
      <c r="B4" s="527" t="str">
        <f>IF(Spez!$L$47,Sprache!B337,"")</f>
        <v/>
      </c>
      <c r="C4" s="527"/>
      <c r="D4" s="527"/>
      <c r="E4" s="31"/>
      <c r="F4" s="288"/>
      <c r="G4" s="4"/>
      <c r="H4" s="4"/>
      <c r="K4" s="5">
        <v>2</v>
      </c>
      <c r="L4" s="16" t="s">
        <v>714</v>
      </c>
      <c r="M4" s="17" t="s">
        <v>715</v>
      </c>
      <c r="N4" s="18" t="s">
        <v>716</v>
      </c>
      <c r="O4" s="17" t="s">
        <v>717</v>
      </c>
      <c r="P4" s="770" t="s">
        <v>3121</v>
      </c>
      <c r="Q4" s="5"/>
      <c r="R4" s="5"/>
      <c r="S4" s="5"/>
      <c r="T4" s="5"/>
      <c r="U4" s="5"/>
      <c r="V4" s="5"/>
      <c r="W4" s="5"/>
      <c r="X4" s="5"/>
      <c r="Y4" s="5"/>
      <c r="Z4" s="5"/>
      <c r="AA4" s="5"/>
      <c r="AB4" s="5"/>
      <c r="AC4" s="5"/>
      <c r="AD4" s="5"/>
      <c r="AE4" s="5"/>
      <c r="AF4" s="5"/>
      <c r="AG4" s="5"/>
      <c r="AH4" s="5"/>
      <c r="AI4" s="5"/>
      <c r="AJ4" s="5"/>
      <c r="AK4" s="5"/>
      <c r="AL4" s="5"/>
      <c r="AM4" s="377"/>
      <c r="AN4" s="377"/>
      <c r="AO4" s="377"/>
      <c r="AP4" s="377"/>
      <c r="AQ4" s="377"/>
      <c r="AR4" s="377"/>
      <c r="AS4" s="377"/>
      <c r="AT4" s="377"/>
      <c r="AU4" s="377"/>
      <c r="AV4" s="377"/>
      <c r="AW4" s="377"/>
    </row>
    <row r="5" spans="1:58" ht="15" customHeight="1" x14ac:dyDescent="0.2">
      <c r="A5" s="1"/>
      <c r="B5" s="32" t="str">
        <f>Sprache!B10</f>
        <v>Données concernant le bâtiment</v>
      </c>
      <c r="C5" s="533"/>
      <c r="D5" s="533"/>
      <c r="E5" s="33"/>
      <c r="F5" s="34"/>
      <c r="G5" s="34"/>
      <c r="H5" s="415"/>
      <c r="L5" s="25" t="str">
        <f>""</f>
        <v/>
      </c>
      <c r="M5" s="26"/>
      <c r="N5" s="27"/>
      <c r="O5" s="26" t="s">
        <v>718</v>
      </c>
      <c r="P5" s="65">
        <v>0</v>
      </c>
      <c r="Q5" s="5"/>
      <c r="R5" s="5"/>
      <c r="S5" s="5"/>
      <c r="T5" s="5"/>
      <c r="U5" s="5"/>
      <c r="V5" s="5"/>
      <c r="W5" s="5"/>
      <c r="X5" s="5"/>
      <c r="Y5" s="5"/>
      <c r="Z5" s="5"/>
      <c r="AA5" s="5"/>
      <c r="AB5" s="5"/>
      <c r="AC5" s="5"/>
      <c r="AD5" s="5"/>
      <c r="AE5" s="5"/>
      <c r="AF5" s="5"/>
      <c r="AG5" s="5"/>
      <c r="AH5" s="5"/>
      <c r="AI5" s="5"/>
      <c r="AJ5" s="5"/>
      <c r="AK5" s="5"/>
      <c r="AL5" s="5"/>
      <c r="AM5" s="377"/>
      <c r="AN5" s="377"/>
      <c r="AO5" s="377"/>
      <c r="AP5" s="377"/>
      <c r="AQ5" s="377"/>
      <c r="AR5" s="377"/>
      <c r="AS5" s="377"/>
      <c r="AT5" s="377"/>
      <c r="AU5" s="377"/>
      <c r="AV5" s="377"/>
      <c r="AW5" s="377"/>
    </row>
    <row r="6" spans="1:58" ht="15" customHeight="1" x14ac:dyDescent="0.2">
      <c r="B6" s="36" t="str">
        <f>Sprache!B11</f>
        <v xml:space="preserve">Station climatique:    </v>
      </c>
      <c r="C6" s="4"/>
      <c r="D6" s="4"/>
      <c r="E6" s="31"/>
      <c r="F6" s="4"/>
      <c r="G6" s="37" t="str">
        <f>IF(JAZcalc,"",IF(Klima=1,Sprache!B24,""))</f>
        <v>choisir -&gt;</v>
      </c>
      <c r="H6" s="693"/>
      <c r="L6" s="20" t="str">
        <f>Sprache!B100</f>
        <v>Habitat collectif</v>
      </c>
      <c r="M6" s="291">
        <v>55</v>
      </c>
      <c r="N6" s="223">
        <v>65</v>
      </c>
      <c r="O6" s="291">
        <f>75*(1+EtaWW)</f>
        <v>75</v>
      </c>
      <c r="P6" s="17">
        <v>3.1</v>
      </c>
      <c r="Q6" s="5"/>
      <c r="R6" s="5"/>
      <c r="S6" s="5"/>
      <c r="T6" s="5"/>
      <c r="U6" s="5"/>
      <c r="V6" s="5"/>
      <c r="W6" s="5"/>
      <c r="X6" s="5"/>
      <c r="Y6" s="5"/>
      <c r="Z6" s="5"/>
      <c r="AA6" s="5"/>
      <c r="AB6" s="5"/>
      <c r="AC6" s="5"/>
      <c r="AD6" s="5"/>
      <c r="AE6" s="5"/>
      <c r="AF6" s="5"/>
      <c r="AG6" s="5"/>
      <c r="AH6" s="5"/>
      <c r="AI6" s="5"/>
      <c r="AJ6" s="5"/>
      <c r="AK6" s="5"/>
      <c r="AL6" s="5"/>
      <c r="AM6" s="377"/>
      <c r="AN6" s="377"/>
      <c r="AO6" s="377"/>
      <c r="AP6" s="377"/>
      <c r="AQ6" s="377"/>
      <c r="AR6" s="377"/>
      <c r="AS6" s="377"/>
      <c r="AT6" s="377"/>
      <c r="AU6" s="377"/>
      <c r="AV6" s="377"/>
      <c r="AW6" s="377"/>
      <c r="AX6" s="377"/>
      <c r="AY6" s="377"/>
      <c r="AZ6" s="377"/>
      <c r="BA6" s="377"/>
      <c r="BB6" s="377"/>
      <c r="BC6" s="377"/>
      <c r="BD6" s="377"/>
      <c r="BE6" s="377"/>
      <c r="BF6" s="377"/>
    </row>
    <row r="7" spans="1:58" ht="15" customHeight="1" x14ac:dyDescent="0.2">
      <c r="B7" s="38" t="str">
        <f>Sprache!B13</f>
        <v>Catégorie d'ouvrage</v>
      </c>
      <c r="C7" s="40"/>
      <c r="D7" s="40"/>
      <c r="E7" s="39"/>
      <c r="F7" s="40"/>
      <c r="G7" s="41" t="str">
        <f>IF(Kategorie=1,Sprache!B24,"")</f>
        <v>choisir -&gt;</v>
      </c>
      <c r="H7" s="1106"/>
      <c r="L7" s="20" t="str">
        <f>Sprache!B101</f>
        <v>Habitat individuel</v>
      </c>
      <c r="M7" s="291">
        <v>65</v>
      </c>
      <c r="N7" s="223">
        <v>65</v>
      </c>
      <c r="O7" s="291">
        <f>50*(1+EtaWW)</f>
        <v>50</v>
      </c>
      <c r="P7" s="30">
        <v>2.4</v>
      </c>
      <c r="Q7" s="5"/>
      <c r="R7" s="5"/>
      <c r="S7" s="5"/>
      <c r="T7" s="5"/>
      <c r="U7" s="5"/>
      <c r="V7" s="5"/>
      <c r="W7" s="5"/>
      <c r="X7" s="5"/>
      <c r="Y7" s="5"/>
      <c r="Z7" s="5"/>
      <c r="AA7" s="5"/>
      <c r="AB7" s="5"/>
      <c r="AC7" s="5"/>
      <c r="AD7" s="5"/>
      <c r="AE7" s="5"/>
      <c r="AF7" s="5"/>
      <c r="AG7" s="5"/>
      <c r="AH7" s="5"/>
      <c r="AI7" s="5"/>
      <c r="AJ7" s="5"/>
      <c r="AK7" s="5"/>
      <c r="AL7" s="5"/>
      <c r="AM7" s="377"/>
      <c r="AN7" s="377"/>
      <c r="AO7" s="377"/>
      <c r="AP7" s="377"/>
      <c r="AQ7" s="377"/>
      <c r="AR7" s="377"/>
      <c r="AS7" s="377"/>
      <c r="AT7" s="377"/>
      <c r="AU7" s="377"/>
      <c r="AV7" s="377"/>
      <c r="AW7" s="377"/>
      <c r="AX7" s="377"/>
      <c r="AY7" s="377"/>
      <c r="AZ7" s="377"/>
      <c r="BA7" s="377"/>
      <c r="BB7" s="377"/>
      <c r="BC7" s="377"/>
      <c r="BD7" s="377"/>
      <c r="BE7" s="377"/>
      <c r="BF7" s="377"/>
    </row>
    <row r="8" spans="1:58" ht="15" customHeight="1" x14ac:dyDescent="0.2">
      <c r="B8" s="38" t="str">
        <f>Sprache!B12</f>
        <v>Surface de référence énergétique SRE</v>
      </c>
      <c r="C8" s="40"/>
      <c r="D8" s="40"/>
      <c r="E8" s="47" t="str">
        <f>IF(OR(EBF="",EBF=0),Sprache!B75,"")</f>
        <v>choisir -&gt;</v>
      </c>
      <c r="F8" s="42" t="s">
        <v>2341</v>
      </c>
      <c r="G8" s="42" t="s">
        <v>737</v>
      </c>
      <c r="H8" s="43"/>
      <c r="L8" s="20" t="str">
        <f>Sprache!B102</f>
        <v>Administration</v>
      </c>
      <c r="M8" s="291">
        <v>65</v>
      </c>
      <c r="N8" s="223">
        <v>85</v>
      </c>
      <c r="O8" s="291">
        <f>25*(1+EtaWW)</f>
        <v>25</v>
      </c>
      <c r="P8" s="30">
        <v>3.3</v>
      </c>
      <c r="Q8" s="5"/>
      <c r="R8" s="5"/>
      <c r="S8" s="5"/>
      <c r="T8" s="5"/>
      <c r="U8" s="5"/>
      <c r="V8" s="5"/>
      <c r="W8" s="5"/>
      <c r="X8" s="5"/>
      <c r="Y8" s="5"/>
      <c r="Z8" s="5"/>
      <c r="AA8" s="5"/>
      <c r="AB8" s="5"/>
      <c r="AC8" s="5"/>
      <c r="AD8" s="5"/>
      <c r="AE8" s="5"/>
      <c r="AF8" s="5"/>
      <c r="AG8" s="5"/>
      <c r="AH8" s="5"/>
      <c r="AI8" s="5"/>
      <c r="AJ8" s="5"/>
      <c r="AK8" s="5"/>
      <c r="AL8" s="5"/>
      <c r="AM8" s="377"/>
      <c r="AN8" s="377"/>
      <c r="AO8" s="377"/>
      <c r="AP8" s="377"/>
      <c r="AQ8" s="377"/>
      <c r="AR8" s="377"/>
      <c r="AS8" s="377"/>
      <c r="AT8" s="377"/>
      <c r="AU8" s="377"/>
      <c r="AV8" s="377"/>
      <c r="AW8" s="377"/>
      <c r="AX8" s="377"/>
      <c r="AY8" s="377"/>
      <c r="AZ8" s="377"/>
      <c r="BA8" s="377"/>
      <c r="BB8" s="377"/>
      <c r="BC8" s="377"/>
      <c r="BD8" s="377"/>
      <c r="BE8" s="377"/>
      <c r="BF8" s="377"/>
    </row>
    <row r="9" spans="1:58" ht="15" customHeight="1" x14ac:dyDescent="0.2">
      <c r="B9" s="38" t="str">
        <f>Sprache!B14</f>
        <v>Besoins de chaleur pour le chauffage selon SIA 380/1</v>
      </c>
      <c r="C9" s="40"/>
      <c r="D9" s="40"/>
      <c r="E9" s="47" t="str">
        <f>IF(H9="",Sprache!B75,"")</f>
        <v>choisir -&gt;</v>
      </c>
      <c r="F9" s="42" t="s">
        <v>2368</v>
      </c>
      <c r="G9" s="1121" t="s">
        <v>3488</v>
      </c>
      <c r="H9" s="43"/>
      <c r="K9" s="214"/>
      <c r="L9" s="20" t="str">
        <f>Sprache!B103</f>
        <v>Ecole</v>
      </c>
      <c r="M9" s="291">
        <v>70</v>
      </c>
      <c r="N9" s="223">
        <v>70</v>
      </c>
      <c r="O9" s="291">
        <f>25*(1+EtaWW)</f>
        <v>25</v>
      </c>
      <c r="P9" s="30">
        <v>2.2999999999999998</v>
      </c>
      <c r="Q9" s="5"/>
      <c r="R9" s="5"/>
      <c r="S9" s="5"/>
      <c r="T9" s="5"/>
      <c r="U9" s="5"/>
      <c r="V9" s="5"/>
      <c r="W9" s="5"/>
      <c r="X9" s="5"/>
      <c r="Y9" s="5"/>
      <c r="Z9" s="5"/>
      <c r="AA9" s="5"/>
      <c r="AB9" s="5"/>
      <c r="AC9" s="5"/>
      <c r="AD9" s="5"/>
      <c r="AE9" s="5"/>
      <c r="AF9" s="5"/>
      <c r="AG9" s="5"/>
      <c r="AH9" s="5"/>
      <c r="AI9" s="5"/>
      <c r="AJ9" s="5"/>
      <c r="AK9" s="5"/>
      <c r="AL9" s="5"/>
      <c r="AM9" s="377"/>
      <c r="AN9" s="377"/>
      <c r="AO9" s="377"/>
      <c r="AP9" s="377"/>
      <c r="AQ9" s="377"/>
      <c r="AR9" s="377"/>
      <c r="AS9" s="377"/>
      <c r="AT9" s="377"/>
      <c r="AU9" s="377"/>
      <c r="AV9" s="377"/>
      <c r="AW9" s="377"/>
      <c r="AX9" s="377"/>
      <c r="AY9" s="377"/>
      <c r="AZ9" s="377"/>
      <c r="BA9" s="377"/>
      <c r="BB9" s="377"/>
      <c r="BC9" s="377"/>
      <c r="BD9" s="377"/>
      <c r="BE9" s="377"/>
      <c r="BF9" s="377"/>
    </row>
    <row r="10" spans="1:58" ht="15" customHeight="1" x14ac:dyDescent="0.2">
      <c r="B10" s="38" t="str">
        <f>Sprache!B15</f>
        <v>Déperditions par transmission selon SIA 380/1</v>
      </c>
      <c r="C10" s="40"/>
      <c r="D10" s="40"/>
      <c r="E10" s="47" t="str">
        <f>IF(OR(QT="",QT=0),Sprache!B75,IF(H10,IF(OR(H10&lt;=0.5*$H$9,Berechnungen!E33),Sprache!B131,""),""))</f>
        <v>choisir -&gt;</v>
      </c>
      <c r="F10" s="42" t="s">
        <v>744</v>
      </c>
      <c r="G10" s="42" t="str">
        <f>G9</f>
        <v>MJ/m2a</v>
      </c>
      <c r="H10" s="43"/>
      <c r="L10" s="20" t="str">
        <f>Sprache!B104</f>
        <v>Commerce</v>
      </c>
      <c r="M10" s="291">
        <v>50</v>
      </c>
      <c r="N10" s="223">
        <v>65</v>
      </c>
      <c r="O10" s="291">
        <f>25*(1+EtaWW)</f>
        <v>25</v>
      </c>
      <c r="P10" s="30">
        <v>2.2999999999999998</v>
      </c>
      <c r="Q10" s="5"/>
      <c r="R10" s="5"/>
      <c r="S10" s="5"/>
      <c r="T10" s="5"/>
      <c r="U10" s="5"/>
      <c r="V10" s="5"/>
      <c r="W10" s="5"/>
      <c r="X10" s="5"/>
      <c r="Y10" s="5"/>
      <c r="Z10" s="5"/>
      <c r="AA10" s="5"/>
      <c r="AB10" s="5"/>
      <c r="AC10" s="5"/>
      <c r="AD10" s="5"/>
      <c r="AE10" s="5"/>
      <c r="AF10" s="5"/>
      <c r="AG10" s="5"/>
      <c r="AH10" s="5"/>
      <c r="AI10" s="5"/>
      <c r="AJ10" s="5"/>
      <c r="AK10" s="5"/>
      <c r="AL10" s="5"/>
      <c r="AM10" s="377"/>
      <c r="AN10" s="377"/>
      <c r="AO10" s="377"/>
      <c r="AP10" s="377"/>
      <c r="AQ10" s="377"/>
      <c r="AR10" s="377"/>
      <c r="AS10" s="377"/>
      <c r="AT10" s="377"/>
      <c r="AU10" s="377"/>
      <c r="AV10" s="377"/>
      <c r="AW10" s="377"/>
      <c r="AX10" s="377"/>
      <c r="AY10" s="377"/>
      <c r="AZ10" s="377"/>
      <c r="BA10" s="377"/>
      <c r="BB10" s="377"/>
      <c r="BC10" s="377"/>
      <c r="BD10" s="377"/>
      <c r="BE10" s="377"/>
      <c r="BF10" s="377"/>
    </row>
    <row r="11" spans="1:58" ht="15" customHeight="1" x14ac:dyDescent="0.2">
      <c r="B11" s="38" t="str">
        <f>Sprache!B16</f>
        <v>Déperditions par renouvellement d'air selon SIA 380/1</v>
      </c>
      <c r="C11" s="40"/>
      <c r="D11" s="40"/>
      <c r="E11" s="47" t="str">
        <f>IF(OR(QV="",QV=0),Sprache!B75,IF(H11,IF(OR((H11+QT)&lt;$H$9,Berechnungen!E33),Sprache!B131,""),""))</f>
        <v>choisir -&gt;</v>
      </c>
      <c r="F11" s="42" t="s">
        <v>750</v>
      </c>
      <c r="G11" s="42" t="str">
        <f>G9</f>
        <v>MJ/m2a</v>
      </c>
      <c r="H11" s="43"/>
      <c r="L11" s="20" t="str">
        <f>Sprache!B105</f>
        <v>Restauration</v>
      </c>
      <c r="M11" s="291">
        <v>95</v>
      </c>
      <c r="N11" s="223">
        <v>75</v>
      </c>
      <c r="O11" s="291">
        <f>200*(1+EtaWW)</f>
        <v>200</v>
      </c>
      <c r="P11" s="30">
        <v>2.2999999999999998</v>
      </c>
      <c r="Q11" s="5"/>
      <c r="R11" s="5"/>
      <c r="S11" s="5"/>
      <c r="T11" s="5"/>
      <c r="U11" s="5"/>
      <c r="V11" s="5"/>
      <c r="W11" s="5"/>
      <c r="X11" s="5"/>
      <c r="Y11" s="5"/>
      <c r="Z11" s="5"/>
      <c r="AA11" s="5"/>
      <c r="AB11" s="5"/>
      <c r="AC11" s="5"/>
      <c r="AD11" s="5"/>
      <c r="AE11" s="5"/>
      <c r="AF11" s="5"/>
      <c r="AG11" s="5"/>
      <c r="AH11" s="5"/>
      <c r="AI11" s="5"/>
      <c r="AJ11" s="5"/>
      <c r="AK11" s="5"/>
      <c r="AL11" s="5"/>
      <c r="AM11" s="377"/>
      <c r="AN11" s="377"/>
      <c r="AO11" s="377"/>
      <c r="AP11" s="377"/>
      <c r="AQ11" s="377"/>
      <c r="AR11" s="377"/>
      <c r="AS11" s="377"/>
      <c r="AT11" s="377"/>
      <c r="AU11" s="377"/>
      <c r="AV11" s="377"/>
      <c r="AW11" s="377"/>
      <c r="AX11" s="377"/>
      <c r="AY11" s="377"/>
      <c r="AZ11" s="377"/>
      <c r="BA11" s="377"/>
      <c r="BB11" s="377"/>
      <c r="BC11" s="377"/>
      <c r="BD11" s="377"/>
      <c r="BE11" s="377"/>
      <c r="BF11" s="377"/>
    </row>
    <row r="12" spans="1:58" ht="15" customHeight="1" x14ac:dyDescent="0.2">
      <c r="B12" s="38" t="str">
        <f>Sprache!B17</f>
        <v>Chauffage: pertes supplémentaires de distribution de chaleur</v>
      </c>
      <c r="C12" s="40"/>
      <c r="D12" s="40"/>
      <c r="E12" s="47"/>
      <c r="F12" s="42"/>
      <c r="G12" s="42" t="s">
        <v>3643</v>
      </c>
      <c r="H12" s="57"/>
      <c r="L12" s="20" t="str">
        <f>Sprache!B106</f>
        <v>Lieu de rassemblement</v>
      </c>
      <c r="M12" s="291">
        <v>95</v>
      </c>
      <c r="N12" s="223">
        <v>75</v>
      </c>
      <c r="O12" s="291">
        <f>50*(1+EtaWW)</f>
        <v>50</v>
      </c>
      <c r="P12" s="30">
        <v>2.2999999999999998</v>
      </c>
      <c r="Q12" s="5"/>
      <c r="R12" s="5"/>
      <c r="S12" s="5"/>
      <c r="T12" s="5"/>
      <c r="U12" s="5"/>
      <c r="V12" s="5"/>
      <c r="W12" s="5"/>
      <c r="X12" s="5"/>
      <c r="Y12" s="5"/>
      <c r="Z12" s="5"/>
      <c r="AA12" s="5"/>
      <c r="AB12" s="5"/>
      <c r="AC12" s="5"/>
      <c r="AD12" s="5"/>
      <c r="AE12" s="5"/>
      <c r="AF12" s="5"/>
      <c r="AG12" s="5"/>
      <c r="AH12" s="5"/>
      <c r="AI12" s="5"/>
      <c r="AJ12" s="5"/>
      <c r="AK12" s="5"/>
      <c r="AL12" s="5"/>
      <c r="AM12" s="5"/>
      <c r="AN12" s="5"/>
      <c r="AO12" s="5"/>
      <c r="AQ12" s="377"/>
      <c r="AR12" s="377"/>
      <c r="AS12" s="377"/>
      <c r="AT12" s="377"/>
      <c r="AU12" s="377"/>
      <c r="AV12" s="377"/>
      <c r="AW12" s="377"/>
      <c r="AX12" s="377"/>
      <c r="AY12" s="377"/>
      <c r="AZ12" s="377"/>
      <c r="BA12" s="377"/>
      <c r="BB12" s="377"/>
      <c r="BC12" s="377"/>
      <c r="BD12" s="377"/>
      <c r="BE12" s="377"/>
      <c r="BF12" s="377"/>
    </row>
    <row r="13" spans="1:58" ht="15" customHeight="1" x14ac:dyDescent="0.2">
      <c r="B13" s="38" t="str">
        <f>Sprache!B18</f>
        <v>Durée de coupure d'alimentation de la PAC</v>
      </c>
      <c r="C13" s="40"/>
      <c r="D13" s="40"/>
      <c r="E13" s="47"/>
      <c r="F13" s="42"/>
      <c r="G13" s="63" t="s">
        <v>3647</v>
      </c>
      <c r="H13" s="64"/>
      <c r="L13" s="20" t="str">
        <f>Sprache!B107</f>
        <v>Hôpitaux</v>
      </c>
      <c r="M13" s="291">
        <v>80</v>
      </c>
      <c r="N13" s="223">
        <v>80</v>
      </c>
      <c r="O13" s="291">
        <f>100*(1+EtaWW)</f>
        <v>100</v>
      </c>
      <c r="P13" s="30">
        <v>4</v>
      </c>
      <c r="Q13" s="5"/>
      <c r="R13" s="5"/>
      <c r="S13" s="5"/>
      <c r="T13" s="5"/>
      <c r="U13" s="5"/>
      <c r="V13" s="5"/>
      <c r="W13" s="5"/>
      <c r="X13" s="5"/>
      <c r="Y13" s="5"/>
      <c r="Z13" s="5"/>
      <c r="AA13" s="5"/>
      <c r="AB13" s="5"/>
      <c r="AC13" s="5"/>
      <c r="AD13" s="5"/>
      <c r="AE13" s="5"/>
      <c r="AF13" s="5"/>
      <c r="AG13" s="5"/>
      <c r="AH13" s="5"/>
      <c r="AI13" s="5"/>
      <c r="AJ13" s="5"/>
      <c r="AK13" s="5"/>
      <c r="AL13" s="5"/>
      <c r="AM13" s="5"/>
      <c r="AN13" s="5"/>
      <c r="AO13" s="5"/>
      <c r="AQ13" s="377"/>
      <c r="AR13" s="377"/>
      <c r="AS13" s="377"/>
      <c r="AT13" s="377"/>
      <c r="AU13" s="377"/>
      <c r="AV13" s="377"/>
      <c r="AW13" s="377"/>
      <c r="AX13" s="377"/>
      <c r="AY13" s="377"/>
      <c r="AZ13" s="377"/>
      <c r="BA13" s="377"/>
      <c r="BB13" s="377"/>
      <c r="BC13" s="377"/>
      <c r="BD13" s="377"/>
      <c r="BE13" s="377"/>
      <c r="BF13" s="377"/>
    </row>
    <row r="14" spans="1:58" ht="15" customHeight="1" x14ac:dyDescent="0.2">
      <c r="B14" s="38" t="str">
        <f>Sprache!B19</f>
        <v>Puissance de chauffage nécessaire sans ECS à °C</v>
      </c>
      <c r="C14" s="40"/>
      <c r="D14" s="40"/>
      <c r="E14" s="70" t="str">
        <f>'WP1'!E14</f>
        <v/>
      </c>
      <c r="F14" s="71" t="str">
        <f>'WP1'!F14</f>
        <v/>
      </c>
      <c r="G14" s="63" t="s">
        <v>3650</v>
      </c>
      <c r="H14" s="1117"/>
      <c r="K14" s="217" t="e">
        <f>IF(Leistung&lt;(N32/28*(20-TaMin)),(N32/28*(20-TaMin)),IF(Qtot&gt;0,Qtot*(1+Verteilverluste)*EBF/3.6/(HGT*1.065)/24*(20-TaMin),IF(Qh,Qh*EBF/3.6/HGT/15*(20-TaMin),"")))-INDEX(P5:P17,Kategorie,1)*EBF/1000</f>
        <v>#VALUE!</v>
      </c>
      <c r="L14" s="20" t="str">
        <f>Sprache!B108</f>
        <v>Industrie</v>
      </c>
      <c r="M14" s="291">
        <v>60</v>
      </c>
      <c r="N14" s="223">
        <v>70</v>
      </c>
      <c r="O14" s="291">
        <f>25*(1+EtaWW)</f>
        <v>25</v>
      </c>
      <c r="P14" s="30">
        <v>2.2999999999999998</v>
      </c>
      <c r="Q14" s="5"/>
      <c r="R14" s="5"/>
      <c r="S14" s="5"/>
      <c r="T14" s="5"/>
      <c r="U14" s="5"/>
      <c r="V14" s="5"/>
      <c r="W14" s="5"/>
      <c r="X14" s="5"/>
      <c r="Y14" s="5"/>
      <c r="Z14" s="5"/>
      <c r="AA14" s="5"/>
      <c r="AB14" s="5"/>
      <c r="AC14" s="5"/>
      <c r="AD14" s="5"/>
      <c r="AE14" s="5"/>
      <c r="AF14" s="5"/>
      <c r="AG14" s="5"/>
      <c r="AH14" s="5"/>
      <c r="AI14" s="5"/>
      <c r="AJ14" s="5"/>
      <c r="AK14" s="5"/>
      <c r="AL14" s="5"/>
      <c r="AM14" s="5"/>
      <c r="AN14" s="5"/>
      <c r="AO14" s="5"/>
      <c r="AP14" s="19"/>
      <c r="AQ14" s="377"/>
      <c r="AR14" s="377"/>
      <c r="AS14" s="377"/>
      <c r="AT14" s="377"/>
      <c r="AU14" s="377"/>
      <c r="AV14" s="377"/>
      <c r="AW14" s="377"/>
      <c r="AX14" s="377"/>
      <c r="AY14" s="377"/>
      <c r="AZ14" s="377"/>
      <c r="BA14" s="377"/>
      <c r="BB14" s="377"/>
      <c r="BC14" s="377"/>
      <c r="BD14" s="377"/>
      <c r="BE14" s="377"/>
      <c r="BF14" s="377"/>
    </row>
    <row r="15" spans="1:58" ht="15" customHeight="1" x14ac:dyDescent="0.2">
      <c r="B15" s="38" t="str">
        <f>Sprache!B20</f>
        <v>Besoins de chaleur pour l'ECS selon SIA 380/1</v>
      </c>
      <c r="C15" s="40"/>
      <c r="D15" s="40"/>
      <c r="E15" s="39"/>
      <c r="F15" s="42" t="s">
        <v>717</v>
      </c>
      <c r="G15" s="42" t="str">
        <f>G11</f>
        <v>MJ/m2a</v>
      </c>
      <c r="H15" s="911" t="str">
        <f>IF(H7&lt;&gt;"",Qww/Einheitenfaktor,"")</f>
        <v/>
      </c>
      <c r="K15" s="19" t="str">
        <f>INDEX(O5:O17,Kategorie,1)</f>
        <v xml:space="preserve"> </v>
      </c>
      <c r="L15" s="20" t="str">
        <f>Sprache!B109</f>
        <v>Dépôt</v>
      </c>
      <c r="M15" s="291">
        <v>60</v>
      </c>
      <c r="N15" s="223">
        <v>70</v>
      </c>
      <c r="O15" s="291">
        <f>5*(1+EtaWW)</f>
        <v>5</v>
      </c>
      <c r="P15" s="30">
        <v>2.2999999999999998</v>
      </c>
      <c r="Q15" s="5"/>
      <c r="R15" s="5"/>
      <c r="S15" s="5"/>
      <c r="T15" s="5"/>
      <c r="U15" s="5"/>
      <c r="V15" s="5"/>
      <c r="W15" s="5"/>
      <c r="X15" s="5"/>
      <c r="Y15" s="5"/>
      <c r="Z15" s="5"/>
      <c r="AA15" s="5"/>
      <c r="AB15" s="5"/>
      <c r="AC15" s="5"/>
      <c r="AD15" s="5"/>
      <c r="AE15" s="5"/>
      <c r="AF15" s="5"/>
      <c r="AG15" s="5"/>
      <c r="AH15" s="5"/>
      <c r="AI15" s="5"/>
      <c r="AJ15" s="5"/>
      <c r="AK15" s="5"/>
      <c r="AL15" s="5"/>
      <c r="AM15" s="5"/>
      <c r="AN15" s="5"/>
      <c r="AO15" s="5"/>
      <c r="AQ15" s="377"/>
      <c r="AR15" s="377"/>
      <c r="AS15" s="377"/>
      <c r="AT15" s="377"/>
      <c r="AU15" s="377"/>
      <c r="AV15" s="377"/>
      <c r="AW15" s="377"/>
      <c r="AX15" s="377"/>
      <c r="AY15" s="377"/>
      <c r="AZ15" s="377"/>
      <c r="BA15" s="377"/>
      <c r="BB15" s="377"/>
      <c r="BC15" s="377"/>
      <c r="BD15" s="377"/>
      <c r="BE15" s="377"/>
      <c r="BF15" s="377"/>
    </row>
    <row r="16" spans="1:58" ht="15" customHeight="1" x14ac:dyDescent="0.2">
      <c r="B16" s="77" t="str">
        <f>Sprache!B21</f>
        <v>Eau chaude sanitaire: pertes supplémentaires d'accumulation et de distribution</v>
      </c>
      <c r="C16" s="534"/>
      <c r="D16" s="534"/>
      <c r="E16" s="78"/>
      <c r="F16" s="79"/>
      <c r="G16" s="79" t="s">
        <v>3643</v>
      </c>
      <c r="H16" s="729"/>
      <c r="K16" s="728"/>
      <c r="L16" s="20" t="str">
        <f>Sprache!B110</f>
        <v>Installation sportive</v>
      </c>
      <c r="M16" s="291">
        <v>75</v>
      </c>
      <c r="N16" s="223">
        <v>70</v>
      </c>
      <c r="O16" s="291">
        <f>300*(1+EtaWW)</f>
        <v>300</v>
      </c>
      <c r="P16" s="30">
        <v>2.2999999999999998</v>
      </c>
      <c r="Q16" s="5"/>
      <c r="R16" s="5"/>
      <c r="S16" s="5"/>
      <c r="T16" s="5"/>
      <c r="U16" s="5"/>
      <c r="V16" s="5"/>
      <c r="W16" s="5"/>
      <c r="X16" s="5"/>
      <c r="Y16" s="5"/>
      <c r="Z16" s="5"/>
      <c r="AA16" s="5"/>
      <c r="AB16" s="5"/>
      <c r="AC16" s="5"/>
      <c r="AD16" s="5"/>
      <c r="AE16" s="5"/>
      <c r="AF16" s="5"/>
      <c r="AG16" s="5"/>
      <c r="AH16" s="5"/>
      <c r="AI16" s="5"/>
      <c r="AJ16" s="5"/>
      <c r="AK16" s="5"/>
      <c r="AL16" s="5"/>
      <c r="AM16" s="5"/>
      <c r="AN16" s="5"/>
      <c r="AO16" s="5"/>
      <c r="AQ16" s="377"/>
      <c r="AR16" s="377"/>
      <c r="AS16" s="377"/>
      <c r="AT16" s="377"/>
      <c r="AU16" s="377"/>
      <c r="AV16" s="377"/>
      <c r="AW16" s="377"/>
      <c r="AX16" s="377"/>
      <c r="AY16" s="377"/>
      <c r="AZ16" s="377"/>
      <c r="BA16" s="377"/>
      <c r="BB16" s="377"/>
      <c r="BC16" s="377"/>
      <c r="BD16" s="377"/>
      <c r="BE16" s="377"/>
      <c r="BF16" s="377"/>
    </row>
    <row r="17" spans="2:108" ht="12" customHeight="1" x14ac:dyDescent="0.2">
      <c r="B17" s="666" t="str">
        <f>IF(AND(Qh&gt;0,$M$26&lt;&gt;3),IF(AND(bivalent=FALSE,elZusatz=FALSE,F53&gt;0.01),Sprache!B146,""),"")</f>
        <v/>
      </c>
      <c r="C17" s="34"/>
      <c r="D17" s="4"/>
      <c r="E17" s="31"/>
      <c r="F17" s="965"/>
      <c r="G17" s="965"/>
      <c r="H17" s="963"/>
      <c r="L17" s="26" t="str">
        <f>Sprache!B111</f>
        <v>Piscine</v>
      </c>
      <c r="M17" s="292">
        <v>70</v>
      </c>
      <c r="N17" s="293">
        <v>90</v>
      </c>
      <c r="O17" s="292">
        <f>300*(1+EtaWW)</f>
        <v>300</v>
      </c>
      <c r="P17" s="65">
        <v>2.2999999999999998</v>
      </c>
      <c r="Q17" s="5"/>
      <c r="R17" s="5"/>
      <c r="S17" s="5"/>
      <c r="T17" s="5"/>
      <c r="U17" s="5"/>
      <c r="V17" s="5"/>
      <c r="W17" s="5"/>
      <c r="X17" s="5"/>
      <c r="Y17" s="5"/>
      <c r="Z17" s="5"/>
      <c r="AA17" s="5"/>
      <c r="AB17" s="5"/>
      <c r="AC17" s="5"/>
      <c r="AD17" s="5"/>
      <c r="AE17" s="5"/>
      <c r="AF17" s="5"/>
      <c r="AG17" s="5"/>
      <c r="AH17" s="5"/>
      <c r="AI17" s="5"/>
      <c r="AJ17" s="5"/>
      <c r="AK17" s="5"/>
      <c r="AL17" s="5"/>
      <c r="AM17" s="5"/>
      <c r="AN17" s="5"/>
      <c r="AO17" s="5"/>
      <c r="AQ17" s="377"/>
      <c r="AR17" s="377"/>
      <c r="AS17" s="377"/>
      <c r="AT17" s="377"/>
      <c r="AU17" s="377"/>
      <c r="AV17" s="377"/>
      <c r="AW17" s="377"/>
      <c r="AX17" s="377"/>
      <c r="AY17" s="377"/>
      <c r="AZ17" s="377"/>
      <c r="BA17" s="377"/>
      <c r="BB17" s="377"/>
      <c r="BC17" s="377"/>
      <c r="BD17" s="377"/>
      <c r="BE17" s="377"/>
      <c r="BF17" s="377"/>
    </row>
    <row r="18" spans="2:108" ht="19.899999999999999" customHeight="1" x14ac:dyDescent="0.2">
      <c r="B18" s="32" t="str">
        <f>Sprache!B22</f>
        <v>Installation de pompe à chaleur</v>
      </c>
      <c r="C18" s="1243"/>
      <c r="D18" s="1244"/>
      <c r="E18" s="1105"/>
      <c r="F18" s="1021" t="str">
        <f>IF(SpezWP,IF(Spez!E5&lt;&gt;"",Spez!E5,""),"Hersteller:  ")</f>
        <v xml:space="preserve">Hersteller:  </v>
      </c>
      <c r="G18" s="1257"/>
      <c r="H18" s="1258"/>
      <c r="K18" s="5" t="b">
        <f>IF(OR(E18="",E18=L47,E18=L49),FALSE,TRUE)</f>
        <v>0</v>
      </c>
      <c r="L18" s="5"/>
      <c r="M18" s="5"/>
      <c r="N18" s="5"/>
      <c r="O18" s="5"/>
      <c r="P18" s="19">
        <f>INDEX(P5:P18,M3,1)</f>
        <v>0</v>
      </c>
      <c r="Q18" s="5"/>
      <c r="R18" s="5"/>
      <c r="S18" s="5"/>
      <c r="T18" s="5"/>
      <c r="U18" s="5"/>
      <c r="V18" s="5"/>
      <c r="W18" s="5"/>
      <c r="X18" s="5"/>
      <c r="Y18" s="5"/>
      <c r="Z18" s="5"/>
      <c r="AA18" s="5"/>
      <c r="AB18" s="5"/>
      <c r="AC18" s="5"/>
      <c r="AD18" s="5"/>
      <c r="AE18" s="5"/>
      <c r="AF18" s="5"/>
      <c r="AG18" s="5"/>
      <c r="AH18" s="5"/>
      <c r="AI18" s="5"/>
      <c r="AJ18" s="5"/>
      <c r="AK18" s="5"/>
      <c r="AL18" s="5"/>
      <c r="AM18" s="5"/>
      <c r="AN18" s="5"/>
      <c r="AO18" s="5"/>
      <c r="AQ18" s="377"/>
      <c r="AR18" s="377"/>
      <c r="AS18" s="377"/>
      <c r="AT18" s="377"/>
      <c r="AU18" s="377"/>
      <c r="AV18" s="377"/>
      <c r="AW18" s="377"/>
      <c r="AX18" s="377"/>
      <c r="AY18" s="377"/>
      <c r="AZ18" s="377"/>
      <c r="BA18" s="377"/>
      <c r="BB18" s="377"/>
      <c r="BC18" s="377"/>
      <c r="BD18" s="377"/>
      <c r="BE18" s="377"/>
      <c r="BF18" s="377"/>
    </row>
    <row r="19" spans="2:108" ht="19.899999999999999" customHeight="1" x14ac:dyDescent="0.2">
      <c r="B19" s="92" t="str">
        <f>Sprache!B23</f>
        <v>Nom et type de PAC</v>
      </c>
      <c r="C19" s="250"/>
      <c r="D19" s="250"/>
      <c r="E19" s="93"/>
      <c r="F19" s="1022" t="str">
        <f>IF(SpezWP,IF(Spez!E5&lt;&gt;"",Spez!E5,""),"Typ:  ")</f>
        <v xml:space="preserve">Typ:  </v>
      </c>
      <c r="G19" s="1269"/>
      <c r="H19" s="1270"/>
      <c r="K19" s="5" t="b">
        <f>IF(OR(G18=WP_Daten!D10,G18=""),FALSE,TRUE)</f>
        <v>0</v>
      </c>
      <c r="L19" s="5"/>
      <c r="M19" s="5"/>
      <c r="N19" s="5"/>
      <c r="O19" s="5"/>
      <c r="P19" s="19"/>
      <c r="Q19" s="5"/>
      <c r="R19" s="5"/>
      <c r="S19" s="5"/>
      <c r="T19" s="5"/>
      <c r="U19" s="5"/>
      <c r="V19" s="5"/>
      <c r="W19" s="5"/>
      <c r="X19" s="5"/>
      <c r="Y19" s="5"/>
      <c r="Z19" s="5"/>
      <c r="AA19" s="5"/>
      <c r="AB19" s="5"/>
      <c r="AC19" s="5"/>
      <c r="AD19" s="5"/>
      <c r="AE19" s="5"/>
      <c r="AF19" s="5"/>
      <c r="AG19" s="5"/>
      <c r="AH19" s="5"/>
      <c r="AI19" s="5"/>
      <c r="AJ19" s="5"/>
      <c r="AK19" s="5"/>
      <c r="AL19" s="5"/>
      <c r="AM19" s="5"/>
      <c r="AN19" s="5"/>
      <c r="AO19" s="5"/>
      <c r="AQ19" s="377"/>
      <c r="AR19" s="377"/>
      <c r="AS19" s="377"/>
      <c r="AT19" s="377"/>
      <c r="AU19" s="377"/>
      <c r="AV19" s="377"/>
      <c r="AW19" s="377"/>
      <c r="AX19" s="377"/>
      <c r="AY19" s="377"/>
      <c r="AZ19" s="377"/>
      <c r="BA19" s="377"/>
      <c r="BB19" s="377"/>
      <c r="BC19" s="377"/>
      <c r="BD19" s="377"/>
      <c r="BE19" s="377"/>
      <c r="BF19" s="377"/>
    </row>
    <row r="20" spans="2:108" ht="16.899999999999999" customHeight="1" x14ac:dyDescent="0.2">
      <c r="B20" s="92" t="str">
        <f>Sprache!B26</f>
        <v>Source de chaleur:</v>
      </c>
      <c r="C20" s="250"/>
      <c r="D20" s="250"/>
      <c r="E20" s="347" t="str">
        <f>IF(WPArt=1,Sprache!B24,"")</f>
        <v>choisir -&gt;</v>
      </c>
      <c r="F20" s="1240"/>
      <c r="G20" s="1241"/>
      <c r="H20" s="1242"/>
      <c r="K20" s="377">
        <f>IF(F20="",1,MATCH(F20,$M$74:$M$94,0))</f>
        <v>1</v>
      </c>
      <c r="L20" s="1215" t="s">
        <v>1626</v>
      </c>
      <c r="M20" s="1216"/>
      <c r="N20" s="5"/>
      <c r="O20" s="139" t="s">
        <v>1681</v>
      </c>
      <c r="P20" s="229">
        <f>K22</f>
        <v>1</v>
      </c>
      <c r="Q20" s="996" t="s">
        <v>1682</v>
      </c>
      <c r="R20" s="230" t="s">
        <v>84</v>
      </c>
      <c r="S20" s="5"/>
      <c r="T20" s="192" t="s">
        <v>1678</v>
      </c>
      <c r="U20" s="227" t="s">
        <v>1679</v>
      </c>
      <c r="V20" s="227" t="s">
        <v>1680</v>
      </c>
      <c r="W20" s="5"/>
      <c r="X20" s="139" t="s">
        <v>3930</v>
      </c>
      <c r="Y20" s="172">
        <f>K24</f>
        <v>1</v>
      </c>
      <c r="Z20" s="5"/>
      <c r="AA20" s="192" t="s">
        <v>3941</v>
      </c>
      <c r="AB20" s="193"/>
      <c r="AC20" s="5"/>
      <c r="AD20" s="5"/>
      <c r="AE20" s="5"/>
      <c r="AF20" s="5"/>
      <c r="AG20" s="5"/>
      <c r="AH20" s="5"/>
      <c r="AI20" s="5"/>
      <c r="AJ20" s="5"/>
      <c r="AK20" s="5"/>
      <c r="AL20" s="5"/>
      <c r="AM20" s="5"/>
      <c r="AN20" s="5"/>
      <c r="AO20" s="5"/>
      <c r="AQ20" s="377"/>
      <c r="AR20" s="377"/>
      <c r="AS20" s="377"/>
      <c r="AT20" s="377"/>
      <c r="AU20" s="377"/>
      <c r="AV20" s="377"/>
      <c r="AW20" s="377"/>
      <c r="AX20" s="377"/>
      <c r="AY20" s="377"/>
      <c r="AZ20" s="377"/>
      <c r="BA20" s="377"/>
      <c r="BB20" s="377"/>
      <c r="BC20" s="377"/>
      <c r="BD20" s="377"/>
      <c r="BE20" s="377"/>
      <c r="BF20" s="377"/>
    </row>
    <row r="21" spans="2:108" ht="16.149999999999999" customHeight="1" x14ac:dyDescent="0.2">
      <c r="B21" s="100" t="str">
        <f>Sprache!B27</f>
        <v>Utilisation (chauffage ou eau chaude sanitaire)</v>
      </c>
      <c r="C21" s="103"/>
      <c r="D21" s="103"/>
      <c r="E21" s="347" t="str">
        <f>IF(M27=1,Sprache!B24,"")</f>
        <v>choisir -&gt;</v>
      </c>
      <c r="F21" s="1240" t="s">
        <v>718</v>
      </c>
      <c r="G21" s="1241"/>
      <c r="H21" s="1242"/>
      <c r="K21" s="377">
        <f>IF(F21="",1,MATCH(F21,$L$28:$L$32,0))</f>
        <v>1</v>
      </c>
      <c r="L21" s="238" t="s">
        <v>3488</v>
      </c>
      <c r="M21" s="17">
        <f>MATCH(G9,L21:L22,0)</f>
        <v>1</v>
      </c>
      <c r="N21" s="5"/>
      <c r="O21" s="16" t="s">
        <v>718</v>
      </c>
      <c r="P21" s="995" t="b">
        <v>1</v>
      </c>
      <c r="Q21" s="365">
        <f>'WP1'!AJ133</f>
        <v>0</v>
      </c>
      <c r="R21" s="24" t="b">
        <v>0</v>
      </c>
      <c r="S21" s="5"/>
      <c r="T21" s="232" t="s">
        <v>718</v>
      </c>
      <c r="U21" s="24" t="b">
        <v>0</v>
      </c>
      <c r="V21" s="24" t="b">
        <v>0</v>
      </c>
      <c r="W21" s="5"/>
      <c r="X21" s="16" t="s">
        <v>718</v>
      </c>
      <c r="Y21" s="174">
        <v>0</v>
      </c>
      <c r="Z21" s="5"/>
      <c r="AA21" s="16" t="s">
        <v>718</v>
      </c>
      <c r="AB21" s="24"/>
      <c r="AC21" s="5"/>
      <c r="AD21" s="5"/>
      <c r="AE21" s="5"/>
      <c r="AF21" s="5"/>
      <c r="AG21" s="5"/>
      <c r="AH21" s="5"/>
      <c r="AI21" s="5"/>
      <c r="AJ21" s="5"/>
      <c r="AK21" s="5"/>
      <c r="AL21" s="5"/>
      <c r="AM21" s="5"/>
      <c r="AN21" s="5"/>
      <c r="AO21" s="5"/>
      <c r="AQ21" s="377"/>
      <c r="AR21" s="377"/>
      <c r="AS21" s="377"/>
      <c r="AT21" s="377"/>
      <c r="AU21" s="377"/>
      <c r="AV21" s="377"/>
      <c r="AW21" s="377"/>
      <c r="AX21" s="377"/>
      <c r="AY21" s="377"/>
      <c r="AZ21" s="377"/>
      <c r="BA21" s="377"/>
      <c r="BB21" s="377"/>
      <c r="BC21" s="377"/>
      <c r="BD21" s="377"/>
      <c r="BE21" s="377"/>
      <c r="BF21" s="377"/>
    </row>
    <row r="22" spans="2:108" ht="16.149999999999999" customHeight="1" x14ac:dyDescent="0.2">
      <c r="B22" s="100" t="str">
        <f>IF(Heizung=FALSE,"",Sprache!B29)</f>
        <v/>
      </c>
      <c r="C22" s="103"/>
      <c r="D22" s="103"/>
      <c r="E22" s="347" t="str">
        <f>IF(AND(HeizungSolar,$P$20=3),Sprache!B25,IF(AND(P20=1,Heizung),Sprache!B24,""))</f>
        <v/>
      </c>
      <c r="F22" s="1240" t="s">
        <v>718</v>
      </c>
      <c r="G22" s="1241"/>
      <c r="H22" s="1242"/>
      <c r="K22" s="377">
        <f>IF(F22="",1,IF(OR($K$21=3,$K$21=1,$K$20=18),1,MATCH(F22,$O$21:$O$27,0)))</f>
        <v>1</v>
      </c>
      <c r="L22" s="26" t="s">
        <v>938</v>
      </c>
      <c r="M22" s="65">
        <f>IF(M21=2,3.6,1)</f>
        <v>1</v>
      </c>
      <c r="N22" s="5"/>
      <c r="O22" s="20" t="str">
        <f>IF('WP1'!AH134&lt;&gt;"",'WP1'!AH134,"")</f>
        <v/>
      </c>
      <c r="P22" s="246" t="b">
        <v>0</v>
      </c>
      <c r="Q22" s="233">
        <f>'WP1'!AJ134</f>
        <v>0</v>
      </c>
      <c r="R22" s="21" t="b">
        <v>0</v>
      </c>
      <c r="S22" s="5"/>
      <c r="T22" s="238" t="str">
        <f>'WP1'!AD134</f>
        <v>fonctionnement chauffage monovalent</v>
      </c>
      <c r="U22" s="29" t="b">
        <v>0</v>
      </c>
      <c r="V22" s="29" t="b">
        <v>0</v>
      </c>
      <c r="W22" s="5"/>
      <c r="X22" s="20" t="str">
        <f>'WP1'!BG69</f>
        <v/>
      </c>
      <c r="Y22" s="175">
        <f>IF(elZusatz,AC80,0)</f>
        <v>0</v>
      </c>
      <c r="Z22" s="5"/>
      <c r="AA22" s="20" t="str">
        <f>'WP1'!BG78</f>
        <v/>
      </c>
      <c r="AB22" s="29"/>
      <c r="AC22" s="5"/>
      <c r="AD22" s="5"/>
      <c r="AE22" s="5"/>
      <c r="AF22" s="5"/>
      <c r="AG22" s="5"/>
      <c r="AH22" s="5"/>
      <c r="AI22" s="5"/>
      <c r="AJ22" s="5"/>
      <c r="AK22" s="5"/>
      <c r="AL22" s="5"/>
      <c r="AM22" s="5"/>
      <c r="AN22" s="5"/>
      <c r="AO22" s="5"/>
      <c r="AQ22" s="377"/>
      <c r="AR22" s="377"/>
      <c r="AS22" s="377"/>
      <c r="AT22" s="377"/>
      <c r="AU22" s="377"/>
      <c r="AV22" s="377"/>
      <c r="AW22" s="377"/>
      <c r="AX22" s="377"/>
      <c r="AY22" s="377"/>
      <c r="AZ22" s="377"/>
      <c r="BA22" s="377"/>
      <c r="BB22" s="377"/>
      <c r="BC22" s="377"/>
      <c r="BD22" s="377"/>
      <c r="BE22" s="377"/>
      <c r="BF22" s="377"/>
    </row>
    <row r="23" spans="2:108" ht="16.149999999999999" customHeight="1" x14ac:dyDescent="0.2">
      <c r="B23" s="100" t="str">
        <f>Sprache!B28</f>
        <v>Mode de fonctionnement de la PAC</v>
      </c>
      <c r="C23" s="103"/>
      <c r="D23" s="103"/>
      <c r="E23" s="347" t="str">
        <f>IF(T27=1,Sprache!B24,"")</f>
        <v>choisir -&gt;</v>
      </c>
      <c r="F23" s="1240" t="s">
        <v>718</v>
      </c>
      <c r="G23" s="1241"/>
      <c r="H23" s="1242"/>
      <c r="K23" s="377">
        <f>IF(F23="",1,IF(MATCH(F23,$T$21:$T$25,0)=5,4,MATCH(F23,$T$21:$T$25,0)))</f>
        <v>1</v>
      </c>
      <c r="L23" s="5">
        <f>IF(F23="",1,MATCH(F23,$T$21:$T$25,0))</f>
        <v>1</v>
      </c>
      <c r="M23" s="5"/>
      <c r="N23" s="5"/>
      <c r="O23" s="20" t="str">
        <f>IF('WP1'!AH135&lt;&gt;"",'WP1'!AH135,"")</f>
        <v/>
      </c>
      <c r="P23" s="246" t="b">
        <v>1</v>
      </c>
      <c r="Q23" s="233">
        <f>'WP1'!AJ135</f>
        <v>0.02</v>
      </c>
      <c r="R23" s="21" t="b">
        <v>0</v>
      </c>
      <c r="S23" s="5"/>
      <c r="T23" s="238" t="str">
        <f>'WP1'!AD135</f>
        <v xml:space="preserve">avec chauffage électrique de secours </v>
      </c>
      <c r="U23" s="29" t="b">
        <v>0</v>
      </c>
      <c r="V23" s="29" t="b">
        <v>1</v>
      </c>
      <c r="W23" s="5"/>
      <c r="X23" s="20" t="str">
        <f>'WP1'!BG70</f>
        <v/>
      </c>
      <c r="Y23" s="175">
        <f>IF(AND(elZusatz,Speicher),AC81,0)</f>
        <v>0</v>
      </c>
      <c r="Z23" s="5"/>
      <c r="AA23" s="20" t="str">
        <f>'WP1'!BG79</f>
        <v/>
      </c>
      <c r="AB23" s="198"/>
      <c r="AC23" s="5"/>
      <c r="AD23" s="5"/>
      <c r="AE23" s="5"/>
      <c r="AF23" s="5"/>
      <c r="AG23" s="5"/>
      <c r="AH23" s="5"/>
      <c r="AI23" s="5"/>
      <c r="AJ23" s="5"/>
      <c r="AK23" s="5"/>
      <c r="AL23" s="5"/>
      <c r="AM23" s="5"/>
      <c r="AN23" s="5"/>
      <c r="AO23" s="5"/>
      <c r="AQ23" s="377"/>
      <c r="AR23" s="377"/>
      <c r="AS23" s="377"/>
      <c r="AT23" s="377"/>
      <c r="AU23" s="377"/>
      <c r="AV23" s="377"/>
      <c r="AW23" s="377"/>
      <c r="AX23" s="377"/>
      <c r="AY23" s="377"/>
      <c r="AZ23" s="377"/>
      <c r="BA23" s="377"/>
      <c r="BB23" s="377"/>
      <c r="BC23" s="377"/>
      <c r="BD23" s="377"/>
      <c r="BE23" s="377"/>
      <c r="BF23" s="377"/>
    </row>
    <row r="24" spans="2:108" ht="18" customHeight="1" x14ac:dyDescent="0.2">
      <c r="B24" s="166" t="str">
        <f>IF(elZusatz,Sprache!B30,"")</f>
        <v/>
      </c>
      <c r="C24" s="499"/>
      <c r="D24" s="499"/>
      <c r="E24" s="538" t="str">
        <f>IF(AND(elZusatz,Y20=1),Sprache!B24,"")</f>
        <v/>
      </c>
      <c r="F24" s="1259"/>
      <c r="G24" s="1260"/>
      <c r="H24" s="1261"/>
      <c r="K24" s="377">
        <f>IF(F24="",1,MATCH(F24,$X$21:$X$25,0))</f>
        <v>1</v>
      </c>
      <c r="L24" s="5"/>
      <c r="M24" s="5"/>
      <c r="N24" s="5"/>
      <c r="O24" s="20" t="str">
        <f>IF('WP1'!AH136&lt;&gt;"",'WP1'!AH136,"")</f>
        <v/>
      </c>
      <c r="P24" s="246" t="b">
        <f>IF(M26=4,TRUE,FALSE)</f>
        <v>0</v>
      </c>
      <c r="Q24" s="233">
        <f>'WP1'!AJ136</f>
        <v>0.04</v>
      </c>
      <c r="R24" s="21" t="b">
        <v>0</v>
      </c>
      <c r="S24" s="5"/>
      <c r="T24" s="238" t="str">
        <f>'WP1'!AD136</f>
        <v>Installation bivalente fossile</v>
      </c>
      <c r="U24" s="29" t="b">
        <v>1</v>
      </c>
      <c r="V24" s="29" t="b">
        <v>0</v>
      </c>
      <c r="W24" s="5"/>
      <c r="X24" s="20" t="str">
        <f>'WP1'!BG71</f>
        <v/>
      </c>
      <c r="Y24" s="175">
        <f>IF(AND(elZusatz,Speicher),AC82,0)</f>
        <v>0</v>
      </c>
      <c r="Z24" s="5"/>
      <c r="AA24" s="20" t="str">
        <f>'WP1'!BG80</f>
        <v/>
      </c>
      <c r="AB24" s="198"/>
      <c r="AC24" s="5"/>
      <c r="AD24" s="5"/>
      <c r="AE24" s="5"/>
      <c r="AF24" s="5"/>
      <c r="AG24" s="5"/>
      <c r="AH24" s="5"/>
      <c r="AI24" s="5"/>
      <c r="AJ24" s="5"/>
      <c r="AK24" s="5"/>
      <c r="AL24" s="5"/>
      <c r="AM24" s="5"/>
      <c r="AN24" s="5"/>
      <c r="AO24" s="5"/>
      <c r="AQ24" s="377"/>
      <c r="AR24" s="377"/>
      <c r="AS24" s="377"/>
      <c r="AT24" s="377"/>
      <c r="AU24" s="377"/>
      <c r="AV24" s="377"/>
      <c r="AW24" s="377"/>
      <c r="AX24" s="377"/>
      <c r="AY24" s="377"/>
      <c r="AZ24" s="377"/>
      <c r="BA24" s="377"/>
      <c r="BB24" s="377"/>
      <c r="BC24" s="377"/>
      <c r="BD24" s="377"/>
      <c r="BE24" s="377"/>
      <c r="BF24" s="377"/>
    </row>
    <row r="25" spans="2:108" ht="15" customHeight="1" x14ac:dyDescent="0.2">
      <c r="B25" s="539" t="str">
        <f>Sprache!B69</f>
        <v>Température de la source (entrée PAC)</v>
      </c>
      <c r="C25" s="516" t="s">
        <v>2948</v>
      </c>
      <c r="D25" s="516">
        <v>-15</v>
      </c>
      <c r="E25" s="516">
        <v>-7</v>
      </c>
      <c r="F25" s="516">
        <v>2</v>
      </c>
      <c r="G25" s="543">
        <v>7</v>
      </c>
      <c r="H25" s="542">
        <f>'WP1'!H25</f>
        <v>20</v>
      </c>
      <c r="L25" s="469" t="s">
        <v>3501</v>
      </c>
      <c r="M25" s="133"/>
      <c r="N25" s="5"/>
      <c r="O25" s="20" t="str">
        <f>IF('WP1'!AH137&lt;&gt;"",'WP1'!AH137,"")</f>
        <v/>
      </c>
      <c r="P25" s="246" t="b">
        <f>IF(M26=4,TRUE,FALSE)</f>
        <v>0</v>
      </c>
      <c r="Q25" s="233">
        <f>'WP1'!AJ137</f>
        <v>0.06</v>
      </c>
      <c r="R25" s="21" t="b">
        <v>1</v>
      </c>
      <c r="S25" s="5"/>
      <c r="T25" s="238" t="str">
        <f>'WP1'!AD137</f>
        <v>Installation bivalente fossile alternative</v>
      </c>
      <c r="U25" s="21"/>
      <c r="V25" s="21"/>
      <c r="W25" s="5"/>
      <c r="X25" s="20"/>
      <c r="Y25" s="175"/>
      <c r="Z25" s="5"/>
      <c r="AA25" s="20" t="str">
        <f>'WP1'!BG81</f>
        <v/>
      </c>
      <c r="AB25" s="525"/>
      <c r="AC25" s="5"/>
      <c r="AD25" s="5"/>
      <c r="AE25" s="5"/>
      <c r="AF25" s="5"/>
      <c r="AG25" s="5"/>
      <c r="AH25" s="5"/>
      <c r="AI25" s="5"/>
      <c r="AJ25" s="5"/>
      <c r="AK25" s="5"/>
      <c r="AL25" s="5"/>
      <c r="AM25" s="5"/>
      <c r="AN25" s="5"/>
      <c r="AO25" s="5"/>
      <c r="AQ25" s="377"/>
      <c r="AR25" s="377"/>
      <c r="AS25" s="377"/>
      <c r="AT25" s="377"/>
      <c r="AU25" s="377"/>
      <c r="AV25" s="377"/>
      <c r="AW25" s="377"/>
      <c r="AX25" s="377"/>
      <c r="AY25" s="377"/>
      <c r="AZ25" s="377"/>
      <c r="BA25" s="377"/>
      <c r="BB25" s="377"/>
      <c r="BC25" s="377"/>
      <c r="BD25" s="377"/>
      <c r="BE25" s="377"/>
      <c r="BF25" s="377"/>
    </row>
    <row r="26" spans="2:108" ht="15" customHeight="1" x14ac:dyDescent="0.2">
      <c r="B26" s="502" t="str">
        <f>Sprache!B185&amp;IF(SpezWP,Spez!C10,35)&amp;"°C(Qh/COP):"</f>
        <v>Valeurs de calcul pour Tdép35°C(Qh/COP):</v>
      </c>
      <c r="C26" s="541" t="s">
        <v>2948</v>
      </c>
      <c r="D26" s="541" t="str">
        <f>'WP1'!D26</f>
        <v/>
      </c>
      <c r="E26" s="541" t="str">
        <f>'WP1'!E26</f>
        <v/>
      </c>
      <c r="F26" s="541" t="str">
        <f>'WP1'!F26</f>
        <v/>
      </c>
      <c r="G26" s="541" t="str">
        <f>'WP1'!G26</f>
        <v/>
      </c>
      <c r="H26" s="837" t="str">
        <f ca="1">'WP1'!H26</f>
        <v>0.0kW / 0.0</v>
      </c>
      <c r="K26" s="5" t="b">
        <f ca="1">IF(AND(WPArt=2,SpezWP=FALSE,WP_Daten!K5&gt;0,WP_Daten!L5&gt;0),TRUE,FALSE)</f>
        <v>0</v>
      </c>
      <c r="L26" s="94" t="s">
        <v>3503</v>
      </c>
      <c r="M26" s="136">
        <f>K21</f>
        <v>1</v>
      </c>
      <c r="N26" s="5"/>
      <c r="O26" s="20" t="str">
        <f>IF('WP1'!AH138&lt;&gt;"",'WP1'!AH138,"")</f>
        <v/>
      </c>
      <c r="P26" s="246" t="b">
        <f>IF(M26=4,TRUE,FALSE)</f>
        <v>0</v>
      </c>
      <c r="Q26" s="233">
        <f>'WP1'!AJ138</f>
        <v>0.05</v>
      </c>
      <c r="R26" s="21" t="b">
        <v>0</v>
      </c>
      <c r="S26" s="5"/>
      <c r="T26" s="26"/>
      <c r="U26" s="44"/>
      <c r="V26" s="44"/>
      <c r="W26" s="5"/>
      <c r="X26" s="25"/>
      <c r="Y26" s="186"/>
      <c r="Z26" s="5"/>
      <c r="AA26" s="20" t="str">
        <f>'WP1'!BG82</f>
        <v/>
      </c>
      <c r="AB26" s="525"/>
      <c r="AC26" s="5"/>
      <c r="AD26" s="5"/>
      <c r="AE26" s="5"/>
      <c r="AF26" s="5"/>
      <c r="AG26" s="5"/>
      <c r="AH26" s="5"/>
      <c r="AI26" s="5"/>
      <c r="AJ26" s="5"/>
      <c r="AK26" s="5"/>
      <c r="AL26" s="5"/>
      <c r="AM26" s="5"/>
      <c r="AN26" s="5"/>
      <c r="AO26" s="5"/>
      <c r="AQ26" s="377"/>
      <c r="AR26" s="377"/>
      <c r="AS26" s="377"/>
      <c r="AT26" s="377"/>
      <c r="AU26" s="377"/>
      <c r="AV26" s="377"/>
      <c r="AW26" s="377"/>
      <c r="AX26" s="377"/>
      <c r="AY26" s="377"/>
      <c r="AZ26" s="377"/>
      <c r="BA26" s="377"/>
      <c r="BB26" s="377"/>
      <c r="BC26" s="377"/>
      <c r="BD26" s="377"/>
      <c r="BE26" s="377"/>
      <c r="BF26" s="377"/>
    </row>
    <row r="27" spans="2:108" ht="15" customHeight="1" x14ac:dyDescent="0.2">
      <c r="B27" s="536" t="str">
        <f>IF(WPArt=4,Sprache!B335&amp;" W10/W35",Sprache!B197&amp;" 35°C")</f>
        <v>Puissance de chauffe pour Tdép 35°C</v>
      </c>
      <c r="C27" s="116" t="s">
        <v>3650</v>
      </c>
      <c r="D27" s="529"/>
      <c r="E27" s="529"/>
      <c r="F27" s="529"/>
      <c r="G27" s="535"/>
      <c r="H27" s="530"/>
      <c r="K27" s="5" t="b">
        <f ca="1">IF(AND(WPArt=2,SpezWP=TRUE,WP_BIN!AU81&gt;0,WP_BIN!AU82&gt;0),TRUE,FALSE)</f>
        <v>0</v>
      </c>
      <c r="L27" s="139" t="s">
        <v>3507</v>
      </c>
      <c r="M27" s="229">
        <f>IF(M26=1,IF(M25&gt;0,M25,M26),M26)</f>
        <v>1</v>
      </c>
      <c r="N27" s="5"/>
      <c r="O27" s="20" t="str">
        <f>IF('WP1'!AH139&lt;&gt;"",'WP1'!AH139,"")</f>
        <v/>
      </c>
      <c r="P27" s="5"/>
      <c r="Q27" s="233">
        <f>'WP1'!AJ139</f>
        <v>0</v>
      </c>
      <c r="R27" s="21"/>
      <c r="S27" s="5"/>
      <c r="T27" s="224">
        <f>K23</f>
        <v>1</v>
      </c>
      <c r="U27" s="225" t="b">
        <f>INDEX(U21:U24,T27,1)</f>
        <v>0</v>
      </c>
      <c r="V27" s="225" t="b">
        <f>INDEX(V21:V24,T27,1)</f>
        <v>0</v>
      </c>
      <c r="W27" s="5"/>
      <c r="X27" s="470" t="str">
        <f>INDEX(X21:X26,Y20,1)</f>
        <v xml:space="preserve"> </v>
      </c>
      <c r="Y27" s="189">
        <f>INDEX(Y21:Y26,Y20,1)</f>
        <v>0</v>
      </c>
      <c r="Z27" s="5"/>
      <c r="AA27" s="225">
        <f>K40</f>
        <v>1</v>
      </c>
      <c r="AB27" s="225"/>
      <c r="AC27" s="5"/>
      <c r="AD27" s="5"/>
      <c r="AE27" s="5"/>
      <c r="AF27" s="5"/>
      <c r="AG27" s="5"/>
      <c r="AH27" s="5"/>
      <c r="AI27" s="5"/>
      <c r="AJ27" s="5"/>
      <c r="AK27" s="5"/>
      <c r="AL27" s="5"/>
      <c r="AM27" s="5"/>
      <c r="AN27" s="5"/>
      <c r="AO27" s="5"/>
      <c r="AQ27" s="377"/>
      <c r="AR27" s="377"/>
      <c r="AS27" s="377"/>
      <c r="AT27" s="377"/>
      <c r="AU27" s="377"/>
      <c r="AV27" s="377"/>
      <c r="AW27" s="377"/>
      <c r="AX27" s="377"/>
      <c r="AY27" s="377"/>
      <c r="AZ27" s="377"/>
      <c r="BA27" s="377"/>
      <c r="BB27" s="377"/>
      <c r="BC27" s="377"/>
      <c r="BD27" s="377"/>
      <c r="BE27" s="377"/>
      <c r="BF27" s="377"/>
    </row>
    <row r="28" spans="2:108" ht="15" customHeight="1" x14ac:dyDescent="0.2">
      <c r="B28" s="536" t="str">
        <f>IF(WPArt=4,Sprache!B336&amp;" W10W35",Sprache!B198&amp;" 35°C")</f>
        <v>COP à la température de départ 35°C</v>
      </c>
      <c r="C28" s="116" t="s">
        <v>721</v>
      </c>
      <c r="D28" s="529"/>
      <c r="E28" s="529"/>
      <c r="F28" s="529"/>
      <c r="G28" s="535"/>
      <c r="H28" s="530"/>
      <c r="K28" s="5" t="b">
        <f ca="1">IF(OR(K26,K27,WPArt&lt;&gt;2),TRUE,FALSE)</f>
        <v>1</v>
      </c>
      <c r="L28" s="16" t="s">
        <v>718</v>
      </c>
      <c r="M28" s="22"/>
      <c r="N28" s="5"/>
      <c r="O28" s="20" t="str">
        <f>IF('WP1'!AH140&lt;&gt;"",'WP1'!AH140,"")</f>
        <v/>
      </c>
      <c r="P28" s="5"/>
      <c r="Q28" s="233">
        <f>'WP1'!AJ140</f>
        <v>0</v>
      </c>
      <c r="R28" s="21"/>
      <c r="S28" s="5"/>
      <c r="T28" s="5"/>
      <c r="U28" s="106"/>
      <c r="V28" s="5"/>
      <c r="W28" s="5"/>
      <c r="X28" s="5"/>
      <c r="Y28" s="5"/>
      <c r="Z28" s="5"/>
      <c r="AA28" s="165" t="str">
        <f>INDEX(AA21:AA26,AA27,1)</f>
        <v xml:space="preserve"> </v>
      </c>
      <c r="AB28" s="75"/>
      <c r="AC28" s="5"/>
      <c r="AD28" s="5"/>
      <c r="AE28" s="5"/>
      <c r="AF28" s="5"/>
      <c r="AG28" s="5"/>
      <c r="AH28" s="5"/>
      <c r="AI28" s="5"/>
      <c r="AJ28" s="5"/>
      <c r="AK28" s="5"/>
      <c r="AL28" s="5"/>
      <c r="AM28" s="5"/>
      <c r="AN28" s="5"/>
      <c r="AO28" s="5"/>
      <c r="AQ28" s="377"/>
      <c r="AR28" s="377"/>
      <c r="AS28" s="377"/>
      <c r="AT28" s="377"/>
      <c r="AU28" s="377"/>
      <c r="AV28" s="377"/>
      <c r="AW28" s="377"/>
      <c r="AX28" s="377"/>
      <c r="AY28" s="377"/>
      <c r="AZ28" s="377"/>
      <c r="BA28" s="377"/>
      <c r="BB28" s="377"/>
      <c r="BC28" s="377"/>
      <c r="BD28" s="377"/>
      <c r="BE28" s="377"/>
      <c r="BF28" s="377"/>
    </row>
    <row r="29" spans="2:108" ht="15" customHeight="1" x14ac:dyDescent="0.2">
      <c r="B29" s="536" t="str">
        <f>IF(WPArt=4,Sprache!B335&amp;" W10/W55",Sprache!B197&amp;" 55°C")</f>
        <v>Puissance de chauffe pour Tdép 55°C</v>
      </c>
      <c r="C29" s="116" t="s">
        <v>3650</v>
      </c>
      <c r="D29" s="116"/>
      <c r="E29" s="529"/>
      <c r="F29" s="116"/>
      <c r="G29" s="529"/>
      <c r="H29" s="530"/>
      <c r="L29" s="20" t="str">
        <f>'WP1'!BG60</f>
        <v>Chauffage</v>
      </c>
      <c r="M29" s="21"/>
      <c r="N29" s="5"/>
      <c r="O29" s="20" t="str">
        <f>IF('WP1'!AH141&lt;&gt;"",'WP1'!AH141,"")</f>
        <v/>
      </c>
      <c r="P29" s="5"/>
      <c r="Q29" s="233">
        <f>'WP1'!AJ141</f>
        <v>0</v>
      </c>
      <c r="R29" s="21"/>
      <c r="S29" s="5"/>
      <c r="T29" s="5"/>
      <c r="U29" s="108"/>
      <c r="V29" s="5"/>
      <c r="W29" s="5"/>
      <c r="X29" s="5"/>
      <c r="Y29" s="5"/>
      <c r="Z29" s="5"/>
      <c r="AA29" s="165" t="b">
        <f>IF(AA27&gt;2,TRUE,FALSE)</f>
        <v>0</v>
      </c>
      <c r="AB29" s="133"/>
      <c r="AC29" s="5"/>
      <c r="AD29" s="5"/>
      <c r="AE29" s="5"/>
      <c r="AF29" s="5"/>
      <c r="AG29" s="5"/>
      <c r="AH29" s="5"/>
      <c r="AI29" s="5"/>
      <c r="AJ29" s="5"/>
      <c r="AK29" s="5"/>
      <c r="AL29" s="5"/>
      <c r="AM29" s="5"/>
      <c r="AN29" s="5"/>
      <c r="AO29" s="5"/>
      <c r="AQ29" s="377"/>
      <c r="AR29" s="377"/>
      <c r="AS29" s="377"/>
      <c r="AT29" s="377"/>
      <c r="AU29" s="377"/>
      <c r="AV29" s="377"/>
      <c r="AW29" s="377"/>
      <c r="AX29" s="377"/>
      <c r="AY29" s="377"/>
      <c r="AZ29" s="377"/>
      <c r="BA29" s="377"/>
      <c r="BB29" s="377"/>
      <c r="BC29" s="377"/>
      <c r="BD29" s="377"/>
      <c r="BE29" s="377"/>
      <c r="BF29" s="377"/>
    </row>
    <row r="30" spans="2:108" ht="15" customHeight="1" x14ac:dyDescent="0.2">
      <c r="B30" s="540" t="str">
        <f>IF(WPArt=4,Sprache!B336&amp;" W10W55",Sprache!B198&amp;" 55°C")</f>
        <v>COP à la température de départ 55°C</v>
      </c>
      <c r="C30" s="1010" t="s">
        <v>721</v>
      </c>
      <c r="D30" s="520"/>
      <c r="E30" s="531"/>
      <c r="F30" s="520"/>
      <c r="G30" s="531"/>
      <c r="H30" s="532"/>
      <c r="L30" s="20" t="str">
        <f>'WP1'!BG61</f>
        <v>ECS eau chaude sanitaire</v>
      </c>
      <c r="M30" s="21"/>
      <c r="N30" s="5"/>
      <c r="O30" s="20" t="str">
        <f>IF('WP1'!AH142&lt;&gt;"",'WP1'!AH142,"")</f>
        <v/>
      </c>
      <c r="P30" s="5"/>
      <c r="Q30" s="233">
        <f>'WP1'!AJ142</f>
        <v>0</v>
      </c>
      <c r="R30" s="21"/>
      <c r="S30" s="5"/>
      <c r="T30" s="5"/>
      <c r="U30" s="5"/>
      <c r="V30" s="5"/>
      <c r="W30" s="5"/>
      <c r="X30" s="5"/>
      <c r="Y30" s="5"/>
      <c r="Z30" s="5"/>
      <c r="AA30" s="5"/>
      <c r="AB30" s="5"/>
      <c r="AC30" s="5"/>
      <c r="AD30" s="5"/>
      <c r="AE30" s="5"/>
      <c r="AF30" s="5"/>
      <c r="AG30" s="5"/>
      <c r="AH30" s="5"/>
      <c r="AI30" s="5"/>
      <c r="AJ30" s="5"/>
      <c r="AK30" s="5"/>
      <c r="AL30" s="5"/>
      <c r="AM30" s="5"/>
      <c r="AN30" s="5"/>
      <c r="AO30" s="5"/>
      <c r="AQ30" s="377"/>
      <c r="AR30" s="377"/>
      <c r="AS30" s="377"/>
      <c r="AT30" s="377"/>
      <c r="AU30" s="377"/>
      <c r="AV30" s="377"/>
      <c r="AW30" s="377"/>
      <c r="AX30" s="377"/>
      <c r="AY30" s="377"/>
      <c r="AZ30" s="377"/>
      <c r="BA30" s="377"/>
      <c r="BB30" s="377"/>
      <c r="BC30" s="377"/>
      <c r="BD30" s="377"/>
      <c r="BE30" s="377"/>
      <c r="BF30" s="377"/>
    </row>
    <row r="31" spans="2:108" ht="15" customHeight="1" x14ac:dyDescent="0.2">
      <c r="B31" s="92" t="str">
        <f>IF(WPArt=4,Sprache!B88,Sprache!B70)</f>
        <v>Puissance électrique soutirée par pompe saumure:</v>
      </c>
      <c r="C31" s="250"/>
      <c r="D31" s="1262" t="str">
        <f>IF(H31&lt;&gt;"",IF('WP1'!W49&lt;IF(WPArt=3,'WP1'!X19,IF(WPArt=4,'WP1'!Z19,IF(WPArt=5,'WP1'!AB19,)))*40,Sprache!B338,""),"")</f>
        <v/>
      </c>
      <c r="E31" s="1263"/>
      <c r="F31" s="541" t="str">
        <f>IF(H31&lt;&gt;"",IF('WP1'!W49&lt;IF(WPArt=3,'WP1'!X19,IF(WPArt=4,'WP1'!Z19,IF(WPArt=5,'WP1'!AB19,)))*40,"0",""),"")</f>
        <v/>
      </c>
      <c r="G31" s="541" t="s">
        <v>724</v>
      </c>
      <c r="H31" s="544"/>
      <c r="K31" s="5" t="b">
        <f>IF(OR(Spez!L38,Spez!L46),TRUE,FALSE)</f>
        <v>0</v>
      </c>
      <c r="L31" s="20" t="str">
        <f>'WP1'!BG62</f>
        <v>Chauffage+ECS</v>
      </c>
      <c r="M31" s="21"/>
      <c r="N31" s="5"/>
      <c r="O31" s="20" t="str">
        <f>IF('WP1'!AH143&lt;&gt;"",'WP1'!AH143,"")</f>
        <v/>
      </c>
      <c r="P31" s="5"/>
      <c r="Q31" s="233">
        <f>'WP1'!AJ143</f>
        <v>0</v>
      </c>
      <c r="R31" s="21"/>
      <c r="S31" s="5"/>
      <c r="T31" s="5"/>
      <c r="U31" s="5"/>
      <c r="V31" s="5"/>
      <c r="W31" s="5"/>
      <c r="X31" s="5"/>
      <c r="Y31" s="5"/>
      <c r="Z31" s="5"/>
      <c r="AA31" s="5"/>
      <c r="AB31" s="5"/>
      <c r="AC31" s="5"/>
      <c r="AD31" s="5"/>
      <c r="AE31" s="5"/>
      <c r="AF31" s="5"/>
      <c r="AG31" s="5"/>
      <c r="AH31" s="5"/>
      <c r="AI31" s="5"/>
      <c r="AJ31" s="5"/>
      <c r="AK31" s="5"/>
      <c r="AL31" s="5"/>
      <c r="AM31" s="5"/>
      <c r="AN31" s="5"/>
      <c r="AO31" s="5"/>
      <c r="AQ31" s="377"/>
      <c r="AR31" s="377"/>
      <c r="AS31" s="377"/>
      <c r="AT31" s="377"/>
      <c r="AU31" s="377"/>
      <c r="AV31" s="377"/>
      <c r="AW31" s="377"/>
      <c r="AX31" s="377"/>
      <c r="AY31" s="377"/>
      <c r="AZ31" s="377"/>
      <c r="BA31" s="377"/>
      <c r="BB31" s="377"/>
      <c r="BC31" s="377"/>
      <c r="BD31" s="377"/>
      <c r="BE31" s="377"/>
      <c r="BF31" s="377"/>
    </row>
    <row r="32" spans="2:108" ht="15" customHeight="1" x14ac:dyDescent="0.2">
      <c r="B32" s="100" t="str">
        <f>IF(WPArt=3,Sprache!B79,IF(WPArt=5,Sprache!B80,""))</f>
        <v/>
      </c>
      <c r="D32" s="116" t="str">
        <f>IF(WPArt=3,Sprache!B72,IF(WPArt=5,"W/m2",""))</f>
        <v/>
      </c>
      <c r="E32" s="535"/>
      <c r="F32" s="116" t="str">
        <f>IF(WPArt=3,Sprache!B77,IF(WPArt=5,Sprache!B188,""))</f>
        <v/>
      </c>
      <c r="G32" s="190" t="str">
        <f>IF(WPArt=3,"m",IF(WPArt=5,"m2",""))</f>
        <v/>
      </c>
      <c r="H32" s="530"/>
      <c r="L32" s="25" t="str">
        <f>'WP1'!BG63</f>
        <v>Chauffage + production d'ECS décentralisée par PAC</v>
      </c>
      <c r="M32" s="44"/>
      <c r="N32" s="5"/>
      <c r="O32" s="20" t="str">
        <f>IF('WP1'!AH144&lt;&gt;"",'WP1'!AH144,"")</f>
        <v/>
      </c>
      <c r="P32" s="5"/>
      <c r="Q32" s="233">
        <f>'WP1'!AJ144</f>
        <v>0</v>
      </c>
      <c r="R32" s="21"/>
      <c r="S32" s="5"/>
      <c r="T32" s="5"/>
      <c r="U32" s="5"/>
      <c r="V32" s="5"/>
      <c r="W32" s="5"/>
      <c r="X32" s="5"/>
      <c r="Y32" s="5"/>
      <c r="Z32" s="5"/>
      <c r="AA32" s="5"/>
      <c r="AB32" s="5"/>
      <c r="AC32" s="5"/>
      <c r="AD32" s="5"/>
      <c r="AE32" s="5"/>
      <c r="AF32" s="5"/>
      <c r="AG32" s="5"/>
      <c r="AH32" s="5"/>
      <c r="AI32" s="5"/>
      <c r="AJ32" s="5"/>
      <c r="AK32" s="5"/>
      <c r="AL32" s="5"/>
      <c r="AM32" s="5"/>
      <c r="AN32" s="5"/>
      <c r="AO32" s="5"/>
      <c r="AQ32" s="377"/>
      <c r="AR32" s="377"/>
      <c r="AS32" s="377"/>
      <c r="AT32" s="377"/>
      <c r="AU32" s="377"/>
      <c r="AV32" s="377"/>
      <c r="AW32" s="377"/>
      <c r="AX32" s="377"/>
      <c r="AY32" s="377"/>
      <c r="AZ32" s="377"/>
      <c r="BA32" s="377"/>
      <c r="BB32" s="377"/>
      <c r="BC32" s="377"/>
      <c r="BD32" s="377"/>
      <c r="BE32" s="377"/>
      <c r="BF32" s="377"/>
      <c r="DD32" s="5"/>
    </row>
    <row r="33" spans="2:110" ht="15" customHeight="1" x14ac:dyDescent="0.25">
      <c r="B33" s="100" t="str">
        <f>IF(EBF&gt;0,IF(WPArt=5,Sprache!B82,IF(WPArt=4,Sprache!B83,Sprache!B82)),"")</f>
        <v/>
      </c>
      <c r="C33" s="103"/>
      <c r="D33" s="103"/>
      <c r="E33" s="97"/>
      <c r="F33" s="537" t="str">
        <f>IF(WPArt=5,ROUND(TQuelle_Koll-Offset,1),IF(WPArt=3,IF(S25&lt;&gt;"",S25,IF(H32&gt;0,ROUND(TQuelle-Offset,1),"")),IF(WPArt=4,IF(AND(H33&lt;4,H33&lt;&gt;""),Sprache!B132,""),"")))</f>
        <v/>
      </c>
      <c r="G33" s="116" t="str">
        <f>IF(Heizung=FALSE,"","°C")</f>
        <v/>
      </c>
      <c r="H33" s="544"/>
      <c r="L33" s="5"/>
      <c r="M33" s="5"/>
      <c r="N33" s="5"/>
      <c r="O33" s="20" t="str">
        <f>IF('WP1'!AH145&lt;&gt;"",'WP1'!AH145,"")</f>
        <v/>
      </c>
      <c r="P33" s="27"/>
      <c r="Q33" s="156">
        <f>'WP1'!AJ145</f>
        <v>0</v>
      </c>
      <c r="R33" s="44"/>
      <c r="S33" s="5"/>
      <c r="T33" s="5"/>
      <c r="U33" s="5"/>
      <c r="V33" s="318" t="s">
        <v>1208</v>
      </c>
      <c r="W33" s="320"/>
      <c r="X33" s="320"/>
      <c r="Y33" s="320"/>
      <c r="Z33" s="320"/>
      <c r="AA33" s="320"/>
      <c r="AB33" s="320"/>
      <c r="AC33" s="320"/>
      <c r="AD33" s="320"/>
      <c r="AE33" s="320"/>
      <c r="AF33" s="320"/>
      <c r="AG33" s="320"/>
      <c r="AH33" s="320"/>
      <c r="AI33" s="320"/>
      <c r="AJ33" s="5"/>
      <c r="AK33" s="377"/>
      <c r="AL33" s="377"/>
      <c r="AM33" s="377"/>
      <c r="AN33" s="5"/>
      <c r="AO33" s="5"/>
      <c r="AQ33" s="377"/>
      <c r="AR33" s="377"/>
      <c r="AS33" s="377"/>
      <c r="AT33" s="377"/>
      <c r="AU33" s="377"/>
      <c r="AV33" s="377"/>
      <c r="AW33" s="377"/>
      <c r="AX33" s="377"/>
      <c r="AY33" s="377"/>
      <c r="AZ33" s="377"/>
      <c r="BA33" s="377"/>
      <c r="BB33" s="377"/>
      <c r="BC33" s="377"/>
      <c r="BD33" s="377"/>
      <c r="BE33" s="377"/>
      <c r="BF33" s="377"/>
      <c r="DD33" s="5"/>
    </row>
    <row r="34" spans="2:110" ht="15" customHeight="1" x14ac:dyDescent="0.25">
      <c r="B34" s="100" t="str">
        <f>'WP1'!B34</f>
        <v xml:space="preserve"> </v>
      </c>
      <c r="C34" s="103"/>
      <c r="D34" s="671"/>
      <c r="E34" s="97"/>
      <c r="F34" s="127"/>
      <c r="G34" s="117" t="str">
        <f>'WP1'!G34</f>
        <v xml:space="preserve"> </v>
      </c>
      <c r="H34" s="301"/>
      <c r="L34" s="5"/>
      <c r="M34" s="5"/>
      <c r="N34" s="5"/>
      <c r="O34" s="165" t="str">
        <f>INDEX(O21:O33,P20,1)</f>
        <v xml:space="preserve"> </v>
      </c>
      <c r="P34" s="244" t="b">
        <f>INDEX(P21:P33,P20,1)</f>
        <v>1</v>
      </c>
      <c r="Q34" s="997">
        <f>INDEX(Q21:Q33,P20,1)</f>
        <v>0</v>
      </c>
      <c r="R34" s="245" t="b">
        <f>INDEX(R21:R33,P20,1)</f>
        <v>0</v>
      </c>
      <c r="S34" s="5"/>
      <c r="T34" s="5"/>
      <c r="U34" s="5"/>
      <c r="V34" s="320"/>
      <c r="W34" s="320"/>
      <c r="X34" s="320"/>
      <c r="Y34" s="320"/>
      <c r="Z34" s="320"/>
      <c r="AA34" s="320"/>
      <c r="AB34" s="320"/>
      <c r="AC34" s="320"/>
      <c r="AD34" s="320"/>
      <c r="AE34" s="320"/>
      <c r="AF34" s="320"/>
      <c r="AG34" s="320"/>
      <c r="AH34" s="320"/>
      <c r="AI34" s="320"/>
      <c r="AJ34" s="5"/>
      <c r="AK34" s="377"/>
      <c r="AL34" s="377"/>
      <c r="AM34" s="377"/>
      <c r="AN34" s="5"/>
      <c r="AO34" s="5"/>
      <c r="AQ34" s="377"/>
      <c r="AR34" s="377"/>
      <c r="AS34" s="377"/>
      <c r="AT34" s="377"/>
      <c r="AU34" s="377"/>
      <c r="AV34" s="377"/>
      <c r="AW34" s="377"/>
      <c r="AX34" s="377"/>
      <c r="AY34" s="377"/>
      <c r="AZ34" s="377"/>
      <c r="BA34" s="377"/>
      <c r="BB34" s="377"/>
      <c r="BC34" s="377"/>
      <c r="BD34" s="377"/>
      <c r="BE34" s="377"/>
      <c r="BF34" s="377"/>
      <c r="DD34" s="5"/>
    </row>
    <row r="35" spans="2:110" ht="15" customHeight="1" x14ac:dyDescent="0.25">
      <c r="B35" s="100" t="str">
        <f>IF(Heizung=FALSE,"",Sprache!B149)</f>
        <v/>
      </c>
      <c r="C35" s="103"/>
      <c r="D35" s="103"/>
      <c r="E35" s="47" t="str">
        <f>IF(AND(Heizung,H35=""),Sprache!B75,"")</f>
        <v/>
      </c>
      <c r="F35" s="116" t="str">
        <f>IF(Heizung=FALSE,"","Ti,soll")</f>
        <v/>
      </c>
      <c r="G35" s="116" t="str">
        <f>IF(Heizung=FALSE,"","°C")</f>
        <v/>
      </c>
      <c r="H35" s="301"/>
      <c r="L35" s="5"/>
      <c r="M35" s="5"/>
      <c r="N35" s="5"/>
      <c r="O35" s="5"/>
      <c r="P35" s="5"/>
      <c r="Q35" s="5"/>
      <c r="R35" s="5"/>
      <c r="S35" s="5"/>
      <c r="T35" s="5"/>
      <c r="U35" s="5"/>
      <c r="V35" s="372" t="s">
        <v>1202</v>
      </c>
      <c r="W35" s="322"/>
      <c r="X35" s="322"/>
      <c r="Y35" s="340" t="s">
        <v>1212</v>
      </c>
      <c r="Z35" s="339">
        <f>IF(ABS(Azimut)&gt;90,13,IF(Azimut&lt;0,ROUND(-Azimut/15,0)+7,ROUND(Azimut/15,0)+7))</f>
        <v>7</v>
      </c>
      <c r="AA35" s="322"/>
      <c r="AB35" s="340" t="s">
        <v>1214</v>
      </c>
      <c r="AC35" s="339">
        <f>IF(Neigung&gt;90,1,IF(Neigung&lt;0,10,10-ROUND(Neigung/10,0)))</f>
        <v>10</v>
      </c>
      <c r="AD35" s="344" t="s">
        <v>1207</v>
      </c>
      <c r="AE35" s="345">
        <f>(INDEX(W39:AI48,AC35,Z35)+INDEX(W39:AI48,AC35,Z36))/2/X50</f>
        <v>0.78688524590163933</v>
      </c>
      <c r="AF35" s="322"/>
      <c r="AG35" s="322"/>
      <c r="AH35" s="322"/>
      <c r="AI35" s="323"/>
      <c r="AJ35" s="5"/>
      <c r="AK35" s="377"/>
      <c r="AL35" s="377"/>
      <c r="AM35" s="377"/>
      <c r="AN35" s="5"/>
      <c r="AO35" s="5"/>
      <c r="AQ35" s="377"/>
      <c r="AR35" s="377"/>
      <c r="AS35" s="377"/>
      <c r="AT35" s="377"/>
      <c r="AU35" s="377"/>
      <c r="AV35" s="377"/>
      <c r="AW35" s="377"/>
      <c r="AX35" s="377"/>
      <c r="AY35" s="377"/>
      <c r="AZ35" s="377"/>
      <c r="BA35" s="377"/>
      <c r="BB35" s="377"/>
      <c r="BC35" s="377"/>
      <c r="BD35" s="377"/>
      <c r="BE35" s="377"/>
      <c r="BF35" s="377"/>
      <c r="DD35" s="5"/>
    </row>
    <row r="36" spans="2:110" ht="15" customHeight="1" x14ac:dyDescent="0.2">
      <c r="B36" s="100" t="str">
        <f>IF(Heizung=FALSE,"",Sprache!B47&amp;" (Ta = -8°C)")</f>
        <v/>
      </c>
      <c r="C36" s="103"/>
      <c r="D36" s="103"/>
      <c r="E36" s="47" t="str">
        <f>IF(AND(Heizung,H36=""),Sprache!B75,"")</f>
        <v/>
      </c>
      <c r="F36" s="116" t="str">
        <f>IF(Heizung=FALSE,"",Sprache!B134)</f>
        <v/>
      </c>
      <c r="G36" s="116" t="str">
        <f>IF(Heizung=FALSE,"","°C")</f>
        <v/>
      </c>
      <c r="H36" s="301"/>
      <c r="L36" s="5"/>
      <c r="M36" s="5"/>
      <c r="N36" s="5"/>
      <c r="O36" s="5"/>
      <c r="P36" s="5"/>
      <c r="Q36" s="5"/>
      <c r="R36" s="5"/>
      <c r="S36" s="5"/>
      <c r="T36" s="5"/>
      <c r="U36" s="5"/>
      <c r="V36" s="271"/>
      <c r="W36" s="55"/>
      <c r="X36" s="324"/>
      <c r="Y36" s="341" t="s">
        <v>1213</v>
      </c>
      <c r="Z36" s="342">
        <f>14-Z35</f>
        <v>7</v>
      </c>
      <c r="AA36" s="324"/>
      <c r="AB36" s="324" t="s">
        <v>1203</v>
      </c>
      <c r="AC36" s="324"/>
      <c r="AD36" s="324"/>
      <c r="AE36" s="324"/>
      <c r="AF36" s="324"/>
      <c r="AG36" s="324"/>
      <c r="AH36" s="324"/>
      <c r="AI36" s="325"/>
      <c r="AJ36" s="5"/>
      <c r="AK36" s="377"/>
      <c r="AL36" s="377"/>
      <c r="AM36" s="377"/>
      <c r="AN36" s="5"/>
      <c r="AO36" s="5"/>
      <c r="AQ36" s="377"/>
      <c r="AR36" s="377"/>
      <c r="AS36" s="377"/>
      <c r="AT36" s="377"/>
      <c r="AU36" s="377"/>
      <c r="AV36" s="377"/>
      <c r="AW36" s="377"/>
      <c r="AX36" s="377"/>
      <c r="AY36" s="377"/>
      <c r="AZ36" s="377"/>
      <c r="BA36" s="377"/>
      <c r="BB36" s="377"/>
      <c r="BC36" s="377"/>
      <c r="BD36" s="377"/>
      <c r="BE36" s="377"/>
      <c r="BF36" s="377"/>
      <c r="DD36" s="5"/>
      <c r="DE36" s="5"/>
      <c r="DF36" s="5"/>
    </row>
    <row r="37" spans="2:110" ht="15" customHeight="1" x14ac:dyDescent="0.2">
      <c r="B37" s="100" t="str">
        <f>IF(Heizung=FALSE,"",Sprache!B48&amp;" (Ta = -8°C)")</f>
        <v/>
      </c>
      <c r="C37" s="103"/>
      <c r="D37" s="103"/>
      <c r="E37" s="47" t="str">
        <f>IF(AND(Heizung,H37=""),Sprache!B75,"")</f>
        <v/>
      </c>
      <c r="F37" s="116" t="str">
        <f>IF(Heizung=FALSE,"",Sprache!B135)</f>
        <v/>
      </c>
      <c r="G37" s="116" t="str">
        <f>IF(Heizung=FALSE,"","°C")</f>
        <v/>
      </c>
      <c r="H37" s="301"/>
      <c r="L37" s="5"/>
      <c r="M37" s="5"/>
      <c r="N37" s="5"/>
      <c r="O37" s="5"/>
      <c r="P37" s="5"/>
      <c r="Q37" s="5"/>
      <c r="R37" s="5"/>
      <c r="S37" s="5"/>
      <c r="T37" s="5"/>
      <c r="U37" s="5"/>
      <c r="V37" s="270"/>
      <c r="W37" s="324" t="s">
        <v>1204</v>
      </c>
      <c r="X37" s="324"/>
      <c r="Y37" s="324"/>
      <c r="Z37" s="55"/>
      <c r="AA37" s="324"/>
      <c r="AB37" s="324"/>
      <c r="AC37" s="324"/>
      <c r="AD37" s="324"/>
      <c r="AE37" s="324"/>
      <c r="AF37" s="324"/>
      <c r="AG37" s="324"/>
      <c r="AH37" s="324"/>
      <c r="AI37" s="325" t="s">
        <v>1205</v>
      </c>
      <c r="AJ37" s="5"/>
      <c r="AK37" s="377"/>
      <c r="AL37" s="377"/>
      <c r="AM37" s="377"/>
      <c r="AN37" s="5"/>
      <c r="AO37" s="5"/>
      <c r="AQ37" s="377"/>
      <c r="AR37" s="377"/>
      <c r="AS37" s="377"/>
      <c r="AT37" s="377"/>
      <c r="AU37" s="377"/>
      <c r="AV37" s="377"/>
      <c r="AW37" s="377"/>
      <c r="AX37" s="377"/>
      <c r="AY37" s="377"/>
      <c r="AZ37" s="377"/>
      <c r="BA37" s="377"/>
      <c r="BB37" s="377"/>
      <c r="BC37" s="377"/>
      <c r="BD37" s="377"/>
      <c r="BE37" s="377"/>
      <c r="BF37" s="377"/>
      <c r="DD37" s="5"/>
      <c r="DE37" s="5"/>
      <c r="DF37" s="5"/>
    </row>
    <row r="38" spans="2:110" ht="15" customHeight="1" x14ac:dyDescent="0.2">
      <c r="B38" s="100" t="str">
        <f>IF(Heizung=FALSE,"",IF(Heizspeicher,Sprache!B49,""))</f>
        <v/>
      </c>
      <c r="C38" s="103"/>
      <c r="D38" s="103"/>
      <c r="E38" s="97"/>
      <c r="F38" s="116" t="str">
        <f>IF(Heizung=FALSE,"",IF(Heizspeicher,Sprache!B136,""))</f>
        <v/>
      </c>
      <c r="G38" s="116" t="str">
        <f>IF(Heizung=FALSE,"",IF(Heizspeicher,"°C",""))</f>
        <v/>
      </c>
      <c r="H38" s="301"/>
      <c r="L38" s="6" t="s">
        <v>2538</v>
      </c>
      <c r="M38" s="118"/>
      <c r="N38" s="6" t="s">
        <v>3353</v>
      </c>
      <c r="O38" s="747"/>
      <c r="P38" s="5"/>
      <c r="Q38" s="123" t="s">
        <v>1518</v>
      </c>
      <c r="R38" s="124"/>
      <c r="S38" s="5"/>
      <c r="T38" s="5"/>
      <c r="U38" s="5"/>
      <c r="V38" s="326" t="s">
        <v>1209</v>
      </c>
      <c r="W38" s="324">
        <v>-90</v>
      </c>
      <c r="X38" s="324">
        <v>-75</v>
      </c>
      <c r="Y38" s="324">
        <v>-60</v>
      </c>
      <c r="Z38" s="324">
        <v>-45</v>
      </c>
      <c r="AA38" s="324">
        <v>-30</v>
      </c>
      <c r="AB38" s="324">
        <v>-15</v>
      </c>
      <c r="AC38" s="324">
        <v>0</v>
      </c>
      <c r="AD38" s="324">
        <v>15</v>
      </c>
      <c r="AE38" s="324">
        <v>30</v>
      </c>
      <c r="AF38" s="324">
        <v>45</v>
      </c>
      <c r="AG38" s="324">
        <v>60</v>
      </c>
      <c r="AH38" s="324">
        <v>75</v>
      </c>
      <c r="AI38" s="325">
        <v>90</v>
      </c>
      <c r="AJ38" s="5"/>
      <c r="AK38" s="377"/>
      <c r="AL38" s="377"/>
      <c r="AM38" s="377"/>
      <c r="AN38" s="5"/>
      <c r="AO38" s="5"/>
      <c r="AQ38" s="377"/>
      <c r="AR38" s="377"/>
      <c r="AS38" s="377"/>
      <c r="AT38" s="377"/>
      <c r="AU38" s="377"/>
      <c r="AV38" s="377"/>
      <c r="AW38" s="377"/>
      <c r="AX38" s="377"/>
      <c r="AY38" s="377"/>
      <c r="AZ38" s="377"/>
      <c r="BA38" s="377"/>
      <c r="BB38" s="377"/>
      <c r="BC38" s="377"/>
      <c r="BD38" s="377"/>
      <c r="BE38" s="377"/>
      <c r="BF38" s="377"/>
      <c r="DD38" s="5"/>
      <c r="DE38" s="5"/>
      <c r="DF38" s="5"/>
    </row>
    <row r="39" spans="2:110" ht="15" customHeight="1" x14ac:dyDescent="0.2">
      <c r="B39" s="205" t="str">
        <f>IF(L23=5,Sprache!B50,"")</f>
        <v/>
      </c>
      <c r="C39" s="517"/>
      <c r="D39" s="517"/>
      <c r="E39" s="519"/>
      <c r="F39" s="549"/>
      <c r="G39" s="520" t="str">
        <f>IF(L23=5,"°C","")</f>
        <v/>
      </c>
      <c r="H39" s="1119"/>
      <c r="L39" s="748" t="str">
        <f>IF(K31,"Quellen-Pumpe auf Blatt Spez","Pumpe auf Blatt WP")</f>
        <v>Pumpe auf Blatt WP</v>
      </c>
      <c r="M39" s="501"/>
      <c r="N39" s="808">
        <f>IF($K$31,Spez!H32,H31)</f>
        <v>0</v>
      </c>
      <c r="O39" s="612" t="s">
        <v>724</v>
      </c>
      <c r="P39" s="5"/>
      <c r="Q39" s="832">
        <f>IF(KollFlaeche&gt;0,490/((1/KollFlaeche)+610/(EBF*(Qww/3.6+Qh/3.6))),0)</f>
        <v>0</v>
      </c>
      <c r="R39" s="21"/>
      <c r="S39" s="5"/>
      <c r="T39" s="5"/>
      <c r="U39" s="5"/>
      <c r="V39" s="326">
        <v>90</v>
      </c>
      <c r="W39" s="327">
        <v>0.57999999999999996</v>
      </c>
      <c r="X39" s="327">
        <v>0.65</v>
      </c>
      <c r="Y39" s="327">
        <v>0.72</v>
      </c>
      <c r="Z39" s="327">
        <v>0.77</v>
      </c>
      <c r="AA39" s="327">
        <v>0.79</v>
      </c>
      <c r="AB39" s="327">
        <v>0.8</v>
      </c>
      <c r="AC39" s="327">
        <v>0.79</v>
      </c>
      <c r="AD39" s="327">
        <v>0.77</v>
      </c>
      <c r="AE39" s="327">
        <v>0.73</v>
      </c>
      <c r="AF39" s="327">
        <v>0.68</v>
      </c>
      <c r="AG39" s="327">
        <v>0.63</v>
      </c>
      <c r="AH39" s="327">
        <v>0.55000000000000004</v>
      </c>
      <c r="AI39" s="328">
        <v>0.47</v>
      </c>
      <c r="AJ39" s="5"/>
      <c r="AK39" s="377"/>
      <c r="AL39" s="377"/>
      <c r="AM39" s="377"/>
      <c r="AN39" s="19"/>
      <c r="AO39" s="19"/>
      <c r="AQ39" s="377"/>
      <c r="AR39" s="377"/>
      <c r="AS39" s="377"/>
      <c r="AT39" s="377"/>
      <c r="AU39" s="377"/>
      <c r="AV39" s="377"/>
      <c r="AW39" s="377"/>
      <c r="AX39" s="377"/>
      <c r="AY39" s="377"/>
      <c r="AZ39" s="377"/>
      <c r="BA39" s="377"/>
      <c r="BB39" s="377"/>
      <c r="BC39" s="377"/>
      <c r="BD39" s="377"/>
      <c r="BE39" s="377"/>
      <c r="BF39" s="377"/>
      <c r="DD39" s="5"/>
      <c r="DE39" s="5"/>
      <c r="DF39" s="5"/>
    </row>
    <row r="40" spans="2:110" ht="15" customHeight="1" x14ac:dyDescent="0.2">
      <c r="B40" s="92" t="str">
        <f>IF(WW,Sprache!B51,"")</f>
        <v/>
      </c>
      <c r="C40" s="250"/>
      <c r="D40" s="250"/>
      <c r="E40" s="346" t="str">
        <f>IF(AND(WW,AA27=1),Sprache!B24,"")</f>
        <v/>
      </c>
      <c r="F40" s="1252"/>
      <c r="G40" s="1253"/>
      <c r="H40" s="1254"/>
      <c r="K40" s="377">
        <f>IF(M26&lt;3,1,IF(F40="",1,MATCH(F40,AA21:AA26,0)))</f>
        <v>1</v>
      </c>
      <c r="L40" s="100" t="str">
        <f>Spez!S20</f>
        <v xml:space="preserve">COP B0/35 </v>
      </c>
      <c r="M40" s="103"/>
      <c r="N40" s="809">
        <f>IF(SpezWP,Spez!T20,IF(WPDatenbank,IF(WPArt=6,WP_Daten!P5,WP_Daten!X5),H28))</f>
        <v>0</v>
      </c>
      <c r="O40" s="810"/>
      <c r="P40" s="5"/>
      <c r="Q40" s="833" t="e">
        <f>Qww*EBF/3.6</f>
        <v>#VALUE!</v>
      </c>
      <c r="R40" s="21"/>
      <c r="S40" s="5"/>
      <c r="T40" s="5"/>
      <c r="U40" s="5"/>
      <c r="V40" s="326">
        <v>80</v>
      </c>
      <c r="W40" s="327">
        <v>0.63</v>
      </c>
      <c r="X40" s="327">
        <v>0.71</v>
      </c>
      <c r="Y40" s="327">
        <v>0.78</v>
      </c>
      <c r="Z40" s="327">
        <v>0.84</v>
      </c>
      <c r="AA40" s="327">
        <v>0.87</v>
      </c>
      <c r="AB40" s="327">
        <v>0.89</v>
      </c>
      <c r="AC40" s="327">
        <v>0.87</v>
      </c>
      <c r="AD40" s="327">
        <v>0.85</v>
      </c>
      <c r="AE40" s="327">
        <v>0.82</v>
      </c>
      <c r="AF40" s="327">
        <v>0.76</v>
      </c>
      <c r="AG40" s="327">
        <v>0.7</v>
      </c>
      <c r="AH40" s="327">
        <v>0.61</v>
      </c>
      <c r="AI40" s="328">
        <v>0.53</v>
      </c>
      <c r="AJ40" s="5"/>
      <c r="AK40" s="377"/>
      <c r="AL40" s="377"/>
      <c r="AM40" s="377"/>
      <c r="AN40" s="19"/>
      <c r="AO40" s="19"/>
      <c r="AQ40" s="377"/>
      <c r="AR40" s="377"/>
      <c r="AS40" s="377"/>
      <c r="AT40" s="377"/>
      <c r="AU40" s="377"/>
      <c r="AV40" s="377"/>
      <c r="AW40" s="377"/>
      <c r="AX40" s="377"/>
      <c r="AY40" s="377"/>
      <c r="AZ40" s="377"/>
      <c r="BA40" s="377"/>
      <c r="BB40" s="377"/>
      <c r="BC40" s="377"/>
      <c r="BD40" s="377"/>
      <c r="BE40" s="377"/>
      <c r="BF40" s="377"/>
      <c r="DD40" s="5"/>
      <c r="DE40" s="5"/>
      <c r="DF40" s="5"/>
    </row>
    <row r="41" spans="2:110" ht="15" customHeight="1" x14ac:dyDescent="0.2">
      <c r="B41" s="100" t="str">
        <f>IF(WW,Sprache!B52,"")</f>
        <v/>
      </c>
      <c r="C41" s="103"/>
      <c r="D41" s="103"/>
      <c r="E41" s="47" t="str">
        <f>IF(AND(H41="",WW),Sprache!$B$24,"")</f>
        <v/>
      </c>
      <c r="F41" s="127"/>
      <c r="G41" s="116" t="str">
        <f>IF(WW,"°C","")</f>
        <v/>
      </c>
      <c r="H41" s="154"/>
      <c r="L41" s="100" t="str">
        <f>Spez!S22</f>
        <v xml:space="preserve">COP B0/55 </v>
      </c>
      <c r="M41" s="103"/>
      <c r="N41" s="811">
        <f>IF(SpezWP,Spez!T22,IF(WPDatenbank,IF(WPArt=6,WP_Daten!V5,WP_Daten!Z5),H30))</f>
        <v>0</v>
      </c>
      <c r="O41" s="810"/>
      <c r="P41" s="5"/>
      <c r="Q41" s="20" t="e">
        <f>Q39/Q40</f>
        <v>#VALUE!</v>
      </c>
      <c r="R41" s="21"/>
      <c r="S41" s="5"/>
      <c r="T41" s="5"/>
      <c r="U41" s="5"/>
      <c r="V41" s="326">
        <v>70</v>
      </c>
      <c r="W41" s="327">
        <v>0.68</v>
      </c>
      <c r="X41" s="327">
        <v>0.76</v>
      </c>
      <c r="Y41" s="327">
        <v>0.84</v>
      </c>
      <c r="Z41" s="327">
        <v>0.9</v>
      </c>
      <c r="AA41" s="327">
        <v>0.93</v>
      </c>
      <c r="AB41" s="327">
        <v>0.95</v>
      </c>
      <c r="AC41" s="327">
        <v>0.95</v>
      </c>
      <c r="AD41" s="327">
        <v>0.92</v>
      </c>
      <c r="AE41" s="327">
        <v>0.89</v>
      </c>
      <c r="AF41" s="327">
        <v>0.83</v>
      </c>
      <c r="AG41" s="327">
        <v>0.75</v>
      </c>
      <c r="AH41" s="327">
        <v>0.66</v>
      </c>
      <c r="AI41" s="328">
        <v>0.57999999999999996</v>
      </c>
      <c r="AJ41" s="5"/>
      <c r="AK41" s="377"/>
      <c r="AL41" s="377"/>
      <c r="AM41" s="377"/>
      <c r="AN41" s="19"/>
      <c r="AO41" s="19"/>
      <c r="AQ41" s="377"/>
      <c r="AR41" s="377"/>
      <c r="AS41" s="377"/>
      <c r="AT41" s="377"/>
      <c r="AU41" s="377"/>
      <c r="AV41" s="377"/>
      <c r="AW41" s="377"/>
      <c r="AX41" s="377"/>
      <c r="AY41" s="377"/>
      <c r="AZ41" s="377"/>
      <c r="BA41" s="377"/>
      <c r="BB41" s="377"/>
      <c r="BC41" s="377"/>
      <c r="BD41" s="377"/>
      <c r="BE41" s="377"/>
      <c r="BF41" s="377"/>
      <c r="DD41" s="5"/>
      <c r="DE41" s="5"/>
      <c r="DF41" s="5"/>
    </row>
    <row r="42" spans="2:110" ht="15" customHeight="1" x14ac:dyDescent="0.2">
      <c r="B42" s="100" t="str">
        <f>IF(WW,Sprache!B53,"")</f>
        <v/>
      </c>
      <c r="C42" s="103"/>
      <c r="D42" s="103"/>
      <c r="E42" s="347" t="str">
        <f>IF(AND(WW,OR($H$41&lt;=$H$42,$H$42=""),H42=""),Sprache!$B$24,IF(AND(H42&lt;H41,H42&lt;&gt;"",WW),Sprache!B131,""))</f>
        <v/>
      </c>
      <c r="F42" s="122" t="str">
        <f>IF(WW,IF(AND(H42&gt;_Tww1,AA27=2),Sprache!B131,""),"")</f>
        <v/>
      </c>
      <c r="G42" s="116" t="str">
        <f>IF(WW,"°C","")</f>
        <v/>
      </c>
      <c r="H42" s="154"/>
      <c r="L42" s="100" t="str">
        <f>Spez!S21</f>
        <v xml:space="preserve">Qh B0/35 </v>
      </c>
      <c r="M42" s="103"/>
      <c r="N42" s="812">
        <f>IF(SpezWP,Spez!T21,IF(WPDatenbank,IF(WPArt=6,WP_Daten!O5,WP_Daten!W5),H27))</f>
        <v>0</v>
      </c>
      <c r="O42" s="786" t="s">
        <v>3650</v>
      </c>
      <c r="P42" s="5"/>
      <c r="Q42" s="20"/>
      <c r="R42" s="21"/>
      <c r="S42" s="5"/>
      <c r="T42" s="5"/>
      <c r="U42" s="5"/>
      <c r="V42" s="326">
        <v>60</v>
      </c>
      <c r="W42" s="327">
        <v>0.71</v>
      </c>
      <c r="X42" s="327">
        <v>0.8</v>
      </c>
      <c r="Y42" s="327">
        <v>0.87</v>
      </c>
      <c r="Z42" s="327">
        <v>0.93</v>
      </c>
      <c r="AA42" s="327">
        <v>0.96</v>
      </c>
      <c r="AB42" s="327">
        <v>0.98</v>
      </c>
      <c r="AC42" s="327">
        <v>0.97</v>
      </c>
      <c r="AD42" s="327">
        <v>0.96</v>
      </c>
      <c r="AE42" s="327">
        <v>0.92</v>
      </c>
      <c r="AF42" s="327">
        <v>0.86</v>
      </c>
      <c r="AG42" s="327">
        <v>0.8</v>
      </c>
      <c r="AH42" s="327">
        <v>0.71</v>
      </c>
      <c r="AI42" s="328">
        <v>0.62</v>
      </c>
      <c r="AJ42" s="5"/>
      <c r="AK42" s="377"/>
      <c r="AL42" s="377"/>
      <c r="AM42" s="377"/>
      <c r="AN42" s="19"/>
      <c r="AO42" s="19"/>
      <c r="AQ42" s="377"/>
      <c r="AR42" s="377"/>
      <c r="AS42" s="377"/>
      <c r="AT42" s="377"/>
      <c r="AU42" s="377"/>
      <c r="AV42" s="377"/>
      <c r="AW42" s="377"/>
      <c r="AX42" s="377"/>
      <c r="AY42" s="377"/>
      <c r="AZ42" s="377"/>
      <c r="BA42" s="377"/>
      <c r="BB42" s="377"/>
      <c r="BC42" s="377"/>
      <c r="BD42" s="377"/>
      <c r="BE42" s="377"/>
      <c r="BF42" s="377"/>
      <c r="DD42" s="5"/>
      <c r="DE42" s="5"/>
      <c r="DF42" s="5"/>
    </row>
    <row r="43" spans="2:110" ht="15" customHeight="1" x14ac:dyDescent="0.2">
      <c r="B43" s="205" t="str">
        <f>IF(AND(WW),Sprache!B199,"")</f>
        <v/>
      </c>
      <c r="C43" s="517"/>
      <c r="D43" s="1044" t="str">
        <f>IF(AND(WW,K43=1),Sprache!B24,"")</f>
        <v/>
      </c>
      <c r="E43" s="724"/>
      <c r="F43" s="520" t="s">
        <v>2543</v>
      </c>
      <c r="G43" s="520" t="s">
        <v>722</v>
      </c>
      <c r="H43" s="550"/>
      <c r="K43" s="722">
        <f>IF(M26&lt;3,1,IF(E43="",1,MATCH(E43,N46:N49,0)))</f>
        <v>1</v>
      </c>
      <c r="L43" s="205" t="str">
        <f>Spez!S23</f>
        <v xml:space="preserve">Qh B0/55 </v>
      </c>
      <c r="M43" s="517"/>
      <c r="N43" s="800">
        <f>IF(SpezWP,Spez!T23,IF(WPDatenbank,IF(WPArt=6,WP_Daten!U5,WP_Daten!Y5),H29))</f>
        <v>0</v>
      </c>
      <c r="O43" s="613" t="s">
        <v>3650</v>
      </c>
      <c r="P43" s="5"/>
      <c r="Q43" s="25"/>
      <c r="R43" s="44"/>
      <c r="S43" s="5"/>
      <c r="T43" s="5"/>
      <c r="U43" s="5"/>
      <c r="V43" s="326">
        <v>50</v>
      </c>
      <c r="W43" s="327">
        <v>0.74</v>
      </c>
      <c r="X43" s="327">
        <v>0.82</v>
      </c>
      <c r="Y43" s="327">
        <v>0.89</v>
      </c>
      <c r="Z43" s="327">
        <v>0.95</v>
      </c>
      <c r="AA43" s="327">
        <v>0.97</v>
      </c>
      <c r="AB43" s="327">
        <v>1</v>
      </c>
      <c r="AC43" s="327">
        <v>0.98</v>
      </c>
      <c r="AD43" s="327">
        <v>0.97</v>
      </c>
      <c r="AE43" s="327">
        <v>0.93</v>
      </c>
      <c r="AF43" s="327">
        <v>0.88</v>
      </c>
      <c r="AG43" s="327">
        <v>0.82</v>
      </c>
      <c r="AH43" s="327">
        <v>0.74</v>
      </c>
      <c r="AI43" s="328">
        <v>0.65</v>
      </c>
      <c r="AJ43" s="5"/>
      <c r="AK43" s="19"/>
      <c r="AL43" s="19"/>
      <c r="AM43" s="19"/>
      <c r="AN43" s="19"/>
      <c r="AO43" s="19"/>
      <c r="AQ43" s="377"/>
      <c r="AR43" s="377"/>
      <c r="AS43" s="377"/>
      <c r="AT43" s="377"/>
      <c r="AU43" s="377"/>
      <c r="AV43" s="377"/>
      <c r="AW43" s="377"/>
      <c r="AX43" s="377"/>
      <c r="AY43" s="377"/>
      <c r="AZ43" s="377"/>
      <c r="BA43" s="377"/>
      <c r="BB43" s="377"/>
      <c r="BC43" s="377"/>
      <c r="BD43" s="377"/>
      <c r="BE43" s="377"/>
      <c r="BF43" s="377"/>
      <c r="DD43" s="5"/>
      <c r="DE43" s="5"/>
      <c r="DF43" s="5"/>
    </row>
    <row r="44" spans="2:110" ht="19.899999999999999" customHeight="1" x14ac:dyDescent="0.25">
      <c r="B44" s="85" t="str">
        <f>Sprache!B31</f>
        <v>Installation solaire</v>
      </c>
      <c r="C44" s="551"/>
      <c r="D44" s="551"/>
      <c r="E44" s="731" t="str">
        <f>IF(AND(F44=""),Sprache!B24,"")</f>
        <v>choisir -&gt;</v>
      </c>
      <c r="F44" s="1266"/>
      <c r="G44" s="1267"/>
      <c r="H44" s="1268"/>
      <c r="K44" s="377">
        <f>IF(F44="",1,MATCH(F44,N54:N60,0))</f>
        <v>1</v>
      </c>
      <c r="L44" s="5"/>
      <c r="M44" s="5"/>
      <c r="N44" s="5"/>
      <c r="O44" s="5"/>
      <c r="P44" s="5"/>
      <c r="Q44" s="5"/>
      <c r="R44" s="5"/>
      <c r="S44" s="5"/>
      <c r="T44" s="5"/>
      <c r="U44" s="5"/>
      <c r="V44" s="326">
        <v>40</v>
      </c>
      <c r="W44" s="327">
        <v>0.75</v>
      </c>
      <c r="X44" s="327">
        <v>0.83</v>
      </c>
      <c r="Y44" s="327">
        <v>0.89</v>
      </c>
      <c r="Z44" s="327">
        <v>0.93</v>
      </c>
      <c r="AA44" s="327">
        <v>0.96</v>
      </c>
      <c r="AB44" s="327">
        <v>0.98</v>
      </c>
      <c r="AC44" s="327">
        <v>0.97</v>
      </c>
      <c r="AD44" s="327">
        <v>0.96</v>
      </c>
      <c r="AE44" s="327">
        <v>0.93</v>
      </c>
      <c r="AF44" s="327">
        <v>0.87</v>
      </c>
      <c r="AG44" s="327">
        <v>0.83</v>
      </c>
      <c r="AH44" s="327">
        <v>0.76</v>
      </c>
      <c r="AI44" s="328">
        <v>0.67</v>
      </c>
      <c r="AJ44" s="5"/>
      <c r="AK44" s="5"/>
      <c r="AL44" s="5"/>
      <c r="AM44" s="5"/>
      <c r="AN44" s="19"/>
      <c r="AO44" s="19"/>
      <c r="AQ44" s="377"/>
      <c r="AR44" s="377"/>
      <c r="AS44" s="377"/>
      <c r="AT44" s="377"/>
      <c r="AU44" s="377"/>
      <c r="AV44" s="377"/>
      <c r="AW44" s="377"/>
      <c r="AX44" s="377"/>
      <c r="AY44" s="377"/>
      <c r="AZ44" s="377"/>
      <c r="BA44" s="377"/>
      <c r="BB44" s="377"/>
      <c r="BC44" s="377"/>
      <c r="BD44" s="377"/>
      <c r="BE44" s="377"/>
      <c r="BF44" s="377"/>
      <c r="DD44" s="5"/>
      <c r="DE44" s="5"/>
      <c r="DF44" s="5"/>
    </row>
    <row r="45" spans="2:110" ht="15.6" customHeight="1" x14ac:dyDescent="0.2">
      <c r="B45" s="20" t="str">
        <f>Sprache!B55</f>
        <v>Surface des absorbeurs</v>
      </c>
      <c r="E45" s="545"/>
      <c r="F45" s="546"/>
      <c r="G45" s="547" t="s">
        <v>2339</v>
      </c>
      <c r="H45" s="730"/>
      <c r="L45" s="6" t="s">
        <v>2538</v>
      </c>
      <c r="M45" s="118"/>
      <c r="N45" s="139" t="s">
        <v>2545</v>
      </c>
      <c r="O45" s="723"/>
      <c r="P45" s="5"/>
      <c r="Q45" s="139" t="s">
        <v>1598</v>
      </c>
      <c r="R45" s="723"/>
      <c r="S45" s="5"/>
      <c r="T45" s="5"/>
      <c r="U45" s="5"/>
      <c r="V45" s="326">
        <v>30</v>
      </c>
      <c r="W45" s="327">
        <v>0.75</v>
      </c>
      <c r="X45" s="327">
        <v>0.82</v>
      </c>
      <c r="Y45" s="327">
        <v>0.87</v>
      </c>
      <c r="Z45" s="327">
        <v>0.91</v>
      </c>
      <c r="AA45" s="327">
        <v>0.95</v>
      </c>
      <c r="AB45" s="327">
        <v>0.95</v>
      </c>
      <c r="AC45" s="327">
        <v>0.95</v>
      </c>
      <c r="AD45" s="327">
        <v>0.94</v>
      </c>
      <c r="AE45" s="327">
        <v>0.91</v>
      </c>
      <c r="AF45" s="327">
        <v>0.86</v>
      </c>
      <c r="AG45" s="327">
        <v>0.82</v>
      </c>
      <c r="AH45" s="327">
        <v>0.77</v>
      </c>
      <c r="AI45" s="328">
        <v>0.7</v>
      </c>
      <c r="AJ45" s="5"/>
      <c r="AK45" s="5"/>
      <c r="AL45" s="5"/>
      <c r="AM45" s="5"/>
      <c r="AN45" s="19"/>
      <c r="AO45" s="19"/>
      <c r="AQ45" s="377"/>
      <c r="AR45" s="377"/>
      <c r="AS45" s="377"/>
      <c r="AT45" s="377"/>
      <c r="AU45" s="377"/>
      <c r="AV45" s="377"/>
      <c r="AW45" s="377"/>
      <c r="AX45" s="377"/>
      <c r="AY45" s="377"/>
      <c r="AZ45" s="377"/>
      <c r="BA45" s="377"/>
      <c r="BB45" s="377"/>
      <c r="BC45" s="377"/>
      <c r="BD45" s="377"/>
      <c r="BE45" s="377"/>
      <c r="BF45" s="377"/>
      <c r="DD45" s="5"/>
      <c r="DE45" s="5"/>
      <c r="DF45" s="5"/>
    </row>
    <row r="46" spans="2:110" ht="15.6" customHeight="1" x14ac:dyDescent="0.2">
      <c r="B46" s="166" t="str">
        <f>Sprache!B56</f>
        <v>orientation / inclinaison des collecteurs</v>
      </c>
      <c r="C46" s="499"/>
      <c r="D46" s="499"/>
      <c r="E46" s="727" t="str">
        <f>'WP1'!E50</f>
        <v xml:space="preserve">Azimut [°]:  </v>
      </c>
      <c r="F46" s="343"/>
      <c r="G46" s="726" t="str">
        <f>'WP1'!G50</f>
        <v>Pente [°]:</v>
      </c>
      <c r="H46" s="173"/>
      <c r="L46" s="20"/>
      <c r="M46" s="21"/>
      <c r="N46" s="20"/>
      <c r="O46" s="21"/>
      <c r="P46" s="5"/>
      <c r="Q46" s="16" t="str">
        <f>Sprache!B333</f>
        <v>exclu el. add.</v>
      </c>
      <c r="R46" s="22"/>
      <c r="S46" s="5"/>
      <c r="T46" s="5"/>
      <c r="U46" s="5"/>
      <c r="V46" s="326">
        <v>20</v>
      </c>
      <c r="W46" s="327">
        <v>0.75</v>
      </c>
      <c r="X46" s="327">
        <v>0.8</v>
      </c>
      <c r="Y46" s="327">
        <v>0.84</v>
      </c>
      <c r="Z46" s="327">
        <v>0.87</v>
      </c>
      <c r="AA46" s="327">
        <v>0.89</v>
      </c>
      <c r="AB46" s="327">
        <v>0.9</v>
      </c>
      <c r="AC46" s="327">
        <v>0.9</v>
      </c>
      <c r="AD46" s="327">
        <v>0.89</v>
      </c>
      <c r="AE46" s="327">
        <v>0.87</v>
      </c>
      <c r="AF46" s="327">
        <v>0.84</v>
      </c>
      <c r="AG46" s="327">
        <v>0.8</v>
      </c>
      <c r="AH46" s="327">
        <v>0.76</v>
      </c>
      <c r="AI46" s="328">
        <v>0.7</v>
      </c>
      <c r="AJ46" s="5"/>
      <c r="AK46" s="5"/>
      <c r="AL46" s="5"/>
      <c r="AM46" s="5"/>
      <c r="AN46" s="19"/>
      <c r="AO46" s="19"/>
      <c r="AQ46" s="377"/>
      <c r="AR46" s="377"/>
      <c r="AS46" s="377"/>
      <c r="AT46" s="377"/>
      <c r="AU46" s="377"/>
      <c r="AV46" s="377"/>
      <c r="AW46" s="377"/>
      <c r="AX46" s="377"/>
      <c r="AY46" s="377"/>
      <c r="AZ46" s="377"/>
      <c r="BA46" s="377"/>
      <c r="BB46" s="377"/>
      <c r="BC46" s="377"/>
      <c r="BD46" s="377"/>
      <c r="BE46" s="377"/>
      <c r="BF46" s="377"/>
      <c r="DD46" s="5"/>
      <c r="DE46" s="5"/>
      <c r="DF46" s="5"/>
    </row>
    <row r="47" spans="2:110" ht="15.6" customHeight="1" x14ac:dyDescent="0.2">
      <c r="B47" s="166" t="str">
        <f>Sprache!B57</f>
        <v>Apport net par m2 d'absorbeur</v>
      </c>
      <c r="C47" s="499"/>
      <c r="D47" s="499"/>
      <c r="E47" s="689" t="str">
        <f>IF(_SIA384,Sprache!B269,Sprache!B140)</f>
        <v>valeur proposée:</v>
      </c>
      <c r="F47" s="690">
        <f>'WP1'!F51</f>
        <v>0</v>
      </c>
      <c r="G47" s="169" t="s">
        <v>938</v>
      </c>
      <c r="H47" s="173"/>
      <c r="L47" s="619" t="str">
        <f>Sprache!B284</f>
        <v>Entrées en bas</v>
      </c>
      <c r="M47" s="21"/>
      <c r="N47" s="20" t="str">
        <f>Sprache!B274</f>
        <v>Non disponibles</v>
      </c>
      <c r="O47" s="21"/>
      <c r="P47" s="5"/>
      <c r="Q47" s="25" t="str">
        <f>Sprache!B334</f>
        <v>y compris el. add.</v>
      </c>
      <c r="R47" s="44"/>
      <c r="S47" s="5"/>
      <c r="T47" s="5"/>
      <c r="U47" s="5"/>
      <c r="V47" s="326">
        <v>10</v>
      </c>
      <c r="W47" s="327">
        <v>0.74</v>
      </c>
      <c r="X47" s="327">
        <v>0.76</v>
      </c>
      <c r="Y47" s="327">
        <v>0.79</v>
      </c>
      <c r="Z47" s="327">
        <v>0.8</v>
      </c>
      <c r="AA47" s="327">
        <v>0.82</v>
      </c>
      <c r="AB47" s="327">
        <v>0.82</v>
      </c>
      <c r="AC47" s="327">
        <v>0.82</v>
      </c>
      <c r="AD47" s="327">
        <v>0.82</v>
      </c>
      <c r="AE47" s="327">
        <v>0.8</v>
      </c>
      <c r="AF47" s="327">
        <v>0.79</v>
      </c>
      <c r="AG47" s="327">
        <v>0.77</v>
      </c>
      <c r="AH47" s="327">
        <v>0.75</v>
      </c>
      <c r="AI47" s="328">
        <v>0.71</v>
      </c>
      <c r="AJ47" s="5"/>
      <c r="AK47" s="5"/>
      <c r="AL47" s="5"/>
      <c r="AM47" s="5"/>
      <c r="AN47" s="19"/>
      <c r="AO47" s="19"/>
      <c r="AQ47" s="377"/>
      <c r="AR47" s="377"/>
      <c r="AS47" s="377"/>
      <c r="AT47" s="377"/>
      <c r="AU47" s="377"/>
      <c r="AV47" s="377"/>
      <c r="AW47" s="377"/>
      <c r="AX47" s="377"/>
      <c r="AY47" s="377"/>
      <c r="AZ47" s="377"/>
      <c r="BA47" s="377"/>
      <c r="BB47" s="377"/>
      <c r="BC47" s="377"/>
      <c r="BD47" s="377"/>
      <c r="BE47" s="377"/>
      <c r="BF47" s="377"/>
      <c r="DD47" s="5"/>
      <c r="DE47" s="5"/>
      <c r="DF47" s="5"/>
    </row>
    <row r="48" spans="2:110" ht="15.6" customHeight="1" x14ac:dyDescent="0.2">
      <c r="B48" s="166" t="str">
        <f>IF(OR(MinSol,solarExtern),Sprache!B58,Sprache!B275)</f>
        <v>Spécifications du collecteur</v>
      </c>
      <c r="C48" s="694" t="str">
        <f>IF(OR(MinSol,solarExtern),""," ho = ")</f>
        <v xml:space="preserve"> ho = </v>
      </c>
      <c r="D48" s="691"/>
      <c r="E48" s="692" t="str">
        <f>IF(OR(MinSol,solarExtern),"","              a1 = ")</f>
        <v xml:space="preserve">              a1 = </v>
      </c>
      <c r="F48" s="742"/>
      <c r="G48" s="116" t="str">
        <f>IF(OR(MinSol,solarExtern),Sprache!B130,"           a2 = ")</f>
        <v xml:space="preserve">           a2 = </v>
      </c>
      <c r="H48" s="746"/>
      <c r="K48" s="839">
        <f>IF(OR(H48="",H48=0),0.00001,H48)</f>
        <v>1.0000000000000001E-5</v>
      </c>
      <c r="L48" s="20" t="str">
        <f>Sprache!B285</f>
        <v>Liste des PAC</v>
      </c>
      <c r="M48" s="21"/>
      <c r="N48" s="20" t="str">
        <f>Sprache!B208</f>
        <v>Circulation d'ECS</v>
      </c>
      <c r="O48" s="21"/>
      <c r="P48" s="5"/>
      <c r="Q48" s="5"/>
      <c r="R48" s="5"/>
      <c r="S48" s="5"/>
      <c r="T48" s="5"/>
      <c r="U48" s="5"/>
      <c r="V48" s="326">
        <v>0</v>
      </c>
      <c r="W48" s="327">
        <v>0.72</v>
      </c>
      <c r="X48" s="327">
        <v>0.72</v>
      </c>
      <c r="Y48" s="327">
        <v>0.72</v>
      </c>
      <c r="Z48" s="327">
        <v>0.72</v>
      </c>
      <c r="AA48" s="327">
        <v>0.72</v>
      </c>
      <c r="AB48" s="327">
        <v>0.72</v>
      </c>
      <c r="AC48" s="327">
        <v>0.72</v>
      </c>
      <c r="AD48" s="327">
        <v>0.72</v>
      </c>
      <c r="AE48" s="327">
        <v>0.72</v>
      </c>
      <c r="AF48" s="327">
        <v>0.72</v>
      </c>
      <c r="AG48" s="327">
        <v>0.72</v>
      </c>
      <c r="AH48" s="327">
        <v>0.72</v>
      </c>
      <c r="AI48" s="328">
        <v>0.72</v>
      </c>
      <c r="AJ48" s="5"/>
      <c r="AK48" s="5"/>
      <c r="AL48" s="5"/>
      <c r="AM48" s="5"/>
      <c r="AN48" s="19"/>
      <c r="AO48" s="19"/>
      <c r="AQ48" s="377"/>
      <c r="AR48" s="377"/>
      <c r="AS48" s="377"/>
      <c r="AT48" s="377"/>
      <c r="AU48" s="377"/>
      <c r="AV48" s="377"/>
      <c r="AW48" s="377"/>
      <c r="AX48" s="377"/>
      <c r="AY48" s="377"/>
      <c r="AZ48" s="377"/>
      <c r="BA48" s="377"/>
      <c r="BB48" s="377"/>
      <c r="BC48" s="377"/>
      <c r="BD48" s="377"/>
      <c r="BE48" s="377"/>
      <c r="BF48" s="377"/>
      <c r="DD48" s="5"/>
      <c r="DE48" s="5"/>
      <c r="DF48" s="5"/>
    </row>
    <row r="49" spans="2:112" ht="15" customHeight="1" x14ac:dyDescent="0.2">
      <c r="B49" s="166" t="str">
        <f>Sprache!B59</f>
        <v>Taux de couverture solaire pour l'ECS</v>
      </c>
      <c r="C49" s="499"/>
      <c r="D49" s="499"/>
      <c r="E49" s="312"/>
      <c r="F49" s="840" t="s">
        <v>2310</v>
      </c>
      <c r="G49" s="42" t="s">
        <v>3643</v>
      </c>
      <c r="H49" s="695">
        <f>'WP1'!H53</f>
        <v>0</v>
      </c>
      <c r="L49" s="25" t="str">
        <f>Sprache!B286</f>
        <v>Entrées dans "Spez"</v>
      </c>
      <c r="M49" s="44"/>
      <c r="N49" s="25" t="str">
        <f>Sprache!B209</f>
        <v>Câble chauffant</v>
      </c>
      <c r="O49" s="44"/>
      <c r="P49" s="5"/>
      <c r="Q49" s="5"/>
      <c r="R49" s="5"/>
      <c r="S49" s="5"/>
      <c r="T49" s="5"/>
      <c r="U49" s="5"/>
      <c r="V49" s="276"/>
      <c r="W49" s="258"/>
      <c r="X49" s="258"/>
      <c r="Y49" s="258"/>
      <c r="Z49" s="258"/>
      <c r="AA49" s="258"/>
      <c r="AB49" s="258"/>
      <c r="AC49" s="258"/>
      <c r="AD49" s="258"/>
      <c r="AE49" s="258"/>
      <c r="AF49" s="258"/>
      <c r="AG49" s="258"/>
      <c r="AH49" s="258"/>
      <c r="AI49" s="329"/>
      <c r="AJ49" s="5"/>
      <c r="AK49" s="5"/>
      <c r="AL49" s="5"/>
      <c r="AM49" s="5"/>
      <c r="AN49" s="19"/>
      <c r="AO49" s="19"/>
      <c r="AQ49" s="377"/>
      <c r="AR49" s="377"/>
      <c r="AS49" s="377"/>
      <c r="AT49" s="377"/>
      <c r="AU49" s="831"/>
      <c r="AV49" s="377"/>
      <c r="AW49" s="377"/>
      <c r="AX49" s="377"/>
      <c r="AY49" s="377"/>
      <c r="AZ49" s="377"/>
      <c r="BA49" s="377"/>
      <c r="BB49" s="377"/>
      <c r="BC49" s="377"/>
      <c r="BD49" s="377"/>
      <c r="BE49" s="377"/>
      <c r="BF49" s="377"/>
      <c r="DD49" s="5"/>
      <c r="DE49" s="5"/>
      <c r="DF49" s="5"/>
    </row>
    <row r="50" spans="2:112" ht="15" customHeight="1" x14ac:dyDescent="0.2">
      <c r="B50" s="166" t="str">
        <f>Sprache!B60</f>
        <v>Taux de couverture solaire pour le chauffage</v>
      </c>
      <c r="C50" s="499"/>
      <c r="D50" s="499"/>
      <c r="E50" s="167"/>
      <c r="F50" s="840" t="s">
        <v>2310</v>
      </c>
      <c r="G50" s="42" t="s">
        <v>3643</v>
      </c>
      <c r="H50" s="696">
        <f>'WP1'!H54</f>
        <v>0</v>
      </c>
      <c r="K50" s="106"/>
      <c r="M50" s="5"/>
      <c r="N50" s="5"/>
      <c r="O50" s="5"/>
      <c r="P50" s="5"/>
      <c r="Q50" s="5"/>
      <c r="R50" s="5"/>
      <c r="S50" s="5"/>
      <c r="T50" s="5"/>
      <c r="U50" s="5"/>
      <c r="V50" s="330" t="s">
        <v>1206</v>
      </c>
      <c r="W50" s="331" t="s">
        <v>1210</v>
      </c>
      <c r="X50" s="332">
        <v>0.91500000000000004</v>
      </c>
      <c r="Y50" s="27"/>
      <c r="Z50" s="27"/>
      <c r="AA50" s="27"/>
      <c r="AB50" s="333"/>
      <c r="AC50" s="333"/>
      <c r="AD50" s="333"/>
      <c r="AE50" s="333"/>
      <c r="AF50" s="333"/>
      <c r="AG50" s="333"/>
      <c r="AH50" s="333"/>
      <c r="AI50" s="334"/>
      <c r="AJ50" s="5"/>
      <c r="AK50" s="5"/>
      <c r="AL50" s="5"/>
      <c r="AM50" s="5"/>
      <c r="AN50" s="19"/>
      <c r="AO50" s="19"/>
      <c r="AQ50" s="377"/>
      <c r="AR50" s="377"/>
      <c r="AS50" s="377"/>
      <c r="AT50" s="377"/>
      <c r="AU50" s="377"/>
      <c r="AV50" s="377"/>
      <c r="AW50" s="377"/>
      <c r="AX50" s="377"/>
      <c r="AY50" s="377"/>
      <c r="AZ50" s="377"/>
      <c r="BA50" s="377"/>
      <c r="BB50" s="377"/>
      <c r="BC50" s="377"/>
      <c r="BD50" s="377"/>
      <c r="BE50" s="377"/>
      <c r="BF50" s="377"/>
      <c r="DD50" s="5"/>
      <c r="DE50" s="5"/>
      <c r="DF50" s="5"/>
    </row>
    <row r="51" spans="2:112" ht="10.15" customHeight="1" x14ac:dyDescent="0.2">
      <c r="B51" s="23"/>
      <c r="C51" s="23"/>
      <c r="D51" s="23"/>
      <c r="E51" s="176"/>
      <c r="F51" s="1210"/>
      <c r="G51" s="1210"/>
      <c r="H51" s="23"/>
      <c r="K51" s="106">
        <f>SUMIF('WP1'!X60:X125,TaMin,'WP1'!AB60:AB125)</f>
        <v>0</v>
      </c>
      <c r="L51" s="51"/>
      <c r="M51" s="52"/>
      <c r="N51" s="688" t="s">
        <v>1130</v>
      </c>
      <c r="O51" s="687" t="s">
        <v>1131</v>
      </c>
      <c r="P51" s="719"/>
      <c r="Q51" s="5"/>
      <c r="R51" s="5"/>
      <c r="S51" s="5"/>
      <c r="T51" s="5"/>
      <c r="U51" s="5"/>
      <c r="V51" s="258"/>
      <c r="W51" s="258"/>
      <c r="X51" s="258"/>
      <c r="Y51" s="258"/>
      <c r="Z51" s="258"/>
      <c r="AA51" s="258"/>
      <c r="AB51" s="258"/>
      <c r="AC51" s="258"/>
      <c r="AD51" s="258"/>
      <c r="AE51" s="258"/>
      <c r="AF51" s="258"/>
      <c r="AG51" s="258"/>
      <c r="AH51" s="258"/>
      <c r="AI51" s="258"/>
      <c r="AJ51" s="5"/>
      <c r="AK51" s="5"/>
      <c r="AL51" s="5"/>
      <c r="AM51" s="5"/>
      <c r="AN51" s="19"/>
      <c r="AO51" s="19"/>
      <c r="AQ51" s="377"/>
      <c r="AR51" s="377"/>
      <c r="AS51" s="377"/>
      <c r="AT51" s="377"/>
      <c r="AU51" s="377"/>
      <c r="AV51" s="377"/>
      <c r="AW51" s="377"/>
      <c r="AX51" s="377"/>
      <c r="AY51" s="377"/>
      <c r="AZ51" s="377"/>
      <c r="BA51" s="377"/>
      <c r="BB51" s="377"/>
      <c r="BC51" s="377"/>
      <c r="BD51" s="377"/>
      <c r="BE51" s="377"/>
      <c r="BF51" s="377"/>
      <c r="DD51" s="5"/>
      <c r="DE51" s="5"/>
      <c r="DF51" s="5"/>
    </row>
    <row r="52" spans="2:112" ht="15" customHeight="1" x14ac:dyDescent="0.25">
      <c r="B52" s="85" t="str">
        <f>Sprache!B32</f>
        <v>Résultats</v>
      </c>
      <c r="C52" s="495"/>
      <c r="D52" s="495"/>
      <c r="E52" s="86"/>
      <c r="F52" s="177"/>
      <c r="G52" s="177"/>
      <c r="H52" s="158"/>
      <c r="K52" s="106">
        <f>IF(Kategorie&gt;1,(IF(Heizung,'WP1'!M32/28*(20-TaMin)-IF(Methode_384_3,H8*P18/1000,0),0)+IF(WW,Qww*H8/3.6/8760,0)),)</f>
        <v>0</v>
      </c>
      <c r="L52" s="685" t="s">
        <v>1127</v>
      </c>
      <c r="M52" s="55"/>
      <c r="N52" s="704" t="b">
        <f>IF(OR(O53=2,O53=4,O53=6),TRUE,FALSE)</f>
        <v>0</v>
      </c>
      <c r="O52" s="705" t="b">
        <f>IF(OR(O53=3,O53=5,O53=7),TRUE,FALSE)</f>
        <v>0</v>
      </c>
      <c r="P52" s="713"/>
      <c r="Q52" s="5"/>
      <c r="R52" s="5"/>
      <c r="S52" s="5"/>
      <c r="T52" s="5"/>
      <c r="U52" s="5"/>
      <c r="V52" s="5"/>
      <c r="W52" s="5"/>
      <c r="X52" s="5"/>
      <c r="Y52" s="5"/>
      <c r="Z52" s="5"/>
      <c r="AA52" s="5"/>
      <c r="AB52" s="5"/>
      <c r="AC52" s="5"/>
      <c r="AD52" s="5"/>
      <c r="AE52" s="5"/>
      <c r="AF52" s="5"/>
      <c r="AG52" s="5"/>
      <c r="AH52" s="5"/>
      <c r="AI52" s="5"/>
      <c r="AJ52" s="5"/>
      <c r="AK52" s="5"/>
      <c r="AL52" s="5"/>
      <c r="AM52" s="5"/>
      <c r="AN52" s="19"/>
      <c r="AO52" s="19"/>
      <c r="AQ52" s="377"/>
      <c r="AR52" s="377"/>
      <c r="AS52" s="377"/>
      <c r="AT52" s="377"/>
      <c r="AU52" s="831"/>
      <c r="AV52" s="377"/>
      <c r="AW52" s="377"/>
      <c r="AX52" s="377"/>
      <c r="AY52" s="377"/>
      <c r="AZ52" s="377"/>
      <c r="BA52" s="377"/>
      <c r="BB52" s="377"/>
      <c r="BC52" s="377"/>
      <c r="BD52" s="377"/>
      <c r="BE52" s="377"/>
      <c r="BF52" s="377"/>
      <c r="DD52" s="5"/>
      <c r="DE52" s="5"/>
      <c r="DF52" s="5"/>
    </row>
    <row r="53" spans="2:112" ht="15" customHeight="1" x14ac:dyDescent="0.25">
      <c r="B53" s="16" t="str">
        <f ca="1">'WP1'!B57</f>
        <v/>
      </c>
      <c r="C53" s="23"/>
      <c r="D53" s="23"/>
      <c r="E53" s="178" t="str">
        <f>IF(AND(H8&gt;0,H9&gt;0),'WP1'!E57,"")</f>
        <v/>
      </c>
      <c r="F53" s="179" t="str">
        <f>IF(AND(H8&gt;0,H9&gt;0),'WP1'!F57,"")</f>
        <v/>
      </c>
      <c r="G53" s="180" t="str">
        <f>'WP1'!G57</f>
        <v/>
      </c>
      <c r="H53" s="181" t="str">
        <f>IF(AND(H8&lt;&gt;"",H9&lt;&gt;""),'WP1'!H57,"")</f>
        <v/>
      </c>
      <c r="K53" s="5" t="b">
        <f>IF(OR(K52=0,K51=0),FALSE,IF(K52&lt;=K51*1.01,FALSE,TRUE))</f>
        <v>0</v>
      </c>
      <c r="L53" s="418" t="s">
        <v>3670</v>
      </c>
      <c r="M53" s="53"/>
      <c r="N53" s="139" t="s">
        <v>1128</v>
      </c>
      <c r="O53" s="1004">
        <f>K44</f>
        <v>1</v>
      </c>
      <c r="P53" s="1042"/>
      <c r="Q53" s="5"/>
      <c r="R53" s="5"/>
      <c r="S53" s="5"/>
      <c r="T53" s="5"/>
      <c r="U53" s="5"/>
      <c r="V53" s="321" t="s">
        <v>3484</v>
      </c>
      <c r="W53" s="322"/>
      <c r="X53" s="322"/>
      <c r="Y53" s="322"/>
      <c r="Z53" s="322"/>
      <c r="AA53" s="322"/>
      <c r="AB53" s="322"/>
      <c r="AC53" s="322"/>
      <c r="AD53" s="344" t="s">
        <v>1207</v>
      </c>
      <c r="AE53" s="345">
        <f>(INDEX(W57:AI66,AC35,Z35)+INDEX(W57:AI66,AC35,Z36))/2/X68</f>
        <v>0.89729729729729724</v>
      </c>
      <c r="AF53" s="322"/>
      <c r="AG53" s="322"/>
      <c r="AH53" s="322"/>
      <c r="AI53" s="323"/>
      <c r="AJ53" s="5"/>
      <c r="AK53" s="5"/>
      <c r="AL53" s="5"/>
      <c r="AM53" s="5"/>
      <c r="AN53" s="19"/>
      <c r="AO53" s="19"/>
      <c r="AQ53" s="377"/>
      <c r="AR53" s="377"/>
      <c r="AS53" s="377"/>
      <c r="AT53" s="377"/>
      <c r="AU53" s="831"/>
      <c r="AV53" s="377"/>
      <c r="AW53" s="377"/>
      <c r="AX53" s="377"/>
      <c r="AY53" s="377"/>
      <c r="AZ53" s="377"/>
      <c r="BA53" s="377"/>
      <c r="BB53" s="377"/>
      <c r="BC53" s="377"/>
      <c r="BD53" s="377"/>
      <c r="BE53" s="377"/>
      <c r="BF53" s="377"/>
      <c r="DD53" s="5"/>
      <c r="DE53" s="5"/>
      <c r="DF53" s="5"/>
    </row>
    <row r="54" spans="2:112" ht="15" customHeight="1" x14ac:dyDescent="0.25">
      <c r="B54" s="100" t="str">
        <f>'WP1'!B58</f>
        <v/>
      </c>
      <c r="C54" s="103"/>
      <c r="D54" s="103"/>
      <c r="E54" s="182" t="str">
        <f>'WP1'!E58</f>
        <v/>
      </c>
      <c r="F54" s="183" t="str">
        <f>'WP1'!F58</f>
        <v/>
      </c>
      <c r="G54" s="184" t="str">
        <f>'WP1'!G58</f>
        <v/>
      </c>
      <c r="H54" s="185">
        <f>'WP1'!H58</f>
        <v>0</v>
      </c>
      <c r="L54" s="709">
        <f>IF(O53&gt;1,H45,0)*WinkelKorr</f>
        <v>0</v>
      </c>
      <c r="M54" s="680" t="s">
        <v>1141</v>
      </c>
      <c r="N54" s="1000" t="str">
        <f>'WP1'!M58</f>
        <v>pas d'installation solaire</v>
      </c>
      <c r="O54" s="680"/>
      <c r="P54" s="211"/>
      <c r="Q54" s="5"/>
      <c r="R54" s="5"/>
      <c r="S54" s="5"/>
      <c r="T54" s="5"/>
      <c r="U54" s="5"/>
      <c r="V54" s="270"/>
      <c r="W54" s="55"/>
      <c r="X54" s="324"/>
      <c r="Y54" s="324"/>
      <c r="Z54" s="324"/>
      <c r="AA54" s="324"/>
      <c r="AB54" s="324" t="s">
        <v>1203</v>
      </c>
      <c r="AC54" s="324"/>
      <c r="AD54" s="324"/>
      <c r="AE54" s="324"/>
      <c r="AF54" s="324"/>
      <c r="AG54" s="324"/>
      <c r="AH54" s="324"/>
      <c r="AI54" s="325"/>
      <c r="AJ54" s="5"/>
      <c r="AK54" s="5"/>
      <c r="AL54" s="5"/>
      <c r="AM54" s="5"/>
      <c r="AN54" s="5"/>
      <c r="AO54" s="5"/>
      <c r="BE54" s="377"/>
      <c r="BF54" s="377"/>
      <c r="DD54" s="5"/>
      <c r="DE54" s="5"/>
      <c r="DF54" s="5"/>
    </row>
    <row r="55" spans="2:112" ht="15" customHeight="1" x14ac:dyDescent="0.2">
      <c r="B55" s="100" t="str">
        <f>Sprache!B38</f>
        <v>Pertes en mode chauffage (démarrage, accumulateur, etc.)</v>
      </c>
      <c r="C55" s="103"/>
      <c r="D55" s="103"/>
      <c r="E55" s="97"/>
      <c r="F55" s="187">
        <f>'WP1'!F59</f>
        <v>0</v>
      </c>
      <c r="G55" s="184" t="s">
        <v>3935</v>
      </c>
      <c r="H55" s="188">
        <f>1-F55</f>
        <v>1</v>
      </c>
      <c r="L55" s="708" t="e">
        <f>IF(H47&gt;0,IF(solarExtern,H47,L60),L60)</f>
        <v>#VALUE!</v>
      </c>
      <c r="M55" s="287" t="s">
        <v>1140</v>
      </c>
      <c r="N55" s="1001" t="str">
        <f>'WP1'!M59</f>
        <v/>
      </c>
      <c r="O55" s="287"/>
      <c r="P55" s="679"/>
      <c r="Q55" s="5"/>
      <c r="R55" s="5"/>
      <c r="S55" s="5"/>
      <c r="T55" s="5"/>
      <c r="U55" s="5"/>
      <c r="V55" s="270"/>
      <c r="W55" s="324" t="s">
        <v>1204</v>
      </c>
      <c r="X55" s="324"/>
      <c r="Y55" s="324"/>
      <c r="Z55" s="55"/>
      <c r="AA55" s="324"/>
      <c r="AB55" s="324"/>
      <c r="AC55" s="324"/>
      <c r="AD55" s="324"/>
      <c r="AE55" s="324"/>
      <c r="AF55" s="324"/>
      <c r="AG55" s="324"/>
      <c r="AH55" s="324"/>
      <c r="AI55" s="325" t="s">
        <v>1205</v>
      </c>
      <c r="AJ55" s="5"/>
      <c r="AK55" s="5"/>
      <c r="AL55" s="5"/>
      <c r="AM55" s="5"/>
      <c r="AN55" s="5"/>
      <c r="AO55" s="5"/>
      <c r="BE55" s="377"/>
      <c r="BF55" s="377"/>
      <c r="DD55" s="5"/>
      <c r="DE55" s="5"/>
      <c r="DF55" s="5"/>
    </row>
    <row r="56" spans="2:112" ht="15" customHeight="1" x14ac:dyDescent="0.2">
      <c r="B56" s="100" t="str">
        <f>Sprache!B39</f>
        <v>Pertes en mode préparation d'ECS (démarrage, accumulateur, etc.)</v>
      </c>
      <c r="C56" s="103"/>
      <c r="D56" s="103"/>
      <c r="E56" s="97"/>
      <c r="F56" s="187">
        <f>'WP1'!F60</f>
        <v>0</v>
      </c>
      <c r="G56" s="184" t="s">
        <v>3937</v>
      </c>
      <c r="H56" s="188">
        <f>1-F56</f>
        <v>1</v>
      </c>
      <c r="L56" s="707">
        <f>IF(OR(Azimut&gt;90,Neigung&gt;90,Azimut&lt;-90,Neigung&lt;-90),0,IF(MinSol,IF(OR(AND(H47&gt;0,solarExtern),_SIA384),1,IF(wwSolar,AE53,IF(HeizungSolar,AE35,1))),1))</f>
        <v>1</v>
      </c>
      <c r="M56" s="287" t="s">
        <v>1139</v>
      </c>
      <c r="N56" s="1001" t="str">
        <f>'WP1'!M60</f>
        <v/>
      </c>
      <c r="O56" s="287"/>
      <c r="P56" s="679"/>
      <c r="Q56" s="5"/>
      <c r="R56" s="5"/>
      <c r="S56" s="5"/>
      <c r="T56" s="5"/>
      <c r="U56" s="5"/>
      <c r="V56" s="326" t="s">
        <v>1209</v>
      </c>
      <c r="W56" s="324">
        <v>-90</v>
      </c>
      <c r="X56" s="324">
        <v>-75</v>
      </c>
      <c r="Y56" s="324">
        <v>-60</v>
      </c>
      <c r="Z56" s="324">
        <v>-45</v>
      </c>
      <c r="AA56" s="324">
        <v>-30</v>
      </c>
      <c r="AB56" s="324">
        <v>-15</v>
      </c>
      <c r="AC56" s="324">
        <v>0</v>
      </c>
      <c r="AD56" s="324">
        <v>15</v>
      </c>
      <c r="AE56" s="324">
        <v>30</v>
      </c>
      <c r="AF56" s="324">
        <v>45</v>
      </c>
      <c r="AG56" s="324">
        <v>60</v>
      </c>
      <c r="AH56" s="324">
        <v>75</v>
      </c>
      <c r="AI56" s="325">
        <v>90</v>
      </c>
      <c r="AJ56" s="5"/>
      <c r="AK56" s="5"/>
      <c r="AL56" s="5"/>
      <c r="AM56" s="5"/>
      <c r="AN56" s="5"/>
      <c r="AO56" s="5"/>
      <c r="BF56" s="217"/>
      <c r="DD56" s="5"/>
      <c r="DE56" s="5"/>
      <c r="DF56" s="5"/>
      <c r="DG56" s="5"/>
      <c r="DH56" s="5"/>
    </row>
    <row r="57" spans="2:112" ht="15" customHeight="1" x14ac:dyDescent="0.2">
      <c r="B57" s="100" t="str">
        <f>Sprache!B40</f>
        <v>Durée de fonctionnement de la pompe à chaleur</v>
      </c>
      <c r="C57" s="499"/>
      <c r="D57" s="499"/>
      <c r="E57" s="167"/>
      <c r="F57" s="127"/>
      <c r="G57" s="190" t="s">
        <v>3940</v>
      </c>
      <c r="H57" s="191" t="str">
        <f>IF(AND(H8&gt;0,H9&gt;0),'WP1'!H61,"")</f>
        <v/>
      </c>
      <c r="K57" s="5" t="s">
        <v>1599</v>
      </c>
      <c r="L57" s="707"/>
      <c r="M57" s="287"/>
      <c r="N57" s="1001" t="str">
        <f>'WP1'!M61</f>
        <v>Chauffage solaire de l'ECS</v>
      </c>
      <c r="O57" s="287"/>
      <c r="P57" s="679"/>
      <c r="Q57" s="5"/>
      <c r="R57" s="5"/>
      <c r="S57" s="5"/>
      <c r="T57" s="5"/>
      <c r="U57" s="5"/>
      <c r="V57" s="326">
        <v>90</v>
      </c>
      <c r="W57" s="327">
        <v>0.64</v>
      </c>
      <c r="X57" s="327">
        <v>0.7</v>
      </c>
      <c r="Y57" s="327">
        <v>0.74</v>
      </c>
      <c r="Z57" s="327">
        <v>0.77</v>
      </c>
      <c r="AA57" s="327">
        <v>0.78</v>
      </c>
      <c r="AB57" s="327">
        <v>0.78</v>
      </c>
      <c r="AC57" s="327">
        <v>0.77</v>
      </c>
      <c r="AD57" s="327">
        <v>0.75</v>
      </c>
      <c r="AE57" s="327">
        <v>0.73</v>
      </c>
      <c r="AF57" s="327">
        <v>0.7</v>
      </c>
      <c r="AG57" s="327">
        <v>0.66</v>
      </c>
      <c r="AH57" s="327">
        <v>0.61</v>
      </c>
      <c r="AI57" s="328">
        <v>0.55000000000000004</v>
      </c>
      <c r="AJ57" s="5"/>
      <c r="AK57" s="5"/>
      <c r="AL57" s="5"/>
      <c r="AM57" s="5"/>
      <c r="AN57" s="5"/>
      <c r="AO57" s="5"/>
      <c r="BF57" s="217"/>
      <c r="DD57" s="5"/>
      <c r="DE57" s="5"/>
      <c r="DF57" s="5"/>
      <c r="DG57" s="5"/>
      <c r="DH57" s="5"/>
    </row>
    <row r="58" spans="2:112" ht="15" customHeight="1" x14ac:dyDescent="0.25">
      <c r="B58" s="100" t="str">
        <f>Sprache!B41</f>
        <v>Part et COP annuel de la pompe à chaleur pour le chauffage</v>
      </c>
      <c r="C58" s="103"/>
      <c r="D58" s="103"/>
      <c r="E58" s="182" t="str">
        <f>'WP1'!E62</f>
        <v/>
      </c>
      <c r="F58" s="183" t="str">
        <f>IF(AND(H8&gt;0,H9&gt;0),'WP1'!F62,"")</f>
        <v/>
      </c>
      <c r="G58" s="194" t="s">
        <v>3944</v>
      </c>
      <c r="H58" s="195" t="str">
        <f>IF(AND(H8&gt;0,H9&gt;0),jazh,"")</f>
        <v/>
      </c>
      <c r="K58" s="217" t="e">
        <f ca="1">IF(H50&lt;1,IF(bivalent,jazh,(1-H50)/(F58/jazh+F53)),999)</f>
        <v>#VALUE!</v>
      </c>
      <c r="L58" s="233">
        <f>IF(O53&gt;1,H49,0)</f>
        <v>0</v>
      </c>
      <c r="M58" s="287" t="s">
        <v>936</v>
      </c>
      <c r="N58" s="1001" t="str">
        <f>'WP1'!M62</f>
        <v>Eau chaude sanitaire ECS + chauffage</v>
      </c>
      <c r="O58" s="287"/>
      <c r="P58" s="679"/>
      <c r="Q58" s="5"/>
      <c r="R58" s="5"/>
      <c r="S58" s="5"/>
      <c r="T58" s="5"/>
      <c r="U58" s="5"/>
      <c r="V58" s="326">
        <v>80</v>
      </c>
      <c r="W58" s="327">
        <v>0.69</v>
      </c>
      <c r="X58" s="327">
        <v>0.75</v>
      </c>
      <c r="Y58" s="327">
        <v>0.8</v>
      </c>
      <c r="Z58" s="327">
        <v>0.83</v>
      </c>
      <c r="AA58" s="327">
        <v>0.85</v>
      </c>
      <c r="AB58" s="327">
        <v>0.85</v>
      </c>
      <c r="AC58" s="327">
        <v>0.85</v>
      </c>
      <c r="AD58" s="327">
        <v>0.83</v>
      </c>
      <c r="AE58" s="327">
        <v>0.8</v>
      </c>
      <c r="AF58" s="327">
        <v>0.76</v>
      </c>
      <c r="AG58" s="327">
        <v>0.72</v>
      </c>
      <c r="AH58" s="327">
        <v>0.67</v>
      </c>
      <c r="AI58" s="328">
        <v>0.6</v>
      </c>
      <c r="AJ58" s="5"/>
      <c r="AK58" s="5"/>
      <c r="AL58" s="5"/>
      <c r="AM58" s="5"/>
      <c r="AN58" s="5"/>
      <c r="AO58" s="5"/>
      <c r="BF58" s="217"/>
      <c r="BJ58" s="125"/>
      <c r="DD58" s="5"/>
      <c r="DE58" s="5"/>
      <c r="DF58" s="5"/>
      <c r="DG58" s="5"/>
      <c r="DH58" s="5"/>
    </row>
    <row r="59" spans="2:112" ht="15" customHeight="1" x14ac:dyDescent="0.25">
      <c r="B59" s="100" t="str">
        <f>Sprache!B42</f>
        <v>Part et COP annuel de la pompe à chaleur pour l'ECS</v>
      </c>
      <c r="C59" s="103"/>
      <c r="D59" s="103"/>
      <c r="E59" s="182" t="str">
        <f>'WP1'!E63</f>
        <v/>
      </c>
      <c r="F59" s="183" t="str">
        <f>IF(AND(H8&lt;&gt;"",H9&lt;&gt;""),'WP1'!F63,"")</f>
        <v/>
      </c>
      <c r="G59" s="194" t="s">
        <v>3948</v>
      </c>
      <c r="H59" s="196" t="str">
        <f>IF(AND(H8&lt;&gt;"",H9&lt;&gt;""),jazww,"")</f>
        <v/>
      </c>
      <c r="K59" s="217" t="e">
        <f>IF(H49&lt;1,(1-H49)/(F59/jazww+IF(F54&lt;&gt;"",F54,0)),999)</f>
        <v>#VALUE!</v>
      </c>
      <c r="L59" s="233">
        <f>IF(HeizungSolar,H50,0)</f>
        <v>0</v>
      </c>
      <c r="M59" s="287" t="s">
        <v>937</v>
      </c>
      <c r="N59" s="1001" t="str">
        <f>'WP1'!M63</f>
        <v>Chauffage solaire de l'ECS (calcul externe)</v>
      </c>
      <c r="O59" s="287"/>
      <c r="P59" s="679"/>
      <c r="Q59" s="5"/>
      <c r="R59" s="5"/>
      <c r="S59" s="5"/>
      <c r="T59" s="5"/>
      <c r="U59" s="5"/>
      <c r="V59" s="326">
        <v>70</v>
      </c>
      <c r="W59" s="327">
        <v>0.73</v>
      </c>
      <c r="X59" s="327">
        <v>0.8</v>
      </c>
      <c r="Y59" s="327">
        <v>0.85</v>
      </c>
      <c r="Z59" s="327">
        <v>0.89</v>
      </c>
      <c r="AA59" s="327">
        <v>0.91</v>
      </c>
      <c r="AB59" s="327">
        <v>0.92</v>
      </c>
      <c r="AC59" s="327">
        <v>0.91</v>
      </c>
      <c r="AD59" s="327">
        <v>0.9</v>
      </c>
      <c r="AE59" s="327">
        <v>0.87</v>
      </c>
      <c r="AF59" s="327">
        <v>0.83</v>
      </c>
      <c r="AG59" s="327">
        <v>0.78</v>
      </c>
      <c r="AH59" s="327">
        <v>0.71</v>
      </c>
      <c r="AI59" s="328">
        <v>0.65</v>
      </c>
      <c r="AJ59" s="5"/>
      <c r="AK59" s="5"/>
      <c r="AL59" s="5"/>
      <c r="AM59" s="5"/>
      <c r="AN59" s="5"/>
      <c r="AO59" s="5"/>
      <c r="BF59" s="217"/>
      <c r="DD59" s="5"/>
      <c r="DE59" s="5"/>
      <c r="DF59" s="5"/>
      <c r="DG59" s="5"/>
      <c r="DH59" s="5"/>
    </row>
    <row r="60" spans="2:112" ht="15" customHeight="1" thickBot="1" x14ac:dyDescent="0.25">
      <c r="B60" s="205" t="str">
        <f>'WP1'!B66</f>
        <v>COP annuel pour chauffage et ECS (COPa [ch+ECS])</v>
      </c>
      <c r="C60" s="517"/>
      <c r="D60" s="517"/>
      <c r="E60" s="724" t="s">
        <v>1600</v>
      </c>
      <c r="F60" s="207"/>
      <c r="G60" s="208" t="str">
        <f>'WP1'!G66</f>
        <v>-</v>
      </c>
      <c r="H60" s="209" t="str">
        <f>IF(AND(H8&lt;&gt;"",H9&lt;&gt;""),IF(JAZel,K61,'WP1'!H66),"")</f>
        <v/>
      </c>
      <c r="K60" s="19" t="e">
        <f>IF(E60="",FALSE,IF(MATCH(E60,Q46:Q47,0)=2,TRUE,FALSE))</f>
        <v>#N/A</v>
      </c>
      <c r="L60" s="697" t="e">
        <f>IF(Qh+Qww=0,,IF(wwSolar,Q54,IF(HeizungSolar,R54,0)))</f>
        <v>#VALUE!</v>
      </c>
      <c r="M60" s="287" t="s">
        <v>1142</v>
      </c>
      <c r="N60" s="1002" t="str">
        <f>'WP1'!M64</f>
        <v>Eau chaude sanitaire ECS + chauffage (calcul externe)</v>
      </c>
      <c r="O60" s="681"/>
      <c r="P60" s="1003"/>
      <c r="Q60" s="5"/>
      <c r="R60" s="5"/>
      <c r="S60" s="5"/>
      <c r="T60" s="5"/>
      <c r="U60" s="5"/>
      <c r="V60" s="326">
        <v>60</v>
      </c>
      <c r="W60" s="327">
        <v>0.76</v>
      </c>
      <c r="X60" s="327">
        <v>0.83</v>
      </c>
      <c r="Y60" s="327">
        <v>0.88</v>
      </c>
      <c r="Z60" s="327">
        <v>0.93</v>
      </c>
      <c r="AA60" s="327">
        <v>0.95</v>
      </c>
      <c r="AB60" s="327">
        <v>0.95</v>
      </c>
      <c r="AC60" s="327">
        <v>0.95</v>
      </c>
      <c r="AD60" s="327">
        <v>0.95</v>
      </c>
      <c r="AE60" s="327">
        <v>0.92</v>
      </c>
      <c r="AF60" s="327">
        <v>0.87</v>
      </c>
      <c r="AG60" s="327">
        <v>0.82</v>
      </c>
      <c r="AH60" s="327">
        <v>0.75</v>
      </c>
      <c r="AI60" s="328">
        <v>0.69</v>
      </c>
      <c r="AJ60" s="5"/>
      <c r="AK60" s="5"/>
      <c r="AL60" s="5"/>
      <c r="AM60" s="5"/>
      <c r="AN60" s="5"/>
      <c r="AO60" s="5"/>
      <c r="BF60" s="217"/>
      <c r="DD60" s="5"/>
      <c r="DE60" s="5"/>
      <c r="DF60" s="5"/>
      <c r="DG60" s="5"/>
      <c r="DH60" s="5"/>
    </row>
    <row r="61" spans="2:112" ht="15" customHeight="1" thickTop="1" x14ac:dyDescent="0.2">
      <c r="K61" s="217" t="str">
        <f>IF(AND(WW=TRUE,K40=1),"",IF(AND(WW=FALSE,Heizung=FALSE),"",IF(Heizung=FALSE,K59,IF(WW=FALSE,K58,IF(OR(EBF=0,K28=FALSE,AND(WPArt=3,H32="")),"",IF(AND(F58&gt;0,F59&gt;0),IF(bivalent,(wh/www*F58+F59)/(wh/www*F58/jazh+F59/jazww+IF(F54&lt;&gt;"",F54,0)),(wh/www*(1-H50)+1-H49)/(wh/www*(F58/jazh+IF(F53&lt;&gt;"",F53,0))+F59/jazww+IF(F54&lt;&gt;"",F54,0)))))))))</f>
        <v/>
      </c>
      <c r="L61" s="684" t="s">
        <v>1129</v>
      </c>
      <c r="M61" s="21"/>
      <c r="N61" s="287" t="s">
        <v>1136</v>
      </c>
      <c r="O61" s="287"/>
      <c r="P61" s="1043" t="b">
        <f>IF(OR(O53=4,O53=5),TRUE,FALSE)</f>
        <v>0</v>
      </c>
      <c r="Q61" s="5"/>
      <c r="R61" s="5"/>
      <c r="S61" s="5"/>
      <c r="T61" s="5"/>
      <c r="U61" s="5"/>
      <c r="V61" s="326">
        <v>50</v>
      </c>
      <c r="W61" s="327">
        <v>0.79</v>
      </c>
      <c r="X61" s="327">
        <v>0.85</v>
      </c>
      <c r="Y61" s="327">
        <v>0.9</v>
      </c>
      <c r="Z61" s="327">
        <v>0.95</v>
      </c>
      <c r="AA61" s="327">
        <v>0.96</v>
      </c>
      <c r="AB61" s="327">
        <v>0.97</v>
      </c>
      <c r="AC61" s="327">
        <v>0.97</v>
      </c>
      <c r="AD61" s="327">
        <v>0.96</v>
      </c>
      <c r="AE61" s="327">
        <v>0.95</v>
      </c>
      <c r="AF61" s="327">
        <v>0.9</v>
      </c>
      <c r="AG61" s="327">
        <v>0.85</v>
      </c>
      <c r="AH61" s="327">
        <v>0.79</v>
      </c>
      <c r="AI61" s="328">
        <v>0.72</v>
      </c>
      <c r="AJ61" s="5"/>
      <c r="AK61" s="5"/>
      <c r="AL61" s="5"/>
      <c r="AM61" s="5"/>
      <c r="AN61" s="5"/>
      <c r="AO61" s="5"/>
      <c r="BF61" s="217"/>
      <c r="DD61" s="5"/>
      <c r="DE61" s="5"/>
      <c r="DF61" s="5"/>
      <c r="DG61" s="5"/>
      <c r="DH61" s="5"/>
    </row>
    <row r="62" spans="2:112" ht="15" customHeight="1" x14ac:dyDescent="0.2">
      <c r="L62" s="711" t="e">
        <f>IF(Qh+Qww=0,,IF(wwSolar,Q54,IF(HeizungSolar,R54,0)))</f>
        <v>#VALUE!</v>
      </c>
      <c r="M62" s="679" t="s">
        <v>1142</v>
      </c>
      <c r="N62" s="287" t="s">
        <v>1135</v>
      </c>
      <c r="O62" s="5"/>
      <c r="P62" s="716" t="b">
        <f>IF(OR(O53=2,O53=3),TRUE,FALSE)</f>
        <v>0</v>
      </c>
      <c r="Q62" s="5"/>
      <c r="R62" s="5"/>
      <c r="S62" s="5"/>
      <c r="T62" s="5"/>
      <c r="U62" s="5"/>
      <c r="V62" s="326">
        <v>40</v>
      </c>
      <c r="W62" s="327">
        <v>0.81</v>
      </c>
      <c r="X62" s="327">
        <v>0.86</v>
      </c>
      <c r="Y62" s="327">
        <v>0.91</v>
      </c>
      <c r="Z62" s="327">
        <v>0.95</v>
      </c>
      <c r="AA62" s="327">
        <v>0.96</v>
      </c>
      <c r="AB62" s="327">
        <v>0.99</v>
      </c>
      <c r="AC62" s="327">
        <v>0.99</v>
      </c>
      <c r="AD62" s="327">
        <v>0.97</v>
      </c>
      <c r="AE62" s="327">
        <v>0.95</v>
      </c>
      <c r="AF62" s="327">
        <v>0.92</v>
      </c>
      <c r="AG62" s="327">
        <v>0.87</v>
      </c>
      <c r="AH62" s="327">
        <v>0.81</v>
      </c>
      <c r="AI62" s="328">
        <v>0.75</v>
      </c>
      <c r="AJ62" s="5"/>
      <c r="AK62" s="5"/>
      <c r="AL62" s="5"/>
      <c r="AM62" s="5"/>
      <c r="AN62" s="5"/>
      <c r="AO62" s="5"/>
      <c r="BF62" s="217"/>
      <c r="DD62" s="5"/>
      <c r="DE62" s="5"/>
      <c r="DF62" s="5"/>
      <c r="DG62" s="5"/>
      <c r="DH62" s="5"/>
    </row>
    <row r="63" spans="2:112" ht="15" hidden="1" customHeight="1" x14ac:dyDescent="0.2">
      <c r="B63" s="100" t="str">
        <f>Sprache!B43</f>
        <v xml:space="preserve">Facteur de pondération pour le chauffage: </v>
      </c>
      <c r="C63" s="103"/>
      <c r="D63" s="103"/>
      <c r="E63" s="97"/>
      <c r="F63" s="127"/>
      <c r="G63" s="117" t="str">
        <f>'WP1'!G64</f>
        <v>-</v>
      </c>
      <c r="H63" s="197">
        <f>wh</f>
        <v>0</v>
      </c>
      <c r="L63" s="710" t="s">
        <v>938</v>
      </c>
      <c r="M63" s="44"/>
      <c r="N63" s="681" t="s">
        <v>1132</v>
      </c>
      <c r="O63" s="681"/>
      <c r="P63" s="718" t="b">
        <f>IF(OR(O53=6,O53=7),TRUE,FALSE)</f>
        <v>0</v>
      </c>
      <c r="Q63" s="5"/>
      <c r="R63" s="5"/>
      <c r="S63" s="5"/>
      <c r="T63" s="5"/>
      <c r="U63" s="5"/>
      <c r="V63" s="326">
        <v>30</v>
      </c>
      <c r="W63" s="327">
        <v>0.82</v>
      </c>
      <c r="X63" s="327">
        <v>0.86</v>
      </c>
      <c r="Y63" s="327">
        <v>0.91</v>
      </c>
      <c r="Z63" s="327">
        <v>0.95</v>
      </c>
      <c r="AA63" s="327">
        <v>0.95</v>
      </c>
      <c r="AB63" s="327">
        <v>0.97</v>
      </c>
      <c r="AC63" s="327">
        <v>0.97</v>
      </c>
      <c r="AD63" s="327">
        <v>0.96</v>
      </c>
      <c r="AE63" s="327">
        <v>0.95</v>
      </c>
      <c r="AF63" s="327">
        <v>0.91</v>
      </c>
      <c r="AG63" s="327">
        <v>0.87</v>
      </c>
      <c r="AH63" s="327">
        <v>0.82</v>
      </c>
      <c r="AI63" s="328">
        <v>0.76</v>
      </c>
      <c r="AJ63" s="5"/>
      <c r="AK63" s="5"/>
      <c r="AL63" s="5"/>
      <c r="AM63" s="5"/>
      <c r="AN63" s="5"/>
      <c r="AO63" s="5"/>
      <c r="BF63" s="217"/>
      <c r="DD63" s="5"/>
      <c r="DE63" s="5"/>
      <c r="DF63" s="5"/>
      <c r="DG63" s="5"/>
      <c r="DH63" s="5"/>
    </row>
    <row r="64" spans="2:112" ht="15" hidden="1" customHeight="1" x14ac:dyDescent="0.2">
      <c r="B64" s="100" t="str">
        <f>Sprache!B44</f>
        <v>Facteur de pondération pour l'ECS</v>
      </c>
      <c r="C64" s="103"/>
      <c r="D64" s="103"/>
      <c r="E64" s="97"/>
      <c r="F64" s="127"/>
      <c r="G64" s="117" t="str">
        <f>'WP1'!G65</f>
        <v>-</v>
      </c>
      <c r="H64" s="197">
        <f>www</f>
        <v>0</v>
      </c>
      <c r="L64" s="5"/>
      <c r="M64" s="5"/>
      <c r="N64" s="5"/>
      <c r="O64" s="5"/>
      <c r="P64" s="5"/>
      <c r="Q64" s="5"/>
      <c r="R64" s="5"/>
      <c r="S64" s="5"/>
      <c r="T64" s="5"/>
      <c r="U64" s="5"/>
      <c r="V64" s="326">
        <v>20</v>
      </c>
      <c r="W64" s="327">
        <v>0.82</v>
      </c>
      <c r="X64" s="327">
        <v>0.85</v>
      </c>
      <c r="Y64" s="327">
        <v>0.89</v>
      </c>
      <c r="Z64" s="327">
        <v>0.91</v>
      </c>
      <c r="AA64" s="327">
        <v>0.93</v>
      </c>
      <c r="AB64" s="327">
        <v>0.94</v>
      </c>
      <c r="AC64" s="327">
        <v>0.94</v>
      </c>
      <c r="AD64" s="327">
        <v>0.93</v>
      </c>
      <c r="AE64" s="327">
        <v>0.92</v>
      </c>
      <c r="AF64" s="327">
        <v>0.89</v>
      </c>
      <c r="AG64" s="327">
        <v>0.86</v>
      </c>
      <c r="AH64" s="327">
        <v>0.82</v>
      </c>
      <c r="AI64" s="328">
        <v>0.78</v>
      </c>
      <c r="AJ64" s="5"/>
      <c r="AK64" s="5"/>
      <c r="AL64" s="5"/>
      <c r="AM64" s="5"/>
      <c r="AN64" s="5"/>
      <c r="AO64" s="5"/>
      <c r="BF64" s="217"/>
      <c r="DD64" s="5"/>
      <c r="DE64" s="5"/>
      <c r="DF64" s="5"/>
      <c r="DG64" s="5"/>
      <c r="DH64" s="5"/>
    </row>
    <row r="65" spans="2:112" ht="15" hidden="1" customHeight="1" x14ac:dyDescent="0.2">
      <c r="L65" s="5"/>
      <c r="M65" s="5"/>
      <c r="N65" s="5"/>
      <c r="O65" s="5"/>
      <c r="P65" s="5"/>
      <c r="Q65" s="5"/>
      <c r="R65" s="5"/>
      <c r="S65" s="5"/>
      <c r="T65" s="5"/>
      <c r="U65" s="5"/>
      <c r="V65" s="326">
        <v>10</v>
      </c>
      <c r="W65" s="327">
        <v>0.82</v>
      </c>
      <c r="X65" s="327">
        <v>0.84</v>
      </c>
      <c r="Y65" s="327">
        <v>0.85</v>
      </c>
      <c r="Z65" s="327">
        <v>0.87</v>
      </c>
      <c r="AA65" s="327">
        <v>0.87</v>
      </c>
      <c r="AB65" s="327">
        <v>0.89</v>
      </c>
      <c r="AC65" s="327">
        <v>0.89</v>
      </c>
      <c r="AD65" s="327">
        <v>0.88</v>
      </c>
      <c r="AE65" s="327">
        <v>0.87</v>
      </c>
      <c r="AF65" s="327">
        <v>0.85</v>
      </c>
      <c r="AG65" s="327">
        <v>0.84</v>
      </c>
      <c r="AH65" s="327">
        <v>0.83</v>
      </c>
      <c r="AI65" s="328">
        <v>0.8</v>
      </c>
      <c r="AJ65" s="5"/>
      <c r="AK65" s="5"/>
      <c r="AL65" s="5"/>
      <c r="AM65" s="5"/>
      <c r="AN65" s="5"/>
      <c r="AO65" s="5"/>
      <c r="BF65" s="217"/>
      <c r="DD65" s="5"/>
      <c r="DE65" s="5"/>
      <c r="DF65" s="5"/>
      <c r="DG65" s="5"/>
      <c r="DH65" s="5"/>
    </row>
    <row r="66" spans="2:112" ht="15" hidden="1" customHeight="1" x14ac:dyDescent="0.2">
      <c r="B66" s="455" t="s">
        <v>2163</v>
      </c>
      <c r="C66" s="978"/>
      <c r="D66" s="979"/>
      <c r="E66" s="460" t="s">
        <v>2369</v>
      </c>
      <c r="F66" s="462" t="s">
        <v>3498</v>
      </c>
      <c r="G66" s="458" t="s">
        <v>1740</v>
      </c>
      <c r="H66" s="460" t="s">
        <v>1473</v>
      </c>
      <c r="L66" s="5"/>
      <c r="M66" s="5"/>
      <c r="N66" s="5"/>
      <c r="O66" s="5"/>
      <c r="P66" s="5"/>
      <c r="Q66" s="5"/>
      <c r="R66" s="5"/>
      <c r="S66" s="5"/>
      <c r="T66" s="5"/>
      <c r="U66" s="5"/>
      <c r="V66" s="326">
        <v>0</v>
      </c>
      <c r="W66" s="327">
        <v>0.83</v>
      </c>
      <c r="X66" s="327">
        <v>0.83</v>
      </c>
      <c r="Y66" s="327">
        <v>0.83</v>
      </c>
      <c r="Z66" s="327">
        <v>0.83</v>
      </c>
      <c r="AA66" s="327">
        <v>0.83</v>
      </c>
      <c r="AB66" s="327">
        <v>0.83</v>
      </c>
      <c r="AC66" s="327">
        <v>0.83</v>
      </c>
      <c r="AD66" s="327">
        <v>0.83</v>
      </c>
      <c r="AE66" s="327">
        <v>0.83</v>
      </c>
      <c r="AF66" s="327">
        <v>0.83</v>
      </c>
      <c r="AG66" s="327">
        <v>0.83</v>
      </c>
      <c r="AH66" s="327">
        <v>0.83</v>
      </c>
      <c r="AI66" s="328">
        <v>0.83</v>
      </c>
      <c r="AJ66" s="5"/>
      <c r="AK66" s="5"/>
      <c r="AL66" s="5"/>
      <c r="AM66" s="5"/>
      <c r="AN66" s="5"/>
      <c r="AO66" s="5"/>
      <c r="BF66" s="217"/>
      <c r="DD66" s="5"/>
      <c r="DE66" s="5"/>
      <c r="DF66" s="5"/>
      <c r="DG66" s="5"/>
      <c r="DH66" s="5"/>
    </row>
    <row r="67" spans="2:112" ht="15.6" hidden="1" customHeight="1" x14ac:dyDescent="0.25">
      <c r="B67" s="456" t="s">
        <v>3173</v>
      </c>
      <c r="C67" s="456"/>
      <c r="D67" s="980"/>
      <c r="E67" s="135" t="s">
        <v>2370</v>
      </c>
      <c r="F67" s="464" t="s">
        <v>2948</v>
      </c>
      <c r="G67" s="464" t="s">
        <v>2948</v>
      </c>
      <c r="H67" s="459"/>
      <c r="L67" s="5"/>
      <c r="M67" s="5"/>
      <c r="N67" s="5"/>
      <c r="O67" s="5"/>
      <c r="P67" s="5"/>
      <c r="Q67" s="5"/>
      <c r="R67" s="5"/>
      <c r="S67" s="5"/>
      <c r="T67" s="5"/>
      <c r="U67" s="5"/>
      <c r="V67" s="335"/>
      <c r="W67" s="251"/>
      <c r="X67" s="320"/>
      <c r="Y67" s="320"/>
      <c r="Z67" s="320"/>
      <c r="AA67" s="320"/>
      <c r="AB67" s="320"/>
      <c r="AC67" s="320"/>
      <c r="AD67" s="320"/>
      <c r="AE67" s="320"/>
      <c r="AF67" s="320"/>
      <c r="AG67" s="320"/>
      <c r="AH67" s="320"/>
      <c r="AI67" s="336"/>
      <c r="AJ67" s="5"/>
      <c r="AK67" s="5"/>
      <c r="AL67" s="5"/>
      <c r="AM67" s="5"/>
      <c r="AN67" s="5"/>
      <c r="AO67" s="5"/>
      <c r="BF67" s="217"/>
      <c r="DD67" s="5"/>
      <c r="DE67" s="5"/>
      <c r="DF67" s="5"/>
      <c r="DG67" s="5"/>
      <c r="DH67" s="5"/>
    </row>
    <row r="68" spans="2:112" ht="26.45" hidden="1" customHeight="1" x14ac:dyDescent="0.25">
      <c r="B68" s="461"/>
      <c r="C68" s="176"/>
      <c r="D68" s="981"/>
      <c r="E68" s="20"/>
      <c r="F68" s="20"/>
      <c r="G68" s="238"/>
      <c r="H68" s="238"/>
      <c r="L68" s="5"/>
      <c r="M68" s="5"/>
      <c r="N68" s="5"/>
      <c r="O68" s="5"/>
      <c r="P68" s="5"/>
      <c r="Q68" s="5"/>
      <c r="R68" s="5"/>
      <c r="S68" s="5"/>
      <c r="T68" s="5"/>
      <c r="U68" s="5"/>
      <c r="V68" s="330" t="s">
        <v>1206</v>
      </c>
      <c r="W68" s="331" t="s">
        <v>1210</v>
      </c>
      <c r="X68" s="332">
        <v>0.92500000000000004</v>
      </c>
      <c r="Y68" s="27"/>
      <c r="Z68" s="27"/>
      <c r="AA68" s="27"/>
      <c r="AB68" s="27"/>
      <c r="AC68" s="337"/>
      <c r="AD68" s="337"/>
      <c r="AE68" s="337"/>
      <c r="AF68" s="337"/>
      <c r="AG68" s="337"/>
      <c r="AH68" s="337"/>
      <c r="AI68" s="338"/>
      <c r="AJ68" s="5"/>
      <c r="AK68" s="5"/>
      <c r="AL68" s="5"/>
      <c r="AM68" s="5"/>
      <c r="AN68" s="5"/>
      <c r="AO68" s="5"/>
      <c r="BF68" s="217"/>
      <c r="DD68" s="5"/>
      <c r="DE68" s="5"/>
      <c r="DF68" s="5"/>
      <c r="DG68" s="5"/>
      <c r="DH68" s="5"/>
    </row>
    <row r="69" spans="2:112" ht="15.6" hidden="1" customHeight="1" x14ac:dyDescent="0.2">
      <c r="B69" s="335" t="s">
        <v>2352</v>
      </c>
      <c r="C69" s="251"/>
      <c r="D69" s="664"/>
      <c r="E69" s="450">
        <v>4186</v>
      </c>
      <c r="F69" s="317">
        <v>2.8</v>
      </c>
      <c r="G69" s="450">
        <v>-10</v>
      </c>
      <c r="H69" s="450">
        <v>4186</v>
      </c>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BF69" s="217"/>
      <c r="DD69" s="5"/>
      <c r="DE69" s="5"/>
      <c r="DF69" s="5"/>
      <c r="DG69" s="5"/>
      <c r="DH69" s="5"/>
    </row>
    <row r="70" spans="2:112" ht="15.6" hidden="1" customHeight="1" x14ac:dyDescent="0.2">
      <c r="B70" s="335" t="s">
        <v>3508</v>
      </c>
      <c r="C70" s="251"/>
      <c r="D70" s="664"/>
      <c r="E70" s="450">
        <v>4422</v>
      </c>
      <c r="F70" s="317">
        <v>4.4000000000000004</v>
      </c>
      <c r="G70" s="450">
        <v>-6</v>
      </c>
      <c r="H70" s="450">
        <v>2836</v>
      </c>
      <c r="L70" s="5"/>
      <c r="M70" s="5"/>
      <c r="N70" s="5"/>
      <c r="O70" s="5"/>
      <c r="P70" s="5"/>
      <c r="Q70" s="5"/>
      <c r="R70" s="5"/>
      <c r="S70" s="5"/>
      <c r="T70" s="5"/>
      <c r="U70" s="5"/>
      <c r="V70" s="5"/>
      <c r="W70" s="5"/>
      <c r="X70" s="5"/>
      <c r="Y70" s="5"/>
      <c r="Z70" s="5"/>
      <c r="AA70" s="5"/>
      <c r="AB70" s="5"/>
      <c r="AC70" s="5"/>
      <c r="AD70" s="5"/>
      <c r="AE70" s="5"/>
      <c r="AF70" s="5"/>
      <c r="AG70" s="5"/>
      <c r="AH70" s="5"/>
      <c r="AI70" s="5"/>
      <c r="AJ70" s="228"/>
      <c r="AK70" s="5"/>
      <c r="AL70" s="5"/>
      <c r="AM70" s="5"/>
      <c r="AN70" s="5"/>
      <c r="AO70" s="5"/>
      <c r="BF70" s="217"/>
      <c r="DD70" s="5"/>
      <c r="DE70" s="5"/>
      <c r="DF70" s="5"/>
      <c r="DG70" s="5"/>
      <c r="DH70" s="5"/>
    </row>
    <row r="71" spans="2:112" ht="15.6" hidden="1" customHeight="1" x14ac:dyDescent="0.2">
      <c r="B71" s="335" t="s">
        <v>3667</v>
      </c>
      <c r="C71" s="251"/>
      <c r="D71" s="664"/>
      <c r="E71" s="450">
        <v>3940</v>
      </c>
      <c r="F71" s="317">
        <v>4.3</v>
      </c>
      <c r="G71" s="450">
        <v>-7</v>
      </c>
      <c r="H71" s="450">
        <v>2733</v>
      </c>
      <c r="L71" s="5"/>
      <c r="M71" s="5"/>
      <c r="N71" s="5"/>
      <c r="O71" s="5"/>
      <c r="P71" s="5"/>
      <c r="Q71" s="5"/>
      <c r="R71" s="5"/>
      <c r="S71" s="5"/>
      <c r="T71" s="5"/>
      <c r="U71" s="5"/>
      <c r="V71" s="5"/>
      <c r="W71" s="5"/>
      <c r="X71" s="5"/>
      <c r="Y71" s="5"/>
      <c r="Z71" s="5"/>
      <c r="AA71" s="5"/>
      <c r="AB71" s="5"/>
      <c r="AC71" s="5"/>
      <c r="AD71" s="5"/>
      <c r="AE71" s="5"/>
      <c r="AF71" s="5"/>
      <c r="AG71" s="5"/>
      <c r="AH71" s="5"/>
      <c r="AI71" s="5"/>
      <c r="AJ71" s="19"/>
      <c r="AK71" s="5"/>
      <c r="AL71" s="5"/>
      <c r="AM71" s="5"/>
      <c r="AN71" s="5"/>
      <c r="AO71" s="5"/>
      <c r="BF71" s="217"/>
      <c r="DD71" s="5"/>
      <c r="DE71" s="5"/>
      <c r="DF71" s="5"/>
      <c r="DG71" s="5"/>
      <c r="DH71" s="5"/>
    </row>
    <row r="72" spans="2:112" ht="15.6" hidden="1" customHeight="1" x14ac:dyDescent="0.2">
      <c r="B72" s="335" t="s">
        <v>902</v>
      </c>
      <c r="C72" s="251"/>
      <c r="D72" s="664"/>
      <c r="E72" s="450">
        <v>4026</v>
      </c>
      <c r="F72" s="317">
        <v>4.9000000000000004</v>
      </c>
      <c r="G72" s="450">
        <v>-7</v>
      </c>
      <c r="H72" s="450">
        <v>3353</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BF72" s="217"/>
      <c r="DD72" s="5"/>
      <c r="DE72" s="5"/>
      <c r="DF72" s="5"/>
      <c r="DG72" s="5"/>
      <c r="DH72" s="5"/>
    </row>
    <row r="73" spans="2:112" ht="15.6" hidden="1" customHeight="1" x14ac:dyDescent="0.2">
      <c r="B73" s="335" t="s">
        <v>904</v>
      </c>
      <c r="C73" s="251"/>
      <c r="D73" s="664"/>
      <c r="E73" s="450">
        <v>4178</v>
      </c>
      <c r="F73" s="317">
        <v>4.2</v>
      </c>
      <c r="G73" s="450">
        <v>-7</v>
      </c>
      <c r="H73" s="450">
        <v>2917</v>
      </c>
      <c r="L73" s="994" t="s">
        <v>2696</v>
      </c>
      <c r="M73" s="988" t="s">
        <v>770</v>
      </c>
      <c r="N73" s="52"/>
      <c r="O73" s="52"/>
      <c r="P73" s="53"/>
      <c r="Q73" s="5"/>
      <c r="R73" s="5"/>
      <c r="S73" s="5"/>
      <c r="T73" s="5"/>
      <c r="U73" s="5"/>
      <c r="V73" s="5"/>
      <c r="W73" s="5"/>
      <c r="X73" s="5"/>
      <c r="Y73" s="5"/>
      <c r="Z73" s="5"/>
      <c r="AA73" s="5"/>
      <c r="AB73" s="5"/>
      <c r="AC73" s="5"/>
      <c r="AD73" s="5"/>
      <c r="AE73" s="5"/>
      <c r="AF73" s="5"/>
      <c r="AG73" s="5"/>
      <c r="AH73" s="5"/>
      <c r="AI73" s="5"/>
      <c r="AJ73" s="5"/>
      <c r="AK73" s="5"/>
      <c r="AL73" s="5"/>
      <c r="AM73" s="5"/>
      <c r="AN73" s="5"/>
      <c r="AO73" s="5"/>
      <c r="BF73" s="217"/>
      <c r="DD73" s="5"/>
      <c r="DE73" s="5"/>
      <c r="DF73" s="5"/>
      <c r="DG73" s="5"/>
      <c r="DH73" s="5"/>
    </row>
    <row r="74" spans="2:112" ht="15.6" hidden="1" customHeight="1" x14ac:dyDescent="0.2">
      <c r="B74" s="335" t="s">
        <v>3932</v>
      </c>
      <c r="C74" s="251"/>
      <c r="D74" s="664"/>
      <c r="E74" s="450">
        <v>3752</v>
      </c>
      <c r="F74" s="317">
        <v>3.9</v>
      </c>
      <c r="G74" s="450">
        <v>-7</v>
      </c>
      <c r="H74" s="450">
        <v>2917</v>
      </c>
      <c r="L74" s="902">
        <v>1</v>
      </c>
      <c r="M74" s="993"/>
      <c r="N74" s="23"/>
      <c r="O74" s="23"/>
      <c r="P74" s="22"/>
      <c r="Q74" s="5"/>
      <c r="R74" s="5"/>
      <c r="S74" s="5"/>
      <c r="T74" s="5"/>
      <c r="U74" s="5"/>
      <c r="V74" s="5"/>
      <c r="W74" s="5"/>
      <c r="X74" s="5"/>
      <c r="Y74" s="5"/>
      <c r="Z74" s="5"/>
      <c r="AA74" s="5"/>
      <c r="AB74" s="5"/>
      <c r="AC74" s="5"/>
      <c r="AD74" s="5"/>
      <c r="AE74" s="5"/>
      <c r="AF74" s="5"/>
      <c r="AG74" s="5"/>
      <c r="AH74" s="5"/>
      <c r="AI74" s="5"/>
      <c r="AJ74" s="5"/>
      <c r="AK74" s="5"/>
      <c r="AL74" s="5"/>
      <c r="AM74" s="5"/>
      <c r="AN74" s="5"/>
      <c r="AO74" s="5"/>
      <c r="BF74" s="217"/>
      <c r="DD74" s="5"/>
      <c r="DE74" s="5"/>
      <c r="DF74" s="5"/>
    </row>
    <row r="75" spans="2:112" ht="15.6" hidden="1" customHeight="1" x14ac:dyDescent="0.2">
      <c r="B75" s="335" t="s">
        <v>3933</v>
      </c>
      <c r="C75" s="251"/>
      <c r="D75" s="664"/>
      <c r="E75" s="450">
        <v>4324</v>
      </c>
      <c r="F75" s="317">
        <v>3.9</v>
      </c>
      <c r="G75" s="450">
        <v>-13</v>
      </c>
      <c r="H75" s="450">
        <v>5205</v>
      </c>
      <c r="L75" s="902">
        <v>2</v>
      </c>
      <c r="M75" s="991" t="str">
        <f>'WP1'!T134</f>
        <v>Pompe à chaleur air/eau une vitesse</v>
      </c>
      <c r="N75" s="5"/>
      <c r="O75" s="5"/>
      <c r="P75" s="21"/>
      <c r="Q75" s="5"/>
      <c r="R75" s="5"/>
      <c r="S75" s="5"/>
      <c r="T75" s="5"/>
      <c r="U75" s="5"/>
      <c r="V75" s="5"/>
      <c r="W75" s="5"/>
      <c r="X75" s="5"/>
      <c r="Y75" s="5"/>
      <c r="Z75" s="5"/>
      <c r="AA75" s="5"/>
      <c r="AB75" s="5"/>
      <c r="AC75" s="5"/>
      <c r="AD75" s="5"/>
      <c r="AE75" s="5"/>
      <c r="AF75" s="5"/>
      <c r="AG75" s="5"/>
      <c r="AH75" s="5"/>
      <c r="AI75" s="5"/>
      <c r="AJ75" s="5"/>
      <c r="AK75" s="5"/>
      <c r="AL75" s="5"/>
      <c r="AM75" s="5"/>
      <c r="AN75" s="5"/>
      <c r="AO75" s="5"/>
      <c r="BF75" s="217"/>
      <c r="DD75" s="5"/>
      <c r="DE75" s="5"/>
      <c r="DF75" s="5"/>
    </row>
    <row r="76" spans="2:112" ht="14.45" hidden="1" customHeight="1" x14ac:dyDescent="0.2">
      <c r="B76" s="335" t="s">
        <v>3938</v>
      </c>
      <c r="C76" s="251"/>
      <c r="D76" s="664"/>
      <c r="E76" s="450">
        <v>4793</v>
      </c>
      <c r="F76" s="317">
        <v>0.9</v>
      </c>
      <c r="G76" s="450">
        <v>-10</v>
      </c>
      <c r="H76" s="450">
        <v>3774</v>
      </c>
      <c r="L76" s="902">
        <v>2</v>
      </c>
      <c r="M76" s="991" t="str">
        <f>'WP1'!T135</f>
        <v>Pompe à chaleur air/eau 2 vitesses</v>
      </c>
      <c r="N76" s="5"/>
      <c r="O76" s="5"/>
      <c r="P76" s="21"/>
      <c r="Q76" s="5"/>
      <c r="R76" s="5"/>
      <c r="S76" s="5"/>
      <c r="T76" s="5"/>
      <c r="U76" s="5"/>
      <c r="V76" s="5"/>
      <c r="W76" s="5"/>
      <c r="X76" s="5"/>
      <c r="Y76" s="5"/>
      <c r="Z76" s="5"/>
      <c r="AA76" s="5"/>
      <c r="AB76" s="5"/>
      <c r="AC76" s="5"/>
      <c r="AD76" s="5"/>
      <c r="AE76" s="5"/>
      <c r="AF76" s="5"/>
      <c r="AG76" s="5"/>
      <c r="AH76" s="5"/>
      <c r="AI76" s="5"/>
      <c r="AJ76" s="5"/>
      <c r="AK76" s="5"/>
      <c r="AL76" s="5"/>
      <c r="AM76" s="5"/>
      <c r="AN76" s="5"/>
      <c r="AO76" s="5"/>
      <c r="BF76" s="217"/>
      <c r="DD76" s="5"/>
      <c r="DE76" s="5"/>
      <c r="DF76" s="5"/>
    </row>
    <row r="77" spans="2:112" ht="15.6" hidden="1" customHeight="1" x14ac:dyDescent="0.2">
      <c r="B77" s="335" t="s">
        <v>3945</v>
      </c>
      <c r="C77" s="251"/>
      <c r="D77" s="664"/>
      <c r="E77" s="450">
        <v>4496</v>
      </c>
      <c r="F77" s="317">
        <v>2.2000000000000002</v>
      </c>
      <c r="G77" s="450">
        <v>-11</v>
      </c>
      <c r="H77" s="450">
        <v>3852</v>
      </c>
      <c r="L77" s="902">
        <v>2</v>
      </c>
      <c r="M77" s="991" t="str">
        <f>'WP1'!T136</f>
        <v>Pompe à chaleur air/eau Plusieurs vitesses</v>
      </c>
      <c r="N77" s="5"/>
      <c r="O77" s="5"/>
      <c r="P77" s="21"/>
      <c r="Q77" s="5"/>
      <c r="R77" s="5"/>
      <c r="S77" s="5"/>
      <c r="T77" s="5"/>
      <c r="U77" s="5"/>
      <c r="V77" s="5"/>
      <c r="W77" s="5"/>
      <c r="X77" s="5"/>
      <c r="Y77" s="5"/>
      <c r="Z77" s="5"/>
      <c r="AA77" s="5"/>
      <c r="AB77" s="5"/>
      <c r="AC77" s="5"/>
      <c r="AD77" s="5"/>
      <c r="AE77" s="5"/>
      <c r="AF77" s="5"/>
      <c r="AG77" s="5"/>
      <c r="AH77" s="5"/>
      <c r="AI77" s="5"/>
      <c r="AJ77" s="5"/>
      <c r="AK77" s="5"/>
      <c r="AL77" s="5"/>
      <c r="AM77" s="5"/>
      <c r="AN77" s="5"/>
      <c r="AO77" s="5"/>
      <c r="BF77" s="217"/>
      <c r="DD77" s="5"/>
      <c r="DE77" s="5"/>
      <c r="DF77" s="5"/>
    </row>
    <row r="78" spans="2:112" ht="15.6" hidden="1" customHeight="1" x14ac:dyDescent="0.2">
      <c r="B78" s="335" t="s">
        <v>910</v>
      </c>
      <c r="C78" s="251"/>
      <c r="D78" s="664"/>
      <c r="E78" s="450">
        <v>3998</v>
      </c>
      <c r="F78" s="317">
        <v>1.8</v>
      </c>
      <c r="G78" s="450">
        <v>-4</v>
      </c>
      <c r="H78" s="450">
        <v>2739</v>
      </c>
      <c r="L78" s="902">
        <v>2</v>
      </c>
      <c r="M78" s="991" t="str">
        <f>'WP1'!T137</f>
        <v>Pompe à chaleur air/eau vitesse variable</v>
      </c>
      <c r="N78" s="5"/>
      <c r="O78" s="5"/>
      <c r="P78" s="21"/>
      <c r="Q78" s="5"/>
      <c r="R78" s="5"/>
      <c r="S78" s="5"/>
      <c r="T78" s="5"/>
      <c r="U78" s="5"/>
      <c r="V78" s="5"/>
      <c r="W78" s="5"/>
      <c r="X78" s="5"/>
      <c r="Y78" s="5"/>
      <c r="Z78" s="5"/>
      <c r="AA78" s="5"/>
      <c r="AB78" s="5"/>
      <c r="AC78" s="5"/>
      <c r="AD78" s="5"/>
      <c r="AE78" s="5"/>
      <c r="AF78" s="5"/>
      <c r="AG78" s="5"/>
      <c r="AH78" s="5"/>
      <c r="AI78" s="5"/>
      <c r="AJ78" s="5"/>
      <c r="AK78" s="5"/>
      <c r="AL78" s="5"/>
      <c r="AM78" s="5"/>
      <c r="AN78" s="5"/>
      <c r="AO78" s="5"/>
      <c r="BF78" s="217"/>
      <c r="DD78" s="5"/>
      <c r="DE78" s="5"/>
      <c r="DF78" s="5"/>
    </row>
    <row r="79" spans="2:112" ht="15.6" hidden="1" customHeight="1" x14ac:dyDescent="0.2">
      <c r="B79" s="335" t="s">
        <v>3952</v>
      </c>
      <c r="C79" s="251"/>
      <c r="D79" s="664"/>
      <c r="E79" s="450">
        <v>4453</v>
      </c>
      <c r="F79" s="317">
        <v>4.9000000000000004</v>
      </c>
      <c r="G79" s="450">
        <v>-8</v>
      </c>
      <c r="H79" s="450">
        <v>3410</v>
      </c>
      <c r="L79" s="902">
        <v>3</v>
      </c>
      <c r="M79" s="991" t="str">
        <f>'WP1'!T138</f>
        <v>Pompe à chaleur sol/eau une vitesse</v>
      </c>
      <c r="N79" s="5"/>
      <c r="O79" s="5"/>
      <c r="P79" s="21"/>
      <c r="Q79" s="5"/>
      <c r="R79" s="5"/>
      <c r="S79" s="5"/>
      <c r="T79" s="5"/>
      <c r="U79" s="5"/>
      <c r="V79" s="5"/>
      <c r="W79" s="5"/>
      <c r="X79" s="5"/>
      <c r="Y79" s="5"/>
      <c r="Z79" s="5"/>
      <c r="AA79" s="5"/>
      <c r="AB79" s="5"/>
      <c r="AC79" s="5"/>
      <c r="AD79" s="5"/>
      <c r="AE79" s="5"/>
      <c r="AF79" s="5"/>
      <c r="AG79" s="5"/>
      <c r="AH79" s="5"/>
      <c r="AI79" s="5"/>
      <c r="AJ79" s="5"/>
      <c r="AK79" s="5"/>
      <c r="AL79" s="5"/>
      <c r="AM79" s="5"/>
      <c r="AN79" s="5"/>
      <c r="AO79" s="5"/>
      <c r="BF79" s="217"/>
      <c r="DD79" s="5"/>
      <c r="DE79" s="5"/>
      <c r="DF79" s="5"/>
    </row>
    <row r="80" spans="2:112" ht="15.6" hidden="1" customHeight="1" x14ac:dyDescent="0.2">
      <c r="B80" s="335" t="s">
        <v>913</v>
      </c>
      <c r="C80" s="251"/>
      <c r="D80" s="664"/>
      <c r="E80" s="450">
        <v>3809</v>
      </c>
      <c r="F80" s="317">
        <v>3.9</v>
      </c>
      <c r="G80" s="450">
        <v>-15</v>
      </c>
      <c r="H80" s="450">
        <v>7473</v>
      </c>
      <c r="L80" s="902">
        <v>3</v>
      </c>
      <c r="M80" s="991" t="str">
        <f>'WP1'!T139</f>
        <v>Pompe à chaleur sol/eau 2 vitesses</v>
      </c>
      <c r="N80" s="5"/>
      <c r="O80" s="5"/>
      <c r="P80" s="21"/>
      <c r="Q80" s="5"/>
      <c r="R80" s="5"/>
      <c r="S80" s="5"/>
      <c r="T80" s="5"/>
      <c r="U80" s="5"/>
      <c r="V80" s="5"/>
      <c r="W80" s="5"/>
      <c r="X80" s="5"/>
      <c r="Y80" s="5"/>
      <c r="Z80" s="5"/>
      <c r="AA80" s="5"/>
      <c r="AB80" s="5"/>
      <c r="AC80" s="5"/>
      <c r="AD80" s="5"/>
      <c r="AE80" s="5"/>
      <c r="AF80" s="5"/>
      <c r="AG80" s="5"/>
      <c r="AH80" s="5"/>
      <c r="AI80" s="5"/>
      <c r="AJ80" s="5"/>
      <c r="AK80" s="5"/>
      <c r="AL80" s="5"/>
      <c r="AM80" s="5"/>
      <c r="AN80" s="5"/>
      <c r="AO80" s="5"/>
      <c r="BF80" s="217"/>
      <c r="DD80" s="5"/>
      <c r="DE80" s="5"/>
      <c r="DF80" s="5"/>
    </row>
    <row r="81" spans="2:110" ht="15.6" hidden="1" customHeight="1" x14ac:dyDescent="0.2">
      <c r="B81" s="335" t="s">
        <v>2353</v>
      </c>
      <c r="C81" s="251"/>
      <c r="D81" s="664"/>
      <c r="E81" s="450">
        <v>4868</v>
      </c>
      <c r="F81" s="317">
        <v>-0.5</v>
      </c>
      <c r="G81" s="450">
        <v>-7</v>
      </c>
      <c r="H81" s="450">
        <v>3316</v>
      </c>
      <c r="L81" s="902">
        <v>3</v>
      </c>
      <c r="M81" s="991" t="str">
        <f>'WP1'!T140</f>
        <v>Pompe à chaleur sol/eau Plusieurs vitesses</v>
      </c>
      <c r="N81" s="5"/>
      <c r="O81" s="5"/>
      <c r="P81" s="21"/>
      <c r="Q81" s="5"/>
      <c r="R81" s="302"/>
      <c r="S81" s="5"/>
      <c r="T81" s="5"/>
      <c r="U81" s="5"/>
      <c r="V81" s="5"/>
      <c r="W81" s="5"/>
      <c r="X81" s="5"/>
      <c r="Y81" s="5"/>
      <c r="Z81" s="5"/>
      <c r="AA81" s="5"/>
      <c r="AB81" s="5"/>
      <c r="AC81" s="5"/>
      <c r="AD81" s="5"/>
      <c r="AE81" s="5"/>
      <c r="AF81" s="5"/>
      <c r="AG81" s="5"/>
      <c r="AH81" s="5"/>
      <c r="AI81" s="5"/>
      <c r="AJ81" s="5"/>
      <c r="AK81" s="5"/>
      <c r="AL81" s="5"/>
      <c r="AM81" s="5"/>
      <c r="AN81" s="5"/>
      <c r="AO81" s="5"/>
      <c r="BF81" s="217"/>
      <c r="DD81" s="5"/>
      <c r="DE81" s="5"/>
      <c r="DF81" s="5"/>
    </row>
    <row r="82" spans="2:110" ht="15.6" hidden="1" customHeight="1" x14ac:dyDescent="0.2">
      <c r="B82" s="335" t="s">
        <v>2354</v>
      </c>
      <c r="C82" s="251"/>
      <c r="D82" s="664"/>
      <c r="E82" s="450">
        <v>3981</v>
      </c>
      <c r="F82" s="317">
        <v>4.4000000000000004</v>
      </c>
      <c r="G82" s="450">
        <v>-10</v>
      </c>
      <c r="H82" s="450">
        <v>3786</v>
      </c>
      <c r="L82" s="902">
        <v>3</v>
      </c>
      <c r="M82" s="991" t="str">
        <f>'WP1'!T141</f>
        <v>Pompe à chaleur sol/eau vitesse variable</v>
      </c>
      <c r="N82" s="5"/>
      <c r="O82" s="5"/>
      <c r="P82" s="21"/>
      <c r="Q82" s="5"/>
      <c r="R82" s="302"/>
      <c r="S82" s="5"/>
      <c r="T82" s="5"/>
      <c r="U82" s="5"/>
      <c r="V82" s="5"/>
      <c r="W82" s="5"/>
      <c r="X82" s="5"/>
      <c r="Y82" s="5"/>
      <c r="Z82" s="5"/>
      <c r="AA82" s="5"/>
      <c r="AB82" s="5"/>
      <c r="AC82" s="5"/>
      <c r="AD82" s="5"/>
      <c r="AE82" s="5"/>
      <c r="AF82" s="5"/>
      <c r="AG82" s="5"/>
      <c r="AH82" s="5"/>
      <c r="AI82" s="5"/>
      <c r="AJ82" s="5"/>
      <c r="AK82" s="5"/>
      <c r="AL82" s="5"/>
      <c r="AM82" s="5"/>
      <c r="AN82" s="5"/>
      <c r="AO82" s="5"/>
      <c r="BF82" s="217"/>
      <c r="DD82" s="5"/>
      <c r="DE82" s="5"/>
      <c r="DF82" s="5"/>
    </row>
    <row r="83" spans="2:110" ht="15.75" hidden="1" customHeight="1" x14ac:dyDescent="0.2">
      <c r="B83" s="335" t="s">
        <v>2123</v>
      </c>
      <c r="C83" s="251"/>
      <c r="D83" s="664"/>
      <c r="E83" s="450">
        <v>4101</v>
      </c>
      <c r="F83" s="317">
        <v>3.8</v>
      </c>
      <c r="G83" s="450">
        <v>-1</v>
      </c>
      <c r="H83" s="450">
        <v>2147</v>
      </c>
      <c r="L83" s="902">
        <v>4</v>
      </c>
      <c r="M83" s="991" t="str">
        <f>'WP1'!T142</f>
        <v>Pompe à chaleur eau/eau une vitesse</v>
      </c>
      <c r="N83" s="5"/>
      <c r="O83" s="5"/>
      <c r="P83" s="21"/>
      <c r="Q83" s="5"/>
      <c r="R83" s="302"/>
      <c r="S83" s="5"/>
      <c r="T83" s="5"/>
      <c r="U83" s="5"/>
      <c r="V83" s="5"/>
      <c r="W83" s="5"/>
      <c r="X83" s="5"/>
      <c r="Y83" s="5"/>
      <c r="Z83" s="5"/>
      <c r="AA83" s="5"/>
      <c r="AB83" s="5"/>
      <c r="AC83" s="5"/>
      <c r="AD83" s="5"/>
      <c r="AE83" s="5"/>
      <c r="AF83" s="5"/>
      <c r="AG83" s="5"/>
      <c r="AH83" s="5"/>
      <c r="AI83" s="5"/>
      <c r="AJ83" s="5"/>
      <c r="AK83" s="5"/>
      <c r="AL83" s="5"/>
      <c r="AM83" s="5"/>
      <c r="AN83" s="5"/>
      <c r="AO83" s="5"/>
      <c r="BF83" s="217"/>
      <c r="DD83" s="5"/>
      <c r="DE83" s="5"/>
      <c r="DF83" s="5"/>
    </row>
    <row r="84" spans="2:110" ht="15.75" hidden="1" customHeight="1" x14ac:dyDescent="0.2">
      <c r="B84" s="335" t="s">
        <v>2125</v>
      </c>
      <c r="C84" s="251"/>
      <c r="D84" s="664"/>
      <c r="E84" s="450">
        <v>4163</v>
      </c>
      <c r="F84" s="317">
        <v>2.1</v>
      </c>
      <c r="G84" s="450">
        <v>-1</v>
      </c>
      <c r="H84" s="450">
        <v>2144</v>
      </c>
      <c r="L84" s="902">
        <v>4</v>
      </c>
      <c r="M84" s="991" t="str">
        <f>'WP1'!T143</f>
        <v>Pompe à chaleur eau/eau 2 vitesses</v>
      </c>
      <c r="N84" s="5"/>
      <c r="O84" s="5"/>
      <c r="P84" s="21"/>
      <c r="Q84" s="5"/>
      <c r="R84" s="302"/>
      <c r="S84" s="5"/>
      <c r="T84" s="5"/>
      <c r="U84" s="5"/>
      <c r="V84" s="5"/>
      <c r="W84" s="5"/>
      <c r="X84" s="5"/>
      <c r="Y84" s="5"/>
      <c r="Z84" s="5"/>
      <c r="AA84" s="5"/>
      <c r="AB84" s="5"/>
      <c r="AC84" s="5"/>
      <c r="AD84" s="5"/>
      <c r="AE84" s="5"/>
      <c r="AF84" s="5"/>
      <c r="AG84" s="5"/>
      <c r="AH84" s="5"/>
      <c r="AI84" s="5"/>
      <c r="AJ84" s="5"/>
      <c r="AK84" s="5"/>
      <c r="AL84" s="5"/>
      <c r="AM84" s="5"/>
      <c r="AN84" s="5"/>
      <c r="AO84" s="5"/>
      <c r="BF84" s="217"/>
      <c r="DD84" s="5"/>
      <c r="DE84" s="5"/>
      <c r="DF84" s="5"/>
    </row>
    <row r="85" spans="2:110" ht="15.75" hidden="1" customHeight="1" x14ac:dyDescent="0.2">
      <c r="B85" s="335" t="s">
        <v>2127</v>
      </c>
      <c r="C85" s="251"/>
      <c r="D85" s="664"/>
      <c r="E85" s="450">
        <v>4158</v>
      </c>
      <c r="F85" s="317">
        <v>2.7</v>
      </c>
      <c r="G85" s="450">
        <v>-6</v>
      </c>
      <c r="H85" s="450">
        <v>2917</v>
      </c>
      <c r="L85" s="902">
        <v>4</v>
      </c>
      <c r="M85" s="991" t="str">
        <f>'WP1'!T144</f>
        <v>Pompe à chaleur eau/eau Plusieurs vitesses</v>
      </c>
      <c r="N85" s="5"/>
      <c r="O85" s="5"/>
      <c r="P85" s="21"/>
      <c r="Q85" s="5"/>
      <c r="R85" s="302"/>
      <c r="S85" s="5"/>
      <c r="T85" s="5"/>
      <c r="U85" s="5"/>
      <c r="V85" s="5"/>
      <c r="W85" s="5"/>
      <c r="X85" s="5"/>
      <c r="Y85" s="5"/>
      <c r="Z85" s="5"/>
      <c r="AA85" s="5"/>
      <c r="AB85" s="5"/>
      <c r="AC85" s="5"/>
      <c r="AD85" s="5"/>
      <c r="AE85" s="5"/>
      <c r="AF85" s="5"/>
      <c r="AG85" s="5"/>
      <c r="AH85" s="5"/>
      <c r="AI85" s="5"/>
      <c r="AJ85" s="5"/>
      <c r="AK85" s="5"/>
      <c r="AL85" s="5"/>
      <c r="AM85" s="5"/>
      <c r="AN85" s="5"/>
      <c r="AO85" s="5"/>
      <c r="BF85" s="217"/>
      <c r="DD85" s="5"/>
      <c r="DE85" s="5"/>
      <c r="DF85" s="5"/>
    </row>
    <row r="86" spans="2:110" ht="15.75" hidden="1" customHeight="1" x14ac:dyDescent="0.2">
      <c r="B86" s="335" t="s">
        <v>2355</v>
      </c>
      <c r="C86" s="251"/>
      <c r="D86" s="664"/>
      <c r="E86" s="450">
        <v>4513</v>
      </c>
      <c r="F86" s="317">
        <v>5.8</v>
      </c>
      <c r="G86" s="450">
        <v>-3</v>
      </c>
      <c r="H86" s="450">
        <v>2377</v>
      </c>
      <c r="L86" s="902">
        <v>4</v>
      </c>
      <c r="M86" s="991" t="str">
        <f>'WP1'!T145</f>
        <v>Pompe à chaleur eau/eau vitesse variable</v>
      </c>
      <c r="N86" s="5"/>
      <c r="O86" s="5"/>
      <c r="P86" s="21"/>
      <c r="Q86" s="5"/>
      <c r="R86" s="302"/>
      <c r="S86" s="5"/>
      <c r="T86" s="5"/>
      <c r="U86" s="5"/>
      <c r="V86" s="5"/>
      <c r="W86" s="5"/>
      <c r="X86" s="5"/>
      <c r="Y86" s="5"/>
      <c r="Z86" s="5"/>
      <c r="AA86" s="5"/>
      <c r="AB86" s="5"/>
      <c r="AC86" s="5"/>
      <c r="AD86" s="5"/>
      <c r="AE86" s="5"/>
      <c r="AF86" s="5"/>
      <c r="AG86" s="5"/>
      <c r="AH86" s="5"/>
      <c r="AI86" s="5"/>
      <c r="AJ86" s="258"/>
      <c r="AK86" s="258"/>
      <c r="AL86" s="258"/>
      <c r="AM86" s="5"/>
      <c r="AN86" s="5"/>
      <c r="AO86" s="5"/>
      <c r="BF86" s="217"/>
      <c r="BH86" s="19"/>
      <c r="DD86" s="5"/>
      <c r="DE86" s="5"/>
      <c r="DF86" s="5"/>
    </row>
    <row r="87" spans="2:110" ht="15.75" hidden="1" customHeight="1" x14ac:dyDescent="0.2">
      <c r="B87" s="335" t="s">
        <v>2129</v>
      </c>
      <c r="C87" s="251"/>
      <c r="D87" s="664"/>
      <c r="E87" s="450">
        <v>4429</v>
      </c>
      <c r="F87" s="317">
        <v>5.8</v>
      </c>
      <c r="G87" s="450">
        <v>-10</v>
      </c>
      <c r="H87" s="450">
        <v>4274</v>
      </c>
      <c r="L87" s="902">
        <v>5</v>
      </c>
      <c r="M87" s="991" t="str">
        <f>'WP1'!T146</f>
        <v>PAC avec collecteur terrestre une vitesse</v>
      </c>
      <c r="N87" s="5"/>
      <c r="O87" s="5"/>
      <c r="P87" s="21"/>
      <c r="Q87" s="5"/>
      <c r="R87" s="302"/>
      <c r="S87" s="5"/>
      <c r="T87" s="5"/>
      <c r="U87" s="5"/>
      <c r="V87" s="5"/>
      <c r="W87" s="5"/>
      <c r="X87" s="5"/>
      <c r="Y87" s="5"/>
      <c r="Z87" s="5"/>
      <c r="AA87" s="5"/>
      <c r="AB87" s="5"/>
      <c r="AC87" s="5"/>
      <c r="AD87" s="5"/>
      <c r="AE87" s="5"/>
      <c r="AF87" s="5"/>
      <c r="AG87" s="5"/>
      <c r="AH87" s="5"/>
      <c r="AI87" s="5"/>
      <c r="AJ87" s="5"/>
      <c r="AK87" s="5"/>
      <c r="AL87" s="5"/>
      <c r="AM87" s="5"/>
      <c r="AN87" s="5"/>
      <c r="AO87" s="5"/>
      <c r="BF87" s="217"/>
      <c r="BH87" s="19"/>
      <c r="DD87" s="5"/>
      <c r="DE87" s="5"/>
      <c r="DF87" s="5"/>
    </row>
    <row r="88" spans="2:110" ht="15.75" hidden="1" customHeight="1" x14ac:dyDescent="0.2">
      <c r="B88" s="335" t="s">
        <v>2130</v>
      </c>
      <c r="C88" s="251"/>
      <c r="D88" s="664"/>
      <c r="E88" s="450">
        <v>3767</v>
      </c>
      <c r="F88" s="317">
        <v>3.9</v>
      </c>
      <c r="G88" s="450">
        <v>-5</v>
      </c>
      <c r="H88" s="450">
        <v>2799</v>
      </c>
      <c r="L88" s="902">
        <v>5</v>
      </c>
      <c r="M88" s="991" t="str">
        <f>'WP1'!T147</f>
        <v>PAC avec collecteur terrestre 2 vitesses</v>
      </c>
      <c r="N88" s="5"/>
      <c r="O88" s="5"/>
      <c r="P88" s="21"/>
      <c r="Q88" s="5"/>
      <c r="R88" s="302"/>
      <c r="S88" s="5"/>
      <c r="T88" s="5"/>
      <c r="U88" s="5"/>
      <c r="V88" s="5"/>
      <c r="W88" s="5"/>
      <c r="X88" s="5"/>
      <c r="Y88" s="5"/>
      <c r="Z88" s="5"/>
      <c r="AA88" s="5"/>
      <c r="AB88" s="5"/>
      <c r="AC88" s="5"/>
      <c r="AD88" s="5"/>
      <c r="AE88" s="5"/>
      <c r="AF88" s="5"/>
      <c r="AG88" s="5"/>
      <c r="AH88" s="5"/>
      <c r="AI88" s="5"/>
      <c r="AJ88" s="5"/>
      <c r="AK88" s="5"/>
      <c r="AL88" s="5"/>
      <c r="AM88" s="5"/>
      <c r="AN88" s="5"/>
      <c r="AO88" s="5"/>
      <c r="BF88" s="217"/>
      <c r="BH88" s="19"/>
      <c r="DD88" s="5"/>
      <c r="DE88" s="5"/>
      <c r="DF88" s="5"/>
    </row>
    <row r="89" spans="2:110" ht="15.75" hidden="1" customHeight="1" x14ac:dyDescent="0.2">
      <c r="B89" s="335" t="s">
        <v>2356</v>
      </c>
      <c r="C89" s="251"/>
      <c r="D89" s="664"/>
      <c r="E89" s="450">
        <v>4321</v>
      </c>
      <c r="F89" s="317">
        <v>4.3</v>
      </c>
      <c r="G89" s="450">
        <v>-7</v>
      </c>
      <c r="H89" s="450">
        <v>2968</v>
      </c>
      <c r="L89" s="902">
        <v>5</v>
      </c>
      <c r="M89" s="991" t="str">
        <f>'WP1'!T148</f>
        <v>PAC avec collecteur terrestre Plusieurs vitesses</v>
      </c>
      <c r="N89" s="5"/>
      <c r="O89" s="5"/>
      <c r="P89" s="21"/>
      <c r="Q89" s="5"/>
      <c r="R89" s="302"/>
      <c r="S89" s="5"/>
      <c r="T89" s="5"/>
      <c r="U89" s="5"/>
      <c r="V89" s="5"/>
      <c r="W89" s="5"/>
      <c r="X89" s="5"/>
      <c r="Y89" s="5"/>
      <c r="Z89" s="5"/>
      <c r="AA89" s="5"/>
      <c r="AB89" s="5"/>
      <c r="AC89" s="5"/>
      <c r="AD89" s="5"/>
      <c r="AE89" s="5"/>
      <c r="AF89" s="5"/>
      <c r="AG89" s="5"/>
      <c r="AH89" s="5"/>
      <c r="AI89" s="5"/>
      <c r="AJ89" s="5"/>
      <c r="AK89" s="5"/>
      <c r="AL89" s="5"/>
      <c r="AM89" s="5"/>
      <c r="AN89" s="5"/>
      <c r="AO89" s="5"/>
      <c r="BF89" s="217"/>
      <c r="DD89" s="5"/>
      <c r="DE89" s="5"/>
      <c r="DF89" s="5"/>
    </row>
    <row r="90" spans="2:110" ht="15.75" hidden="1" customHeight="1" x14ac:dyDescent="0.2">
      <c r="B90" s="335" t="s">
        <v>2132</v>
      </c>
      <c r="C90" s="251"/>
      <c r="D90" s="664"/>
      <c r="E90" s="450">
        <v>5040</v>
      </c>
      <c r="F90" s="317">
        <v>2.4</v>
      </c>
      <c r="G90" s="450">
        <v>-8</v>
      </c>
      <c r="H90" s="450">
        <v>3740</v>
      </c>
      <c r="L90" s="902">
        <v>5</v>
      </c>
      <c r="M90" s="991" t="str">
        <f>'WP1'!T149</f>
        <v>PAC avec collecteur terrestre vitesse variable</v>
      </c>
      <c r="N90" s="5"/>
      <c r="O90" s="5"/>
      <c r="P90" s="21"/>
      <c r="Q90" s="5"/>
      <c r="R90" s="302"/>
      <c r="S90" s="5"/>
      <c r="T90" s="5"/>
      <c r="U90" s="5"/>
      <c r="V90" s="5"/>
      <c r="W90" s="5"/>
      <c r="X90" s="5"/>
      <c r="Y90" s="5"/>
      <c r="Z90" s="5"/>
      <c r="AA90" s="5"/>
      <c r="AB90" s="5"/>
      <c r="AC90" s="5"/>
      <c r="AD90" s="5"/>
      <c r="AE90" s="5"/>
      <c r="AF90" s="5"/>
      <c r="AG90" s="5"/>
      <c r="AH90" s="5"/>
      <c r="AI90" s="5"/>
      <c r="AJ90" s="5"/>
      <c r="AK90" s="5"/>
      <c r="AL90" s="5"/>
      <c r="AM90" s="5"/>
      <c r="AN90" s="5"/>
      <c r="AO90" s="5"/>
      <c r="BF90" s="217"/>
      <c r="DD90" s="5"/>
      <c r="DE90" s="5"/>
      <c r="DF90" s="5"/>
    </row>
    <row r="91" spans="2:110" ht="15.75" hidden="1" customHeight="1" x14ac:dyDescent="0.2">
      <c r="B91" s="335" t="s">
        <v>2357</v>
      </c>
      <c r="C91" s="251"/>
      <c r="D91" s="664"/>
      <c r="E91" s="450">
        <v>4018</v>
      </c>
      <c r="F91" s="317">
        <v>4.5</v>
      </c>
      <c r="G91" s="450">
        <v>-18</v>
      </c>
      <c r="H91" s="450">
        <v>6121</v>
      </c>
      <c r="L91" s="902">
        <v>6</v>
      </c>
      <c r="M91" s="991" t="str">
        <f>'WP1'!T150</f>
        <v>PAC sur air extrait sur installation de ventilation sans récupération de chaleur</v>
      </c>
      <c r="N91" s="5"/>
      <c r="O91" s="5"/>
      <c r="P91" s="21"/>
      <c r="Q91" s="5"/>
      <c r="R91" s="302"/>
      <c r="S91" s="5"/>
      <c r="T91" s="5"/>
      <c r="U91" s="5"/>
      <c r="V91" s="5"/>
      <c r="W91" s="5"/>
      <c r="X91" s="5"/>
      <c r="Y91" s="5"/>
      <c r="Z91" s="5"/>
      <c r="AA91" s="5"/>
      <c r="AB91" s="5"/>
      <c r="AC91" s="5"/>
      <c r="AD91" s="5"/>
      <c r="AE91" s="5"/>
      <c r="AF91" s="5"/>
      <c r="AG91" s="5"/>
      <c r="AH91" s="5"/>
      <c r="AI91" s="5"/>
      <c r="AJ91" s="5"/>
      <c r="AK91" s="5"/>
      <c r="AL91" s="5"/>
      <c r="AM91" s="5"/>
      <c r="AN91" s="5"/>
      <c r="AO91" s="5"/>
      <c r="BF91" s="217"/>
      <c r="DD91" s="5"/>
      <c r="DE91" s="5"/>
      <c r="DF91" s="5"/>
    </row>
    <row r="92" spans="2:110" ht="15.75" hidden="1" customHeight="1" x14ac:dyDescent="0.2">
      <c r="B92" s="335" t="s">
        <v>2358</v>
      </c>
      <c r="C92" s="251"/>
      <c r="D92" s="664"/>
      <c r="E92" s="450">
        <v>4223</v>
      </c>
      <c r="F92" s="317">
        <v>3.6</v>
      </c>
      <c r="G92" s="450">
        <v>-11</v>
      </c>
      <c r="H92" s="450">
        <v>5132</v>
      </c>
      <c r="L92" s="902">
        <v>6</v>
      </c>
      <c r="M92" s="991" t="str">
        <f>'WP1'!T151</f>
        <v/>
      </c>
      <c r="N92" s="5"/>
      <c r="O92" s="5"/>
      <c r="P92" s="21"/>
      <c r="Q92" s="5"/>
      <c r="R92" s="302"/>
      <c r="S92" s="5"/>
      <c r="T92" s="5"/>
      <c r="U92" s="5"/>
      <c r="V92" s="5"/>
      <c r="W92" s="5"/>
      <c r="X92" s="5"/>
      <c r="Y92" s="5"/>
      <c r="Z92" s="5"/>
      <c r="AA92" s="5"/>
      <c r="AB92" s="5"/>
      <c r="AC92" s="5"/>
      <c r="AD92" s="5"/>
      <c r="AE92" s="5"/>
      <c r="AF92" s="5"/>
      <c r="AG92" s="5"/>
      <c r="AH92" s="5"/>
      <c r="AI92" s="5"/>
      <c r="AJ92" s="5"/>
      <c r="AK92" s="5"/>
      <c r="AL92" s="5"/>
      <c r="AM92" s="5"/>
      <c r="AN92" s="5"/>
      <c r="AO92" s="5"/>
      <c r="BF92" s="217"/>
      <c r="BG92" s="106"/>
      <c r="DD92" s="5"/>
      <c r="DE92" s="5"/>
      <c r="DF92" s="5"/>
    </row>
    <row r="93" spans="2:110" ht="15.75" hidden="1" customHeight="1" x14ac:dyDescent="0.2">
      <c r="B93" s="335" t="s">
        <v>3891</v>
      </c>
      <c r="C93" s="251"/>
      <c r="D93" s="664"/>
      <c r="E93" s="450">
        <v>4017</v>
      </c>
      <c r="F93" s="317">
        <v>2.9</v>
      </c>
      <c r="G93" s="450">
        <v>-9</v>
      </c>
      <c r="H93" s="450">
        <v>3483</v>
      </c>
      <c r="L93" s="902">
        <v>6</v>
      </c>
      <c r="M93" s="991" t="str">
        <f>'WP1'!T152</f>
        <v/>
      </c>
      <c r="N93" s="5"/>
      <c r="O93" s="5"/>
      <c r="P93" s="21"/>
      <c r="Q93" s="5"/>
      <c r="R93" s="302"/>
      <c r="S93" s="5"/>
      <c r="T93" s="5"/>
      <c r="U93" s="5"/>
      <c r="V93" s="5"/>
      <c r="W93" s="5"/>
      <c r="X93" s="5"/>
      <c r="Y93" s="5"/>
      <c r="Z93" s="5"/>
      <c r="AA93" s="5"/>
      <c r="AB93" s="5"/>
      <c r="AC93" s="5"/>
      <c r="AD93" s="5"/>
      <c r="AE93" s="5"/>
      <c r="AF93" s="5"/>
      <c r="AG93" s="5"/>
      <c r="AH93" s="5"/>
      <c r="AI93" s="5"/>
      <c r="AJ93" s="5"/>
      <c r="AK93" s="5"/>
      <c r="AL93" s="5"/>
      <c r="AM93" s="5"/>
      <c r="AN93" s="5"/>
      <c r="AO93" s="5"/>
      <c r="BF93" s="217"/>
      <c r="BG93" s="106"/>
      <c r="DD93" s="5"/>
      <c r="DE93" s="5"/>
      <c r="DF93" s="5"/>
    </row>
    <row r="94" spans="2:110" ht="15.75" hidden="1" customHeight="1" x14ac:dyDescent="0.2">
      <c r="B94" s="335" t="s">
        <v>2133</v>
      </c>
      <c r="C94" s="251"/>
      <c r="D94" s="664"/>
      <c r="E94" s="450">
        <v>4468</v>
      </c>
      <c r="F94" s="317">
        <v>5.3</v>
      </c>
      <c r="G94" s="450">
        <v>-8</v>
      </c>
      <c r="H94" s="450">
        <v>3310</v>
      </c>
      <c r="L94" s="909">
        <v>6</v>
      </c>
      <c r="M94" s="992" t="str">
        <f>'WP1'!T153</f>
        <v/>
      </c>
      <c r="N94" s="27"/>
      <c r="O94" s="27"/>
      <c r="P94" s="44"/>
      <c r="Q94" s="5"/>
      <c r="R94" s="302"/>
      <c r="S94" s="5"/>
      <c r="T94" s="5"/>
      <c r="U94" s="5"/>
      <c r="V94" s="5"/>
      <c r="W94" s="5"/>
      <c r="X94" s="5"/>
      <c r="Y94" s="5"/>
      <c r="Z94" s="5"/>
      <c r="AA94" s="5"/>
      <c r="AB94" s="5"/>
      <c r="AC94" s="5"/>
      <c r="AD94" s="5"/>
      <c r="AE94" s="5"/>
      <c r="AF94" s="5"/>
      <c r="AG94" s="5"/>
      <c r="AH94" s="5"/>
      <c r="AI94" s="5"/>
      <c r="AJ94" s="5"/>
      <c r="AK94" s="5"/>
      <c r="AL94" s="5"/>
      <c r="AM94" s="5"/>
      <c r="AN94" s="5"/>
      <c r="AO94" s="5"/>
      <c r="BF94" s="217"/>
      <c r="DD94" s="5"/>
      <c r="DE94" s="5"/>
      <c r="DF94" s="5"/>
    </row>
    <row r="95" spans="2:110" ht="15.75" hidden="1" customHeight="1" x14ac:dyDescent="0.2">
      <c r="B95" s="335" t="s">
        <v>197</v>
      </c>
      <c r="C95" s="251"/>
      <c r="D95" s="664"/>
      <c r="E95" s="450">
        <v>4317</v>
      </c>
      <c r="F95" s="317">
        <v>2.4</v>
      </c>
      <c r="G95" s="450">
        <v>-12</v>
      </c>
      <c r="H95" s="450">
        <v>4158</v>
      </c>
      <c r="L95" s="5"/>
      <c r="M95" s="5"/>
      <c r="N95" s="5"/>
      <c r="O95" s="5"/>
      <c r="P95" s="5"/>
      <c r="Q95" s="5"/>
      <c r="R95" s="302"/>
      <c r="S95" s="5"/>
      <c r="T95" s="5"/>
      <c r="U95" s="5"/>
      <c r="V95" s="5"/>
      <c r="W95" s="5"/>
      <c r="X95" s="5"/>
      <c r="Y95" s="5"/>
      <c r="Z95" s="5"/>
      <c r="AA95" s="5"/>
      <c r="AB95" s="5"/>
      <c r="AC95" s="5"/>
      <c r="AD95" s="5"/>
      <c r="AE95" s="5"/>
      <c r="AF95" s="5"/>
      <c r="AG95" s="5"/>
      <c r="AH95" s="5"/>
      <c r="AI95" s="5"/>
      <c r="AJ95" s="5"/>
      <c r="AK95" s="5"/>
      <c r="AL95" s="5"/>
      <c r="AM95" s="5"/>
      <c r="AN95" s="5"/>
      <c r="AO95" s="5"/>
      <c r="BF95" s="217"/>
      <c r="BG95" s="106"/>
      <c r="DD95" s="5"/>
      <c r="DE95" s="5"/>
      <c r="DF95" s="5"/>
    </row>
    <row r="96" spans="2:110" ht="15.75" hidden="1" customHeight="1" x14ac:dyDescent="0.2">
      <c r="B96" s="335" t="s">
        <v>2134</v>
      </c>
      <c r="C96" s="251"/>
      <c r="D96" s="664"/>
      <c r="E96" s="450">
        <v>4038</v>
      </c>
      <c r="F96" s="317">
        <v>3.5</v>
      </c>
      <c r="G96" s="450">
        <v>-6</v>
      </c>
      <c r="H96" s="450">
        <v>2606</v>
      </c>
      <c r="L96" s="5"/>
      <c r="M96" s="5"/>
      <c r="N96" s="5"/>
      <c r="O96" s="5"/>
      <c r="P96" s="5"/>
      <c r="Q96" s="5"/>
      <c r="R96" s="302"/>
      <c r="S96" s="5"/>
      <c r="T96" s="5"/>
      <c r="U96" s="5"/>
      <c r="V96" s="5"/>
      <c r="W96" s="5"/>
      <c r="X96" s="5"/>
      <c r="Y96" s="5"/>
      <c r="Z96" s="5"/>
      <c r="AA96" s="5"/>
      <c r="AB96" s="5"/>
      <c r="AC96" s="5"/>
      <c r="AD96" s="5"/>
      <c r="AE96" s="5"/>
      <c r="AF96" s="5"/>
      <c r="AG96" s="5"/>
      <c r="AH96" s="5"/>
      <c r="AI96" s="5"/>
      <c r="AJ96" s="5"/>
      <c r="AK96" s="5"/>
      <c r="AL96" s="5"/>
      <c r="AM96" s="5"/>
      <c r="AN96" s="5"/>
      <c r="AO96" s="5"/>
      <c r="BF96" s="217"/>
      <c r="DD96" s="5"/>
      <c r="DE96" s="5"/>
    </row>
    <row r="97" spans="2:109" ht="15.75" hidden="1" customHeight="1" x14ac:dyDescent="0.2">
      <c r="B97" s="335" t="s">
        <v>2359</v>
      </c>
      <c r="C97" s="251"/>
      <c r="D97" s="664"/>
      <c r="E97" s="450">
        <v>4988</v>
      </c>
      <c r="F97" s="317">
        <v>-0.2</v>
      </c>
      <c r="G97" s="450">
        <v>-8</v>
      </c>
      <c r="H97" s="450">
        <v>2851</v>
      </c>
      <c r="L97" s="5"/>
      <c r="M97" s="5"/>
      <c r="N97" s="5"/>
      <c r="O97" s="5"/>
      <c r="P97" s="5"/>
      <c r="Q97" s="5"/>
      <c r="R97" s="302"/>
      <c r="S97" s="5"/>
      <c r="T97" s="5"/>
      <c r="U97" s="5"/>
      <c r="V97" s="5"/>
      <c r="W97" s="5"/>
      <c r="X97" s="5"/>
      <c r="Y97" s="5"/>
      <c r="Z97" s="5"/>
      <c r="AA97" s="5"/>
      <c r="AB97" s="5"/>
      <c r="AC97" s="5"/>
      <c r="AD97" s="5"/>
      <c r="AE97" s="5"/>
      <c r="AF97" s="5"/>
      <c r="AG97" s="5"/>
      <c r="AH97" s="5"/>
      <c r="AI97" s="5"/>
      <c r="AJ97" s="5"/>
      <c r="AK97" s="5"/>
      <c r="AL97" s="5"/>
      <c r="AM97" s="5"/>
      <c r="AN97" s="5"/>
      <c r="AO97" s="5"/>
      <c r="BF97" s="217"/>
      <c r="BG97" s="106"/>
      <c r="DD97" s="5"/>
      <c r="DE97" s="5"/>
    </row>
    <row r="98" spans="2:109" ht="15.75" hidden="1" customHeight="1" x14ac:dyDescent="0.2">
      <c r="B98" s="335" t="s">
        <v>2360</v>
      </c>
      <c r="C98" s="251"/>
      <c r="D98" s="664"/>
      <c r="E98" s="450">
        <v>4405</v>
      </c>
      <c r="F98" s="317">
        <v>1.2</v>
      </c>
      <c r="G98" s="450">
        <v>-7</v>
      </c>
      <c r="H98" s="450">
        <v>3371</v>
      </c>
      <c r="L98" s="5"/>
      <c r="M98" s="5"/>
      <c r="N98" s="5"/>
      <c r="O98" s="5"/>
      <c r="P98" s="5"/>
      <c r="Q98" s="5"/>
      <c r="R98" s="302"/>
      <c r="S98" s="5"/>
      <c r="T98" s="5"/>
      <c r="U98" s="5"/>
      <c r="V98" s="5"/>
      <c r="W98" s="5"/>
      <c r="X98" s="5"/>
      <c r="Y98" s="5"/>
      <c r="Z98" s="5"/>
      <c r="AA98" s="5"/>
      <c r="AB98" s="5"/>
      <c r="AC98" s="5"/>
      <c r="AD98" s="5"/>
      <c r="AE98" s="5"/>
      <c r="AF98" s="5"/>
      <c r="AG98" s="5"/>
      <c r="AH98" s="5"/>
      <c r="AI98" s="5"/>
      <c r="AJ98" s="5"/>
      <c r="AK98" s="5"/>
      <c r="AL98" s="5"/>
      <c r="AM98" s="5"/>
      <c r="AN98" s="5"/>
      <c r="AO98" s="5"/>
      <c r="BF98" s="217"/>
      <c r="DD98" s="5"/>
      <c r="DE98" s="5"/>
    </row>
    <row r="99" spans="2:109" ht="15.75" hidden="1" customHeight="1" x14ac:dyDescent="0.2">
      <c r="B99" s="335" t="s">
        <v>3892</v>
      </c>
      <c r="C99" s="251"/>
      <c r="D99" s="664"/>
      <c r="E99" s="450">
        <v>3894</v>
      </c>
      <c r="F99" s="317">
        <v>3.6</v>
      </c>
      <c r="G99" s="450">
        <v>-11</v>
      </c>
      <c r="H99" s="450">
        <v>5017</v>
      </c>
      <c r="L99" s="5"/>
      <c r="M99" s="5"/>
      <c r="N99" s="5"/>
      <c r="O99" s="5"/>
      <c r="P99" s="5"/>
      <c r="Q99" s="5"/>
      <c r="R99" s="302"/>
      <c r="S99" s="5"/>
      <c r="T99" s="5"/>
      <c r="U99" s="5"/>
      <c r="V99" s="5"/>
      <c r="W99" s="5"/>
      <c r="X99" s="5"/>
      <c r="Y99" s="5"/>
      <c r="Z99" s="5"/>
      <c r="AA99" s="5"/>
      <c r="AB99" s="5"/>
      <c r="AC99" s="5"/>
      <c r="AD99" s="5"/>
      <c r="AE99" s="5"/>
      <c r="AF99" s="5"/>
      <c r="AG99" s="5"/>
      <c r="AH99" s="5"/>
      <c r="AI99" s="5"/>
      <c r="AJ99" s="5"/>
      <c r="AK99" s="5"/>
      <c r="AL99" s="5"/>
      <c r="AM99" s="5"/>
      <c r="AN99" s="5"/>
      <c r="AO99" s="5"/>
      <c r="BF99" s="217"/>
      <c r="DD99" s="5"/>
      <c r="DE99" s="5"/>
    </row>
    <row r="100" spans="2:109" ht="15.75" hidden="1" customHeight="1" x14ac:dyDescent="0.2">
      <c r="B100" s="315" t="s">
        <v>3893</v>
      </c>
      <c r="C100" s="282"/>
      <c r="D100" s="283"/>
      <c r="E100" s="451">
        <v>4010</v>
      </c>
      <c r="F100" s="463">
        <v>4.4000000000000004</v>
      </c>
      <c r="G100" s="451">
        <v>-8</v>
      </c>
      <c r="H100" s="451">
        <v>2959</v>
      </c>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BF100" s="217"/>
      <c r="DD100" s="5"/>
      <c r="DE100" s="5"/>
    </row>
    <row r="101" spans="2:109" ht="15.75" customHeight="1" x14ac:dyDescent="0.2">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BF101" s="217"/>
      <c r="DD101" s="5"/>
      <c r="DE101" s="5"/>
    </row>
    <row r="102" spans="2:109" ht="15.75" customHeight="1" x14ac:dyDescent="0.2">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BF102" s="217"/>
      <c r="DD102" s="5"/>
      <c r="DE102" s="5"/>
    </row>
    <row r="103" spans="2:109" ht="15.75" customHeight="1" x14ac:dyDescent="0.2">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BF103" s="217"/>
      <c r="DD103" s="5"/>
      <c r="DE103" s="5"/>
    </row>
    <row r="104" spans="2:109" ht="15.75" customHeight="1" x14ac:dyDescent="0.2">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BF104" s="217"/>
      <c r="DD104" s="5"/>
      <c r="DE104" s="5"/>
    </row>
    <row r="105" spans="2:109" ht="15.75" customHeight="1" x14ac:dyDescent="0.2">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BF105" s="482"/>
      <c r="BG105" s="106"/>
      <c r="DD105" s="5"/>
      <c r="DE105" s="5"/>
    </row>
    <row r="106" spans="2:109" ht="15.75" customHeight="1" x14ac:dyDescent="0.2">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BF106" s="217"/>
      <c r="DD106" s="5"/>
      <c r="DE106" s="5"/>
    </row>
    <row r="107" spans="2:109" ht="15.75" customHeight="1" x14ac:dyDescent="0.2">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BF107" s="217"/>
      <c r="DD107" s="5"/>
      <c r="DE107" s="5"/>
    </row>
    <row r="108" spans="2:109" ht="15.75" customHeight="1" x14ac:dyDescent="0.2">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BF108" s="217"/>
      <c r="DD108" s="5"/>
      <c r="DE108" s="5"/>
    </row>
    <row r="109" spans="2:109" ht="15.75" customHeight="1" x14ac:dyDescent="0.2">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BF109" s="217"/>
      <c r="DD109" s="5"/>
      <c r="DE109" s="5"/>
    </row>
    <row r="110" spans="2:109" ht="15.75" customHeight="1" x14ac:dyDescent="0.2">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BF110" s="217"/>
      <c r="DD110" s="5"/>
      <c r="DE110" s="5"/>
    </row>
    <row r="111" spans="2:109" ht="15.75" customHeight="1" x14ac:dyDescent="0.2">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BF111" s="217"/>
      <c r="DD111" s="5"/>
      <c r="DE111" s="5"/>
    </row>
    <row r="112" spans="2:109" ht="15.75" customHeight="1" x14ac:dyDescent="0.2">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BF112" s="217"/>
      <c r="DD112" s="5"/>
      <c r="DE112" s="5"/>
    </row>
    <row r="113" spans="12:109" ht="15.75" customHeight="1" x14ac:dyDescent="0.2">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BF113" s="217"/>
      <c r="DD113" s="5"/>
      <c r="DE113" s="5"/>
    </row>
    <row r="114" spans="12:109" ht="15.75" customHeight="1" x14ac:dyDescent="0.2">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BF114" s="217"/>
      <c r="DD114" s="5"/>
      <c r="DE114" s="5"/>
    </row>
    <row r="115" spans="12:109" ht="15.75" customHeight="1" x14ac:dyDescent="0.2">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BF115" s="217"/>
      <c r="DD115" s="5"/>
      <c r="DE115" s="5"/>
    </row>
    <row r="116" spans="12:109" ht="15.75" customHeight="1" x14ac:dyDescent="0.2">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BF116" s="217"/>
      <c r="DD116" s="5"/>
      <c r="DE116" s="5"/>
    </row>
    <row r="117" spans="12:109" ht="15.75" customHeight="1" x14ac:dyDescent="0.2">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BF117" s="217"/>
      <c r="DD117" s="5"/>
      <c r="DE117" s="5"/>
    </row>
    <row r="118" spans="12:109" ht="15.75" customHeight="1" x14ac:dyDescent="0.2">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BF118" s="217"/>
      <c r="DD118" s="5"/>
      <c r="DE118" s="5"/>
    </row>
    <row r="119" spans="12:109" ht="15.75" customHeight="1" x14ac:dyDescent="0.2">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BF119" s="217"/>
      <c r="DD119" s="5"/>
      <c r="DE119" s="5"/>
    </row>
    <row r="120" spans="12:109" ht="15.75" customHeight="1" x14ac:dyDescent="0.2">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BF120" s="217"/>
      <c r="DD120" s="5"/>
      <c r="DE120" s="5"/>
    </row>
    <row r="121" spans="12:109" ht="15.75" customHeight="1" x14ac:dyDescent="0.2">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BF121" s="217"/>
      <c r="DD121" s="5"/>
      <c r="DE121" s="5"/>
    </row>
    <row r="122" spans="12:109" ht="15.75" customHeight="1" x14ac:dyDescent="0.2">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BF122" s="217"/>
      <c r="DD122" s="5"/>
      <c r="DE122" s="5"/>
    </row>
    <row r="123" spans="12:109" ht="15.75" customHeight="1" x14ac:dyDescent="0.2">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BF123" s="217"/>
      <c r="DD123" s="5"/>
      <c r="DE123" s="5"/>
    </row>
    <row r="124" spans="12:109" ht="15.75" customHeight="1" x14ac:dyDescent="0.2">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BF124" s="217"/>
      <c r="DD124" s="5"/>
      <c r="DE124" s="5"/>
    </row>
    <row r="125" spans="12:109" ht="15.75" customHeight="1" x14ac:dyDescent="0.2">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BF125" s="217"/>
      <c r="DD125" s="5"/>
      <c r="DE125" s="5"/>
    </row>
    <row r="126" spans="12:109" ht="15.75" customHeight="1" x14ac:dyDescent="0.2">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DD126" s="5"/>
      <c r="DE126" s="5"/>
    </row>
    <row r="127" spans="12:109" ht="16.149999999999999" customHeight="1" x14ac:dyDescent="0.2">
      <c r="L127" s="5"/>
      <c r="M127" s="5"/>
      <c r="N127" s="5"/>
      <c r="O127" s="5"/>
      <c r="P127" s="5"/>
      <c r="Q127" s="5"/>
      <c r="R127" s="5"/>
      <c r="S127" s="5"/>
      <c r="T127" s="5"/>
      <c r="U127" s="129"/>
      <c r="V127" s="5"/>
      <c r="W127" s="5"/>
      <c r="X127" s="5"/>
      <c r="Y127" s="5"/>
      <c r="Z127" s="5"/>
      <c r="AA127" s="5"/>
      <c r="AB127" s="5"/>
      <c r="AC127" s="5"/>
      <c r="AD127" s="5"/>
      <c r="AE127" s="5"/>
      <c r="AF127" s="5"/>
      <c r="AG127" s="5"/>
      <c r="AH127" s="5"/>
      <c r="AI127" s="5"/>
      <c r="AJ127" s="5"/>
      <c r="AK127" s="5"/>
      <c r="AL127" s="5"/>
      <c r="AM127" s="5"/>
      <c r="AN127" s="5"/>
      <c r="AO127" s="5"/>
      <c r="DD127" s="5"/>
      <c r="DE127" s="5"/>
    </row>
    <row r="128" spans="12:109" ht="16.149999999999999" customHeight="1" x14ac:dyDescent="0.2">
      <c r="L128" s="5"/>
      <c r="M128" s="5"/>
      <c r="N128" s="5"/>
      <c r="O128" s="5"/>
      <c r="P128" s="5"/>
      <c r="Q128" s="5"/>
      <c r="R128" s="5"/>
      <c r="S128" s="5"/>
      <c r="V128" s="5"/>
      <c r="W128" s="5"/>
      <c r="X128" s="5"/>
      <c r="Y128" s="5"/>
      <c r="Z128" s="5"/>
      <c r="AA128" s="5"/>
      <c r="AB128" s="5"/>
      <c r="AC128" s="5"/>
      <c r="AD128" s="5"/>
      <c r="AE128" s="5"/>
      <c r="AF128" s="5"/>
      <c r="AG128" s="5"/>
      <c r="AH128" s="5"/>
      <c r="AI128" s="5"/>
      <c r="AJ128" s="5"/>
      <c r="AK128" s="5"/>
      <c r="AL128" s="5"/>
      <c r="AM128" s="5"/>
      <c r="AN128" s="5"/>
      <c r="AO128" s="5"/>
      <c r="DD128" s="5"/>
      <c r="DE128" s="5"/>
    </row>
    <row r="129" spans="12:109" ht="16.149999999999999" customHeight="1" x14ac:dyDescent="0.2">
      <c r="L129" s="5"/>
      <c r="M129" s="5"/>
      <c r="N129" s="5"/>
      <c r="O129" s="5"/>
      <c r="P129" s="5"/>
      <c r="Q129" s="5"/>
      <c r="R129" s="5"/>
      <c r="S129" s="5"/>
      <c r="V129" s="5"/>
      <c r="W129" s="5"/>
      <c r="X129" s="5"/>
      <c r="Y129" s="5"/>
      <c r="Z129" s="5"/>
      <c r="AA129" s="5"/>
      <c r="AB129" s="5"/>
      <c r="AC129" s="5"/>
      <c r="AD129" s="5"/>
      <c r="AE129" s="5"/>
      <c r="AF129" s="5"/>
      <c r="AG129" s="5"/>
      <c r="AH129" s="5"/>
      <c r="AI129" s="5"/>
      <c r="AJ129" s="5"/>
      <c r="AK129" s="5"/>
      <c r="AL129" s="5"/>
      <c r="AM129" s="5"/>
      <c r="AN129" s="5"/>
      <c r="AO129" s="5"/>
      <c r="DD129" s="5"/>
      <c r="DE129" s="5"/>
    </row>
    <row r="130" spans="12:109" ht="16.149999999999999" customHeight="1" x14ac:dyDescent="0.2">
      <c r="L130" s="5"/>
      <c r="M130" s="5"/>
      <c r="N130" s="5"/>
      <c r="O130" s="5"/>
      <c r="P130" s="5"/>
      <c r="Q130" s="5"/>
      <c r="R130" s="5"/>
      <c r="S130" s="5"/>
      <c r="V130" s="5"/>
      <c r="W130" s="5"/>
      <c r="X130" s="5"/>
      <c r="Y130" s="5"/>
      <c r="Z130" s="5"/>
      <c r="AA130" s="5"/>
      <c r="AB130" s="5"/>
      <c r="AC130" s="5"/>
      <c r="AD130" s="5"/>
      <c r="AE130" s="5"/>
      <c r="AF130" s="5"/>
      <c r="AG130" s="5"/>
      <c r="AH130" s="5"/>
      <c r="AI130" s="5"/>
      <c r="AJ130" s="5"/>
      <c r="AK130" s="5"/>
      <c r="AL130" s="5"/>
      <c r="AM130" s="5"/>
      <c r="AN130" s="5"/>
      <c r="AO130" s="5"/>
      <c r="DD130" s="5"/>
      <c r="DE130" s="5"/>
    </row>
    <row r="131" spans="12:109" ht="16.149999999999999" customHeight="1" x14ac:dyDescent="0.2">
      <c r="L131" s="5"/>
      <c r="M131" s="5"/>
      <c r="N131" s="5"/>
      <c r="O131" s="5"/>
      <c r="P131" s="5"/>
      <c r="Q131" s="5"/>
      <c r="R131" s="5"/>
      <c r="S131" s="5"/>
      <c r="V131" s="222"/>
      <c r="W131" s="5"/>
      <c r="X131" s="129"/>
      <c r="Y131" s="5"/>
      <c r="Z131" s="5"/>
      <c r="AA131" s="5"/>
      <c r="AB131" s="125"/>
      <c r="AC131" s="125"/>
      <c r="AD131" s="129"/>
      <c r="AE131" s="19"/>
      <c r="AF131" s="223"/>
      <c r="AG131" s="223"/>
      <c r="AH131" s="19"/>
      <c r="AI131" s="19"/>
      <c r="AJ131" s="19"/>
      <c r="AK131" s="5"/>
      <c r="AL131" s="5"/>
      <c r="AM131" s="125"/>
      <c r="AN131" s="125"/>
      <c r="AO131" s="125"/>
      <c r="AP131" s="125"/>
      <c r="AQ131" s="125"/>
      <c r="AR131" s="125"/>
      <c r="DD131" s="5"/>
      <c r="DE131" s="5"/>
    </row>
    <row r="132" spans="12:109" ht="16.149999999999999" customHeight="1" x14ac:dyDescent="0.2">
      <c r="L132" s="5"/>
      <c r="M132" s="5"/>
      <c r="N132" s="5"/>
      <c r="O132" s="5"/>
      <c r="P132" s="5"/>
      <c r="Q132" s="5"/>
      <c r="R132" s="5"/>
      <c r="S132" s="5"/>
      <c r="AJ132" s="5"/>
      <c r="AK132" s="19"/>
      <c r="AL132" s="19"/>
      <c r="AM132" s="125"/>
      <c r="AN132" s="125"/>
      <c r="AO132" s="125"/>
      <c r="AP132" s="125"/>
      <c r="AQ132" s="125"/>
      <c r="AR132" s="125"/>
      <c r="DD132" s="5"/>
      <c r="DE132" s="5"/>
    </row>
    <row r="133" spans="12:109" ht="16.149999999999999" customHeight="1" x14ac:dyDescent="0.2">
      <c r="L133" s="5"/>
      <c r="M133" s="5"/>
      <c r="N133" s="5"/>
      <c r="O133" s="5"/>
      <c r="P133" s="5"/>
      <c r="Q133" s="5"/>
      <c r="R133" s="5"/>
      <c r="S133" s="5"/>
      <c r="AJ133" s="5"/>
      <c r="AK133" s="19"/>
      <c r="AL133" s="19"/>
      <c r="AM133" s="19"/>
      <c r="AN133" s="19"/>
      <c r="AO133" s="19"/>
      <c r="AP133" s="19"/>
      <c r="AQ133" s="19"/>
      <c r="AR133" s="19"/>
      <c r="DD133" s="5"/>
      <c r="DE133" s="5"/>
    </row>
    <row r="134" spans="12:109" ht="16.149999999999999" customHeight="1" x14ac:dyDescent="0.2">
      <c r="L134" s="5"/>
      <c r="M134" s="5"/>
      <c r="N134" s="5"/>
      <c r="O134" s="5"/>
      <c r="P134" s="5"/>
      <c r="Q134" s="5"/>
      <c r="R134" s="5"/>
      <c r="S134" s="5"/>
      <c r="AJ134" s="5"/>
      <c r="AK134" s="19"/>
      <c r="AL134" s="19"/>
      <c r="AM134" s="5"/>
      <c r="AN134" s="5"/>
      <c r="AO134" s="5"/>
      <c r="DD134" s="5"/>
      <c r="DE134" s="5"/>
    </row>
    <row r="135" spans="12:109" ht="16.149999999999999" customHeight="1" x14ac:dyDescent="0.2">
      <c r="L135" s="5"/>
      <c r="M135" s="5"/>
      <c r="N135" s="5"/>
      <c r="O135" s="5"/>
      <c r="P135" s="5"/>
      <c r="Q135" s="5"/>
      <c r="R135" s="5"/>
      <c r="S135" s="5"/>
      <c r="AJ135" s="5"/>
      <c r="AK135" s="19"/>
      <c r="AL135" s="19"/>
      <c r="AM135" s="5"/>
      <c r="AN135" s="5"/>
      <c r="AO135" s="5"/>
      <c r="DD135" s="5"/>
      <c r="DE135" s="5"/>
    </row>
    <row r="136" spans="12:109" ht="16.149999999999999" customHeight="1" x14ac:dyDescent="0.2">
      <c r="L136" s="5"/>
      <c r="M136" s="5"/>
      <c r="N136" s="5"/>
      <c r="O136" s="5"/>
      <c r="P136" s="5"/>
      <c r="Q136" s="5"/>
      <c r="R136" s="5"/>
      <c r="S136" s="5"/>
      <c r="AJ136" s="5"/>
      <c r="AK136" s="19"/>
      <c r="AL136" s="19"/>
      <c r="AM136" s="5"/>
      <c r="AN136" s="5"/>
      <c r="AO136" s="5"/>
      <c r="DD136" s="5"/>
      <c r="DE136" s="5"/>
    </row>
    <row r="137" spans="12:109" ht="16.149999999999999" customHeight="1" x14ac:dyDescent="0.2">
      <c r="L137" s="5"/>
      <c r="M137" s="5"/>
      <c r="N137" s="5"/>
      <c r="O137" s="5"/>
      <c r="P137" s="5"/>
      <c r="Q137" s="5"/>
      <c r="R137" s="5"/>
      <c r="S137" s="5"/>
      <c r="AJ137" s="5"/>
      <c r="AK137" s="19"/>
      <c r="AL137" s="19"/>
      <c r="AM137" s="19"/>
      <c r="AN137" s="19"/>
      <c r="AO137" s="19"/>
      <c r="AP137" s="19"/>
      <c r="AQ137" s="19"/>
      <c r="AR137" s="19"/>
      <c r="DD137" s="5"/>
      <c r="DE137" s="5"/>
    </row>
    <row r="138" spans="12:109" ht="16.149999999999999" customHeight="1" x14ac:dyDescent="0.2">
      <c r="L138" s="5"/>
      <c r="M138" s="5"/>
      <c r="N138" s="5"/>
      <c r="O138" s="5"/>
      <c r="P138" s="5"/>
      <c r="Q138" s="5"/>
      <c r="R138" s="5"/>
      <c r="S138" s="5"/>
      <c r="AJ138" s="5"/>
      <c r="AK138" s="19"/>
      <c r="AL138" s="19"/>
      <c r="AM138" s="19"/>
      <c r="AN138" s="19"/>
      <c r="AO138" s="19"/>
      <c r="AP138" s="19"/>
      <c r="AQ138" s="19"/>
      <c r="AR138" s="19"/>
      <c r="DD138" s="5"/>
      <c r="DE138" s="5"/>
    </row>
    <row r="139" spans="12:109" ht="16.149999999999999" customHeight="1" x14ac:dyDescent="0.2">
      <c r="L139" s="5"/>
      <c r="M139" s="5"/>
      <c r="N139" s="5"/>
      <c r="O139" s="5"/>
      <c r="P139" s="5"/>
      <c r="Q139" s="5"/>
      <c r="R139" s="5"/>
      <c r="S139" s="5"/>
      <c r="AJ139" s="5"/>
      <c r="AK139" s="19"/>
      <c r="AL139" s="19"/>
      <c r="AM139" s="19"/>
      <c r="AN139" s="19"/>
      <c r="AO139" s="19"/>
      <c r="AP139" s="19"/>
      <c r="AQ139" s="19"/>
      <c r="AR139" s="19"/>
      <c r="DD139" s="5"/>
      <c r="DE139" s="5"/>
    </row>
    <row r="140" spans="12:109" ht="16.149999999999999" customHeight="1" x14ac:dyDescent="0.2">
      <c r="L140" s="5"/>
      <c r="M140" s="5"/>
      <c r="N140" s="5"/>
      <c r="O140" s="5"/>
      <c r="P140" s="5"/>
      <c r="Q140" s="5"/>
      <c r="R140" s="5"/>
      <c r="S140" s="5"/>
      <c r="AJ140" s="5"/>
      <c r="AK140" s="19"/>
      <c r="AL140" s="19"/>
      <c r="AM140" s="19"/>
      <c r="AN140" s="19"/>
      <c r="AO140" s="19"/>
      <c r="AP140" s="19"/>
      <c r="AQ140" s="19"/>
      <c r="AR140" s="19"/>
      <c r="DD140" s="5"/>
      <c r="DE140" s="5"/>
    </row>
    <row r="141" spans="12:109" ht="16.149999999999999" customHeight="1" x14ac:dyDescent="0.2">
      <c r="L141" s="5"/>
      <c r="M141" s="5"/>
      <c r="N141" s="5"/>
      <c r="O141" s="5"/>
      <c r="P141" s="5"/>
      <c r="Q141" s="5"/>
      <c r="R141" s="5"/>
      <c r="S141" s="5"/>
      <c r="AJ141" s="5"/>
      <c r="AK141" s="19"/>
      <c r="AL141" s="19"/>
      <c r="AM141" s="19"/>
      <c r="AN141" s="19"/>
      <c r="AO141" s="19"/>
      <c r="AP141" s="19"/>
      <c r="AQ141" s="19"/>
      <c r="AR141" s="19"/>
      <c r="DD141" s="5"/>
      <c r="DE141" s="5"/>
    </row>
    <row r="142" spans="12:109" ht="16.149999999999999" customHeight="1" x14ac:dyDescent="0.2">
      <c r="L142" s="5"/>
      <c r="M142" s="5"/>
      <c r="N142" s="5"/>
      <c r="O142" s="5"/>
      <c r="P142" s="5"/>
      <c r="Q142" s="5"/>
      <c r="R142" s="5"/>
      <c r="S142" s="5"/>
      <c r="AJ142" s="5"/>
      <c r="AK142" s="19"/>
      <c r="AL142" s="19"/>
      <c r="AM142" s="5"/>
      <c r="AN142" s="5"/>
      <c r="AO142" s="5"/>
      <c r="DD142" s="5"/>
      <c r="DE142" s="5"/>
    </row>
    <row r="143" spans="12:109" ht="16.149999999999999" customHeight="1" x14ac:dyDescent="0.2">
      <c r="L143" s="5"/>
      <c r="M143" s="5"/>
      <c r="N143" s="5"/>
      <c r="O143" s="5"/>
      <c r="P143" s="5"/>
      <c r="Q143" s="5"/>
      <c r="R143" s="5"/>
      <c r="S143" s="5"/>
      <c r="AJ143" s="5"/>
      <c r="AK143" s="19"/>
      <c r="AL143" s="19"/>
      <c r="AM143" s="5"/>
      <c r="AN143" s="5"/>
      <c r="AO143" s="5"/>
      <c r="DD143" s="5"/>
      <c r="DE143" s="5"/>
    </row>
    <row r="144" spans="12:109" ht="16.149999999999999" customHeight="1" x14ac:dyDescent="0.2">
      <c r="L144" s="5"/>
      <c r="M144" s="5"/>
      <c r="N144" s="5"/>
      <c r="O144" s="5"/>
      <c r="P144" s="5"/>
      <c r="Q144" s="5"/>
      <c r="R144" s="5"/>
      <c r="S144" s="5"/>
      <c r="AJ144" s="5"/>
      <c r="AK144" s="19"/>
      <c r="AL144" s="19"/>
      <c r="AM144" s="5"/>
      <c r="AN144" s="5"/>
      <c r="AO144" s="5"/>
      <c r="DD144" s="5"/>
      <c r="DE144" s="5"/>
    </row>
    <row r="145" spans="12:109" ht="16.149999999999999" customHeight="1" x14ac:dyDescent="0.2">
      <c r="L145" s="5"/>
      <c r="M145" s="5"/>
      <c r="N145" s="5"/>
      <c r="O145" s="5"/>
      <c r="P145" s="5"/>
      <c r="Q145" s="5"/>
      <c r="R145" s="5"/>
      <c r="S145" s="5"/>
      <c r="AJ145" s="5"/>
      <c r="AK145" s="19"/>
      <c r="AL145" s="19"/>
      <c r="AM145" s="5"/>
      <c r="AN145" s="5"/>
      <c r="AO145" s="5"/>
      <c r="DD145" s="5"/>
      <c r="DE145" s="5"/>
    </row>
    <row r="146" spans="12:109" ht="16.149999999999999" customHeight="1" x14ac:dyDescent="0.2">
      <c r="L146" s="5"/>
      <c r="M146" s="5"/>
      <c r="N146" s="5"/>
      <c r="O146" s="5"/>
      <c r="P146" s="5"/>
      <c r="Q146" s="5"/>
      <c r="R146" s="5"/>
      <c r="S146" s="5"/>
      <c r="AJ146" s="5"/>
      <c r="AK146" s="19"/>
      <c r="AL146" s="19"/>
      <c r="AM146" s="19"/>
      <c r="AN146" s="19"/>
      <c r="AO146" s="19"/>
      <c r="AP146" s="19"/>
      <c r="AQ146" s="19"/>
      <c r="DD146" s="5"/>
      <c r="DE146" s="5"/>
    </row>
    <row r="147" spans="12:109" ht="16.149999999999999" customHeight="1" x14ac:dyDescent="0.2">
      <c r="L147" s="5"/>
      <c r="M147" s="5"/>
      <c r="N147" s="5"/>
      <c r="O147" s="5"/>
      <c r="P147" s="5"/>
      <c r="Q147" s="5"/>
      <c r="R147" s="5"/>
      <c r="S147" s="5"/>
      <c r="AJ147" s="5"/>
      <c r="AK147" s="19"/>
      <c r="AL147" s="19"/>
      <c r="AM147" s="19"/>
      <c r="AN147" s="19"/>
      <c r="AO147" s="19"/>
      <c r="AP147" s="19"/>
      <c r="AQ147" s="19"/>
      <c r="DD147" s="5"/>
      <c r="DE147" s="5"/>
    </row>
    <row r="148" spans="12:109" ht="16.149999999999999" customHeight="1" x14ac:dyDescent="0.2">
      <c r="L148" s="5"/>
      <c r="M148" s="5"/>
      <c r="N148" s="5"/>
      <c r="O148" s="5"/>
      <c r="P148" s="5"/>
      <c r="Q148" s="5"/>
      <c r="R148" s="5"/>
      <c r="S148" s="5"/>
      <c r="AJ148" s="5"/>
      <c r="AK148" s="19"/>
      <c r="AL148" s="19"/>
      <c r="AM148" s="19"/>
      <c r="AN148" s="19"/>
      <c r="AO148" s="19"/>
      <c r="AP148" s="19"/>
      <c r="AQ148" s="19"/>
      <c r="DD148" s="5"/>
      <c r="DE148" s="5"/>
    </row>
    <row r="149" spans="12:109" ht="16.149999999999999" customHeight="1" x14ac:dyDescent="0.2">
      <c r="L149" s="5"/>
      <c r="M149" s="5"/>
      <c r="N149" s="5"/>
      <c r="O149" s="5"/>
      <c r="P149" s="5"/>
      <c r="Q149" s="5"/>
      <c r="R149" s="5"/>
      <c r="S149" s="5"/>
      <c r="AJ149" s="5"/>
      <c r="AK149" s="19"/>
      <c r="AL149" s="19"/>
      <c r="AM149" s="19"/>
      <c r="AN149" s="19"/>
      <c r="AO149" s="19"/>
      <c r="AP149" s="19"/>
      <c r="AQ149" s="19"/>
      <c r="DD149" s="5"/>
      <c r="DE149" s="5"/>
    </row>
    <row r="150" spans="12:109" ht="16.149999999999999" customHeight="1" x14ac:dyDescent="0.2">
      <c r="L150" s="5"/>
      <c r="M150" s="5"/>
      <c r="N150" s="5"/>
      <c r="O150" s="5"/>
      <c r="P150" s="5"/>
      <c r="Q150" s="5"/>
      <c r="R150" s="5"/>
      <c r="S150" s="129"/>
      <c r="T150" s="129"/>
      <c r="U150" s="5"/>
      <c r="AJ150" s="5"/>
      <c r="AK150" s="19"/>
      <c r="AL150" s="19"/>
      <c r="AM150" s="19"/>
      <c r="AN150" s="19"/>
      <c r="AO150" s="19"/>
      <c r="AP150" s="19"/>
      <c r="AQ150" s="19"/>
      <c r="DD150" s="5"/>
      <c r="DE150" s="5"/>
    </row>
    <row r="151" spans="12:109" ht="16.149999999999999" customHeight="1" x14ac:dyDescent="0.2">
      <c r="L151" s="5"/>
      <c r="M151" s="5"/>
      <c r="N151" s="5"/>
      <c r="O151" s="5"/>
      <c r="P151" s="5"/>
      <c r="Q151" s="5"/>
      <c r="R151" s="5"/>
      <c r="S151" s="129"/>
      <c r="T151" s="129"/>
      <c r="U151" s="5"/>
      <c r="AJ151" s="5"/>
      <c r="AK151" s="19"/>
      <c r="AL151" s="19"/>
      <c r="AM151" s="19"/>
      <c r="AN151" s="19"/>
      <c r="AO151" s="19"/>
      <c r="AP151" s="19"/>
      <c r="AQ151" s="19"/>
      <c r="DD151" s="5"/>
      <c r="DE151" s="5"/>
    </row>
    <row r="152" spans="12:109" ht="16.149999999999999" customHeight="1" x14ac:dyDescent="0.2">
      <c r="S152" s="129"/>
      <c r="T152" s="129"/>
      <c r="U152" s="5"/>
      <c r="AJ152" s="5"/>
      <c r="AK152" s="19"/>
      <c r="AL152" s="19"/>
      <c r="AM152" s="19"/>
      <c r="AN152" s="19"/>
      <c r="AO152" s="19"/>
      <c r="AP152" s="19"/>
      <c r="AQ152" s="19"/>
      <c r="DD152" s="5"/>
      <c r="DE152" s="5"/>
    </row>
    <row r="153" spans="12:109" ht="16.149999999999999" customHeight="1" x14ac:dyDescent="0.2">
      <c r="S153" s="129"/>
      <c r="T153" s="129"/>
      <c r="U153" s="5"/>
      <c r="AJ153" s="5"/>
      <c r="AK153" s="19"/>
      <c r="AL153" s="19"/>
      <c r="AM153" s="19"/>
      <c r="AN153" s="19"/>
      <c r="AO153" s="19"/>
      <c r="AP153" s="19"/>
      <c r="AQ153" s="19"/>
      <c r="DD153" s="5"/>
      <c r="DE153" s="5"/>
    </row>
    <row r="154" spans="12:109" ht="16.149999999999999" customHeight="1" x14ac:dyDescent="0.2">
      <c r="S154" s="129"/>
      <c r="T154" s="129"/>
      <c r="U154" s="5"/>
      <c r="AJ154" s="19"/>
      <c r="AK154" s="5"/>
      <c r="AL154" s="5"/>
      <c r="AM154" s="19"/>
      <c r="AN154" s="19"/>
      <c r="AO154" s="19"/>
      <c r="AP154" s="19"/>
      <c r="AQ154" s="19"/>
      <c r="DD154" s="5"/>
      <c r="DE154" s="5"/>
    </row>
    <row r="155" spans="12:109" ht="16.149999999999999" customHeight="1" x14ac:dyDescent="0.2">
      <c r="S155" s="129"/>
      <c r="T155" s="129"/>
      <c r="U155" s="5"/>
      <c r="AJ155" s="258"/>
      <c r="AK155" s="5"/>
      <c r="AL155" s="5"/>
      <c r="AM155" s="19"/>
      <c r="AN155" s="19"/>
      <c r="AO155" s="19"/>
      <c r="AP155" s="19"/>
      <c r="AQ155" s="19"/>
      <c r="DD155" s="5"/>
      <c r="DE155" s="5"/>
    </row>
    <row r="156" spans="12:109" ht="16.149999999999999" customHeight="1" x14ac:dyDescent="0.2">
      <c r="S156" s="129"/>
      <c r="T156" s="129"/>
      <c r="U156" s="5"/>
      <c r="AJ156" s="258"/>
      <c r="AK156" s="5"/>
      <c r="AL156" s="5"/>
      <c r="AM156" s="19"/>
      <c r="AN156" s="19"/>
      <c r="AO156" s="19"/>
      <c r="AP156" s="19"/>
      <c r="AQ156" s="19"/>
      <c r="DD156" s="5"/>
      <c r="DE156" s="5"/>
    </row>
    <row r="157" spans="12:109" ht="16.149999999999999" customHeight="1" x14ac:dyDescent="0.2">
      <c r="S157" s="129"/>
      <c r="T157" s="129"/>
      <c r="U157" s="5"/>
      <c r="AJ157" s="258"/>
      <c r="AK157" s="5"/>
      <c r="AL157" s="5"/>
      <c r="AM157" s="19"/>
      <c r="AN157" s="19"/>
      <c r="AO157" s="19"/>
      <c r="AP157" s="19"/>
      <c r="AQ157" s="19"/>
      <c r="DD157" s="5"/>
      <c r="DE157" s="5"/>
    </row>
    <row r="158" spans="12:109" ht="16.149999999999999" customHeight="1" x14ac:dyDescent="0.2">
      <c r="S158" s="129"/>
      <c r="T158" s="129"/>
      <c r="U158" s="5"/>
      <c r="AJ158" s="258"/>
      <c r="AK158" s="5"/>
      <c r="AL158" s="5"/>
      <c r="AM158" s="19"/>
      <c r="AN158" s="19"/>
      <c r="AO158" s="19"/>
      <c r="AP158" s="19"/>
      <c r="AQ158" s="19"/>
      <c r="DD158" s="5"/>
      <c r="DE158" s="5"/>
    </row>
    <row r="159" spans="12:109" ht="16.149999999999999" customHeight="1" x14ac:dyDescent="0.2">
      <c r="S159" s="129"/>
      <c r="T159" s="129"/>
      <c r="U159" s="5"/>
      <c r="AJ159" s="258"/>
      <c r="AK159" s="5"/>
      <c r="AL159" s="5"/>
      <c r="AM159" s="19"/>
      <c r="AN159" s="19"/>
      <c r="AO159" s="19"/>
      <c r="AP159" s="19"/>
      <c r="AQ159" s="19"/>
      <c r="DD159" s="5"/>
      <c r="DE159" s="5"/>
    </row>
    <row r="160" spans="12:109" ht="15.6" customHeight="1" x14ac:dyDescent="0.2">
      <c r="S160" s="129"/>
      <c r="T160" s="129"/>
      <c r="U160" s="5"/>
      <c r="AJ160" s="258"/>
      <c r="AK160" s="5"/>
      <c r="AL160" s="5"/>
      <c r="AM160" s="19"/>
      <c r="AN160" s="19"/>
      <c r="AO160" s="19"/>
      <c r="AP160" s="19"/>
      <c r="AQ160" s="19"/>
      <c r="DD160" s="5"/>
      <c r="DE160" s="5"/>
    </row>
    <row r="161" spans="19:109" ht="16.149999999999999" customHeight="1" x14ac:dyDescent="0.2">
      <c r="S161" s="129"/>
      <c r="T161" s="129"/>
      <c r="U161" s="5"/>
      <c r="AJ161" s="258"/>
      <c r="AK161" s="5"/>
      <c r="AL161" s="5"/>
      <c r="AM161" s="19"/>
      <c r="AN161" s="19"/>
      <c r="AO161" s="19"/>
      <c r="AP161" s="19"/>
      <c r="AQ161" s="19"/>
      <c r="DD161" s="5"/>
      <c r="DE161" s="5"/>
    </row>
    <row r="162" spans="19:109" ht="16.149999999999999" customHeight="1" x14ac:dyDescent="0.2">
      <c r="S162" s="129"/>
      <c r="T162" s="129"/>
      <c r="U162" s="5"/>
      <c r="AJ162" s="258"/>
      <c r="AK162" s="5"/>
      <c r="AL162" s="5"/>
      <c r="AM162" s="19"/>
      <c r="AN162" s="19"/>
      <c r="AO162" s="19"/>
      <c r="AP162" s="19"/>
      <c r="AQ162" s="19"/>
      <c r="DD162" s="5"/>
      <c r="DE162" s="5"/>
    </row>
    <row r="163" spans="19:109" ht="16.149999999999999" customHeight="1" x14ac:dyDescent="0.2">
      <c r="S163" s="129"/>
      <c r="T163" s="129"/>
      <c r="U163" s="5"/>
      <c r="AJ163" s="258"/>
      <c r="AK163" s="5"/>
      <c r="AL163" s="5"/>
      <c r="AM163" s="19"/>
      <c r="AN163" s="19"/>
      <c r="AO163" s="19"/>
      <c r="AP163" s="19"/>
      <c r="AQ163" s="19"/>
      <c r="DD163" s="5"/>
      <c r="DE163" s="5"/>
    </row>
    <row r="164" spans="19:109" ht="16.149999999999999" customHeight="1" x14ac:dyDescent="0.2">
      <c r="S164" s="129"/>
      <c r="T164" s="129"/>
      <c r="U164" s="5"/>
      <c r="AJ164" s="258"/>
      <c r="AK164" s="5"/>
      <c r="AL164" s="5"/>
      <c r="AM164" s="19"/>
      <c r="AN164" s="19"/>
      <c r="AO164" s="19"/>
      <c r="AP164" s="19"/>
      <c r="AQ164" s="19"/>
      <c r="DD164" s="5"/>
      <c r="DE164" s="5"/>
    </row>
    <row r="165" spans="19:109" ht="16.149999999999999" customHeight="1" x14ac:dyDescent="0.2">
      <c r="S165" s="129"/>
      <c r="T165" s="129"/>
      <c r="U165" s="5"/>
      <c r="AJ165" s="258"/>
      <c r="AK165" s="5"/>
      <c r="AL165" s="5"/>
      <c r="AM165" s="19"/>
      <c r="AN165" s="19"/>
      <c r="AO165" s="19"/>
      <c r="AP165" s="19"/>
      <c r="AQ165" s="19"/>
      <c r="DD165" s="5"/>
      <c r="DE165" s="5"/>
    </row>
    <row r="166" spans="19:109" ht="16.149999999999999" customHeight="1" x14ac:dyDescent="0.2">
      <c r="S166" s="129"/>
      <c r="T166" s="129"/>
      <c r="U166" s="5"/>
      <c r="AJ166" s="258"/>
      <c r="AK166" s="5"/>
      <c r="AL166" s="5"/>
      <c r="AM166" s="19"/>
      <c r="AN166" s="19"/>
      <c r="AO166" s="19"/>
      <c r="AP166" s="19"/>
      <c r="AQ166" s="19"/>
      <c r="DD166" s="5"/>
      <c r="DE166" s="5"/>
    </row>
    <row r="167" spans="19:109" ht="16.149999999999999" customHeight="1" x14ac:dyDescent="0.2">
      <c r="S167" s="129"/>
      <c r="T167" s="129"/>
      <c r="U167" s="5"/>
      <c r="AJ167" s="258"/>
      <c r="AK167" s="5"/>
      <c r="AL167" s="5"/>
      <c r="AM167" s="19"/>
      <c r="AN167" s="19"/>
      <c r="AO167" s="19"/>
      <c r="AP167" s="19"/>
      <c r="AQ167" s="19"/>
      <c r="DD167" s="5"/>
      <c r="DE167" s="5"/>
    </row>
    <row r="168" spans="19:109" ht="16.149999999999999" customHeight="1" x14ac:dyDescent="0.2">
      <c r="S168" s="129"/>
      <c r="T168" s="129"/>
      <c r="U168" s="5"/>
      <c r="AJ168" s="258"/>
      <c r="AK168" s="5"/>
      <c r="AL168" s="5"/>
      <c r="AM168" s="19"/>
      <c r="AN168" s="19"/>
      <c r="AO168" s="19"/>
      <c r="AP168" s="19"/>
      <c r="AQ168" s="19"/>
      <c r="DD168" s="5"/>
      <c r="DE168" s="5"/>
    </row>
    <row r="169" spans="19:109" ht="16.149999999999999" customHeight="1" x14ac:dyDescent="0.2">
      <c r="S169" s="129"/>
      <c r="T169" s="129"/>
      <c r="U169" s="5"/>
      <c r="AJ169" s="5"/>
      <c r="AK169" s="5"/>
      <c r="AL169" s="5"/>
      <c r="AM169" s="19"/>
      <c r="AN169" s="19"/>
      <c r="AO169" s="19"/>
      <c r="AP169" s="19"/>
      <c r="AQ169" s="19"/>
      <c r="DD169" s="5"/>
      <c r="DE169" s="5"/>
    </row>
    <row r="170" spans="19:109" ht="16.149999999999999" customHeight="1" x14ac:dyDescent="0.2">
      <c r="S170" s="129"/>
      <c r="T170" s="129"/>
      <c r="U170" s="5"/>
      <c r="AJ170" s="258"/>
      <c r="AK170" s="5"/>
      <c r="AL170" s="5"/>
      <c r="AM170" s="19"/>
      <c r="AN170" s="19"/>
      <c r="AO170" s="19"/>
      <c r="AP170" s="19"/>
      <c r="AQ170" s="19"/>
      <c r="DD170" s="5"/>
      <c r="DE170" s="5"/>
    </row>
    <row r="171" spans="19:109" ht="16.149999999999999" customHeight="1" x14ac:dyDescent="0.2">
      <c r="S171" s="129"/>
      <c r="T171" s="129"/>
      <c r="U171" s="5"/>
      <c r="AJ171" s="258"/>
      <c r="AK171" s="5"/>
      <c r="AL171" s="5"/>
      <c r="AM171" s="19"/>
      <c r="AN171" s="19"/>
      <c r="AO171" s="19"/>
      <c r="AP171" s="19"/>
      <c r="AQ171" s="19"/>
      <c r="DD171" s="5"/>
      <c r="DE171" s="5"/>
    </row>
    <row r="172" spans="19:109" ht="16.149999999999999" customHeight="1" x14ac:dyDescent="0.2">
      <c r="S172" s="129"/>
      <c r="T172" s="129"/>
      <c r="U172" s="5"/>
      <c r="AJ172" s="258"/>
      <c r="AK172" s="5"/>
      <c r="AL172" s="5"/>
      <c r="AM172" s="19"/>
      <c r="AN172" s="19"/>
      <c r="AO172" s="19"/>
      <c r="AP172" s="19"/>
      <c r="AQ172" s="19"/>
      <c r="DD172" s="5"/>
      <c r="DE172" s="5"/>
    </row>
    <row r="173" spans="19:109" ht="16.149999999999999" customHeight="1" x14ac:dyDescent="0.2">
      <c r="S173" s="129"/>
      <c r="T173" s="129"/>
      <c r="U173" s="302"/>
      <c r="AJ173" s="258"/>
      <c r="AK173" s="5"/>
      <c r="AL173" s="5"/>
      <c r="AM173" s="19"/>
      <c r="AN173" s="19"/>
      <c r="AO173" s="19"/>
      <c r="AP173" s="19"/>
      <c r="AQ173" s="19"/>
      <c r="DD173" s="5"/>
      <c r="DE173" s="5"/>
    </row>
    <row r="174" spans="19:109" ht="16.149999999999999" customHeight="1" x14ac:dyDescent="0.2">
      <c r="S174" s="129"/>
      <c r="T174" s="129"/>
      <c r="U174" s="302"/>
      <c r="AJ174" s="258"/>
      <c r="AK174" s="5"/>
      <c r="AL174" s="5"/>
      <c r="AM174" s="19"/>
      <c r="AN174" s="19"/>
      <c r="AO174" s="19"/>
      <c r="AP174" s="19"/>
      <c r="AQ174" s="19"/>
      <c r="DD174" s="5"/>
      <c r="DE174" s="5"/>
    </row>
    <row r="175" spans="19:109" ht="16.149999999999999" customHeight="1" x14ac:dyDescent="0.2">
      <c r="S175" s="129"/>
      <c r="T175" s="129"/>
      <c r="U175" s="302"/>
      <c r="AJ175" s="258"/>
      <c r="AK175" s="5"/>
      <c r="AL175" s="5"/>
      <c r="AM175" s="19"/>
      <c r="AN175" s="19"/>
      <c r="AO175" s="19"/>
      <c r="AP175" s="19"/>
      <c r="AQ175" s="19"/>
      <c r="DD175" s="5"/>
      <c r="DE175" s="5"/>
    </row>
    <row r="176" spans="19:109" ht="16.149999999999999" customHeight="1" x14ac:dyDescent="0.2">
      <c r="S176" s="129"/>
      <c r="T176" s="129"/>
      <c r="U176" s="302"/>
      <c r="AJ176" s="258"/>
      <c r="AK176" s="5"/>
      <c r="AL176" s="5"/>
      <c r="AM176" s="19"/>
      <c r="AN176" s="19"/>
      <c r="AO176" s="19"/>
      <c r="AP176" s="19"/>
      <c r="AQ176" s="19"/>
      <c r="DD176" s="5"/>
      <c r="DE176" s="5"/>
    </row>
    <row r="177" spans="19:109" ht="16.149999999999999" customHeight="1" x14ac:dyDescent="0.2">
      <c r="S177" s="129"/>
      <c r="T177" s="129"/>
      <c r="U177" s="302"/>
      <c r="AJ177" s="258"/>
      <c r="AK177" s="5"/>
      <c r="AL177" s="5"/>
      <c r="AM177" s="19"/>
      <c r="AN177" s="19"/>
      <c r="AO177" s="19"/>
      <c r="AP177" s="19"/>
      <c r="AQ177" s="19"/>
      <c r="DD177" s="5"/>
      <c r="DE177" s="5"/>
    </row>
    <row r="178" spans="19:109" ht="16.149999999999999" customHeight="1" x14ac:dyDescent="0.2">
      <c r="S178" s="129"/>
      <c r="T178" s="129"/>
      <c r="U178" s="302"/>
      <c r="AJ178" s="258"/>
      <c r="AK178" s="5"/>
      <c r="AL178" s="5"/>
      <c r="AM178" s="19"/>
      <c r="AN178" s="19"/>
      <c r="AO178" s="19"/>
      <c r="AP178" s="19"/>
      <c r="AQ178" s="19"/>
      <c r="DD178" s="5"/>
      <c r="DE178" s="5"/>
    </row>
    <row r="179" spans="19:109" ht="16.149999999999999" customHeight="1" x14ac:dyDescent="0.2">
      <c r="S179" s="129"/>
      <c r="T179" s="129"/>
      <c r="U179" s="302"/>
      <c r="AJ179" s="258"/>
      <c r="AK179" s="5"/>
      <c r="AL179" s="5"/>
      <c r="AM179" s="19"/>
      <c r="AN179" s="19"/>
      <c r="AO179" s="19"/>
      <c r="AP179" s="19"/>
      <c r="AQ179" s="19"/>
      <c r="DD179" s="5"/>
      <c r="DE179" s="5"/>
    </row>
    <row r="180" spans="19:109" ht="16.149999999999999" customHeight="1" x14ac:dyDescent="0.2">
      <c r="S180" s="129"/>
      <c r="T180" s="129"/>
      <c r="U180" s="302"/>
      <c r="AJ180" s="258"/>
      <c r="AK180" s="5"/>
      <c r="AL180" s="5"/>
      <c r="AM180" s="19"/>
      <c r="AN180" s="19"/>
      <c r="AO180" s="19"/>
      <c r="AP180" s="19"/>
      <c r="AQ180" s="19"/>
      <c r="DD180" s="5"/>
      <c r="DE180" s="5"/>
    </row>
    <row r="181" spans="19:109" ht="16.149999999999999" customHeight="1" x14ac:dyDescent="0.2">
      <c r="S181" s="129"/>
      <c r="T181" s="129"/>
      <c r="U181" s="302"/>
      <c r="AJ181" s="258"/>
      <c r="AK181" s="5"/>
      <c r="AL181" s="5"/>
      <c r="AM181" s="19"/>
      <c r="AN181" s="19"/>
      <c r="AO181" s="19"/>
      <c r="AP181" s="19"/>
      <c r="AQ181" s="19"/>
      <c r="DD181" s="5"/>
      <c r="DE181" s="5"/>
    </row>
    <row r="182" spans="19:109" ht="16.149999999999999" customHeight="1" x14ac:dyDescent="0.2">
      <c r="S182" s="129"/>
      <c r="T182" s="129"/>
      <c r="U182" s="302"/>
      <c r="AJ182" s="258"/>
      <c r="AK182" s="5"/>
      <c r="AL182" s="5"/>
      <c r="AM182" s="19"/>
      <c r="AN182" s="19"/>
      <c r="AO182" s="19"/>
      <c r="AP182" s="19"/>
      <c r="AQ182" s="19"/>
      <c r="DD182" s="5"/>
      <c r="DE182" s="5"/>
    </row>
    <row r="183" spans="19:109" ht="16.149999999999999" customHeight="1" x14ac:dyDescent="0.2">
      <c r="S183" s="129"/>
      <c r="T183" s="129"/>
      <c r="U183" s="302"/>
      <c r="AJ183" s="258"/>
      <c r="AK183" s="5"/>
      <c r="AL183" s="5"/>
      <c r="AM183" s="19"/>
      <c r="AN183" s="19"/>
      <c r="AO183" s="19"/>
      <c r="AP183" s="19"/>
      <c r="AQ183" s="19"/>
      <c r="DD183" s="5"/>
      <c r="DE183" s="5"/>
    </row>
    <row r="184" spans="19:109" ht="16.149999999999999" customHeight="1" x14ac:dyDescent="0.25">
      <c r="S184" s="129"/>
      <c r="T184" s="129"/>
      <c r="U184" s="302"/>
      <c r="AJ184" s="320"/>
      <c r="AK184" s="5"/>
      <c r="AL184" s="5"/>
      <c r="AM184" s="19"/>
      <c r="AN184" s="19"/>
      <c r="AO184" s="19"/>
      <c r="AP184" s="19"/>
      <c r="AQ184" s="19"/>
      <c r="DD184" s="5"/>
      <c r="DE184" s="5"/>
    </row>
    <row r="185" spans="19:109" ht="16.149999999999999" customHeight="1" x14ac:dyDescent="0.25">
      <c r="S185" s="5"/>
      <c r="T185" s="5"/>
      <c r="U185" s="5"/>
      <c r="AJ185" s="320"/>
      <c r="AK185" s="5"/>
      <c r="AL185" s="5"/>
      <c r="AM185" s="19"/>
      <c r="AN185" s="19"/>
      <c r="AO185" s="19"/>
      <c r="AP185" s="19"/>
      <c r="AQ185" s="19"/>
      <c r="DD185" s="5"/>
      <c r="DE185" s="5"/>
    </row>
    <row r="186" spans="19:109" ht="16.149999999999999" customHeight="1" x14ac:dyDescent="0.2">
      <c r="S186" s="5"/>
      <c r="T186" s="5"/>
      <c r="U186" s="5"/>
      <c r="V186" s="5"/>
      <c r="W186" s="5"/>
      <c r="X186" s="5"/>
      <c r="Y186" s="5"/>
      <c r="Z186" s="5"/>
      <c r="AA186" s="5"/>
      <c r="AB186" s="258"/>
      <c r="AC186" s="258"/>
      <c r="AD186" s="258"/>
      <c r="AE186" s="258"/>
      <c r="AF186" s="258"/>
      <c r="AG186" s="258"/>
      <c r="AH186" s="258"/>
      <c r="AI186" s="258"/>
      <c r="AJ186" s="258"/>
      <c r="AK186" s="5"/>
      <c r="AL186" s="5"/>
      <c r="AM186" s="19"/>
      <c r="AN186" s="19"/>
      <c r="AO186" s="19"/>
      <c r="AP186" s="19"/>
      <c r="AQ186" s="19"/>
      <c r="DD186" s="5"/>
      <c r="DE186" s="5"/>
    </row>
    <row r="187" spans="19:109" ht="16.149999999999999" customHeight="1" x14ac:dyDescent="0.2">
      <c r="S187" s="5"/>
      <c r="T187" s="5"/>
      <c r="U187" s="5"/>
      <c r="V187" s="302"/>
      <c r="W187" s="302"/>
      <c r="X187" s="5"/>
      <c r="Y187" s="5"/>
      <c r="Z187" s="5"/>
      <c r="AA187" s="5"/>
      <c r="AB187" s="5"/>
      <c r="AC187" s="5"/>
      <c r="AD187" s="5"/>
      <c r="AE187" s="5"/>
      <c r="AF187" s="5"/>
      <c r="AG187" s="5"/>
      <c r="AH187" s="5"/>
      <c r="AI187" s="5"/>
      <c r="AJ187" s="5"/>
      <c r="AK187" s="5"/>
      <c r="AL187" s="5"/>
      <c r="AM187" s="19"/>
      <c r="AN187" s="19"/>
      <c r="AO187" s="19"/>
      <c r="AP187" s="19"/>
      <c r="AQ187" s="19"/>
      <c r="DD187" s="5"/>
      <c r="DE187" s="5"/>
    </row>
    <row r="188" spans="19:109" ht="16.149999999999999" customHeight="1" x14ac:dyDescent="0.2">
      <c r="S188" s="5"/>
      <c r="T188" s="5"/>
      <c r="U188" s="5"/>
      <c r="V188" s="302"/>
      <c r="W188" s="302"/>
      <c r="X188" s="5"/>
      <c r="Y188" s="5"/>
      <c r="Z188" s="5"/>
      <c r="AA188" s="5"/>
      <c r="AB188" s="5"/>
      <c r="AC188" s="5"/>
      <c r="AD188" s="5"/>
      <c r="AE188" s="5"/>
      <c r="AF188" s="5"/>
      <c r="AG188" s="5"/>
      <c r="AH188" s="5"/>
      <c r="AI188" s="5"/>
      <c r="AJ188" s="5"/>
      <c r="AK188" s="5"/>
      <c r="AL188" s="5"/>
      <c r="AM188" s="19"/>
      <c r="AN188" s="19"/>
      <c r="AO188" s="19"/>
      <c r="AP188" s="19"/>
      <c r="AQ188" s="19"/>
      <c r="DD188" s="5"/>
      <c r="DE188" s="5"/>
    </row>
    <row r="189" spans="19:109" x14ac:dyDescent="0.2">
      <c r="S189" s="5"/>
      <c r="T189" s="5"/>
      <c r="U189" s="5"/>
      <c r="V189" s="5"/>
      <c r="W189" s="5"/>
      <c r="X189" s="5"/>
      <c r="Y189" s="5"/>
      <c r="Z189" s="5"/>
      <c r="AA189" s="5"/>
      <c r="AB189" s="5"/>
      <c r="AC189" s="5"/>
      <c r="AD189" s="5"/>
      <c r="AE189" s="5"/>
      <c r="AF189" s="5"/>
      <c r="AG189" s="5"/>
      <c r="AH189" s="5"/>
      <c r="AI189" s="5"/>
      <c r="AJ189" s="5"/>
      <c r="AK189" s="19"/>
      <c r="AL189" s="19"/>
      <c r="AM189" s="19"/>
      <c r="AN189" s="19"/>
      <c r="AO189" s="19"/>
    </row>
    <row r="190" spans="19:109" x14ac:dyDescent="0.2">
      <c r="S190" s="5"/>
      <c r="T190" s="5"/>
      <c r="U190" s="5"/>
      <c r="V190" s="5"/>
      <c r="W190" s="5"/>
      <c r="X190" s="5"/>
      <c r="Y190" s="5"/>
      <c r="Z190" s="5"/>
      <c r="AA190" s="5"/>
      <c r="AB190" s="5"/>
      <c r="AC190" s="5"/>
      <c r="AD190" s="5"/>
      <c r="AE190" s="5"/>
      <c r="AF190" s="5"/>
      <c r="AG190" s="5"/>
      <c r="AH190" s="5"/>
      <c r="AI190" s="5"/>
      <c r="AJ190" s="5"/>
      <c r="AK190" s="19"/>
      <c r="AL190" s="19"/>
      <c r="AM190" s="19"/>
      <c r="AN190" s="19"/>
      <c r="AO190" s="19"/>
    </row>
    <row r="191" spans="19:109" x14ac:dyDescent="0.2">
      <c r="S191" s="5"/>
      <c r="T191" s="5"/>
      <c r="U191" s="5"/>
      <c r="V191" s="5"/>
      <c r="W191" s="5"/>
      <c r="X191" s="5"/>
      <c r="Y191" s="5"/>
      <c r="Z191" s="5"/>
      <c r="AA191" s="5"/>
      <c r="AB191" s="5"/>
      <c r="AC191" s="5"/>
      <c r="AD191" s="5"/>
      <c r="AE191" s="5"/>
      <c r="AF191" s="5"/>
      <c r="AG191" s="5"/>
      <c r="AH191" s="5"/>
      <c r="AI191" s="5"/>
      <c r="AJ191" s="5"/>
      <c r="AK191" s="19"/>
      <c r="AL191" s="19"/>
      <c r="AM191" s="19"/>
      <c r="AN191" s="19"/>
      <c r="AO191" s="19"/>
    </row>
    <row r="192" spans="19:109" x14ac:dyDescent="0.2">
      <c r="S192" s="5"/>
      <c r="T192" s="5"/>
      <c r="U192" s="5"/>
      <c r="V192" s="5"/>
      <c r="W192" s="5"/>
      <c r="X192" s="5"/>
      <c r="Y192" s="5"/>
      <c r="Z192" s="5"/>
      <c r="AA192" s="5"/>
      <c r="AB192" s="5"/>
      <c r="AC192" s="5"/>
      <c r="AD192" s="5"/>
      <c r="AE192" s="5"/>
      <c r="AF192" s="5"/>
      <c r="AG192" s="5"/>
      <c r="AH192" s="5"/>
      <c r="AI192" s="5"/>
      <c r="AJ192" s="5"/>
      <c r="AK192" s="19"/>
      <c r="AL192" s="19"/>
      <c r="AM192" s="19"/>
      <c r="AN192" s="19"/>
      <c r="AO192" s="19"/>
    </row>
    <row r="193" spans="19:41" x14ac:dyDescent="0.2">
      <c r="S193" s="5"/>
      <c r="T193" s="5"/>
      <c r="U193" s="5"/>
      <c r="V193" s="5"/>
      <c r="W193" s="5"/>
      <c r="X193" s="5"/>
      <c r="Y193" s="5"/>
      <c r="Z193" s="5"/>
      <c r="AA193" s="5"/>
      <c r="AB193" s="5"/>
      <c r="AC193" s="5"/>
      <c r="AD193" s="5"/>
      <c r="AE193" s="5"/>
      <c r="AF193" s="5"/>
      <c r="AG193" s="5"/>
      <c r="AH193" s="5"/>
      <c r="AI193" s="5"/>
      <c r="AJ193" s="5"/>
      <c r="AK193" s="19"/>
      <c r="AL193" s="19"/>
      <c r="AM193" s="19"/>
      <c r="AN193" s="19"/>
      <c r="AO193" s="19"/>
    </row>
    <row r="194" spans="19:41" x14ac:dyDescent="0.2">
      <c r="S194" s="5"/>
      <c r="T194" s="5"/>
      <c r="U194" s="5"/>
      <c r="V194" s="5"/>
      <c r="W194" s="5"/>
      <c r="X194" s="5"/>
      <c r="Y194" s="5"/>
      <c r="Z194" s="5"/>
      <c r="AA194" s="5"/>
      <c r="AB194" s="5"/>
      <c r="AC194" s="5"/>
      <c r="AD194" s="5"/>
      <c r="AE194" s="5"/>
      <c r="AF194" s="5"/>
      <c r="AG194" s="5"/>
      <c r="AH194" s="5"/>
      <c r="AI194" s="5"/>
      <c r="AJ194" s="5"/>
      <c r="AK194" s="19"/>
      <c r="AL194" s="19"/>
      <c r="AM194" s="19"/>
      <c r="AN194" s="19"/>
      <c r="AO194" s="19"/>
    </row>
    <row r="195" spans="19:41" x14ac:dyDescent="0.2">
      <c r="S195" s="5"/>
      <c r="T195" s="5"/>
      <c r="U195" s="5"/>
      <c r="V195" s="5"/>
      <c r="W195" s="5"/>
      <c r="X195" s="5"/>
      <c r="Y195" s="5"/>
      <c r="Z195" s="5"/>
      <c r="AA195" s="5"/>
      <c r="AB195" s="5"/>
      <c r="AC195" s="5"/>
      <c r="AD195" s="5"/>
      <c r="AE195" s="5"/>
      <c r="AF195" s="5"/>
      <c r="AG195" s="5"/>
      <c r="AH195" s="5"/>
      <c r="AI195" s="5"/>
      <c r="AJ195" s="5"/>
      <c r="AK195" s="19"/>
      <c r="AL195" s="19"/>
      <c r="AM195" s="19"/>
      <c r="AN195" s="19"/>
      <c r="AO195" s="19"/>
    </row>
    <row r="196" spans="19:41" x14ac:dyDescent="0.2">
      <c r="S196" s="5"/>
      <c r="T196" s="5"/>
      <c r="U196" s="5"/>
      <c r="V196" s="5"/>
      <c r="W196" s="5"/>
      <c r="X196" s="5"/>
      <c r="Y196" s="5"/>
      <c r="Z196" s="5"/>
      <c r="AA196" s="5"/>
      <c r="AB196" s="5"/>
      <c r="AC196" s="5"/>
      <c r="AD196" s="5"/>
      <c r="AE196" s="5"/>
      <c r="AF196" s="5"/>
      <c r="AG196" s="5"/>
      <c r="AH196" s="5"/>
      <c r="AI196" s="5"/>
      <c r="AJ196" s="5"/>
      <c r="AK196" s="19"/>
      <c r="AL196" s="19"/>
      <c r="AM196" s="19"/>
      <c r="AN196" s="19"/>
      <c r="AO196" s="19"/>
    </row>
    <row r="197" spans="19:41" x14ac:dyDescent="0.2">
      <c r="S197" s="5"/>
      <c r="T197" s="5"/>
      <c r="U197" s="5"/>
      <c r="V197" s="5"/>
      <c r="W197" s="5"/>
      <c r="X197" s="5"/>
      <c r="Y197" s="5"/>
      <c r="Z197" s="5"/>
      <c r="AA197" s="5"/>
      <c r="AB197" s="5"/>
      <c r="AC197" s="5"/>
      <c r="AD197" s="5"/>
      <c r="AE197" s="5"/>
      <c r="AF197" s="5"/>
      <c r="AG197" s="5"/>
      <c r="AH197" s="5"/>
      <c r="AI197" s="5"/>
      <c r="AJ197" s="5"/>
      <c r="AK197" s="19"/>
      <c r="AL197" s="19"/>
      <c r="AM197" s="19"/>
      <c r="AN197" s="19"/>
      <c r="AO197" s="19"/>
    </row>
    <row r="198" spans="19:41" x14ac:dyDescent="0.2">
      <c r="S198" s="5"/>
      <c r="T198" s="5"/>
      <c r="U198" s="5"/>
      <c r="V198" s="5"/>
      <c r="W198" s="5"/>
      <c r="X198" s="5"/>
      <c r="Y198" s="5"/>
      <c r="Z198" s="5"/>
      <c r="AA198" s="5"/>
      <c r="AB198" s="5"/>
      <c r="AC198" s="5"/>
      <c r="AD198" s="5"/>
      <c r="AE198" s="5"/>
      <c r="AF198" s="5"/>
      <c r="AG198" s="5"/>
      <c r="AH198" s="5"/>
      <c r="AI198" s="5"/>
      <c r="AJ198" s="5"/>
      <c r="AK198" s="19"/>
      <c r="AL198" s="19"/>
      <c r="AM198" s="19"/>
      <c r="AN198" s="19"/>
      <c r="AO198" s="19"/>
    </row>
    <row r="199" spans="19:41" x14ac:dyDescent="0.2">
      <c r="S199" s="5"/>
      <c r="T199" s="5"/>
      <c r="U199" s="5"/>
      <c r="V199" s="5"/>
      <c r="W199" s="5"/>
      <c r="X199" s="5"/>
      <c r="Y199" s="5"/>
      <c r="Z199" s="5"/>
      <c r="AA199" s="5"/>
      <c r="AB199" s="5"/>
      <c r="AC199" s="5"/>
      <c r="AD199" s="5"/>
      <c r="AE199" s="5"/>
      <c r="AF199" s="5"/>
      <c r="AG199" s="5"/>
      <c r="AH199" s="5"/>
      <c r="AI199" s="5"/>
      <c r="AJ199" s="5"/>
      <c r="AK199" s="19"/>
      <c r="AL199" s="19"/>
      <c r="AM199" s="19"/>
      <c r="AN199" s="19"/>
      <c r="AO199" s="19"/>
    </row>
    <row r="200" spans="19:41" x14ac:dyDescent="0.2">
      <c r="S200" s="5"/>
      <c r="T200" s="5"/>
      <c r="U200" s="5"/>
      <c r="V200" s="5"/>
      <c r="W200" s="5"/>
      <c r="X200" s="5"/>
      <c r="Y200" s="5"/>
      <c r="Z200" s="5"/>
      <c r="AA200" s="5"/>
      <c r="AB200" s="5"/>
      <c r="AC200" s="5"/>
      <c r="AD200" s="5"/>
      <c r="AE200" s="5"/>
      <c r="AF200" s="5"/>
      <c r="AG200" s="5"/>
      <c r="AH200" s="5"/>
      <c r="AI200" s="5"/>
      <c r="AJ200" s="5"/>
      <c r="AK200" s="19"/>
      <c r="AL200" s="19"/>
      <c r="AM200" s="19"/>
      <c r="AN200" s="19"/>
      <c r="AO200" s="19"/>
    </row>
    <row r="201" spans="19:41" x14ac:dyDescent="0.2">
      <c r="S201" s="5"/>
      <c r="T201" s="5"/>
      <c r="U201" s="5"/>
      <c r="V201" s="5"/>
      <c r="W201" s="5"/>
      <c r="X201" s="5"/>
      <c r="Y201" s="5"/>
      <c r="Z201" s="5"/>
      <c r="AA201" s="5"/>
      <c r="AB201" s="5"/>
      <c r="AC201" s="5"/>
      <c r="AD201" s="5"/>
      <c r="AE201" s="5"/>
      <c r="AF201" s="5"/>
      <c r="AG201" s="5"/>
      <c r="AH201" s="5"/>
      <c r="AI201" s="5"/>
      <c r="AJ201" s="5"/>
      <c r="AK201" s="19"/>
      <c r="AL201" s="19"/>
      <c r="AM201" s="19"/>
      <c r="AN201" s="19"/>
      <c r="AO201" s="19"/>
    </row>
    <row r="202" spans="19:41" x14ac:dyDescent="0.2">
      <c r="S202" s="5"/>
      <c r="T202" s="5"/>
      <c r="U202" s="5"/>
      <c r="V202" s="5"/>
      <c r="W202" s="5"/>
      <c r="X202" s="5"/>
      <c r="Y202" s="5"/>
      <c r="Z202" s="5"/>
      <c r="AA202" s="5"/>
      <c r="AB202" s="5"/>
      <c r="AC202" s="5"/>
      <c r="AD202" s="5"/>
      <c r="AE202" s="5"/>
      <c r="AF202" s="5"/>
      <c r="AG202" s="5"/>
      <c r="AH202" s="5"/>
      <c r="AI202" s="5"/>
      <c r="AJ202" s="5"/>
      <c r="AK202" s="19"/>
      <c r="AL202" s="19"/>
      <c r="AM202" s="19"/>
      <c r="AN202" s="19"/>
      <c r="AO202" s="19"/>
    </row>
    <row r="203" spans="19:41" x14ac:dyDescent="0.2">
      <c r="S203" s="5"/>
      <c r="T203" s="5"/>
      <c r="U203" s="5"/>
      <c r="V203" s="5"/>
      <c r="W203" s="5"/>
      <c r="X203" s="5"/>
      <c r="Y203" s="5"/>
      <c r="Z203" s="5"/>
      <c r="AA203" s="5"/>
      <c r="AB203" s="5"/>
      <c r="AC203" s="5"/>
      <c r="AD203" s="5"/>
      <c r="AE203" s="5"/>
      <c r="AF203" s="5"/>
      <c r="AG203" s="5"/>
      <c r="AH203" s="5"/>
      <c r="AI203" s="5"/>
      <c r="AJ203" s="5"/>
      <c r="AK203" s="19"/>
      <c r="AL203" s="19"/>
      <c r="AM203" s="19"/>
      <c r="AN203" s="19"/>
      <c r="AO203" s="19"/>
    </row>
    <row r="204" spans="19:41" x14ac:dyDescent="0.2">
      <c r="S204" s="5"/>
      <c r="T204" s="5"/>
      <c r="U204" s="5"/>
      <c r="V204" s="5"/>
      <c r="W204" s="5"/>
      <c r="X204" s="5"/>
      <c r="Y204" s="5"/>
      <c r="Z204" s="5"/>
      <c r="AA204" s="5"/>
      <c r="AB204" s="5"/>
      <c r="AC204" s="5"/>
      <c r="AD204" s="5"/>
      <c r="AE204" s="5"/>
      <c r="AF204" s="5"/>
      <c r="AG204" s="5"/>
      <c r="AH204" s="5"/>
      <c r="AI204" s="5"/>
      <c r="AJ204" s="5"/>
      <c r="AK204" s="19"/>
      <c r="AL204" s="19"/>
      <c r="AM204" s="19"/>
      <c r="AN204" s="19"/>
      <c r="AO204" s="19"/>
    </row>
    <row r="205" spans="19:41" x14ac:dyDescent="0.2">
      <c r="S205" s="5"/>
      <c r="T205" s="5"/>
      <c r="U205" s="5"/>
      <c r="V205" s="5"/>
      <c r="W205" s="5"/>
      <c r="X205" s="5"/>
      <c r="Y205" s="5"/>
      <c r="Z205" s="5"/>
      <c r="AA205" s="5"/>
      <c r="AB205" s="5"/>
      <c r="AC205" s="5"/>
      <c r="AD205" s="5"/>
      <c r="AE205" s="5"/>
      <c r="AF205" s="5"/>
      <c r="AG205" s="5"/>
      <c r="AH205" s="5"/>
      <c r="AI205" s="5"/>
      <c r="AJ205" s="5"/>
      <c r="AK205" s="19"/>
      <c r="AL205" s="19"/>
      <c r="AM205" s="19"/>
      <c r="AN205" s="19"/>
      <c r="AO205" s="19"/>
    </row>
    <row r="206" spans="19:41" x14ac:dyDescent="0.2">
      <c r="S206" s="5"/>
      <c r="T206" s="5"/>
      <c r="U206" s="5"/>
      <c r="V206" s="5"/>
      <c r="W206" s="5"/>
      <c r="X206" s="5"/>
      <c r="Y206" s="5"/>
      <c r="Z206" s="5"/>
      <c r="AA206" s="5"/>
      <c r="AB206" s="5"/>
      <c r="AC206" s="5"/>
      <c r="AD206" s="5"/>
      <c r="AE206" s="5"/>
      <c r="AF206" s="5"/>
      <c r="AG206" s="5"/>
      <c r="AH206" s="5"/>
      <c r="AI206" s="5"/>
      <c r="AJ206" s="5"/>
      <c r="AK206" s="19"/>
      <c r="AL206" s="19"/>
      <c r="AM206" s="19"/>
      <c r="AN206" s="19"/>
      <c r="AO206" s="19"/>
    </row>
    <row r="207" spans="19:41" x14ac:dyDescent="0.2">
      <c r="S207" s="5"/>
      <c r="T207" s="5"/>
      <c r="U207" s="5"/>
      <c r="V207" s="5"/>
      <c r="W207" s="5"/>
      <c r="X207" s="5"/>
      <c r="Y207" s="5"/>
      <c r="Z207" s="5"/>
      <c r="AA207" s="5"/>
      <c r="AB207" s="5"/>
      <c r="AC207" s="5"/>
      <c r="AD207" s="5"/>
      <c r="AE207" s="5"/>
      <c r="AF207" s="5"/>
      <c r="AG207" s="5"/>
      <c r="AH207" s="5"/>
      <c r="AI207" s="5"/>
      <c r="AJ207" s="5"/>
      <c r="AK207" s="19"/>
      <c r="AL207" s="19"/>
      <c r="AM207" s="19"/>
      <c r="AN207" s="19"/>
      <c r="AO207" s="19"/>
    </row>
    <row r="208" spans="19:41" x14ac:dyDescent="0.2">
      <c r="S208" s="5"/>
      <c r="T208" s="5"/>
      <c r="U208" s="5"/>
      <c r="V208" s="5"/>
      <c r="W208" s="5"/>
      <c r="X208" s="5"/>
      <c r="Y208" s="5"/>
      <c r="Z208" s="5"/>
      <c r="AA208" s="5"/>
      <c r="AB208" s="5"/>
      <c r="AC208" s="5"/>
      <c r="AD208" s="5"/>
      <c r="AE208" s="5"/>
      <c r="AF208" s="5"/>
      <c r="AG208" s="5"/>
      <c r="AH208" s="5"/>
      <c r="AI208" s="5"/>
      <c r="AJ208" s="5"/>
      <c r="AK208" s="19"/>
      <c r="AL208" s="19"/>
      <c r="AM208" s="19"/>
      <c r="AN208" s="19"/>
      <c r="AO208" s="19"/>
    </row>
    <row r="209" spans="19:41" x14ac:dyDescent="0.2">
      <c r="S209" s="5"/>
      <c r="T209" s="5"/>
      <c r="U209" s="5"/>
      <c r="V209" s="5"/>
      <c r="W209" s="5"/>
      <c r="X209" s="5"/>
      <c r="Y209" s="5"/>
      <c r="Z209" s="5"/>
      <c r="AA209" s="5"/>
      <c r="AB209" s="5"/>
      <c r="AC209" s="5"/>
      <c r="AD209" s="5"/>
      <c r="AE209" s="5"/>
      <c r="AF209" s="5"/>
      <c r="AG209" s="5"/>
      <c r="AH209" s="5"/>
      <c r="AI209" s="5"/>
      <c r="AJ209" s="5"/>
      <c r="AK209" s="19"/>
      <c r="AL209" s="19"/>
      <c r="AM209" s="19"/>
      <c r="AN209" s="19"/>
      <c r="AO209" s="19"/>
    </row>
    <row r="210" spans="19:41" x14ac:dyDescent="0.2">
      <c r="S210" s="5"/>
      <c r="T210" s="5"/>
      <c r="U210" s="5"/>
      <c r="V210" s="5"/>
      <c r="W210" s="5"/>
      <c r="X210" s="5"/>
      <c r="Y210" s="5"/>
      <c r="Z210" s="5"/>
      <c r="AA210" s="5"/>
      <c r="AB210" s="5"/>
      <c r="AC210" s="5"/>
      <c r="AD210" s="5"/>
      <c r="AE210" s="5"/>
      <c r="AF210" s="5"/>
      <c r="AG210" s="5"/>
      <c r="AH210" s="5"/>
      <c r="AI210" s="5"/>
      <c r="AJ210" s="5"/>
      <c r="AK210" s="19"/>
      <c r="AL210" s="19"/>
      <c r="AM210" s="19"/>
      <c r="AN210" s="19"/>
      <c r="AO210" s="19"/>
    </row>
    <row r="211" spans="19:41" x14ac:dyDescent="0.2">
      <c r="S211" s="5"/>
      <c r="T211" s="5"/>
      <c r="U211" s="5"/>
      <c r="V211" s="5"/>
      <c r="W211" s="5"/>
      <c r="X211" s="5"/>
      <c r="Y211" s="5"/>
      <c r="Z211" s="5"/>
      <c r="AA211" s="5"/>
      <c r="AB211" s="5"/>
      <c r="AC211" s="5"/>
      <c r="AD211" s="5"/>
      <c r="AE211" s="5"/>
      <c r="AF211" s="5"/>
      <c r="AG211" s="5"/>
      <c r="AH211" s="5"/>
      <c r="AI211" s="5"/>
      <c r="AJ211" s="5"/>
      <c r="AK211" s="19"/>
      <c r="AL211" s="19"/>
      <c r="AM211" s="19"/>
      <c r="AN211" s="19"/>
      <c r="AO211" s="19"/>
    </row>
    <row r="212" spans="19:41" x14ac:dyDescent="0.2">
      <c r="S212" s="5"/>
      <c r="T212" s="5"/>
      <c r="U212" s="5"/>
      <c r="V212" s="5"/>
      <c r="W212" s="5"/>
      <c r="X212" s="5"/>
      <c r="Y212" s="5"/>
      <c r="Z212" s="5"/>
      <c r="AA212" s="5"/>
      <c r="AB212" s="5"/>
      <c r="AC212" s="5"/>
      <c r="AD212" s="5"/>
      <c r="AE212" s="5"/>
      <c r="AF212" s="5"/>
      <c r="AG212" s="5"/>
      <c r="AH212" s="5"/>
      <c r="AI212" s="5"/>
      <c r="AJ212" s="5"/>
      <c r="AK212" s="19"/>
      <c r="AL212" s="19"/>
      <c r="AM212" s="19"/>
      <c r="AN212" s="19"/>
      <c r="AO212" s="19"/>
    </row>
    <row r="213" spans="19:41" x14ac:dyDescent="0.2">
      <c r="S213" s="5"/>
      <c r="T213" s="5"/>
      <c r="U213" s="5"/>
      <c r="V213" s="5"/>
      <c r="W213" s="5"/>
      <c r="X213" s="5"/>
      <c r="Y213" s="5"/>
      <c r="Z213" s="5"/>
      <c r="AA213" s="5"/>
      <c r="AB213" s="5"/>
      <c r="AC213" s="5"/>
      <c r="AD213" s="5"/>
      <c r="AE213" s="5"/>
      <c r="AF213" s="5"/>
      <c r="AG213" s="5"/>
      <c r="AH213" s="5"/>
      <c r="AI213" s="5"/>
      <c r="AJ213" s="5"/>
      <c r="AK213" s="19"/>
      <c r="AL213" s="19"/>
      <c r="AM213" s="19"/>
      <c r="AN213" s="19"/>
      <c r="AO213" s="19"/>
    </row>
    <row r="214" spans="19:41" x14ac:dyDescent="0.2">
      <c r="S214" s="5"/>
      <c r="T214" s="5"/>
      <c r="U214" s="5"/>
      <c r="V214" s="5"/>
      <c r="W214" s="5"/>
      <c r="X214" s="5"/>
      <c r="Y214" s="5"/>
      <c r="Z214" s="5"/>
      <c r="AA214" s="5"/>
      <c r="AB214" s="5"/>
      <c r="AC214" s="5"/>
      <c r="AD214" s="5"/>
      <c r="AE214" s="5"/>
      <c r="AF214" s="5"/>
      <c r="AG214" s="5"/>
      <c r="AH214" s="5"/>
      <c r="AI214" s="5"/>
      <c r="AJ214" s="5"/>
      <c r="AK214" s="19"/>
      <c r="AL214" s="19"/>
      <c r="AM214" s="19"/>
      <c r="AN214" s="19"/>
      <c r="AO214" s="19"/>
    </row>
    <row r="215" spans="19:41" x14ac:dyDescent="0.2">
      <c r="S215" s="5"/>
      <c r="T215" s="5"/>
      <c r="U215" s="5"/>
      <c r="V215" s="5"/>
      <c r="W215" s="5"/>
      <c r="X215" s="5"/>
      <c r="Y215" s="5"/>
      <c r="Z215" s="5"/>
      <c r="AA215" s="5"/>
      <c r="AB215" s="5"/>
      <c r="AC215" s="5"/>
      <c r="AD215" s="5"/>
      <c r="AE215" s="5"/>
      <c r="AF215" s="5"/>
      <c r="AG215" s="5"/>
      <c r="AH215" s="5"/>
      <c r="AI215" s="5"/>
      <c r="AJ215" s="5"/>
      <c r="AK215" s="19"/>
      <c r="AL215" s="19"/>
      <c r="AM215" s="19"/>
      <c r="AN215" s="19"/>
      <c r="AO215" s="19"/>
    </row>
    <row r="216" spans="19:41" x14ac:dyDescent="0.2">
      <c r="S216" s="5"/>
      <c r="T216" s="5"/>
      <c r="U216" s="5"/>
      <c r="V216" s="5"/>
      <c r="W216" s="5"/>
      <c r="X216" s="5"/>
      <c r="Y216" s="5"/>
      <c r="Z216" s="5"/>
      <c r="AA216" s="5"/>
      <c r="AB216" s="5"/>
      <c r="AC216" s="5"/>
      <c r="AD216" s="5"/>
      <c r="AE216" s="5"/>
      <c r="AF216" s="5"/>
      <c r="AG216" s="5"/>
      <c r="AH216" s="5"/>
      <c r="AI216" s="5"/>
      <c r="AJ216" s="5"/>
      <c r="AK216" s="19"/>
      <c r="AL216" s="19"/>
      <c r="AM216" s="19"/>
      <c r="AN216" s="19"/>
      <c r="AO216" s="19"/>
    </row>
    <row r="217" spans="19:41" x14ac:dyDescent="0.2">
      <c r="S217" s="5"/>
      <c r="T217" s="5"/>
      <c r="U217" s="5"/>
      <c r="V217" s="5"/>
      <c r="W217" s="5"/>
      <c r="X217" s="5"/>
      <c r="Y217" s="5"/>
      <c r="Z217" s="5"/>
      <c r="AA217" s="5"/>
      <c r="AB217" s="5"/>
      <c r="AC217" s="5"/>
      <c r="AD217" s="5"/>
      <c r="AE217" s="5"/>
      <c r="AF217" s="5"/>
      <c r="AG217" s="5"/>
      <c r="AH217" s="5"/>
      <c r="AI217" s="5"/>
      <c r="AJ217" s="5"/>
      <c r="AK217" s="19"/>
      <c r="AL217" s="19"/>
      <c r="AM217" s="19"/>
      <c r="AN217" s="19"/>
      <c r="AO217" s="19"/>
    </row>
    <row r="218" spans="19:41" x14ac:dyDescent="0.2">
      <c r="S218" s="5"/>
      <c r="T218" s="5"/>
      <c r="U218" s="5"/>
      <c r="V218" s="5"/>
      <c r="W218" s="5"/>
      <c r="X218" s="5"/>
      <c r="Y218" s="5"/>
      <c r="Z218" s="5"/>
      <c r="AA218" s="5"/>
      <c r="AB218" s="5"/>
      <c r="AC218" s="5"/>
      <c r="AD218" s="5"/>
      <c r="AE218" s="5"/>
      <c r="AF218" s="5"/>
      <c r="AG218" s="5"/>
      <c r="AH218" s="5"/>
      <c r="AI218" s="5"/>
      <c r="AJ218" s="5"/>
      <c r="AK218" s="19"/>
      <c r="AL218" s="19"/>
      <c r="AM218" s="19"/>
      <c r="AN218" s="19"/>
      <c r="AO218" s="19"/>
    </row>
    <row r="219" spans="19:41" x14ac:dyDescent="0.2">
      <c r="S219" s="5"/>
      <c r="T219" s="5"/>
      <c r="U219" s="5"/>
      <c r="V219" s="5"/>
      <c r="W219" s="5"/>
      <c r="X219" s="5"/>
      <c r="Y219" s="5"/>
      <c r="Z219" s="5"/>
      <c r="AA219" s="5"/>
      <c r="AB219" s="5"/>
      <c r="AC219" s="5"/>
      <c r="AD219" s="5"/>
      <c r="AE219" s="5"/>
      <c r="AF219" s="5"/>
      <c r="AG219" s="5"/>
      <c r="AH219" s="5"/>
      <c r="AI219" s="5"/>
      <c r="AJ219" s="5"/>
      <c r="AK219" s="19"/>
      <c r="AL219" s="19"/>
      <c r="AM219" s="19"/>
      <c r="AN219" s="19"/>
      <c r="AO219" s="19"/>
    </row>
    <row r="220" spans="19:41" x14ac:dyDescent="0.2">
      <c r="S220" s="5"/>
      <c r="T220" s="5"/>
      <c r="U220" s="5"/>
      <c r="V220" s="5"/>
      <c r="W220" s="5"/>
      <c r="X220" s="5"/>
      <c r="Y220" s="5"/>
      <c r="Z220" s="5"/>
      <c r="AA220" s="5"/>
      <c r="AB220" s="5"/>
      <c r="AC220" s="5"/>
      <c r="AD220" s="5"/>
      <c r="AE220" s="5"/>
      <c r="AF220" s="5"/>
      <c r="AG220" s="5"/>
      <c r="AH220" s="5"/>
      <c r="AI220" s="5"/>
      <c r="AJ220" s="5"/>
      <c r="AK220" s="19"/>
      <c r="AL220" s="19"/>
      <c r="AM220" s="19"/>
      <c r="AN220" s="19"/>
      <c r="AO220" s="19"/>
    </row>
    <row r="221" spans="19:41" x14ac:dyDescent="0.2">
      <c r="S221" s="5"/>
      <c r="T221" s="5"/>
      <c r="U221" s="5"/>
      <c r="V221" s="5"/>
      <c r="W221" s="5"/>
      <c r="X221" s="5"/>
      <c r="Y221" s="5"/>
      <c r="Z221" s="5"/>
      <c r="AA221" s="5"/>
      <c r="AB221" s="5"/>
      <c r="AC221" s="5"/>
      <c r="AD221" s="5"/>
      <c r="AE221" s="5"/>
      <c r="AF221" s="5"/>
      <c r="AG221" s="5"/>
      <c r="AH221" s="5"/>
      <c r="AI221" s="5"/>
      <c r="AJ221" s="5"/>
      <c r="AK221" s="19"/>
      <c r="AL221" s="19"/>
      <c r="AM221" s="19"/>
      <c r="AN221" s="19"/>
      <c r="AO221" s="19"/>
    </row>
    <row r="222" spans="19:41" x14ac:dyDescent="0.2">
      <c r="S222" s="5"/>
      <c r="T222" s="5"/>
      <c r="U222" s="5"/>
      <c r="V222" s="5"/>
      <c r="W222" s="5"/>
      <c r="X222" s="5"/>
      <c r="Y222" s="5"/>
      <c r="Z222" s="5"/>
      <c r="AA222" s="5"/>
      <c r="AB222" s="5"/>
      <c r="AC222" s="5"/>
      <c r="AD222" s="5"/>
      <c r="AE222" s="5"/>
      <c r="AF222" s="5"/>
      <c r="AG222" s="5"/>
      <c r="AH222" s="5"/>
      <c r="AI222" s="5"/>
      <c r="AJ222" s="5"/>
      <c r="AK222" s="19"/>
      <c r="AL222" s="19"/>
      <c r="AM222" s="19"/>
      <c r="AN222" s="19"/>
      <c r="AO222" s="19"/>
    </row>
    <row r="223" spans="19:41" x14ac:dyDescent="0.2">
      <c r="S223" s="5"/>
      <c r="T223" s="5"/>
      <c r="U223" s="5"/>
      <c r="V223" s="5"/>
      <c r="W223" s="5"/>
      <c r="X223" s="5"/>
      <c r="Y223" s="5"/>
      <c r="Z223" s="5"/>
      <c r="AA223" s="5"/>
      <c r="AB223" s="5"/>
      <c r="AC223" s="5"/>
      <c r="AD223" s="5"/>
      <c r="AE223" s="5"/>
      <c r="AF223" s="5"/>
      <c r="AG223" s="5"/>
      <c r="AH223" s="5"/>
      <c r="AI223" s="5"/>
      <c r="AJ223" s="5"/>
      <c r="AK223" s="19"/>
      <c r="AL223" s="19"/>
      <c r="AM223" s="19"/>
      <c r="AN223" s="19"/>
      <c r="AO223" s="19"/>
    </row>
    <row r="224" spans="19:41" x14ac:dyDescent="0.2">
      <c r="V224" s="5"/>
      <c r="W224" s="5"/>
      <c r="X224" s="5"/>
      <c r="Y224" s="5"/>
      <c r="Z224" s="5"/>
      <c r="AA224" s="5"/>
      <c r="AB224" s="5"/>
      <c r="AC224" s="5"/>
      <c r="AD224" s="5"/>
      <c r="AE224" s="5"/>
      <c r="AF224" s="5"/>
      <c r="AG224" s="5"/>
      <c r="AH224" s="5"/>
      <c r="AI224" s="5"/>
      <c r="AJ224" s="5"/>
      <c r="AK224" s="19"/>
      <c r="AL224" s="19"/>
      <c r="AM224" s="19"/>
      <c r="AN224" s="19"/>
      <c r="AO224" s="19"/>
    </row>
    <row r="225" spans="22:41" x14ac:dyDescent="0.2">
      <c r="V225" s="5"/>
      <c r="W225" s="5"/>
      <c r="X225" s="5"/>
      <c r="Y225" s="5"/>
      <c r="Z225" s="5"/>
      <c r="AA225" s="5"/>
      <c r="AB225" s="5"/>
      <c r="AC225" s="5"/>
      <c r="AD225" s="5"/>
      <c r="AE225" s="5"/>
      <c r="AF225" s="5"/>
      <c r="AG225" s="5"/>
      <c r="AH225" s="5"/>
      <c r="AI225" s="5"/>
      <c r="AJ225" s="5"/>
      <c r="AK225" s="19"/>
      <c r="AL225" s="19"/>
      <c r="AM225" s="19"/>
      <c r="AN225" s="19"/>
      <c r="AO225" s="19"/>
    </row>
    <row r="226" spans="22:41" x14ac:dyDescent="0.2">
      <c r="V226" s="5"/>
      <c r="W226" s="5"/>
      <c r="X226" s="5"/>
      <c r="Y226" s="5"/>
      <c r="Z226" s="5"/>
      <c r="AA226" s="5"/>
      <c r="AB226" s="5"/>
      <c r="AC226" s="5"/>
      <c r="AD226" s="5"/>
      <c r="AE226" s="5"/>
      <c r="AF226" s="5"/>
      <c r="AG226" s="5"/>
      <c r="AH226" s="5"/>
      <c r="AI226" s="5"/>
      <c r="AJ226" s="5"/>
      <c r="AK226" s="19"/>
      <c r="AL226" s="19"/>
      <c r="AM226" s="19"/>
      <c r="AN226" s="19"/>
      <c r="AO226" s="19"/>
    </row>
    <row r="227" spans="22:41" x14ac:dyDescent="0.2">
      <c r="V227" s="5"/>
      <c r="W227" s="5"/>
      <c r="X227" s="5"/>
      <c r="Y227" s="5"/>
      <c r="Z227" s="5"/>
      <c r="AA227" s="5"/>
      <c r="AB227" s="5"/>
      <c r="AC227" s="5"/>
      <c r="AD227" s="5"/>
      <c r="AE227" s="5"/>
      <c r="AF227" s="5"/>
      <c r="AG227" s="5"/>
      <c r="AH227" s="5"/>
      <c r="AI227" s="5"/>
      <c r="AJ227" s="5"/>
      <c r="AK227" s="19"/>
      <c r="AL227" s="19"/>
      <c r="AM227" s="19"/>
      <c r="AN227" s="19"/>
      <c r="AO227" s="19"/>
    </row>
  </sheetData>
  <sheetProtection algorithmName="SHA-512" hashValue="Pm6qs+eRWUgR/EDFFLueEwVlVQXq4b+JTCrEZ2iRtDfGJ29fnbfN+HxfU6VVAfHb+uIgEy09K6U6Ma6DvytREw==" saltValue="Wl30CCmqWKCsM2MxaVHLGw==" spinCount="100000" sheet="1" objects="1" scenarios="1"/>
  <mergeCells count="16">
    <mergeCell ref="G1:H2"/>
    <mergeCell ref="L20:M20"/>
    <mergeCell ref="F40:H40"/>
    <mergeCell ref="F44:H44"/>
    <mergeCell ref="F20:H20"/>
    <mergeCell ref="G19:H19"/>
    <mergeCell ref="B3:H3"/>
    <mergeCell ref="N3:O3"/>
    <mergeCell ref="C18:D18"/>
    <mergeCell ref="G18:H18"/>
    <mergeCell ref="F51:G51"/>
    <mergeCell ref="F21:H21"/>
    <mergeCell ref="F22:H22"/>
    <mergeCell ref="F23:H23"/>
    <mergeCell ref="F24:H24"/>
    <mergeCell ref="D31:E31"/>
  </mergeCells>
  <phoneticPr fontId="0" type="noConversion"/>
  <conditionalFormatting sqref="B22">
    <cfRule type="expression" dxfId="194" priority="43" stopIfTrue="1">
      <formula>$K$20=18</formula>
    </cfRule>
  </conditionalFormatting>
  <conditionalFormatting sqref="B27:B30">
    <cfRule type="expression" dxfId="193" priority="330" stopIfTrue="1">
      <formula>OR(WPDatenbank,SpezWP)</formula>
    </cfRule>
  </conditionalFormatting>
  <conditionalFormatting sqref="B32">
    <cfRule type="expression" dxfId="192" priority="6" stopIfTrue="1">
      <formula>OR(WPArt=2,WPArt=6,WPArt=4)</formula>
    </cfRule>
  </conditionalFormatting>
  <conditionalFormatting sqref="B33">
    <cfRule type="expression" dxfId="191" priority="5" stopIfTrue="1">
      <formula>OR(WPArt=2,WPArt=6)</formula>
    </cfRule>
  </conditionalFormatting>
  <conditionalFormatting sqref="B42 G42">
    <cfRule type="expression" dxfId="190" priority="65" stopIfTrue="1">
      <formula>OR($AA$27=2,$AA$27&gt;4)</formula>
    </cfRule>
  </conditionalFormatting>
  <conditionalFormatting sqref="B31:D31 F31:H31">
    <cfRule type="expression" dxfId="189" priority="32" stopIfTrue="1">
      <formula>OR(WPArt=2,WPArt=6,$K$31)</formula>
    </cfRule>
  </conditionalFormatting>
  <conditionalFormatting sqref="B53:E53">
    <cfRule type="expression" dxfId="188" priority="255" stopIfTrue="1">
      <formula>$K$53=TRUE</formula>
    </cfRule>
  </conditionalFormatting>
  <conditionalFormatting sqref="B50:G50">
    <cfRule type="expression" dxfId="187" priority="12" stopIfTrue="1">
      <formula>$O$53&lt;3</formula>
    </cfRule>
  </conditionalFormatting>
  <conditionalFormatting sqref="C18">
    <cfRule type="expression" dxfId="186" priority="53" stopIfTrue="1">
      <formula>OR($G$18&lt;&gt;"",SpezWP)</formula>
    </cfRule>
  </conditionalFormatting>
  <conditionalFormatting sqref="C27">
    <cfRule type="expression" dxfId="185" priority="167" stopIfTrue="1">
      <formula>OR($BI$57=2,WPDatenbank,SpezWP)</formula>
    </cfRule>
  </conditionalFormatting>
  <conditionalFormatting sqref="C28">
    <cfRule type="expression" dxfId="184" priority="335" stopIfTrue="1">
      <formula>OR(WPDatenbank,SpezWP)</formula>
    </cfRule>
  </conditionalFormatting>
  <conditionalFormatting sqref="C29:C30">
    <cfRule type="expression" dxfId="183" priority="331" stopIfTrue="1">
      <formula>OR(WPDatenbank,SpezWP)</formula>
    </cfRule>
  </conditionalFormatting>
  <conditionalFormatting sqref="C42:D42 F42">
    <cfRule type="expression" dxfId="182" priority="64" stopIfTrue="1">
      <formula>$AA$27=2</formula>
    </cfRule>
  </conditionalFormatting>
  <conditionalFormatting sqref="D27:D28">
    <cfRule type="expression" dxfId="181" priority="336" stopIfTrue="1">
      <formula>OR(WPArt=3,WPArt=4,WPArt=5,WPArt=6,WPDatenbank,SpezWP)</formula>
    </cfRule>
  </conditionalFormatting>
  <conditionalFormatting sqref="D29:D30">
    <cfRule type="expression" dxfId="180" priority="74" stopIfTrue="1">
      <formula>$M$26=2</formula>
    </cfRule>
    <cfRule type="expression" dxfId="179" priority="73" stopIfTrue="1">
      <formula>OR(WPArt=3,WPArt=4,WPArt=5,WPArt=6)</formula>
    </cfRule>
  </conditionalFormatting>
  <conditionalFormatting sqref="D32">
    <cfRule type="expression" dxfId="178" priority="9" stopIfTrue="1">
      <formula>OR(WPArt=2,WPArt=6,WPArt=4)</formula>
    </cfRule>
  </conditionalFormatting>
  <conditionalFormatting sqref="D48">
    <cfRule type="expression" dxfId="177" priority="36" stopIfTrue="1">
      <formula>OR($O$53&lt;2,$P$61)</formula>
    </cfRule>
    <cfRule type="expression" dxfId="176" priority="37" stopIfTrue="1">
      <formula>AND($O$53&gt;1,$O$53&lt;4)</formula>
    </cfRule>
  </conditionalFormatting>
  <conditionalFormatting sqref="D25:G25">
    <cfRule type="expression" dxfId="175" priority="38" stopIfTrue="1">
      <formula>WPArt&lt;&gt;2</formula>
    </cfRule>
  </conditionalFormatting>
  <conditionalFormatting sqref="E29:E30 G29:G30">
    <cfRule type="expression" dxfId="174" priority="332" stopIfTrue="1">
      <formula>OR(WPArt=3,WPArt=4,WPArt=5,WPArt=6,WPDatenbank,SpezWP)</formula>
    </cfRule>
  </conditionalFormatting>
  <conditionalFormatting sqref="E32">
    <cfRule type="expression" dxfId="173" priority="8" stopIfTrue="1">
      <formula>OR(WPArt=2,WPArt=6,WPArt=4)</formula>
    </cfRule>
  </conditionalFormatting>
  <conditionalFormatting sqref="E42">
    <cfRule type="expression" dxfId="172" priority="159" stopIfTrue="1">
      <formula>OR($AA$27=2,$K$40&gt;4)</formula>
    </cfRule>
  </conditionalFormatting>
  <conditionalFormatting sqref="E43">
    <cfRule type="expression" dxfId="171" priority="26" stopIfTrue="1">
      <formula>WW=FALSE</formula>
    </cfRule>
  </conditionalFormatting>
  <conditionalFormatting sqref="E58">
    <cfRule type="expression" dxfId="170" priority="161" stopIfTrue="1">
      <formula>$H$58=0</formula>
    </cfRule>
  </conditionalFormatting>
  <conditionalFormatting sqref="E60 H60">
    <cfRule type="expression" dxfId="169" priority="328" stopIfTrue="1">
      <formula>bivalent=TRUE</formula>
    </cfRule>
  </conditionalFormatting>
  <conditionalFormatting sqref="E27:F28">
    <cfRule type="expression" dxfId="168" priority="337" stopIfTrue="1">
      <formula>OR(WPArt=3,WPArt=4,WPArt=5,WPArt=6,WPDatenbank,SpezWP)</formula>
    </cfRule>
  </conditionalFormatting>
  <conditionalFormatting sqref="F18:F19">
    <cfRule type="expression" dxfId="167" priority="55" stopIfTrue="1">
      <formula>$K$18=TRUE</formula>
    </cfRule>
  </conditionalFormatting>
  <conditionalFormatting sqref="F29:F30">
    <cfRule type="expression" dxfId="166" priority="76" stopIfTrue="1">
      <formula>$M$26=2</formula>
    </cfRule>
    <cfRule type="expression" dxfId="165" priority="75" stopIfTrue="1">
      <formula>OR(WPArt=3,WPArt=4,WPArt=5,WPArt=6)</formula>
    </cfRule>
  </conditionalFormatting>
  <conditionalFormatting sqref="F40">
    <cfRule type="expression" dxfId="164" priority="63" stopIfTrue="1">
      <formula>M26&lt;3</formula>
    </cfRule>
  </conditionalFormatting>
  <conditionalFormatting sqref="F45 D45:D47 B45:C49 E45:E49 G45:G49 D49 F49 L60 L62">
    <cfRule type="expression" dxfId="163" priority="13" stopIfTrue="1">
      <formula>$O$53&lt;2</formula>
    </cfRule>
  </conditionalFormatting>
  <conditionalFormatting sqref="F46">
    <cfRule type="expression" dxfId="162" priority="25" stopIfTrue="1">
      <formula>$O$53=1</formula>
    </cfRule>
    <cfRule type="expression" dxfId="161" priority="24" stopIfTrue="1">
      <formula>$O$53&gt;1</formula>
    </cfRule>
  </conditionalFormatting>
  <conditionalFormatting sqref="F47">
    <cfRule type="expression" dxfId="160" priority="33" stopIfTrue="1">
      <formula>O53=1</formula>
    </cfRule>
  </conditionalFormatting>
  <conditionalFormatting sqref="F48">
    <cfRule type="expression" dxfId="159" priority="35" stopIfTrue="1">
      <formula>AND($O$53&gt;1,$O$53&lt;4)</formula>
    </cfRule>
    <cfRule type="expression" dxfId="158" priority="34" stopIfTrue="1">
      <formula>OR($P$61,$O$53&lt;2)</formula>
    </cfRule>
  </conditionalFormatting>
  <conditionalFormatting sqref="F53">
    <cfRule type="cellIs" dxfId="157" priority="321" stopIfTrue="1" operator="lessThan">
      <formula>0</formula>
    </cfRule>
  </conditionalFormatting>
  <conditionalFormatting sqref="F58">
    <cfRule type="expression" dxfId="156" priority="160" stopIfTrue="1">
      <formula>$H$58=0</formula>
    </cfRule>
  </conditionalFormatting>
  <conditionalFormatting sqref="F18:G19">
    <cfRule type="expression" dxfId="155" priority="51" stopIfTrue="1">
      <formula>SpezWP</formula>
    </cfRule>
  </conditionalFormatting>
  <conditionalFormatting sqref="F43:G43">
    <cfRule type="expression" dxfId="154" priority="29" stopIfTrue="1">
      <formula>OR(WW=FALSE,$K$43&lt;4)</formula>
    </cfRule>
  </conditionalFormatting>
  <conditionalFormatting sqref="F20:H20">
    <cfRule type="expression" dxfId="153" priority="50" stopIfTrue="1">
      <formula>AND($H$8&gt;0,OR($F$20="",$F$20=" "))</formula>
    </cfRule>
  </conditionalFormatting>
  <conditionalFormatting sqref="F21:H21">
    <cfRule type="expression" dxfId="152" priority="46" stopIfTrue="1">
      <formula>AND($F$20&lt;&gt;"",$F$21="")</formula>
    </cfRule>
  </conditionalFormatting>
  <conditionalFormatting sqref="F22:H22">
    <cfRule type="expression" dxfId="151" priority="322" stopIfTrue="1">
      <formula>OR($J$21=3,$J$21=1, $K$20=18)</formula>
    </cfRule>
    <cfRule type="expression" dxfId="150" priority="323" stopIfTrue="1">
      <formula>$F$22=""</formula>
    </cfRule>
  </conditionalFormatting>
  <conditionalFormatting sqref="F23:H23">
    <cfRule type="expression" dxfId="149" priority="324" stopIfTrue="1">
      <formula>AND($F$21&lt;&gt;"",OR($F$23="",$F$23=" "),$K$20&lt;&gt;18)</formula>
    </cfRule>
  </conditionalFormatting>
  <conditionalFormatting sqref="F24:H24">
    <cfRule type="expression" dxfId="148" priority="47" stopIfTrue="1">
      <formula>$B$24=""</formula>
    </cfRule>
    <cfRule type="expression" dxfId="147" priority="48" stopIfTrue="1">
      <formula>AND($B$24&lt;&gt;"",$F$24="")</formula>
    </cfRule>
  </conditionalFormatting>
  <conditionalFormatting sqref="F32:H32">
    <cfRule type="expression" dxfId="146" priority="7" stopIfTrue="1">
      <formula>OR(WPArt=2,WPArt=6,WPArt=4)</formula>
    </cfRule>
  </conditionalFormatting>
  <conditionalFormatting sqref="G18:G19">
    <cfRule type="expression" dxfId="145" priority="52" stopIfTrue="1">
      <formula>$K$18=TRUE</formula>
    </cfRule>
  </conditionalFormatting>
  <conditionalFormatting sqref="G27:G28">
    <cfRule type="expression" dxfId="144" priority="338" stopIfTrue="1">
      <formula>OR(WPArt=3,WPArt=4,WPArt=5,WPArt=6,WPDatenbank,SpezWP)</formula>
    </cfRule>
  </conditionalFormatting>
  <conditionalFormatting sqref="G33:H33 N39">
    <cfRule type="expression" dxfId="143" priority="4" stopIfTrue="1">
      <formula>OR(WPArt=2,WPArt=6)</formula>
    </cfRule>
  </conditionalFormatting>
  <conditionalFormatting sqref="H25">
    <cfRule type="expression" dxfId="142" priority="39" stopIfTrue="1">
      <formula>$H$6=""</formula>
    </cfRule>
  </conditionalFormatting>
  <conditionalFormatting sqref="H26">
    <cfRule type="expression" dxfId="141" priority="40" stopIfTrue="1">
      <formula>$H$6=""</formula>
    </cfRule>
  </conditionalFormatting>
  <conditionalFormatting sqref="H27:H28">
    <cfRule type="expression" dxfId="140" priority="339" stopIfTrue="1">
      <formula>OR(WPDatenbank,SpezWP)</formula>
    </cfRule>
  </conditionalFormatting>
  <conditionalFormatting sqref="H29:H30">
    <cfRule type="expression" dxfId="139" priority="333" stopIfTrue="1">
      <formula>OR(WPDatenbank,SpezWP)</formula>
    </cfRule>
  </conditionalFormatting>
  <conditionalFormatting sqref="H33">
    <cfRule type="expression" dxfId="138" priority="163" stopIfTrue="1">
      <formula>OR(WPArt=3,WPArt=4)</formula>
    </cfRule>
  </conditionalFormatting>
  <conditionalFormatting sqref="H34">
    <cfRule type="expression" dxfId="137" priority="1" stopIfTrue="1">
      <formula>Eingabe1&gt;7</formula>
    </cfRule>
  </conditionalFormatting>
  <conditionalFormatting sqref="H35:H37">
    <cfRule type="expression" dxfId="136" priority="2" stopIfTrue="1">
      <formula>Heizung</formula>
    </cfRule>
  </conditionalFormatting>
  <conditionalFormatting sqref="H38">
    <cfRule type="expression" dxfId="135" priority="3" stopIfTrue="1">
      <formula>AND(Heizspeicher,Heizung)</formula>
    </cfRule>
  </conditionalFormatting>
  <conditionalFormatting sqref="H39">
    <cfRule type="expression" dxfId="134" priority="329" stopIfTrue="1">
      <formula>$L$23=5</formula>
    </cfRule>
  </conditionalFormatting>
  <conditionalFormatting sqref="H41">
    <cfRule type="expression" dxfId="133" priority="28" stopIfTrue="1">
      <formula>WW=FALSE</formula>
    </cfRule>
    <cfRule type="expression" dxfId="132" priority="27" stopIfTrue="1">
      <formula>WW</formula>
    </cfRule>
  </conditionalFormatting>
  <conditionalFormatting sqref="H42">
    <cfRule type="expression" dxfId="131" priority="325" stopIfTrue="1">
      <formula xml:space="preserve"> OR($K$40=2,$K$40&gt;4,WW=FALSE)</formula>
    </cfRule>
    <cfRule type="expression" dxfId="130" priority="326" stopIfTrue="1">
      <formula>AND(WW,OR($H$41&lt;=$H$42,$H$42=""))</formula>
    </cfRule>
    <cfRule type="expression" dxfId="129" priority="327" stopIfTrue="1">
      <formula>$H$41&gt;$H$42</formula>
    </cfRule>
  </conditionalFormatting>
  <conditionalFormatting sqref="H43">
    <cfRule type="expression" dxfId="128" priority="31" stopIfTrue="1">
      <formula>OR(WW=FALSE,$K$43&lt;4)</formula>
    </cfRule>
    <cfRule type="expression" dxfId="127" priority="30" stopIfTrue="1">
      <formula>AND(WW,$K$43&gt;3)</formula>
    </cfRule>
  </conditionalFormatting>
  <conditionalFormatting sqref="H45">
    <cfRule type="expression" dxfId="126" priority="18" stopIfTrue="1">
      <formula>$O$53=1</formula>
    </cfRule>
    <cfRule type="expression" dxfId="125" priority="17" stopIfTrue="1">
      <formula>$O$53&gt;1</formula>
    </cfRule>
  </conditionalFormatting>
  <conditionalFormatting sqref="H46">
    <cfRule type="expression" dxfId="124" priority="20" stopIfTrue="1">
      <formula>$O$53=1</formula>
    </cfRule>
    <cfRule type="expression" dxfId="123" priority="19" stopIfTrue="1">
      <formula>$O$53&gt;1</formula>
    </cfRule>
  </conditionalFormatting>
  <conditionalFormatting sqref="H47">
    <cfRule type="expression" dxfId="122" priority="23" stopIfTrue="1">
      <formula>$O$53=1</formula>
    </cfRule>
    <cfRule type="expression" dxfId="121" priority="22" stopIfTrue="1">
      <formula>O53&gt;1</formula>
    </cfRule>
    <cfRule type="expression" dxfId="120" priority="21" stopIfTrue="1">
      <formula>solarExtern=TRUE</formula>
    </cfRule>
  </conditionalFormatting>
  <conditionalFormatting sqref="H48 K48">
    <cfRule type="expression" dxfId="119" priority="42" stopIfTrue="1">
      <formula>$O$53=1</formula>
    </cfRule>
    <cfRule type="expression" dxfId="118" priority="41" stopIfTrue="1">
      <formula>$O$53&gt;1</formula>
    </cfRule>
  </conditionalFormatting>
  <conditionalFormatting sqref="H49">
    <cfRule type="expression" dxfId="117" priority="15" stopIfTrue="1">
      <formula>$O$53&lt;2</formula>
    </cfRule>
    <cfRule type="expression" dxfId="116" priority="14" stopIfTrue="1">
      <formula>$O$53=1</formula>
    </cfRule>
  </conditionalFormatting>
  <conditionalFormatting sqref="H50">
    <cfRule type="expression" dxfId="115" priority="16" stopIfTrue="1">
      <formula>$O$53&lt;3</formula>
    </cfRule>
  </conditionalFormatting>
  <conditionalFormatting sqref="O53">
    <cfRule type="expression" dxfId="114" priority="56" stopIfTrue="1">
      <formula>AM87=4</formula>
    </cfRule>
  </conditionalFormatting>
  <dataValidations count="15">
    <dataValidation type="list" allowBlank="1" showInputMessage="1" showErrorMessage="1" sqref="G18:H18" xr:uid="{00000000-0002-0000-0200-000000000000}">
      <formula1>L_Hersteller</formula1>
    </dataValidation>
    <dataValidation type="list" allowBlank="1" showInputMessage="1" showErrorMessage="1" sqref="G19:H19" xr:uid="{00000000-0002-0000-0200-000001000000}">
      <formula1>L_Typ</formula1>
    </dataValidation>
    <dataValidation type="list" allowBlank="1" showInputMessage="1" showErrorMessage="1" sqref="H6" xr:uid="{00000000-0002-0000-0200-000002000000}">
      <formula1>$B$68:$B$100</formula1>
    </dataValidation>
    <dataValidation type="list" allowBlank="1" showInputMessage="1" showErrorMessage="1" sqref="H7" xr:uid="{00000000-0002-0000-0200-000003000000}">
      <formula1>$L$5:$L$17</formula1>
    </dataValidation>
    <dataValidation type="list" allowBlank="1" showInputMessage="1" showErrorMessage="1" sqref="F44:H44" xr:uid="{00000000-0002-0000-0200-000004000000}">
      <formula1>$N$54:$N$60</formula1>
    </dataValidation>
    <dataValidation type="list" allowBlank="1" showInputMessage="1" showErrorMessage="1" sqref="E18" xr:uid="{00000000-0002-0000-0200-000005000000}">
      <formula1>$L$46:$L$49</formula1>
    </dataValidation>
    <dataValidation type="list" allowBlank="1" showInputMessage="1" showErrorMessage="1" sqref="E43" xr:uid="{00000000-0002-0000-0200-000006000000}">
      <formula1>$N$46:$N$49</formula1>
    </dataValidation>
    <dataValidation type="list" allowBlank="1" showInputMessage="1" showErrorMessage="1" sqref="G9" xr:uid="{00000000-0002-0000-0200-000007000000}">
      <formula1>$L$21:$L$22</formula1>
    </dataValidation>
    <dataValidation type="list" allowBlank="1" showInputMessage="1" showErrorMessage="1" sqref="F20" xr:uid="{00000000-0002-0000-0200-000008000000}">
      <formula1>$M$74:$M$94</formula1>
    </dataValidation>
    <dataValidation type="list" allowBlank="1" showInputMessage="1" showErrorMessage="1" sqref="F21:H21" xr:uid="{00000000-0002-0000-0200-000009000000}">
      <formula1>$L$28:$L$32</formula1>
    </dataValidation>
    <dataValidation type="list" allowBlank="1" showInputMessage="1" showErrorMessage="1" sqref="F22:H22" xr:uid="{00000000-0002-0000-0200-00000A000000}">
      <formula1>$O$21:$O$26</formula1>
    </dataValidation>
    <dataValidation type="list" allowBlank="1" showInputMessage="1" showErrorMessage="1" sqref="F23:H23" xr:uid="{00000000-0002-0000-0200-00000B000000}">
      <formula1>$T$21:$T$25</formula1>
    </dataValidation>
    <dataValidation type="list" allowBlank="1" showInputMessage="1" showErrorMessage="1" sqref="F24:H24" xr:uid="{00000000-0002-0000-0200-00000C000000}">
      <formula1>$X$21:$X$25</formula1>
    </dataValidation>
    <dataValidation type="list" allowBlank="1" showInputMessage="1" showErrorMessage="1" sqref="F40" xr:uid="{00000000-0002-0000-0200-00000D000000}">
      <formula1>$AA$21:$AA$26</formula1>
    </dataValidation>
    <dataValidation type="list" allowBlank="1" showInputMessage="1" showErrorMessage="1" sqref="E60" xr:uid="{00000000-0002-0000-0200-00000E000000}">
      <formula1>$Q$46:$Q$47</formula1>
    </dataValidation>
  </dataValidations>
  <pageMargins left="0.74803149606299213" right="0.23622047244094491" top="0.39370078740157483" bottom="0.31496062992125984" header="0.47244094488188981" footer="0.27559055118110237"/>
  <pageSetup paperSize="9" scale="91" orientation="portrait" r:id="rId1"/>
  <headerFooter alignWithMargins="0">
    <oddFooter>&amp;L&amp;6&amp;F / &amp;A / &amp;D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pageSetUpPr fitToPage="1"/>
  </sheetPr>
  <dimension ref="A1:CZ1174"/>
  <sheetViews>
    <sheetView workbookViewId="0">
      <selection activeCell="C4" sqref="C4:E4"/>
    </sheetView>
  </sheetViews>
  <sheetFormatPr baseColWidth="10" defaultColWidth="11.5703125" defaultRowHeight="12" x14ac:dyDescent="0.2"/>
  <cols>
    <col min="1" max="1" width="1.140625" style="5" customWidth="1"/>
    <col min="2" max="2" width="14.7109375" style="5" customWidth="1"/>
    <col min="3" max="3" width="18.7109375" style="5" customWidth="1"/>
    <col min="4" max="4" width="6.28515625" style="5" customWidth="1"/>
    <col min="5" max="5" width="12.28515625" style="5" customWidth="1"/>
    <col min="6" max="6" width="12.28515625" style="231" customWidth="1"/>
    <col min="7" max="8" width="10.7109375" style="5" customWidth="1"/>
    <col min="9" max="9" width="14" style="5" customWidth="1"/>
    <col min="10" max="11" width="1.7109375" style="5" customWidth="1"/>
    <col min="12" max="12" width="10.7109375" style="5" hidden="1" customWidth="1"/>
    <col min="13" max="13" width="4.28515625" style="5" hidden="1" customWidth="1"/>
    <col min="14" max="14" width="13.28515625" style="15" hidden="1" customWidth="1"/>
    <col min="15" max="15" width="11.85546875" style="15" hidden="1" customWidth="1"/>
    <col min="16" max="16" width="10.7109375" style="15" hidden="1" customWidth="1"/>
    <col min="17" max="18" width="10.28515625" style="15" hidden="1" customWidth="1"/>
    <col min="19" max="20" width="11.5703125" style="15" hidden="1" customWidth="1"/>
    <col min="21" max="21" width="17.42578125" style="15" hidden="1" customWidth="1"/>
    <col min="22" max="22" width="11.5703125" style="15" hidden="1" customWidth="1"/>
    <col min="23" max="30" width="11.5703125" style="5" hidden="1" customWidth="1"/>
    <col min="31" max="31" width="19.85546875" style="5" hidden="1" customWidth="1"/>
    <col min="32" max="68" width="11.5703125" style="5" hidden="1" customWidth="1"/>
    <col min="69" max="85" width="11.5703125" style="15" hidden="1" customWidth="1"/>
    <col min="86" max="87" width="11.5703125" style="15" customWidth="1"/>
    <col min="88" max="104" width="11.5703125" style="5"/>
    <col min="105" max="16384" width="11.5703125" style="15"/>
  </cols>
  <sheetData>
    <row r="1" spans="1:87" ht="19.899999999999999" customHeight="1" x14ac:dyDescent="0.2">
      <c r="A1" s="1"/>
      <c r="B1" s="1281" t="s">
        <v>706</v>
      </c>
      <c r="C1" s="1281"/>
      <c r="D1" s="1281"/>
      <c r="E1" s="1281"/>
      <c r="J1" s="1020" t="s">
        <v>892</v>
      </c>
      <c r="N1" s="5"/>
      <c r="O1" s="5"/>
      <c r="P1" s="19"/>
      <c r="Q1" s="19"/>
      <c r="R1" s="19"/>
      <c r="S1" s="19"/>
      <c r="T1" s="19"/>
      <c r="U1" s="19"/>
      <c r="V1" s="19"/>
      <c r="W1" s="19"/>
      <c r="BQ1" s="5"/>
      <c r="BR1" s="5"/>
      <c r="BS1" s="5"/>
      <c r="BT1" s="5"/>
      <c r="BU1" s="5"/>
      <c r="BV1" s="5"/>
      <c r="BW1" s="5"/>
      <c r="BX1" s="5"/>
      <c r="BY1" s="5"/>
      <c r="BZ1" s="5"/>
      <c r="CA1" s="5"/>
      <c r="CB1" s="5"/>
      <c r="CC1" s="5"/>
      <c r="CD1" s="5"/>
      <c r="CE1" s="5"/>
      <c r="CF1" s="5"/>
      <c r="CG1" s="5"/>
      <c r="CH1" s="5"/>
      <c r="CI1" s="5"/>
    </row>
    <row r="2" spans="1:87" ht="19.899999999999999" customHeight="1" x14ac:dyDescent="0.25">
      <c r="A2" s="1"/>
      <c r="B2" s="1096" t="s">
        <v>1194</v>
      </c>
      <c r="C2" s="1097" t="str">
        <f>"Version "&amp;Sprache!E2</f>
        <v>Version 8.3.40</v>
      </c>
      <c r="D2" s="1294" t="str">
        <f ca="1">IF(TODAY()&gt;DATE(2013,12,31),"Abgelaufen!","")</f>
        <v>Abgelaufen!</v>
      </c>
      <c r="E2" s="1294"/>
      <c r="N2" s="888" t="s">
        <v>2607</v>
      </c>
      <c r="O2" s="889"/>
      <c r="P2" s="890"/>
      <c r="Q2" s="19"/>
      <c r="R2" s="142"/>
      <c r="S2" s="891" t="s">
        <v>2608</v>
      </c>
      <c r="T2" s="73"/>
      <c r="U2" s="1048" t="b">
        <f>IF(OR(T7,T13),TRUE,FALSE)</f>
        <v>0</v>
      </c>
      <c r="V2" s="230" t="s">
        <v>2609</v>
      </c>
      <c r="W2" s="1296" t="s">
        <v>1064</v>
      </c>
      <c r="X2" s="1297"/>
      <c r="Z2" s="6" t="s">
        <v>2538</v>
      </c>
      <c r="AA2" s="118"/>
      <c r="AB2" s="139" t="s">
        <v>2545</v>
      </c>
      <c r="AC2" s="723"/>
      <c r="AE2" s="139" t="s">
        <v>1681</v>
      </c>
      <c r="AF2" s="229">
        <f>L25</f>
        <v>1</v>
      </c>
      <c r="AG2" s="996" t="s">
        <v>1682</v>
      </c>
      <c r="AH2" s="230" t="s">
        <v>84</v>
      </c>
      <c r="AJ2" s="192" t="s">
        <v>1678</v>
      </c>
      <c r="AK2" s="227" t="s">
        <v>1679</v>
      </c>
      <c r="AL2" s="227" t="s">
        <v>1680</v>
      </c>
      <c r="AN2" s="139" t="s">
        <v>3930</v>
      </c>
      <c r="AO2" s="172">
        <f>L27</f>
        <v>1</v>
      </c>
      <c r="AQ2" s="192" t="s">
        <v>3941</v>
      </c>
      <c r="AR2" s="193"/>
      <c r="AT2" s="688" t="s">
        <v>1130</v>
      </c>
      <c r="AU2" s="687" t="s">
        <v>1131</v>
      </c>
      <c r="AV2" s="890"/>
      <c r="AX2" s="6" t="s">
        <v>2416</v>
      </c>
      <c r="AY2" s="682"/>
      <c r="AZ2" s="989"/>
      <c r="BA2" s="1052"/>
      <c r="BB2" s="989"/>
      <c r="BC2" s="989"/>
      <c r="BD2" s="989"/>
      <c r="BE2" s="118"/>
      <c r="BQ2" s="5"/>
      <c r="BR2" s="5"/>
      <c r="BS2" s="5"/>
      <c r="BT2" s="5"/>
      <c r="BU2" s="5"/>
      <c r="BV2" s="5"/>
      <c r="BW2" s="5"/>
      <c r="BX2" s="5"/>
      <c r="BY2" s="5"/>
      <c r="BZ2" s="5"/>
      <c r="CA2" s="5"/>
      <c r="CB2" s="5"/>
      <c r="CC2" s="5"/>
      <c r="CD2" s="5"/>
      <c r="CE2" s="5"/>
      <c r="CF2" s="5"/>
      <c r="CG2" s="5"/>
      <c r="CH2" s="5"/>
      <c r="CI2" s="5"/>
    </row>
    <row r="3" spans="1:87" ht="15" customHeight="1" x14ac:dyDescent="0.2">
      <c r="A3" s="1"/>
      <c r="B3" s="234" t="s">
        <v>3473</v>
      </c>
      <c r="C3" s="975"/>
      <c r="D3" s="975"/>
      <c r="E3" s="975"/>
      <c r="F3" s="1085" t="s">
        <v>1395</v>
      </c>
      <c r="G3" s="1085"/>
      <c r="H3" s="1295" t="str">
        <f>"JAZcalc "&amp;Sprache!E2&amp;" / "&amp;TEXT(WP_Daten!E2,"tt.MMM.jjjj")</f>
        <v>JAZcalc 8.3.40 / 29.Jun.2026</v>
      </c>
      <c r="I3" s="1295"/>
      <c r="J3" s="976"/>
      <c r="L3" s="976"/>
      <c r="N3" s="894" t="s">
        <v>3474</v>
      </c>
      <c r="O3" s="895">
        <f>IF(H10="",1,MATCH(H10,N5:N17,0))</f>
        <v>1</v>
      </c>
      <c r="P3" s="896"/>
      <c r="Q3" s="19"/>
      <c r="R3" s="114"/>
      <c r="S3" s="897" t="s">
        <v>1669</v>
      </c>
      <c r="T3" s="177" t="b">
        <f>WPArt=3</f>
        <v>0</v>
      </c>
      <c r="U3" s="158"/>
      <c r="W3" s="504" t="s">
        <v>1421</v>
      </c>
      <c r="X3" s="17" t="s">
        <v>1534</v>
      </c>
      <c r="Z3" s="20"/>
      <c r="AA3" s="21"/>
      <c r="AB3" s="16"/>
      <c r="AC3" s="22"/>
      <c r="AE3" s="16" t="s">
        <v>718</v>
      </c>
      <c r="AF3" s="995" t="b">
        <v>1</v>
      </c>
      <c r="AG3" s="365">
        <f>'WP1'!AJ133</f>
        <v>0</v>
      </c>
      <c r="AH3" s="24" t="b">
        <v>0</v>
      </c>
      <c r="AJ3" s="232" t="s">
        <v>718</v>
      </c>
      <c r="AK3" s="24" t="b">
        <v>0</v>
      </c>
      <c r="AL3" s="24" t="b">
        <v>0</v>
      </c>
      <c r="AN3" s="16" t="s">
        <v>718</v>
      </c>
      <c r="AO3" s="174"/>
      <c r="AQ3" s="16"/>
      <c r="AR3" s="24"/>
      <c r="AT3" s="704" t="b">
        <f>IF(OR(AU4=2,AU4=4,AU4=6),TRUE,FALSE)</f>
        <v>0</v>
      </c>
      <c r="AU3" s="705" t="b">
        <f>IF(OR(AU4=3,AU4=5,AU4=7),TRUE,FALSE)</f>
        <v>0</v>
      </c>
      <c r="AV3" s="268"/>
      <c r="AX3" s="1001" t="s">
        <v>2417</v>
      </c>
      <c r="AY3" s="287"/>
      <c r="AZ3" s="679"/>
      <c r="BA3" s="17">
        <v>30</v>
      </c>
      <c r="BB3" s="17">
        <v>45</v>
      </c>
      <c r="BC3" s="17">
        <v>70</v>
      </c>
      <c r="BD3" s="17">
        <v>90</v>
      </c>
      <c r="BE3" s="17">
        <v>999</v>
      </c>
      <c r="BQ3" s="5"/>
      <c r="BR3" s="5"/>
      <c r="BS3" s="5"/>
      <c r="BT3" s="5"/>
      <c r="BU3" s="5"/>
      <c r="BV3" s="5"/>
      <c r="BW3" s="5"/>
      <c r="BX3" s="5"/>
      <c r="BY3" s="5"/>
      <c r="BZ3" s="5"/>
      <c r="CA3" s="5"/>
      <c r="CB3" s="5"/>
      <c r="CC3" s="5"/>
      <c r="CD3" s="5"/>
      <c r="CE3" s="5"/>
      <c r="CF3" s="5"/>
      <c r="CG3" s="5"/>
      <c r="CH3" s="5"/>
      <c r="CI3" s="5"/>
    </row>
    <row r="4" spans="1:87" ht="15" customHeight="1" x14ac:dyDescent="0.2">
      <c r="A4" s="1"/>
      <c r="B4" s="972" t="s">
        <v>1667</v>
      </c>
      <c r="C4" s="1282"/>
      <c r="D4" s="1283"/>
      <c r="E4" s="1284"/>
      <c r="F4" s="893" t="s">
        <v>1668</v>
      </c>
      <c r="G4" s="1285"/>
      <c r="H4" s="1286"/>
      <c r="I4" s="1287"/>
      <c r="N4" s="20" t="s">
        <v>714</v>
      </c>
      <c r="O4" s="900" t="s">
        <v>1415</v>
      </c>
      <c r="P4" s="901" t="s">
        <v>1416</v>
      </c>
      <c r="Q4" s="19"/>
      <c r="R4" s="902"/>
      <c r="S4" s="259" t="s">
        <v>1417</v>
      </c>
      <c r="T4" s="5"/>
      <c r="U4" s="21"/>
      <c r="V4" s="892" t="s">
        <v>2919</v>
      </c>
      <c r="W4" s="902">
        <v>40</v>
      </c>
      <c r="X4" s="17">
        <v>1000</v>
      </c>
      <c r="Z4" s="619" t="s">
        <v>2539</v>
      </c>
      <c r="AA4" s="21"/>
      <c r="AB4" s="20" t="str">
        <f>'WP1'!R50</f>
        <v>Non disponibles</v>
      </c>
      <c r="AC4" s="21"/>
      <c r="AE4" s="20" t="str">
        <f>IF('WP1'!AH134&lt;&gt;"",'WP1'!AH134,"")</f>
        <v/>
      </c>
      <c r="AF4" s="246" t="b">
        <v>0</v>
      </c>
      <c r="AG4" s="233">
        <f>'WP1'!AJ134</f>
        <v>0</v>
      </c>
      <c r="AH4" s="21" t="b">
        <v>0</v>
      </c>
      <c r="AJ4" s="238" t="str">
        <f>'WP1'!AD134</f>
        <v>fonctionnement chauffage monovalent</v>
      </c>
      <c r="AK4" s="29" t="b">
        <v>0</v>
      </c>
      <c r="AL4" s="29" t="b">
        <v>0</v>
      </c>
      <c r="AN4" s="20" t="str">
        <f>'WP1'!BG69</f>
        <v/>
      </c>
      <c r="AO4" s="175"/>
      <c r="AQ4" s="20" t="str">
        <f>'WP1'!BG78</f>
        <v/>
      </c>
      <c r="AR4" s="29"/>
      <c r="AT4" s="139" t="s">
        <v>1128</v>
      </c>
      <c r="AU4" s="1004">
        <f>L47</f>
        <v>1</v>
      </c>
      <c r="AV4" s="53"/>
      <c r="AX4" s="1001" t="s">
        <v>2419</v>
      </c>
      <c r="AY4" s="287"/>
      <c r="AZ4" s="679"/>
      <c r="BA4" s="30">
        <v>32</v>
      </c>
      <c r="BB4" s="30">
        <v>35</v>
      </c>
      <c r="BC4" s="30">
        <v>40</v>
      </c>
      <c r="BD4" s="30">
        <v>50</v>
      </c>
      <c r="BE4" s="30">
        <v>60</v>
      </c>
      <c r="BQ4" s="5"/>
      <c r="BR4" s="5"/>
      <c r="BS4" s="5"/>
      <c r="BT4" s="5"/>
      <c r="BU4" s="5"/>
      <c r="BV4" s="5"/>
      <c r="BW4" s="5"/>
      <c r="BX4" s="5"/>
      <c r="BY4" s="5"/>
      <c r="BZ4" s="5"/>
      <c r="CA4" s="5"/>
      <c r="CB4" s="5"/>
      <c r="CC4" s="5"/>
      <c r="CD4" s="5"/>
      <c r="CE4" s="5"/>
      <c r="CF4" s="5"/>
      <c r="CG4" s="5"/>
      <c r="CH4" s="5"/>
      <c r="CI4" s="5"/>
    </row>
    <row r="5" spans="1:87" ht="15" customHeight="1" x14ac:dyDescent="0.2">
      <c r="A5" s="1"/>
      <c r="B5" s="973" t="s">
        <v>1414</v>
      </c>
      <c r="C5" s="1288"/>
      <c r="D5" s="1289"/>
      <c r="E5" s="1290"/>
      <c r="F5" s="899" t="s">
        <v>1414</v>
      </c>
      <c r="G5" s="1291"/>
      <c r="H5" s="1292"/>
      <c r="I5" s="1293"/>
      <c r="N5" s="25" t="s">
        <v>718</v>
      </c>
      <c r="O5" s="25" t="s">
        <v>718</v>
      </c>
      <c r="P5" s="65"/>
      <c r="Q5" s="19"/>
      <c r="R5" s="902"/>
      <c r="S5" s="248" t="s">
        <v>1420</v>
      </c>
      <c r="T5" s="903">
        <f>IF(AND(I35&gt;0,T3),'WP1'!W52/'WP1'!W50*('WP1'!W50-1)*1000/MAX(F35,1)/I35,)</f>
        <v>0</v>
      </c>
      <c r="U5" s="21" t="s">
        <v>1421</v>
      </c>
      <c r="V5" s="898" t="s">
        <v>1413</v>
      </c>
      <c r="W5" s="902">
        <v>40</v>
      </c>
      <c r="X5" s="30">
        <v>1000</v>
      </c>
      <c r="Z5" s="20" t="s">
        <v>1625</v>
      </c>
      <c r="AA5" s="21"/>
      <c r="AB5" s="20" t="str">
        <f>'WP1'!R51</f>
        <v>Circulation d'ECS</v>
      </c>
      <c r="AC5" s="21"/>
      <c r="AE5" s="20" t="str">
        <f>IF('WP1'!AH135&lt;&gt;"",'WP1'!AH135,"")</f>
        <v/>
      </c>
      <c r="AF5" s="246" t="b">
        <v>1</v>
      </c>
      <c r="AG5" s="233">
        <f>'WP1'!AJ135</f>
        <v>0.02</v>
      </c>
      <c r="AH5" s="21" t="b">
        <v>0</v>
      </c>
      <c r="AJ5" s="238" t="str">
        <f>'WP1'!AD135</f>
        <v xml:space="preserve">avec chauffage électrique de secours </v>
      </c>
      <c r="AK5" s="29" t="b">
        <v>0</v>
      </c>
      <c r="AL5" s="29" t="b">
        <v>1</v>
      </c>
      <c r="AN5" s="20" t="str">
        <f>'WP1'!BG70</f>
        <v/>
      </c>
      <c r="AO5" s="175"/>
      <c r="AQ5" s="20" t="str">
        <f>'WP1'!BG79</f>
        <v/>
      </c>
      <c r="AR5" s="198"/>
      <c r="AT5" s="1000" t="str">
        <f>'WP1'!M58</f>
        <v>pas d'installation solaire</v>
      </c>
      <c r="AU5" s="680"/>
      <c r="AV5" s="211"/>
      <c r="AX5" s="1002" t="s">
        <v>2418</v>
      </c>
      <c r="AY5" s="681"/>
      <c r="AZ5" s="1003"/>
      <c r="BA5" s="65">
        <v>27</v>
      </c>
      <c r="BB5" s="65">
        <v>30</v>
      </c>
      <c r="BC5" s="65">
        <v>35</v>
      </c>
      <c r="BD5" s="65">
        <v>40</v>
      </c>
      <c r="BE5" s="65">
        <v>45</v>
      </c>
      <c r="BQ5" s="5"/>
      <c r="BR5" s="5"/>
      <c r="BS5" s="5"/>
      <c r="BT5" s="5"/>
      <c r="BU5" s="5"/>
      <c r="BV5" s="5"/>
      <c r="BW5" s="5"/>
      <c r="BX5" s="5"/>
      <c r="BY5" s="5"/>
      <c r="BZ5" s="5"/>
      <c r="CA5" s="5"/>
      <c r="CB5" s="5"/>
      <c r="CC5" s="5"/>
      <c r="CD5" s="5"/>
      <c r="CE5" s="5"/>
      <c r="CF5" s="5"/>
      <c r="CG5" s="5"/>
      <c r="CH5" s="5"/>
      <c r="CI5" s="5"/>
    </row>
    <row r="6" spans="1:87" ht="15" customHeight="1" x14ac:dyDescent="0.2">
      <c r="A6" s="1"/>
      <c r="B6" s="973" t="s">
        <v>1419</v>
      </c>
      <c r="C6" s="1303"/>
      <c r="D6" s="1289"/>
      <c r="E6" s="1290"/>
      <c r="F6" s="899" t="s">
        <v>1419</v>
      </c>
      <c r="G6" s="1291"/>
      <c r="H6" s="1292"/>
      <c r="I6" s="1293"/>
      <c r="N6" s="20" t="s">
        <v>868</v>
      </c>
      <c r="O6" s="986">
        <f>P6*365/1000*3.6</f>
        <v>45.99</v>
      </c>
      <c r="P6" s="30">
        <v>35</v>
      </c>
      <c r="Q6" s="19"/>
      <c r="R6" s="902"/>
      <c r="S6" s="248" t="s">
        <v>1420</v>
      </c>
      <c r="T6" s="19" t="b">
        <f>IF(T3,"(Sondenbelastung = "&amp;ROUND(T5,1)&amp;" W/m)")</f>
        <v>0</v>
      </c>
      <c r="U6" s="21"/>
      <c r="V6" s="898" t="s">
        <v>1418</v>
      </c>
      <c r="W6" s="902">
        <v>40</v>
      </c>
      <c r="X6" s="30">
        <v>1000</v>
      </c>
      <c r="Z6" s="25" t="s">
        <v>2540</v>
      </c>
      <c r="AA6" s="44"/>
      <c r="AB6" s="25" t="str">
        <f>'WP1'!R52</f>
        <v>Câble chauffant</v>
      </c>
      <c r="AC6" s="44"/>
      <c r="AE6" s="20" t="str">
        <f>IF(OR(L23=1,L23=18),"","Hygienespeicher WP optimiert")</f>
        <v/>
      </c>
      <c r="AF6" s="246" t="b">
        <f>IF(AC8=4,TRUE,FALSE)</f>
        <v>0</v>
      </c>
      <c r="AG6" s="233">
        <f>'WP1'!AJ136</f>
        <v>0.04</v>
      </c>
      <c r="AH6" s="21" t="b">
        <v>0</v>
      </c>
      <c r="AJ6" s="238" t="str">
        <f>'WP1'!AD136</f>
        <v>Installation bivalente fossile</v>
      </c>
      <c r="AK6" s="29" t="b">
        <v>1</v>
      </c>
      <c r="AL6" s="29" t="b">
        <v>0</v>
      </c>
      <c r="AN6" s="20" t="str">
        <f>'WP1'!BG71</f>
        <v/>
      </c>
      <c r="AO6" s="175"/>
      <c r="AQ6" s="20" t="str">
        <f>'WP1'!BG80</f>
        <v/>
      </c>
      <c r="AR6" s="198"/>
      <c r="AT6" s="1001"/>
      <c r="AU6" s="287"/>
      <c r="AV6" s="679"/>
      <c r="BQ6" s="5"/>
      <c r="BR6" s="5"/>
      <c r="BS6" s="5"/>
      <c r="BT6" s="5"/>
      <c r="BU6" s="5"/>
      <c r="BV6" s="5"/>
      <c r="BW6" s="5"/>
      <c r="BX6" s="5"/>
      <c r="BY6" s="5"/>
      <c r="BZ6" s="5"/>
      <c r="CA6" s="5"/>
      <c r="CB6" s="5"/>
      <c r="CC6" s="5"/>
      <c r="CD6" s="5"/>
      <c r="CE6" s="5"/>
      <c r="CF6" s="5"/>
      <c r="CG6" s="5"/>
      <c r="CH6" s="5"/>
      <c r="CI6" s="5"/>
    </row>
    <row r="7" spans="1:87" ht="15" customHeight="1" x14ac:dyDescent="0.2">
      <c r="B7" s="974" t="s">
        <v>1520</v>
      </c>
      <c r="C7" s="1304"/>
      <c r="D7" s="1305"/>
      <c r="E7" s="1306"/>
      <c r="F7" s="904" t="s">
        <v>1520</v>
      </c>
      <c r="G7" s="1300"/>
      <c r="H7" s="1301"/>
      <c r="I7" s="1302"/>
      <c r="N7" s="20" t="s">
        <v>869</v>
      </c>
      <c r="O7" s="986">
        <f>P7*365/1000*3.6</f>
        <v>45.99</v>
      </c>
      <c r="P7" s="30">
        <v>35</v>
      </c>
      <c r="Q7" s="19"/>
      <c r="R7" s="902"/>
      <c r="S7" s="248" t="s">
        <v>1523</v>
      </c>
      <c r="T7" s="19" t="b">
        <f>T5&gt;W17</f>
        <v>0</v>
      </c>
      <c r="U7" s="21"/>
      <c r="V7" s="898" t="s">
        <v>1422</v>
      </c>
      <c r="W7" s="902">
        <v>40</v>
      </c>
      <c r="X7" s="30">
        <v>1000</v>
      </c>
      <c r="AE7" s="20" t="str">
        <f>IF('WP1'!AH137&lt;&gt;"",'WP1'!AH137,"")</f>
        <v/>
      </c>
      <c r="AF7" s="246" t="b">
        <f>IF(AC8=4,TRUE,FALSE)</f>
        <v>0</v>
      </c>
      <c r="AG7" s="233">
        <f>'WP1'!AJ137</f>
        <v>0.06</v>
      </c>
      <c r="AH7" s="21" t="b">
        <v>1</v>
      </c>
      <c r="AJ7" s="238" t="str">
        <f>'WP1'!AD137</f>
        <v>Installation bivalente fossile alternative</v>
      </c>
      <c r="AK7" s="21"/>
      <c r="AL7" s="21"/>
      <c r="AN7" s="20"/>
      <c r="AO7" s="175"/>
      <c r="AQ7" s="20" t="str">
        <f>'WP1'!BG81</f>
        <v/>
      </c>
      <c r="AR7" s="525"/>
      <c r="AT7" s="1001"/>
      <c r="AU7" s="287"/>
      <c r="AV7" s="679"/>
      <c r="BQ7" s="5"/>
      <c r="BR7" s="5"/>
      <c r="BS7" s="5"/>
      <c r="BT7" s="5"/>
      <c r="BU7" s="5"/>
      <c r="BV7" s="5"/>
      <c r="BW7" s="5"/>
      <c r="BX7" s="5"/>
      <c r="BY7" s="5"/>
      <c r="BZ7" s="5"/>
      <c r="CA7" s="5"/>
      <c r="CB7" s="5"/>
      <c r="CC7" s="5"/>
      <c r="CD7" s="5"/>
      <c r="CE7" s="5"/>
      <c r="CF7" s="5"/>
      <c r="CG7" s="5"/>
      <c r="CH7" s="5"/>
      <c r="CI7" s="5"/>
    </row>
    <row r="8" spans="1:87" ht="15" customHeight="1" x14ac:dyDescent="0.25">
      <c r="B8" s="85" t="str">
        <f>Sprache!B10</f>
        <v>Données concernant le bâtiment</v>
      </c>
      <c r="C8" s="1070" t="s">
        <v>2426</v>
      </c>
      <c r="D8" s="1273"/>
      <c r="E8" s="1274"/>
      <c r="F8" s="731" t="str">
        <f>IF(AND(H8=""),Sprache!B24,"")</f>
        <v>choisir -&gt;</v>
      </c>
      <c r="G8" s="897" t="s">
        <v>1522</v>
      </c>
      <c r="H8" s="1298"/>
      <c r="I8" s="1299"/>
      <c r="N8" s="20" t="s">
        <v>1525</v>
      </c>
      <c r="O8" s="986">
        <f>P8*365/1000*3.6</f>
        <v>22.995000000000001</v>
      </c>
      <c r="P8" s="30">
        <v>17.5</v>
      </c>
      <c r="Q8" s="19"/>
      <c r="R8" s="905"/>
      <c r="S8" s="27"/>
      <c r="T8" s="27"/>
      <c r="U8" s="44"/>
      <c r="V8" s="898" t="s">
        <v>1521</v>
      </c>
      <c r="W8" s="902">
        <v>40</v>
      </c>
      <c r="X8" s="30">
        <v>1000</v>
      </c>
      <c r="Z8" s="469" t="s">
        <v>3501</v>
      </c>
      <c r="AA8" s="133"/>
      <c r="AE8" s="20" t="str">
        <f>IF('WP1'!AH138&lt;&gt;"",'WP1'!AH138,"")</f>
        <v/>
      </c>
      <c r="AF8" s="246" t="b">
        <f>IF(AC8=4,TRUE,FALSE)</f>
        <v>0</v>
      </c>
      <c r="AG8" s="233">
        <f>'WP1'!AJ138</f>
        <v>0.05</v>
      </c>
      <c r="AH8" s="21" t="b">
        <v>0</v>
      </c>
      <c r="AJ8" s="26"/>
      <c r="AK8" s="44"/>
      <c r="AL8" s="44"/>
      <c r="AN8" s="25"/>
      <c r="AO8" s="186"/>
      <c r="AQ8" s="20" t="str">
        <f>'WP1'!BG82</f>
        <v/>
      </c>
      <c r="AR8" s="525"/>
      <c r="AT8" s="1001" t="str">
        <f>'WP1'!M61</f>
        <v>Chauffage solaire de l'ECS</v>
      </c>
      <c r="AU8" s="287"/>
      <c r="AV8" s="679"/>
      <c r="BQ8" s="5"/>
      <c r="BR8" s="5"/>
      <c r="BS8" s="5"/>
      <c r="BT8" s="5"/>
      <c r="BU8" s="5"/>
      <c r="BV8" s="5"/>
      <c r="BW8" s="5"/>
      <c r="BX8" s="5"/>
      <c r="BY8" s="5"/>
      <c r="BZ8" s="5"/>
      <c r="CA8" s="5"/>
      <c r="CB8" s="5"/>
      <c r="CC8" s="5"/>
      <c r="CD8" s="5"/>
      <c r="CE8" s="5"/>
      <c r="CF8" s="5"/>
      <c r="CG8" s="5"/>
      <c r="CH8" s="5"/>
      <c r="CI8" s="5"/>
    </row>
    <row r="9" spans="1:87" ht="15" customHeight="1" x14ac:dyDescent="0.2">
      <c r="B9" s="36" t="s">
        <v>733</v>
      </c>
      <c r="C9" s="4"/>
      <c r="D9" s="4"/>
      <c r="E9" s="4"/>
      <c r="F9" s="31"/>
      <c r="G9" s="514" t="str">
        <f>IF(AND(H9=""),Sprache!B24,"")</f>
        <v>choisir -&gt;</v>
      </c>
      <c r="H9" s="1279"/>
      <c r="I9" s="1280"/>
      <c r="L9" s="19">
        <f>IF(H9="",1,MATCH(H9,N22:N722,0))</f>
        <v>1</v>
      </c>
      <c r="M9" s="214"/>
      <c r="N9" s="20" t="s">
        <v>1527</v>
      </c>
      <c r="O9" s="986">
        <f>P9*365/1000*3.6</f>
        <v>22.995000000000001</v>
      </c>
      <c r="P9" s="30">
        <v>17.5</v>
      </c>
      <c r="Q9" s="19"/>
      <c r="R9" s="906"/>
      <c r="S9" s="907" t="s">
        <v>1528</v>
      </c>
      <c r="T9" s="23"/>
      <c r="U9" s="22"/>
      <c r="V9" s="898" t="s">
        <v>1524</v>
      </c>
      <c r="W9" s="902">
        <v>40</v>
      </c>
      <c r="X9" s="30">
        <v>1000</v>
      </c>
      <c r="Z9" s="94" t="s">
        <v>3503</v>
      </c>
      <c r="AA9" s="136">
        <f>W5</f>
        <v>40</v>
      </c>
      <c r="AE9" s="20" t="str">
        <f>IF('WP1'!AH139&lt;&gt;"",'WP1'!AH139,"")</f>
        <v/>
      </c>
      <c r="AG9" s="233">
        <f>'WP1'!AJ139</f>
        <v>0</v>
      </c>
      <c r="AH9" s="21"/>
      <c r="AJ9" s="224">
        <f>AA5</f>
        <v>0</v>
      </c>
      <c r="AK9" s="225" t="e">
        <f>INDEX(AK3:AK6,AJ9,1)</f>
        <v>#VALUE!</v>
      </c>
      <c r="AL9" s="225" t="e">
        <f>INDEX(AL3:AL6,AJ9,1)</f>
        <v>#VALUE!</v>
      </c>
      <c r="AN9" s="470" t="str">
        <f>INDEX(AN3:AN8,AO2,1)</f>
        <v xml:space="preserve"> </v>
      </c>
      <c r="AO9" s="189"/>
      <c r="AQ9" s="225">
        <f>L43</f>
        <v>1</v>
      </c>
      <c r="AR9" s="225"/>
      <c r="AT9" s="1001" t="str">
        <f>'WP1'!M62</f>
        <v>Eau chaude sanitaire ECS + chauffage</v>
      </c>
      <c r="AU9" s="287"/>
      <c r="AV9" s="679"/>
      <c r="BQ9" s="5"/>
      <c r="BR9" s="5"/>
      <c r="BS9" s="5"/>
      <c r="BT9" s="5"/>
      <c r="BU9" s="5"/>
      <c r="BV9" s="5"/>
      <c r="BW9" s="5"/>
      <c r="BX9" s="5"/>
      <c r="BY9" s="5"/>
      <c r="BZ9" s="5"/>
      <c r="CA9" s="5"/>
      <c r="CB9" s="5"/>
      <c r="CC9" s="5"/>
      <c r="CD9" s="5"/>
      <c r="CE9" s="5"/>
      <c r="CF9" s="5"/>
      <c r="CG9" s="5"/>
      <c r="CH9" s="5"/>
      <c r="CI9" s="5"/>
    </row>
    <row r="10" spans="1:87" ht="15" customHeight="1" x14ac:dyDescent="0.2">
      <c r="B10" s="38" t="s">
        <v>735</v>
      </c>
      <c r="C10" s="40"/>
      <c r="D10" s="40"/>
      <c r="E10" s="40"/>
      <c r="F10" s="39"/>
      <c r="G10" s="97" t="str">
        <f>IF(AND(H10=""),Sprache!B24,"")</f>
        <v>choisir -&gt;</v>
      </c>
      <c r="H10" s="1275"/>
      <c r="I10" s="1276"/>
      <c r="N10" s="20" t="s">
        <v>736</v>
      </c>
      <c r="O10" s="986">
        <f>25</f>
        <v>25</v>
      </c>
      <c r="P10" s="30"/>
      <c r="Q10" s="19"/>
      <c r="R10" s="20"/>
      <c r="S10" s="248" t="s">
        <v>3482</v>
      </c>
      <c r="T10" s="217">
        <f>IF((wh+www)=0,0,IF(AND(jazh=0,jazww=0),0,1/(IF(jazh&gt;0,wh/jazh,0)+IF(jazww&gt;0,www/jazww,0))))</f>
        <v>0</v>
      </c>
      <c r="U10" s="21"/>
      <c r="V10" s="898" t="s">
        <v>1526</v>
      </c>
      <c r="W10" s="902">
        <v>40</v>
      </c>
      <c r="X10" s="30">
        <v>1000</v>
      </c>
      <c r="Z10" s="139" t="s">
        <v>3507</v>
      </c>
      <c r="AA10" s="229">
        <f>IF(AA9=1,IF(AA8&gt;0,AA8,AA9),AA9)</f>
        <v>40</v>
      </c>
      <c r="AE10" s="20" t="str">
        <f>IF('WP1'!AH140&lt;&gt;"",'WP1'!AH140,"")</f>
        <v/>
      </c>
      <c r="AG10" s="233">
        <f>'WP1'!AJ140</f>
        <v>0</v>
      </c>
      <c r="AH10" s="21"/>
      <c r="AQ10" s="165">
        <f>INDEX(AQ3:AQ8,AQ9,1)</f>
        <v>0</v>
      </c>
      <c r="AR10" s="75"/>
      <c r="AT10" s="1001" t="str">
        <f>'WP1'!M63</f>
        <v>Chauffage solaire de l'ECS (calcul externe)</v>
      </c>
      <c r="AU10" s="287"/>
      <c r="AV10" s="679"/>
      <c r="BQ10" s="5"/>
      <c r="BR10" s="5"/>
      <c r="BS10" s="5"/>
      <c r="BT10" s="5"/>
      <c r="BU10" s="5"/>
      <c r="BV10" s="5"/>
      <c r="BW10" s="5"/>
      <c r="BX10" s="5"/>
      <c r="BY10" s="5"/>
      <c r="BZ10" s="5"/>
      <c r="CA10" s="5"/>
      <c r="CB10" s="5"/>
      <c r="CC10" s="5"/>
      <c r="CD10" s="5"/>
      <c r="CE10" s="5"/>
      <c r="CF10" s="5"/>
      <c r="CG10" s="5"/>
      <c r="CH10" s="5"/>
      <c r="CI10" s="5"/>
    </row>
    <row r="11" spans="1:87" ht="15" customHeight="1" x14ac:dyDescent="0.2">
      <c r="B11" s="38" t="s">
        <v>1530</v>
      </c>
      <c r="C11" s="40"/>
      <c r="D11" s="40"/>
      <c r="E11" s="40"/>
      <c r="F11" s="47" t="str">
        <f>IF(OR(EBF="",EBF=0),"ausfüllen -&gt;","")</f>
        <v>ausfüllen -&gt;</v>
      </c>
      <c r="G11" s="63" t="s">
        <v>2341</v>
      </c>
      <c r="H11" s="42" t="s">
        <v>737</v>
      </c>
      <c r="I11" s="43"/>
      <c r="N11" s="20" t="s">
        <v>738</v>
      </c>
      <c r="O11" s="986">
        <f>200</f>
        <v>200</v>
      </c>
      <c r="P11" s="30"/>
      <c r="Q11" s="19"/>
      <c r="R11" s="902"/>
      <c r="S11" s="248" t="s">
        <v>1420</v>
      </c>
      <c r="T11" s="908">
        <f>IF(T3,IF(AND(I35&gt;0,T10&lt;&gt;1,T10&lt;&gt;"",T3),Grafik!C13*(T10-1)/MAX(F35,1)/I35,),)</f>
        <v>0</v>
      </c>
      <c r="U11" s="289" t="s">
        <v>1534</v>
      </c>
      <c r="V11" s="898" t="s">
        <v>1529</v>
      </c>
      <c r="W11" s="902">
        <v>40</v>
      </c>
      <c r="X11" s="30">
        <v>1000</v>
      </c>
      <c r="Z11" s="16" t="s">
        <v>718</v>
      </c>
      <c r="AA11" s="22"/>
      <c r="AE11" s="20" t="str">
        <f>IF('WP1'!AH141&lt;&gt;"",'WP1'!AH141,"")</f>
        <v/>
      </c>
      <c r="AG11" s="233">
        <f>'WP1'!AJ141</f>
        <v>0</v>
      </c>
      <c r="AH11" s="21"/>
      <c r="AQ11" s="165" t="b">
        <f>IF(AQ9&gt;2,TRUE,FALSE)</f>
        <v>0</v>
      </c>
      <c r="AR11" s="133"/>
      <c r="AT11" s="1002" t="str">
        <f>'WP1'!M64</f>
        <v>Eau chaude sanitaire ECS + chauffage (calcul externe)</v>
      </c>
      <c r="AU11" s="681"/>
      <c r="AV11" s="1003"/>
      <c r="BQ11" s="5"/>
      <c r="BR11" s="5"/>
      <c r="BS11" s="5"/>
      <c r="BT11" s="5"/>
      <c r="BU11" s="5"/>
      <c r="BV11" s="5"/>
      <c r="BW11" s="5"/>
      <c r="BX11" s="5"/>
      <c r="BY11" s="5"/>
      <c r="BZ11" s="5"/>
      <c r="CA11" s="5"/>
      <c r="CB11" s="5"/>
      <c r="CC11" s="5"/>
      <c r="CD11" s="5"/>
      <c r="CE11" s="5"/>
      <c r="CF11" s="5"/>
      <c r="CG11" s="5"/>
      <c r="CH11" s="5"/>
      <c r="CI11" s="5"/>
    </row>
    <row r="12" spans="1:87" ht="15" customHeight="1" x14ac:dyDescent="0.2">
      <c r="B12" s="38" t="s">
        <v>1532</v>
      </c>
      <c r="C12" s="40"/>
      <c r="D12" s="40"/>
      <c r="E12" s="40"/>
      <c r="F12" s="47" t="str">
        <f>IF(I12="","ausfüllen -&gt;","")</f>
        <v>ausfüllen -&gt;</v>
      </c>
      <c r="G12" s="42" t="s">
        <v>2368</v>
      </c>
      <c r="H12" s="42" t="s">
        <v>1533</v>
      </c>
      <c r="I12" s="43"/>
      <c r="N12" s="20" t="s">
        <v>1536</v>
      </c>
      <c r="O12" s="986">
        <f>50</f>
        <v>50</v>
      </c>
      <c r="P12" s="30"/>
      <c r="Q12" s="17" t="s">
        <v>2421</v>
      </c>
      <c r="R12" s="619"/>
      <c r="S12" s="248" t="s">
        <v>1420</v>
      </c>
      <c r="T12" s="19" t="b">
        <f>IF(T3,"(Sondenbelastung = "&amp;ROUND(T11,1)&amp;" kWh/m)")</f>
        <v>0</v>
      </c>
      <c r="U12" s="29"/>
      <c r="V12" s="898" t="s">
        <v>1531</v>
      </c>
      <c r="W12" s="902">
        <v>40</v>
      </c>
      <c r="X12" s="30">
        <v>1000</v>
      </c>
      <c r="Z12" s="20" t="str">
        <f>'WP1'!BG60</f>
        <v>Chauffage</v>
      </c>
      <c r="AA12" s="21"/>
      <c r="AE12" s="20" t="str">
        <f>IF('WP1'!AH142&lt;&gt;"",'WP1'!AH142,"")</f>
        <v/>
      </c>
      <c r="AG12" s="233">
        <f>'WP1'!AJ142</f>
        <v>0</v>
      </c>
      <c r="AH12" s="21"/>
      <c r="AT12" s="1000" t="s">
        <v>1136</v>
      </c>
      <c r="AU12" s="680"/>
      <c r="AV12" s="22" t="b">
        <f>IF(OR(AU4=4,AU4=5),TRUE,FALSE)</f>
        <v>0</v>
      </c>
      <c r="BQ12" s="5"/>
      <c r="BR12" s="5"/>
      <c r="BS12" s="5"/>
      <c r="BT12" s="5"/>
      <c r="BU12" s="5"/>
      <c r="BV12" s="5"/>
      <c r="BW12" s="5"/>
      <c r="BX12" s="5"/>
      <c r="BY12" s="5"/>
      <c r="BZ12" s="5"/>
      <c r="CA12" s="5"/>
      <c r="CB12" s="5"/>
      <c r="CC12" s="5"/>
      <c r="CD12" s="5"/>
      <c r="CE12" s="5"/>
      <c r="CF12" s="5"/>
      <c r="CG12" s="5"/>
      <c r="CH12" s="5"/>
      <c r="CI12" s="5"/>
    </row>
    <row r="13" spans="1:87" ht="15" customHeight="1" x14ac:dyDescent="0.2">
      <c r="B13" s="38" t="s">
        <v>1535</v>
      </c>
      <c r="C13" s="40"/>
      <c r="D13" s="40"/>
      <c r="E13" s="40"/>
      <c r="F13" s="47" t="str">
        <f>IF(OR(QT="",QT=0),"",IF(I13,IF(OR(I13&lt;=0.5*$I$12,Berechnungen!E33),Sprache!B131,""),""))</f>
        <v/>
      </c>
      <c r="G13" s="42" t="s">
        <v>744</v>
      </c>
      <c r="H13" s="42" t="s">
        <v>1533</v>
      </c>
      <c r="I13" s="1051"/>
      <c r="N13" s="20" t="s">
        <v>1538</v>
      </c>
      <c r="O13" s="986">
        <f>P13*365/1000*3.6</f>
        <v>91.98</v>
      </c>
      <c r="P13" s="902">
        <v>70</v>
      </c>
      <c r="Q13" s="17" t="s">
        <v>2422</v>
      </c>
      <c r="R13" s="19"/>
      <c r="S13" s="248" t="s">
        <v>1523</v>
      </c>
      <c r="T13" s="19" t="b">
        <f>T11&gt;X17</f>
        <v>0</v>
      </c>
      <c r="U13" s="29"/>
      <c r="V13" s="898" t="s">
        <v>718</v>
      </c>
      <c r="W13" s="20"/>
      <c r="X13" s="238"/>
      <c r="Z13" s="20" t="str">
        <f>'WP1'!BG61</f>
        <v>ECS eau chaude sanitaire</v>
      </c>
      <c r="AA13" s="21"/>
      <c r="AE13" s="20" t="str">
        <f>IF('WP1'!AH143&lt;&gt;"",'WP1'!AH143,"")</f>
        <v/>
      </c>
      <c r="AG13" s="233">
        <f>'WP1'!AJ143</f>
        <v>0</v>
      </c>
      <c r="AH13" s="21"/>
      <c r="AT13" s="1001" t="s">
        <v>1135</v>
      </c>
      <c r="AV13" s="679" t="b">
        <f>IF(OR(AU4=2,AU4=3),TRUE,FALSE)</f>
        <v>0</v>
      </c>
      <c r="BQ13" s="5"/>
      <c r="BR13" s="5"/>
      <c r="BS13" s="5"/>
      <c r="BT13" s="5"/>
      <c r="BU13" s="5"/>
      <c r="BV13" s="5"/>
      <c r="BW13" s="5"/>
      <c r="BX13" s="5"/>
      <c r="BY13" s="5"/>
      <c r="BZ13" s="5"/>
      <c r="CA13" s="5"/>
      <c r="CB13" s="5"/>
      <c r="CC13" s="5"/>
      <c r="CD13" s="5"/>
      <c r="CE13" s="5"/>
      <c r="CF13" s="5"/>
      <c r="CG13" s="5"/>
      <c r="CH13" s="5"/>
      <c r="CI13" s="5"/>
    </row>
    <row r="14" spans="1:87" ht="15" customHeight="1" x14ac:dyDescent="0.2">
      <c r="B14" s="38" t="s">
        <v>1537</v>
      </c>
      <c r="C14" s="40"/>
      <c r="D14" s="40"/>
      <c r="E14" s="40"/>
      <c r="F14" s="47" t="str">
        <f>IF(OR(QV="",QV=0),"",IF(I14,IF(OR((I14+QT)&lt;$I$12,Berechnungen!E33),Sprache!B131,""),""))</f>
        <v/>
      </c>
      <c r="G14" s="42" t="s">
        <v>750</v>
      </c>
      <c r="H14" s="42" t="s">
        <v>1533</v>
      </c>
      <c r="I14" s="1051"/>
      <c r="M14" s="217"/>
      <c r="N14" s="20" t="s">
        <v>745</v>
      </c>
      <c r="O14" s="986">
        <f>25</f>
        <v>25</v>
      </c>
      <c r="P14" s="902"/>
      <c r="Q14" s="30" t="s">
        <v>2423</v>
      </c>
      <c r="R14" s="177"/>
      <c r="S14" s="551"/>
      <c r="T14" s="177" t="b">
        <f>IF(T3,"(Sondenbelastung = "&amp;ROUND(T5,1)&amp;" W/m bzw. "&amp;ROUND(T11,1)&amp;" kWh/m)         ")</f>
        <v>0</v>
      </c>
      <c r="U14" s="35"/>
      <c r="V14" s="898" t="s">
        <v>718</v>
      </c>
      <c r="W14" s="20"/>
      <c r="X14" s="238"/>
      <c r="Z14" s="20" t="str">
        <f>'WP1'!BG62</f>
        <v>Chauffage+ECS</v>
      </c>
      <c r="AA14" s="21"/>
      <c r="AE14" s="20" t="str">
        <f>IF('WP1'!AH144&lt;&gt;"",'WP1'!AH144,"")</f>
        <v/>
      </c>
      <c r="AG14" s="233">
        <f>'WP1'!AJ144</f>
        <v>0</v>
      </c>
      <c r="AH14" s="21"/>
      <c r="AT14" s="1002" t="s">
        <v>1132</v>
      </c>
      <c r="AU14" s="681"/>
      <c r="AV14" s="1003" t="b">
        <f>IF(OR(AU4=6,AU4=7),TRUE,FALSE)</f>
        <v>0</v>
      </c>
      <c r="BQ14" s="5"/>
      <c r="BR14" s="5"/>
      <c r="BS14" s="5"/>
      <c r="BT14" s="5"/>
      <c r="BU14" s="5"/>
      <c r="BV14" s="5"/>
      <c r="BW14" s="5"/>
      <c r="BX14" s="5"/>
      <c r="BY14" s="5"/>
      <c r="BZ14" s="5"/>
      <c r="CA14" s="5"/>
      <c r="CB14" s="5"/>
      <c r="CC14" s="5"/>
      <c r="CD14" s="5"/>
      <c r="CE14" s="5"/>
      <c r="CF14" s="5"/>
      <c r="CG14" s="5"/>
      <c r="CH14" s="5"/>
      <c r="CI14" s="5"/>
    </row>
    <row r="15" spans="1:87" ht="15" customHeight="1" x14ac:dyDescent="0.2">
      <c r="B15" s="38" t="s">
        <v>3642</v>
      </c>
      <c r="C15" s="40"/>
      <c r="D15" s="40"/>
      <c r="E15" s="40"/>
      <c r="F15" s="47"/>
      <c r="G15" s="42"/>
      <c r="H15" s="42" t="s">
        <v>3643</v>
      </c>
      <c r="I15" s="57"/>
      <c r="M15" s="19"/>
      <c r="N15" s="20" t="s">
        <v>751</v>
      </c>
      <c r="O15" s="986">
        <f>5</f>
        <v>5</v>
      </c>
      <c r="P15" s="902"/>
      <c r="Q15" s="30" t="s">
        <v>779</v>
      </c>
      <c r="R15" s="19"/>
      <c r="S15" s="19"/>
      <c r="T15" s="19"/>
      <c r="V15" s="898" t="s">
        <v>718</v>
      </c>
      <c r="W15" s="20"/>
      <c r="X15" s="238"/>
      <c r="Z15" s="25" t="str">
        <f>'WP1'!BG63</f>
        <v>Chauffage + production d'ECS décentralisée par PAC</v>
      </c>
      <c r="AA15" s="44"/>
      <c r="AE15" s="20" t="str">
        <f>IF('WP1'!AH145&lt;&gt;"",'WP1'!AH145,"")</f>
        <v/>
      </c>
      <c r="AF15" s="27"/>
      <c r="AG15" s="156">
        <f>'WP1'!AJ145</f>
        <v>0</v>
      </c>
      <c r="AH15" s="44"/>
      <c r="BQ15" s="5"/>
      <c r="BR15" s="5"/>
      <c r="BS15" s="5"/>
      <c r="BT15" s="5"/>
      <c r="BU15" s="5"/>
      <c r="BV15" s="5"/>
      <c r="BW15" s="5"/>
      <c r="BX15" s="5"/>
      <c r="BY15" s="5"/>
      <c r="BZ15" s="5"/>
      <c r="CA15" s="5"/>
      <c r="CB15" s="5"/>
      <c r="CC15" s="5"/>
      <c r="CD15" s="5"/>
      <c r="CE15" s="5"/>
      <c r="CF15" s="5"/>
      <c r="CG15" s="5"/>
      <c r="CH15" s="5"/>
      <c r="CI15" s="5"/>
    </row>
    <row r="16" spans="1:87" ht="15" customHeight="1" x14ac:dyDescent="0.2">
      <c r="B16" s="38" t="s">
        <v>3646</v>
      </c>
      <c r="C16" s="40"/>
      <c r="D16" s="40"/>
      <c r="E16" s="40"/>
      <c r="F16" s="47"/>
      <c r="G16" s="42"/>
      <c r="H16" s="63" t="s">
        <v>3647</v>
      </c>
      <c r="I16" s="64"/>
      <c r="M16" s="728"/>
      <c r="N16" s="20" t="s">
        <v>3644</v>
      </c>
      <c r="O16" s="986">
        <f>300</f>
        <v>300</v>
      </c>
      <c r="P16" s="902"/>
      <c r="Q16" s="30" t="s">
        <v>2423</v>
      </c>
      <c r="R16" s="1062" t="s">
        <v>1194</v>
      </c>
      <c r="S16" s="984" t="b">
        <f>IF(U17=J1,TRUE,FALSE)</f>
        <v>0</v>
      </c>
      <c r="T16" s="19"/>
      <c r="U16" s="19"/>
      <c r="V16" s="910" t="s">
        <v>718</v>
      </c>
      <c r="W16" s="20"/>
      <c r="X16" s="26"/>
      <c r="AE16" s="165" t="str">
        <f>INDEX(AE3:AE15,AF2,1)</f>
        <v xml:space="preserve"> </v>
      </c>
      <c r="AF16" s="244" t="b">
        <f>INDEX(AF3:AF15,AF2,1)</f>
        <v>1</v>
      </c>
      <c r="AG16" s="997">
        <f>INDEX(AG3:AG15,AF2,1)</f>
        <v>0</v>
      </c>
      <c r="AH16" s="245" t="b">
        <f>INDEX(AH3:AH15,AF2,1)</f>
        <v>0</v>
      </c>
      <c r="BQ16" s="5"/>
      <c r="BR16" s="5"/>
      <c r="BS16" s="5"/>
      <c r="BT16" s="5"/>
      <c r="BU16" s="5"/>
      <c r="BV16" s="5"/>
      <c r="BW16" s="5"/>
      <c r="BX16" s="5"/>
      <c r="BY16" s="5"/>
      <c r="BZ16" s="5"/>
      <c r="CA16" s="5"/>
      <c r="CB16" s="5"/>
      <c r="CC16" s="5"/>
      <c r="CD16" s="5"/>
      <c r="CE16" s="5"/>
      <c r="CF16" s="5"/>
      <c r="CG16" s="5"/>
      <c r="CH16" s="5"/>
      <c r="CI16" s="5"/>
    </row>
    <row r="17" spans="2:87" ht="15" customHeight="1" x14ac:dyDescent="0.2">
      <c r="B17" s="38" t="str">
        <f>"Heizleistungsbedarf ohne Warmwasser bei "&amp;IF(TaMinVorarlberg=0,"-8",TaMinVorarlberg)&amp;"°C"</f>
        <v>Heizleistungsbedarf ohne Warmwasser bei -8°C</v>
      </c>
      <c r="C17" s="40"/>
      <c r="D17" s="40"/>
      <c r="E17" s="40"/>
      <c r="F17" s="70" t="str">
        <f>IF(L9=1,"",'WP1'!E14)</f>
        <v/>
      </c>
      <c r="G17" s="71" t="str">
        <f>IF(L9=1,"",'WP1'!F14/(20-TaMin)*(20-TaMinVorarlberg))</f>
        <v/>
      </c>
      <c r="H17" s="63" t="s">
        <v>3650</v>
      </c>
      <c r="I17" s="1117"/>
      <c r="L17" s="1074" t="e">
        <f>I17*(20-TaMin)/(20-TaMinVorarlberg)</f>
        <v>#VALUE!</v>
      </c>
      <c r="N17" s="25" t="s">
        <v>3648</v>
      </c>
      <c r="O17" s="987">
        <f>300</f>
        <v>300</v>
      </c>
      <c r="P17" s="909"/>
      <c r="Q17" s="30" t="s">
        <v>2424</v>
      </c>
      <c r="R17" s="1049" t="s">
        <v>1540</v>
      </c>
      <c r="S17" s="982">
        <f>V17</f>
        <v>1</v>
      </c>
      <c r="T17" s="17" t="b">
        <v>1</v>
      </c>
      <c r="U17" s="17" t="s">
        <v>891</v>
      </c>
      <c r="V17" s="12">
        <f>IF(H8="",1,MATCH(H8,V4:V16,0))</f>
        <v>1</v>
      </c>
      <c r="W17" s="12">
        <f>INDEX(W4:W12,$V$17,1)</f>
        <v>40</v>
      </c>
      <c r="X17" s="225">
        <f>INDEX(X4:X12,$V$17,1)</f>
        <v>1000</v>
      </c>
      <c r="BQ17" s="5"/>
      <c r="BR17" s="5"/>
      <c r="BS17" s="5"/>
      <c r="BT17" s="5"/>
      <c r="BU17" s="5"/>
      <c r="BV17" s="5"/>
      <c r="BW17" s="5"/>
      <c r="BX17" s="5"/>
      <c r="BY17" s="5"/>
      <c r="BZ17" s="5"/>
      <c r="CA17" s="5"/>
      <c r="CB17" s="5"/>
      <c r="CC17" s="5"/>
      <c r="CD17" s="5"/>
      <c r="CE17" s="5"/>
      <c r="CF17" s="5"/>
      <c r="CG17" s="5"/>
      <c r="CH17" s="5"/>
      <c r="CI17" s="5"/>
    </row>
    <row r="18" spans="2:87" ht="15" customHeight="1" x14ac:dyDescent="0.2">
      <c r="B18" s="38" t="s">
        <v>1539</v>
      </c>
      <c r="C18" s="40"/>
      <c r="D18" s="40"/>
      <c r="E18" s="40"/>
      <c r="F18" s="39"/>
      <c r="G18" s="42" t="s">
        <v>717</v>
      </c>
      <c r="H18" s="42" t="s">
        <v>1533</v>
      </c>
      <c r="I18" s="911" t="str">
        <f>IF(H10&lt;&gt;"",IF(U31&lt;&gt;"",U31,IF('WP1'!J21=1,INDEX(O5:O17,Kategorie,1)/3.6*(1+I19),IF(O3&gt;1,IF(WW,IF(AND(EBF&gt;0,O3&gt;1),IF(I11=0,"",O18/3.6),""),0),0))),"")</f>
        <v/>
      </c>
      <c r="N18" s="361" t="str">
        <f>INDEX(N5:N17,O3,1)</f>
        <v xml:space="preserve"> </v>
      </c>
      <c r="O18" s="807" t="e">
        <f>INDEX(O5:O17,$O$3,1)*(1+EtaWW)</f>
        <v>#VALUE!</v>
      </c>
      <c r="P18" s="84">
        <f>INDEX(P5:P17,$O$3,1)</f>
        <v>0</v>
      </c>
      <c r="Q18" s="65" t="s">
        <v>2425</v>
      </c>
      <c r="R18" s="1063" t="s">
        <v>1541</v>
      </c>
      <c r="S18" s="983">
        <f>'WP1'!Z89</f>
        <v>0</v>
      </c>
      <c r="T18" s="65" t="b">
        <v>0</v>
      </c>
      <c r="U18" s="65" t="s">
        <v>892</v>
      </c>
      <c r="V18" s="19"/>
      <c r="W18" s="19"/>
      <c r="X18" s="977"/>
      <c r="BQ18" s="5"/>
      <c r="BR18" s="5"/>
      <c r="BS18" s="5"/>
      <c r="BT18" s="5"/>
      <c r="BU18" s="5"/>
      <c r="BV18" s="5"/>
      <c r="BW18" s="5"/>
      <c r="BX18" s="5"/>
      <c r="BY18" s="5"/>
      <c r="BZ18" s="5"/>
      <c r="CA18" s="5"/>
      <c r="CB18" s="5"/>
      <c r="CC18" s="5"/>
      <c r="CD18" s="5"/>
      <c r="CE18" s="5"/>
      <c r="CF18" s="5"/>
      <c r="CG18" s="5"/>
      <c r="CH18" s="5"/>
      <c r="CI18" s="5"/>
    </row>
    <row r="19" spans="2:87" ht="15" customHeight="1" x14ac:dyDescent="0.2">
      <c r="B19" s="77" t="s">
        <v>1400</v>
      </c>
      <c r="C19" s="534"/>
      <c r="D19" s="534"/>
      <c r="E19" s="534"/>
      <c r="F19" s="78"/>
      <c r="G19" s="79"/>
      <c r="H19" s="79" t="s">
        <v>3643</v>
      </c>
      <c r="I19" s="729"/>
      <c r="N19" s="19"/>
      <c r="O19" s="19"/>
      <c r="P19" s="19"/>
      <c r="Q19" s="19"/>
      <c r="R19" s="19"/>
      <c r="S19" s="19"/>
      <c r="T19" s="19"/>
      <c r="U19" s="19"/>
      <c r="V19" s="19"/>
      <c r="W19" s="19"/>
      <c r="X19" s="977"/>
      <c r="BQ19" s="5"/>
      <c r="BR19" s="5"/>
      <c r="BS19" s="5"/>
      <c r="BT19" s="5"/>
      <c r="BU19" s="5"/>
      <c r="BV19" s="5"/>
      <c r="BW19" s="5"/>
      <c r="BX19" s="5"/>
      <c r="BY19" s="5"/>
      <c r="BZ19" s="5"/>
      <c r="CA19" s="5"/>
      <c r="CB19" s="5"/>
      <c r="CC19" s="5"/>
      <c r="CD19" s="5"/>
      <c r="CE19" s="5"/>
      <c r="CF19" s="5"/>
      <c r="CG19" s="5"/>
      <c r="CH19" s="5"/>
      <c r="CI19" s="5"/>
    </row>
    <row r="20" spans="2:87" ht="15" customHeight="1" x14ac:dyDescent="0.2">
      <c r="B20" s="1071" t="str">
        <f>IF(AND(Qh&gt;0,L24&lt;&gt;3),IF(AND(bivalent=FALSE,elZusatz=FALSE,G56&gt;0.01),Sprache!B146,""),"")</f>
        <v/>
      </c>
      <c r="C20" s="666"/>
      <c r="D20" s="34"/>
      <c r="E20" s="4"/>
      <c r="F20" s="31"/>
      <c r="G20" s="965"/>
      <c r="H20" s="965"/>
      <c r="I20" s="963" t="str">
        <f>'WP1'!H17</f>
        <v/>
      </c>
      <c r="N20" s="912" t="s">
        <v>3494</v>
      </c>
      <c r="O20" s="128" t="s">
        <v>1542</v>
      </c>
      <c r="P20" s="1271" t="s">
        <v>3495</v>
      </c>
      <c r="Q20" s="1272"/>
      <c r="R20" s="128" t="s">
        <v>3496</v>
      </c>
      <c r="S20" s="131" t="s">
        <v>3499</v>
      </c>
      <c r="T20" s="19"/>
      <c r="U20" s="19"/>
      <c r="V20" s="5"/>
      <c r="X20" s="912" t="s">
        <v>3494</v>
      </c>
      <c r="Y20" s="128" t="s">
        <v>1542</v>
      </c>
      <c r="Z20" s="141" t="s">
        <v>3495</v>
      </c>
      <c r="AA20" s="128" t="s">
        <v>3496</v>
      </c>
      <c r="AB20" s="131" t="s">
        <v>3499</v>
      </c>
      <c r="AE20" s="912" t="s">
        <v>3494</v>
      </c>
      <c r="AF20" s="128" t="s">
        <v>1542</v>
      </c>
      <c r="AG20" s="141" t="s">
        <v>3495</v>
      </c>
      <c r="AH20" s="128" t="s">
        <v>3496</v>
      </c>
      <c r="AI20" s="131" t="s">
        <v>3499</v>
      </c>
      <c r="AL20" s="912" t="s">
        <v>3494</v>
      </c>
      <c r="AM20" s="128" t="s">
        <v>1542</v>
      </c>
      <c r="AN20" s="141" t="s">
        <v>3495</v>
      </c>
      <c r="AO20" s="128" t="s">
        <v>3496</v>
      </c>
      <c r="AP20" s="131" t="s">
        <v>3499</v>
      </c>
      <c r="AS20" s="912" t="s">
        <v>3494</v>
      </c>
      <c r="AT20" s="128" t="s">
        <v>1542</v>
      </c>
      <c r="AU20" s="141" t="s">
        <v>3495</v>
      </c>
      <c r="AV20" s="128" t="s">
        <v>3496</v>
      </c>
      <c r="AW20" s="131" t="s">
        <v>3499</v>
      </c>
      <c r="AZ20" s="912" t="s">
        <v>3494</v>
      </c>
      <c r="BA20" s="128" t="s">
        <v>1542</v>
      </c>
      <c r="BB20" s="141" t="s">
        <v>3495</v>
      </c>
      <c r="BC20" s="128" t="s">
        <v>3496</v>
      </c>
      <c r="BD20" s="131" t="s">
        <v>3499</v>
      </c>
      <c r="BG20" s="912" t="s">
        <v>3494</v>
      </c>
      <c r="BH20" s="128" t="s">
        <v>1542</v>
      </c>
      <c r="BI20" s="141" t="s">
        <v>3495</v>
      </c>
      <c r="BJ20" s="128" t="s">
        <v>3496</v>
      </c>
      <c r="BK20" s="131" t="s">
        <v>3499</v>
      </c>
      <c r="BN20" s="912" t="s">
        <v>3494</v>
      </c>
      <c r="BO20" s="128" t="s">
        <v>1542</v>
      </c>
      <c r="BP20" s="141" t="s">
        <v>3495</v>
      </c>
      <c r="BQ20" s="128" t="s">
        <v>3496</v>
      </c>
      <c r="BR20" s="131" t="s">
        <v>3499</v>
      </c>
      <c r="BS20" s="5"/>
      <c r="BT20" s="5"/>
      <c r="BU20" s="912" t="s">
        <v>3494</v>
      </c>
      <c r="BV20" s="128" t="s">
        <v>1542</v>
      </c>
      <c r="BW20" s="141" t="s">
        <v>3495</v>
      </c>
      <c r="BX20" s="128" t="s">
        <v>3496</v>
      </c>
      <c r="BY20" s="131" t="s">
        <v>3499</v>
      </c>
      <c r="BZ20" s="5"/>
      <c r="CA20" s="5"/>
      <c r="CB20" s="912" t="s">
        <v>3494</v>
      </c>
      <c r="CC20" s="128" t="s">
        <v>1542</v>
      </c>
      <c r="CD20" s="141" t="s">
        <v>3495</v>
      </c>
      <c r="CE20" s="128" t="s">
        <v>3496</v>
      </c>
      <c r="CF20" s="131" t="s">
        <v>3499</v>
      </c>
      <c r="CG20" s="5"/>
      <c r="CH20" s="5"/>
      <c r="CI20" s="5"/>
    </row>
    <row r="21" spans="2:87" ht="19.899999999999999" customHeight="1" x14ac:dyDescent="0.2">
      <c r="B21" s="32" t="str">
        <f>Sprache!B22</f>
        <v>Installation de pompe à chaleur</v>
      </c>
      <c r="C21" s="985"/>
      <c r="D21" s="1243"/>
      <c r="E21" s="1244"/>
      <c r="F21" s="966"/>
      <c r="G21" s="968" t="str">
        <f>IF(SpezWP,IF(Spez!E5&lt;&gt;"",Spez!E5,""),"Hersteller:  ")</f>
        <v xml:space="preserve">Hersteller:  </v>
      </c>
      <c r="H21" s="1257"/>
      <c r="I21" s="1258"/>
      <c r="L21" s="5" t="b">
        <f>IF(OR(F21="",F21=Z4,F21=Z6),FALSE,TRUE)</f>
        <v>0</v>
      </c>
      <c r="N21" s="130">
        <f>L9</f>
        <v>1</v>
      </c>
      <c r="O21" s="131" t="s">
        <v>3497</v>
      </c>
      <c r="P21" s="131" t="s">
        <v>3498</v>
      </c>
      <c r="Q21" s="131" t="s">
        <v>1543</v>
      </c>
      <c r="R21" s="132" t="s">
        <v>3500</v>
      </c>
      <c r="S21" s="913" t="str">
        <f>INDEX(AB$21:CL$21,1,(Bundesland-1)*8+1)</f>
        <v>Vorarlberg</v>
      </c>
      <c r="T21" s="19"/>
      <c r="U21" s="19"/>
      <c r="V21" s="5"/>
      <c r="X21" s="130">
        <v>1</v>
      </c>
      <c r="Y21" s="131" t="s">
        <v>3497</v>
      </c>
      <c r="Z21" s="131" t="s">
        <v>3498</v>
      </c>
      <c r="AA21" s="132" t="s">
        <v>3500</v>
      </c>
      <c r="AB21" s="913" t="str">
        <f>V4</f>
        <v>Vorarlberg</v>
      </c>
      <c r="AE21" s="130"/>
      <c r="AF21" s="131" t="s">
        <v>3497</v>
      </c>
      <c r="AG21" s="131" t="s">
        <v>3498</v>
      </c>
      <c r="AH21" s="132" t="s">
        <v>3500</v>
      </c>
      <c r="AI21" s="913" t="str">
        <f>V5</f>
        <v>Burgenland</v>
      </c>
      <c r="AL21" s="130"/>
      <c r="AM21" s="131" t="s">
        <v>3497</v>
      </c>
      <c r="AN21" s="131" t="s">
        <v>3498</v>
      </c>
      <c r="AO21" s="132" t="s">
        <v>3500</v>
      </c>
      <c r="AP21" s="913" t="str">
        <f>V6</f>
        <v>Kärnten</v>
      </c>
      <c r="AS21" s="130"/>
      <c r="AT21" s="131" t="s">
        <v>3497</v>
      </c>
      <c r="AU21" s="131" t="s">
        <v>3498</v>
      </c>
      <c r="AV21" s="132" t="s">
        <v>3500</v>
      </c>
      <c r="AW21" s="913" t="str">
        <f>V7</f>
        <v>Niederösterreich</v>
      </c>
      <c r="AZ21" s="130"/>
      <c r="BA21" s="131" t="s">
        <v>3497</v>
      </c>
      <c r="BB21" s="131" t="s">
        <v>3498</v>
      </c>
      <c r="BC21" s="132" t="s">
        <v>3500</v>
      </c>
      <c r="BD21" s="913" t="str">
        <f>V8</f>
        <v>Oberösterreich</v>
      </c>
      <c r="BG21" s="130"/>
      <c r="BH21" s="131" t="s">
        <v>3497</v>
      </c>
      <c r="BI21" s="131" t="s">
        <v>3498</v>
      </c>
      <c r="BJ21" s="132" t="s">
        <v>3500</v>
      </c>
      <c r="BK21" s="913" t="str">
        <f>V9</f>
        <v>Salzburg</v>
      </c>
      <c r="BN21" s="130"/>
      <c r="BO21" s="131" t="s">
        <v>3497</v>
      </c>
      <c r="BP21" s="131" t="s">
        <v>3498</v>
      </c>
      <c r="BQ21" s="132" t="s">
        <v>3500</v>
      </c>
      <c r="BR21" s="913" t="str">
        <f>V10</f>
        <v>Steiermark</v>
      </c>
      <c r="BS21" s="5"/>
      <c r="BT21" s="5"/>
      <c r="BU21" s="130"/>
      <c r="BV21" s="131" t="s">
        <v>3497</v>
      </c>
      <c r="BW21" s="131" t="s">
        <v>3498</v>
      </c>
      <c r="BX21" s="132" t="s">
        <v>3500</v>
      </c>
      <c r="BY21" s="913" t="str">
        <f>V11</f>
        <v>Tirol</v>
      </c>
      <c r="BZ21" s="5"/>
      <c r="CA21" s="5"/>
      <c r="CB21" s="130"/>
      <c r="CC21" s="131" t="s">
        <v>3497</v>
      </c>
      <c r="CD21" s="131" t="s">
        <v>3498</v>
      </c>
      <c r="CE21" s="132" t="s">
        <v>3500</v>
      </c>
      <c r="CF21" s="913" t="str">
        <f>V12</f>
        <v>Wien</v>
      </c>
      <c r="CG21" s="5"/>
      <c r="CH21" s="5"/>
      <c r="CI21" s="5"/>
    </row>
    <row r="22" spans="2:87" ht="19.899999999999999" customHeight="1" x14ac:dyDescent="0.2">
      <c r="B22" s="92" t="str">
        <f>Sprache!B23</f>
        <v>Nom et type de PAC</v>
      </c>
      <c r="C22" s="250"/>
      <c r="D22" s="250"/>
      <c r="E22" s="250"/>
      <c r="F22" s="93"/>
      <c r="G22" s="967" t="str">
        <f>IF(SpezWP,IF(Spez!E5&lt;&gt;"",Spez!E5,""),"Typ:  ")</f>
        <v xml:space="preserve">Typ:  </v>
      </c>
      <c r="H22" s="1269"/>
      <c r="I22" s="1270"/>
      <c r="L22" s="5" t="b">
        <f>IF(OR(H21=WP_Daten!D10,H21=""),FALSE,TRUE)</f>
        <v>0</v>
      </c>
      <c r="M22" s="4"/>
      <c r="N22" s="134"/>
      <c r="O22" s="135"/>
      <c r="P22" s="135"/>
      <c r="Q22" s="135"/>
      <c r="R22" s="135"/>
      <c r="S22" s="135"/>
      <c r="T22" s="19"/>
      <c r="U22" s="19"/>
      <c r="V22" s="5"/>
      <c r="W22" s="4"/>
      <c r="X22" s="134"/>
      <c r="Y22" s="135"/>
      <c r="Z22" s="135"/>
      <c r="AA22" s="135"/>
      <c r="AB22" s="135"/>
      <c r="AD22" s="4"/>
      <c r="AE22" s="134"/>
      <c r="AF22" s="135"/>
      <c r="AG22" s="135"/>
      <c r="AH22" s="135"/>
      <c r="AI22" s="135"/>
      <c r="AK22" s="4"/>
      <c r="AL22" s="134"/>
      <c r="AM22" s="135"/>
      <c r="AN22" s="135"/>
      <c r="AO22" s="135"/>
      <c r="AP22" s="135"/>
      <c r="AR22" s="4"/>
      <c r="AS22" s="134"/>
      <c r="AT22" s="135"/>
      <c r="AU22" s="135"/>
      <c r="AV22" s="135"/>
      <c r="AW22" s="135"/>
      <c r="AY22" s="4"/>
      <c r="AZ22" s="134"/>
      <c r="BA22" s="135"/>
      <c r="BB22" s="135"/>
      <c r="BC22" s="135"/>
      <c r="BD22" s="135"/>
      <c r="BF22" s="4"/>
      <c r="BG22" s="134"/>
      <c r="BH22" s="135"/>
      <c r="BI22" s="135"/>
      <c r="BJ22" s="135"/>
      <c r="BK22" s="135"/>
      <c r="BM22" s="4"/>
      <c r="BN22" s="134"/>
      <c r="BO22" s="135"/>
      <c r="BP22" s="135"/>
      <c r="BQ22" s="135"/>
      <c r="BR22" s="135"/>
      <c r="BS22" s="5"/>
      <c r="BT22" s="4"/>
      <c r="BU22" s="134"/>
      <c r="BV22" s="135"/>
      <c r="BW22" s="135"/>
      <c r="BX22" s="135"/>
      <c r="BY22" s="135"/>
      <c r="BZ22" s="5"/>
      <c r="CA22" s="4"/>
      <c r="CB22" s="134"/>
      <c r="CC22" s="135"/>
      <c r="CD22" s="135"/>
      <c r="CE22" s="135"/>
      <c r="CF22" s="135"/>
      <c r="CG22" s="5"/>
      <c r="CH22" s="5"/>
      <c r="CI22" s="5"/>
    </row>
    <row r="23" spans="2:87" ht="15" customHeight="1" x14ac:dyDescent="0.2">
      <c r="B23" s="92" t="str">
        <f>Sprache!B26</f>
        <v>Source de chaleur:</v>
      </c>
      <c r="C23" s="250"/>
      <c r="D23" s="250"/>
      <c r="E23" s="250"/>
      <c r="F23" s="347" t="str">
        <f>IF(WPArt=1,Sprache!B24,"")</f>
        <v>choisir -&gt;</v>
      </c>
      <c r="G23" s="1240"/>
      <c r="H23" s="1241"/>
      <c r="I23" s="1242"/>
      <c r="L23" s="19">
        <f>IF(G23="",1,MATCH(G23,C69:C89,0))</f>
        <v>1</v>
      </c>
      <c r="M23" s="5">
        <v>1</v>
      </c>
      <c r="N23" s="413" t="str">
        <f t="shared" ref="N23:N86" si="0">INDEX(X$23:CG$723,$M23,(Bundesland-1)*7+1)</f>
        <v>Alberschwende</v>
      </c>
      <c r="O23" s="414">
        <f t="shared" ref="O23:O86" si="1">INDEX(Y$23:CH$723,$M23,(Bundesland-1)*7+1)</f>
        <v>721</v>
      </c>
      <c r="P23" s="414">
        <f t="shared" ref="P23:P86" si="2">INDEX(Z$23:CI$723,$M23,(Bundesland-1)*7+1)</f>
        <v>2.82</v>
      </c>
      <c r="Q23" s="145">
        <f>MIN(S23+Zuschlag_A,-8)</f>
        <v>-15</v>
      </c>
      <c r="R23" s="414">
        <f t="shared" ref="R23:R86" si="3">INDEX(AA$23:CK$723,$M23,(Bundesland-1)*7+1)</f>
        <v>4380</v>
      </c>
      <c r="S23" s="414">
        <f t="shared" ref="S23:S86" si="4">INDEX(AB$23:CL$723,$M23,(Bundesland-1)*7+1)</f>
        <v>-15</v>
      </c>
      <c r="T23" s="19"/>
      <c r="U23" s="19"/>
      <c r="V23" s="5"/>
      <c r="W23" s="5">
        <v>1</v>
      </c>
      <c r="X23" s="413" t="s">
        <v>1544</v>
      </c>
      <c r="Y23" s="914">
        <v>721</v>
      </c>
      <c r="Z23" s="915">
        <v>2.82</v>
      </c>
      <c r="AA23" s="914">
        <v>4380</v>
      </c>
      <c r="AB23" s="914">
        <v>-15</v>
      </c>
      <c r="AD23" s="5">
        <v>1</v>
      </c>
      <c r="AE23" s="413" t="s">
        <v>1545</v>
      </c>
      <c r="AF23" s="914">
        <v>120</v>
      </c>
      <c r="AG23" s="915">
        <v>3.46</v>
      </c>
      <c r="AH23" s="914">
        <v>3341</v>
      </c>
      <c r="AI23" s="914">
        <v>-14</v>
      </c>
      <c r="AK23" s="5">
        <v>1</v>
      </c>
      <c r="AL23" s="413" t="s">
        <v>1546</v>
      </c>
      <c r="AM23" s="914">
        <v>715</v>
      </c>
      <c r="AN23" s="915">
        <v>2.86</v>
      </c>
      <c r="AO23" s="914">
        <v>4131</v>
      </c>
      <c r="AP23" s="914">
        <v>-15</v>
      </c>
      <c r="AR23" s="5">
        <v>1</v>
      </c>
      <c r="AS23" s="413" t="s">
        <v>1547</v>
      </c>
      <c r="AT23" s="914">
        <v>180</v>
      </c>
      <c r="AU23" s="915">
        <v>3.45</v>
      </c>
      <c r="AV23" s="914">
        <v>3575</v>
      </c>
      <c r="AW23" s="914">
        <v>-13</v>
      </c>
      <c r="AY23" s="5">
        <v>1</v>
      </c>
      <c r="AZ23" s="413" t="s">
        <v>1548</v>
      </c>
      <c r="BA23" s="914">
        <v>380</v>
      </c>
      <c r="BB23" s="915">
        <v>3.11</v>
      </c>
      <c r="BC23" s="914">
        <v>3850</v>
      </c>
      <c r="BD23" s="914">
        <v>-15</v>
      </c>
      <c r="BF23" s="5">
        <v>1</v>
      </c>
      <c r="BG23" s="413" t="s">
        <v>1549</v>
      </c>
      <c r="BH23" s="914">
        <v>715</v>
      </c>
      <c r="BI23" s="915">
        <v>2.15</v>
      </c>
      <c r="BJ23" s="914">
        <v>4462</v>
      </c>
      <c r="BK23" s="914">
        <v>-16</v>
      </c>
      <c r="BM23" s="5">
        <v>1</v>
      </c>
      <c r="BN23" s="413" t="s">
        <v>1550</v>
      </c>
      <c r="BO23" s="914">
        <v>641</v>
      </c>
      <c r="BP23" s="915">
        <v>2.0699999999999998</v>
      </c>
      <c r="BQ23" s="914">
        <v>4591</v>
      </c>
      <c r="BR23" s="914">
        <v>-17</v>
      </c>
      <c r="BS23" s="5"/>
      <c r="BT23" s="5">
        <v>1</v>
      </c>
      <c r="BU23" s="413" t="s">
        <v>1551</v>
      </c>
      <c r="BV23" s="914">
        <v>982</v>
      </c>
      <c r="BW23" s="915">
        <v>1.99</v>
      </c>
      <c r="BX23" s="914">
        <v>4808</v>
      </c>
      <c r="BY23" s="914">
        <v>-17</v>
      </c>
      <c r="BZ23" s="5"/>
      <c r="CA23" s="5">
        <v>1</v>
      </c>
      <c r="CB23" s="413" t="s">
        <v>1552</v>
      </c>
      <c r="CC23" s="914">
        <v>164</v>
      </c>
      <c r="CD23" s="915">
        <v>3.76</v>
      </c>
      <c r="CE23" s="914">
        <v>3297</v>
      </c>
      <c r="CF23" s="914">
        <v>-13</v>
      </c>
      <c r="CG23" s="5"/>
      <c r="CH23" s="5"/>
      <c r="CI23" s="5"/>
    </row>
    <row r="24" spans="2:87" ht="15" customHeight="1" x14ac:dyDescent="0.2">
      <c r="B24" s="100" t="str">
        <f>Sprache!B27</f>
        <v>Utilisation (chauffage ou eau chaude sanitaire)</v>
      </c>
      <c r="C24" s="103"/>
      <c r="D24" s="103"/>
      <c r="E24" s="103"/>
      <c r="F24" s="347" t="e">
        <f>IF(#REF!=1,Sprache!B24,"")</f>
        <v>#REF!</v>
      </c>
      <c r="G24" s="1240"/>
      <c r="H24" s="1241"/>
      <c r="I24" s="1242"/>
      <c r="L24" s="19">
        <f>IF(G24="",1,MATCH(G24,Z11:Z15,0))</f>
        <v>1</v>
      </c>
      <c r="M24" s="5">
        <v>2</v>
      </c>
      <c r="N24" s="413" t="str">
        <f t="shared" si="0"/>
        <v>Altach</v>
      </c>
      <c r="O24" s="414">
        <f t="shared" si="1"/>
        <v>412</v>
      </c>
      <c r="P24" s="414">
        <f t="shared" si="2"/>
        <v>3.83</v>
      </c>
      <c r="Q24" s="145">
        <f t="shared" ref="Q24:Q87" si="5">MIN(S24+Zuschlag_A,-8)</f>
        <v>-13</v>
      </c>
      <c r="R24" s="414">
        <f t="shared" si="3"/>
        <v>3542</v>
      </c>
      <c r="S24" s="414">
        <f t="shared" si="4"/>
        <v>-13</v>
      </c>
      <c r="T24" s="19"/>
      <c r="U24" s="19"/>
      <c r="V24" s="5"/>
      <c r="W24" s="5">
        <v>2</v>
      </c>
      <c r="X24" s="413" t="s">
        <v>1553</v>
      </c>
      <c r="Y24" s="145">
        <v>412</v>
      </c>
      <c r="Z24" s="916">
        <v>3.83</v>
      </c>
      <c r="AA24" s="145">
        <v>3542</v>
      </c>
      <c r="AB24" s="145">
        <v>-13</v>
      </c>
      <c r="AD24" s="5">
        <v>2</v>
      </c>
      <c r="AE24" s="413" t="s">
        <v>1554</v>
      </c>
      <c r="AF24" s="145">
        <v>120</v>
      </c>
      <c r="AG24" s="916">
        <v>3.32</v>
      </c>
      <c r="AH24" s="145">
        <v>3252</v>
      </c>
      <c r="AI24" s="145">
        <v>-14</v>
      </c>
      <c r="AK24" s="5">
        <v>2</v>
      </c>
      <c r="AL24" s="413" t="s">
        <v>1555</v>
      </c>
      <c r="AM24" s="145">
        <v>665</v>
      </c>
      <c r="AN24" s="916">
        <v>2.4900000000000002</v>
      </c>
      <c r="AO24" s="145">
        <v>4132</v>
      </c>
      <c r="AP24" s="145">
        <v>-15</v>
      </c>
      <c r="AR24" s="5">
        <v>2</v>
      </c>
      <c r="AS24" s="413" t="s">
        <v>1556</v>
      </c>
      <c r="AT24" s="145">
        <v>170</v>
      </c>
      <c r="AU24" s="916">
        <v>3.6</v>
      </c>
      <c r="AV24" s="145">
        <v>3394</v>
      </c>
      <c r="AW24" s="145">
        <v>-13</v>
      </c>
      <c r="AY24" s="5">
        <v>2</v>
      </c>
      <c r="AZ24" s="413" t="s">
        <v>1557</v>
      </c>
      <c r="BA24" s="145">
        <v>420</v>
      </c>
      <c r="BB24" s="916">
        <v>3.13</v>
      </c>
      <c r="BC24" s="145">
        <v>3847</v>
      </c>
      <c r="BD24" s="145">
        <v>-14</v>
      </c>
      <c r="BF24" s="5">
        <v>2</v>
      </c>
      <c r="BG24" s="413" t="s">
        <v>1558</v>
      </c>
      <c r="BH24" s="145">
        <v>481</v>
      </c>
      <c r="BI24" s="916">
        <v>3.49</v>
      </c>
      <c r="BJ24" s="145">
        <v>3880</v>
      </c>
      <c r="BK24" s="145">
        <v>-15</v>
      </c>
      <c r="BM24" s="5">
        <v>2</v>
      </c>
      <c r="BN24" s="413" t="s">
        <v>1559</v>
      </c>
      <c r="BO24" s="145">
        <v>763</v>
      </c>
      <c r="BP24" s="916">
        <v>2.54</v>
      </c>
      <c r="BQ24" s="145">
        <v>4556</v>
      </c>
      <c r="BR24" s="145">
        <v>-15</v>
      </c>
      <c r="BS24" s="5"/>
      <c r="BT24" s="5">
        <v>2</v>
      </c>
      <c r="BU24" s="413" t="s">
        <v>1560</v>
      </c>
      <c r="BV24" s="145">
        <v>916</v>
      </c>
      <c r="BW24" s="916">
        <v>2.4</v>
      </c>
      <c r="BX24" s="145">
        <v>4841</v>
      </c>
      <c r="BY24" s="145">
        <v>-17</v>
      </c>
      <c r="BZ24" s="5"/>
      <c r="CA24" s="5">
        <v>2</v>
      </c>
      <c r="CB24" s="413" t="s">
        <v>1561</v>
      </c>
      <c r="CC24" s="145">
        <v>160</v>
      </c>
      <c r="CD24" s="916">
        <v>3.6</v>
      </c>
      <c r="CE24" s="145">
        <v>3379</v>
      </c>
      <c r="CF24" s="145">
        <v>-13</v>
      </c>
      <c r="CG24" s="5"/>
      <c r="CH24" s="5"/>
      <c r="CI24" s="5"/>
    </row>
    <row r="25" spans="2:87" ht="15" customHeight="1" x14ac:dyDescent="0.2">
      <c r="B25" s="100" t="str">
        <f>IF(Heizung=FALSE,"",Sprache!B29)</f>
        <v/>
      </c>
      <c r="C25" s="103"/>
      <c r="D25" s="103"/>
      <c r="E25" s="103"/>
      <c r="F25" s="347" t="e">
        <f>IF(AND(HeizungSolar,#REF!=3),Sprache!B25,IF(AND(#REF!=1,Heizung),Sprache!B24,""))</f>
        <v>#REF!</v>
      </c>
      <c r="G25" s="1240"/>
      <c r="H25" s="1241"/>
      <c r="I25" s="1242"/>
      <c r="L25" s="19">
        <f>IF(G25="",1,MATCH(G25,AE3:AE15,0))</f>
        <v>1</v>
      </c>
      <c r="M25" s="5">
        <v>3</v>
      </c>
      <c r="N25" s="413" t="str">
        <f t="shared" si="0"/>
        <v>Andelsbuch</v>
      </c>
      <c r="O25" s="414">
        <f t="shared" si="1"/>
        <v>613</v>
      </c>
      <c r="P25" s="414">
        <f t="shared" si="2"/>
        <v>3.12</v>
      </c>
      <c r="Q25" s="145">
        <f t="shared" si="5"/>
        <v>-15</v>
      </c>
      <c r="R25" s="414">
        <f t="shared" si="3"/>
        <v>4136</v>
      </c>
      <c r="S25" s="414">
        <f t="shared" si="4"/>
        <v>-15</v>
      </c>
      <c r="T25" s="19"/>
      <c r="U25" s="19"/>
      <c r="V25" s="5"/>
      <c r="W25" s="5">
        <v>3</v>
      </c>
      <c r="X25" s="144" t="s">
        <v>1562</v>
      </c>
      <c r="Y25" s="145">
        <v>613</v>
      </c>
      <c r="Z25" s="916">
        <v>3.12</v>
      </c>
      <c r="AA25" s="145">
        <v>4136</v>
      </c>
      <c r="AB25" s="145">
        <v>-15</v>
      </c>
      <c r="AD25" s="5">
        <v>3</v>
      </c>
      <c r="AE25" s="413" t="s">
        <v>1563</v>
      </c>
      <c r="AF25" s="145">
        <v>338</v>
      </c>
      <c r="AG25" s="916">
        <v>3.07</v>
      </c>
      <c r="AH25" s="145">
        <v>3775</v>
      </c>
      <c r="AI25" s="145">
        <v>-13</v>
      </c>
      <c r="AK25" s="5">
        <v>3</v>
      </c>
      <c r="AL25" s="413" t="s">
        <v>1564</v>
      </c>
      <c r="AM25" s="145">
        <v>575</v>
      </c>
      <c r="AN25" s="916">
        <v>2.3199999999999998</v>
      </c>
      <c r="AO25" s="145">
        <v>4102</v>
      </c>
      <c r="AP25" s="145">
        <v>-16</v>
      </c>
      <c r="AR25" s="5">
        <v>3</v>
      </c>
      <c r="AS25" s="413" t="s">
        <v>1565</v>
      </c>
      <c r="AT25" s="145">
        <v>220</v>
      </c>
      <c r="AU25" s="916">
        <v>3.5</v>
      </c>
      <c r="AV25" s="145">
        <v>3548</v>
      </c>
      <c r="AW25" s="145">
        <v>-13</v>
      </c>
      <c r="AY25" s="5">
        <v>3</v>
      </c>
      <c r="AZ25" s="413" t="s">
        <v>1566</v>
      </c>
      <c r="BA25" s="145">
        <v>596</v>
      </c>
      <c r="BB25" s="916">
        <v>2.68</v>
      </c>
      <c r="BC25" s="145">
        <v>4157</v>
      </c>
      <c r="BD25" s="145">
        <v>-14</v>
      </c>
      <c r="BF25" s="5">
        <v>3</v>
      </c>
      <c r="BG25" s="413" t="s">
        <v>1567</v>
      </c>
      <c r="BH25" s="145">
        <v>521</v>
      </c>
      <c r="BI25" s="916">
        <v>3.26</v>
      </c>
      <c r="BJ25" s="145">
        <v>3950</v>
      </c>
      <c r="BK25" s="145">
        <v>-14</v>
      </c>
      <c r="BM25" s="5">
        <v>3</v>
      </c>
      <c r="BN25" s="413" t="s">
        <v>1568</v>
      </c>
      <c r="BO25" s="145">
        <v>700</v>
      </c>
      <c r="BP25" s="916">
        <v>2.72</v>
      </c>
      <c r="BQ25" s="145">
        <v>4388</v>
      </c>
      <c r="BR25" s="145">
        <v>-15</v>
      </c>
      <c r="BS25" s="5"/>
      <c r="BT25" s="5">
        <v>3</v>
      </c>
      <c r="BU25" s="413" t="s">
        <v>1569</v>
      </c>
      <c r="BV25" s="145">
        <v>740</v>
      </c>
      <c r="BW25" s="916">
        <v>2.2200000000000002</v>
      </c>
      <c r="BX25" s="145">
        <v>4302</v>
      </c>
      <c r="BY25" s="145">
        <v>-16</v>
      </c>
      <c r="BZ25" s="5"/>
      <c r="CA25" s="5">
        <v>3</v>
      </c>
      <c r="CB25" s="413" t="s">
        <v>1570</v>
      </c>
      <c r="CC25" s="145">
        <v>170</v>
      </c>
      <c r="CD25" s="916">
        <v>3.78</v>
      </c>
      <c r="CE25" s="145">
        <v>3308</v>
      </c>
      <c r="CF25" s="145">
        <v>-13</v>
      </c>
      <c r="CG25" s="5"/>
      <c r="CH25" s="5"/>
      <c r="CI25" s="5"/>
    </row>
    <row r="26" spans="2:87" ht="15" customHeight="1" x14ac:dyDescent="0.2">
      <c r="B26" s="100" t="str">
        <f>Sprache!B28</f>
        <v>Mode de fonctionnement de la PAC</v>
      </c>
      <c r="C26" s="103"/>
      <c r="D26" s="103"/>
      <c r="E26" s="103"/>
      <c r="F26" s="347" t="e">
        <f>IF(#REF!=1,Sprache!B24,"")</f>
        <v>#REF!</v>
      </c>
      <c r="G26" s="1240"/>
      <c r="H26" s="1241"/>
      <c r="I26" s="1242"/>
      <c r="L26" s="19">
        <f>IF(G26="",1,IF(MATCH(G26,AJ3:AJ7,0)=5,4,MATCH(G26,AJ3:AJ7,0)))</f>
        <v>1</v>
      </c>
      <c r="M26" s="5">
        <v>4</v>
      </c>
      <c r="N26" s="413" t="str">
        <f t="shared" si="0"/>
        <v>Au (Bregenzerwald)</v>
      </c>
      <c r="O26" s="414">
        <f t="shared" si="1"/>
        <v>810</v>
      </c>
      <c r="P26" s="414">
        <f t="shared" si="2"/>
        <v>2.34</v>
      </c>
      <c r="Q26" s="145">
        <f t="shared" si="5"/>
        <v>-19</v>
      </c>
      <c r="R26" s="414">
        <f t="shared" si="3"/>
        <v>4734</v>
      </c>
      <c r="S26" s="414">
        <f t="shared" si="4"/>
        <v>-19</v>
      </c>
      <c r="T26" s="19"/>
      <c r="U26" s="19"/>
      <c r="V26" s="5"/>
      <c r="W26" s="5">
        <v>4</v>
      </c>
      <c r="X26" s="144" t="s">
        <v>1571</v>
      </c>
      <c r="Y26" s="145">
        <v>810</v>
      </c>
      <c r="Z26" s="916">
        <v>2.34</v>
      </c>
      <c r="AA26" s="145">
        <v>4734</v>
      </c>
      <c r="AB26" s="145">
        <v>-19</v>
      </c>
      <c r="AD26" s="5">
        <v>4</v>
      </c>
      <c r="AE26" s="413" t="s">
        <v>1572</v>
      </c>
      <c r="AF26" s="145">
        <v>617</v>
      </c>
      <c r="AG26" s="916">
        <v>2.91</v>
      </c>
      <c r="AH26" s="145">
        <v>3879</v>
      </c>
      <c r="AI26" s="145">
        <v>-13</v>
      </c>
      <c r="AK26" s="5">
        <v>4</v>
      </c>
      <c r="AL26" s="413" t="s">
        <v>1573</v>
      </c>
      <c r="AM26" s="145">
        <v>895</v>
      </c>
      <c r="AN26" s="916">
        <v>2.87</v>
      </c>
      <c r="AO26" s="145">
        <v>4352</v>
      </c>
      <c r="AP26" s="145">
        <v>-15</v>
      </c>
      <c r="AR26" s="5">
        <v>4</v>
      </c>
      <c r="AS26" s="413" t="s">
        <v>2164</v>
      </c>
      <c r="AT26" s="145">
        <v>215</v>
      </c>
      <c r="AU26" s="916">
        <v>3.56</v>
      </c>
      <c r="AV26" s="145">
        <v>3535</v>
      </c>
      <c r="AW26" s="145">
        <v>-13</v>
      </c>
      <c r="AY26" s="5">
        <v>4</v>
      </c>
      <c r="AZ26" s="413" t="s">
        <v>2165</v>
      </c>
      <c r="BA26" s="145">
        <v>437</v>
      </c>
      <c r="BB26" s="916">
        <v>3.19</v>
      </c>
      <c r="BC26" s="145">
        <v>3782</v>
      </c>
      <c r="BD26" s="145">
        <v>-15</v>
      </c>
      <c r="BF26" s="5">
        <v>4</v>
      </c>
      <c r="BG26" s="413" t="s">
        <v>2166</v>
      </c>
      <c r="BH26" s="145">
        <v>800</v>
      </c>
      <c r="BI26" s="916">
        <v>2.35</v>
      </c>
      <c r="BJ26" s="145">
        <v>4447</v>
      </c>
      <c r="BK26" s="145">
        <v>-17</v>
      </c>
      <c r="BM26" s="5">
        <v>4</v>
      </c>
      <c r="BN26" s="413" t="s">
        <v>2167</v>
      </c>
      <c r="BO26" s="145">
        <v>680</v>
      </c>
      <c r="BP26" s="916">
        <v>2.2599999999999998</v>
      </c>
      <c r="BQ26" s="145">
        <v>4505</v>
      </c>
      <c r="BR26" s="145">
        <v>-16</v>
      </c>
      <c r="BS26" s="5"/>
      <c r="BT26" s="5">
        <v>4</v>
      </c>
      <c r="BU26" s="413" t="s">
        <v>2168</v>
      </c>
      <c r="BV26" s="145">
        <v>759</v>
      </c>
      <c r="BW26" s="916">
        <v>3.05</v>
      </c>
      <c r="BX26" s="145">
        <v>4135</v>
      </c>
      <c r="BY26" s="145">
        <v>-15</v>
      </c>
      <c r="BZ26" s="5"/>
      <c r="CA26" s="5">
        <v>4</v>
      </c>
      <c r="CB26" s="413" t="s">
        <v>2169</v>
      </c>
      <c r="CC26" s="145">
        <v>200</v>
      </c>
      <c r="CD26" s="916">
        <v>3.71</v>
      </c>
      <c r="CE26" s="145">
        <v>3355</v>
      </c>
      <c r="CF26" s="145">
        <v>-13</v>
      </c>
      <c r="CG26" s="5"/>
      <c r="CH26" s="5"/>
      <c r="CI26" s="5"/>
    </row>
    <row r="27" spans="2:87" ht="15" customHeight="1" x14ac:dyDescent="0.2">
      <c r="B27" s="166" t="str">
        <f>IF(elZusatz,Sprache!B30,"")</f>
        <v/>
      </c>
      <c r="C27" s="499"/>
      <c r="D27" s="499"/>
      <c r="E27" s="499"/>
      <c r="F27" s="538" t="e">
        <f>IF(AND(elZusatz,#REF!=1),Sprache!B24,"")</f>
        <v>#REF!</v>
      </c>
      <c r="G27" s="1240"/>
      <c r="H27" s="1241"/>
      <c r="I27" s="1242"/>
      <c r="L27" s="19">
        <f>IF(G27="",1,MATCH(G27,AN3:AN6,0))</f>
        <v>1</v>
      </c>
      <c r="M27" s="5">
        <v>5</v>
      </c>
      <c r="N27" s="413" t="str">
        <f t="shared" si="0"/>
        <v>Bezau</v>
      </c>
      <c r="O27" s="414">
        <f t="shared" si="1"/>
        <v>653</v>
      </c>
      <c r="P27" s="414">
        <f t="shared" si="2"/>
        <v>2.93</v>
      </c>
      <c r="Q27" s="145">
        <f t="shared" si="5"/>
        <v>-17</v>
      </c>
      <c r="R27" s="414">
        <f t="shared" si="3"/>
        <v>4267</v>
      </c>
      <c r="S27" s="414">
        <f t="shared" si="4"/>
        <v>-17</v>
      </c>
      <c r="T27" s="19"/>
      <c r="U27" s="19"/>
      <c r="V27" s="5"/>
      <c r="W27" s="5">
        <v>5</v>
      </c>
      <c r="X27" s="144" t="s">
        <v>2170</v>
      </c>
      <c r="Y27" s="145">
        <v>653</v>
      </c>
      <c r="Z27" s="916">
        <v>2.93</v>
      </c>
      <c r="AA27" s="145">
        <v>4267</v>
      </c>
      <c r="AB27" s="145">
        <v>-17</v>
      </c>
      <c r="AD27" s="5">
        <v>5</v>
      </c>
      <c r="AE27" s="413" t="s">
        <v>2171</v>
      </c>
      <c r="AF27" s="145">
        <v>145</v>
      </c>
      <c r="AG27" s="916">
        <v>3.49</v>
      </c>
      <c r="AH27" s="145">
        <v>3385</v>
      </c>
      <c r="AI27" s="145">
        <v>-13</v>
      </c>
      <c r="AK27" s="5">
        <v>5</v>
      </c>
      <c r="AL27" s="413" t="s">
        <v>2172</v>
      </c>
      <c r="AM27" s="145">
        <v>721</v>
      </c>
      <c r="AN27" s="916">
        <v>2.91</v>
      </c>
      <c r="AO27" s="145">
        <v>4171</v>
      </c>
      <c r="AP27" s="145">
        <v>-15</v>
      </c>
      <c r="AR27" s="5">
        <v>5</v>
      </c>
      <c r="AS27" s="413" t="s">
        <v>2173</v>
      </c>
      <c r="AT27" s="145">
        <v>445</v>
      </c>
      <c r="AU27" s="916">
        <v>2.64</v>
      </c>
      <c r="AV27" s="145">
        <v>4132</v>
      </c>
      <c r="AW27" s="145">
        <v>-16</v>
      </c>
      <c r="AY27" s="5">
        <v>5</v>
      </c>
      <c r="AZ27" s="413" t="s">
        <v>2174</v>
      </c>
      <c r="BA27" s="145">
        <v>570</v>
      </c>
      <c r="BB27" s="916">
        <v>2.87</v>
      </c>
      <c r="BC27" s="145">
        <v>4077</v>
      </c>
      <c r="BD27" s="145">
        <v>-14</v>
      </c>
      <c r="BF27" s="5">
        <v>5</v>
      </c>
      <c r="BG27" s="413" t="s">
        <v>2175</v>
      </c>
      <c r="BH27" s="145">
        <v>843</v>
      </c>
      <c r="BI27" s="916">
        <v>1.92</v>
      </c>
      <c r="BJ27" s="145">
        <v>4792</v>
      </c>
      <c r="BK27" s="145">
        <v>-17</v>
      </c>
      <c r="BM27" s="5">
        <v>5</v>
      </c>
      <c r="BN27" s="413" t="s">
        <v>2176</v>
      </c>
      <c r="BO27" s="145">
        <v>400</v>
      </c>
      <c r="BP27" s="916">
        <v>3.12</v>
      </c>
      <c r="BQ27" s="145">
        <v>3596</v>
      </c>
      <c r="BR27" s="145">
        <v>-14</v>
      </c>
      <c r="BS27" s="5"/>
      <c r="BT27" s="5">
        <v>5</v>
      </c>
      <c r="BU27" s="413" t="s">
        <v>2177</v>
      </c>
      <c r="BV27" s="145">
        <v>975</v>
      </c>
      <c r="BW27" s="916">
        <v>2.33</v>
      </c>
      <c r="BX27" s="145">
        <v>4823</v>
      </c>
      <c r="BY27" s="145">
        <v>-17</v>
      </c>
      <c r="BZ27" s="5"/>
      <c r="CA27" s="5">
        <v>5</v>
      </c>
      <c r="CB27" s="413" t="s">
        <v>2178</v>
      </c>
      <c r="CC27" s="145">
        <v>160</v>
      </c>
      <c r="CD27" s="916">
        <v>3.67</v>
      </c>
      <c r="CE27" s="145">
        <v>3348</v>
      </c>
      <c r="CF27" s="145">
        <v>-13</v>
      </c>
      <c r="CG27" s="5"/>
      <c r="CH27" s="5"/>
      <c r="CI27" s="5"/>
    </row>
    <row r="28" spans="2:87" ht="15" customHeight="1" x14ac:dyDescent="0.2">
      <c r="B28" s="539" t="str">
        <f>Sprache!B69</f>
        <v>Température de la source (entrée PAC)</v>
      </c>
      <c r="C28" s="969"/>
      <c r="D28" s="516" t="s">
        <v>2948</v>
      </c>
      <c r="E28" s="516">
        <v>-15</v>
      </c>
      <c r="F28" s="516">
        <v>-7</v>
      </c>
      <c r="G28" s="516">
        <v>2</v>
      </c>
      <c r="H28" s="543">
        <v>7</v>
      </c>
      <c r="I28" s="542">
        <f>IF(WPArt=2,20,IF(WPArt=3,0,IF(WPArt=4,10,IF(WPArt=5,0,IF(WPArt=6,20,20)))))</f>
        <v>20</v>
      </c>
      <c r="L28" s="19">
        <f>IF(G26="",1,MATCH(G26,AJ3:AJ7,0))</f>
        <v>1</v>
      </c>
      <c r="M28" s="5">
        <v>6</v>
      </c>
      <c r="N28" s="413" t="str">
        <f t="shared" si="0"/>
        <v>Bizau</v>
      </c>
      <c r="O28" s="414">
        <f t="shared" si="1"/>
        <v>681</v>
      </c>
      <c r="P28" s="414">
        <f t="shared" si="2"/>
        <v>2.77</v>
      </c>
      <c r="Q28" s="145">
        <f t="shared" si="5"/>
        <v>-17</v>
      </c>
      <c r="R28" s="414">
        <f t="shared" si="3"/>
        <v>4359</v>
      </c>
      <c r="S28" s="414">
        <f t="shared" si="4"/>
        <v>-17</v>
      </c>
      <c r="T28" s="19"/>
      <c r="U28" s="19"/>
      <c r="V28" s="5"/>
      <c r="W28" s="5">
        <v>6</v>
      </c>
      <c r="X28" s="144" t="s">
        <v>2179</v>
      </c>
      <c r="Y28" s="414">
        <v>681</v>
      </c>
      <c r="Z28" s="917">
        <v>2.77</v>
      </c>
      <c r="AA28" s="414">
        <v>4359</v>
      </c>
      <c r="AB28" s="414">
        <v>-17</v>
      </c>
      <c r="AD28" s="5">
        <v>6</v>
      </c>
      <c r="AE28" s="413" t="s">
        <v>2180</v>
      </c>
      <c r="AF28" s="414">
        <v>133</v>
      </c>
      <c r="AG28" s="917">
        <v>3.42</v>
      </c>
      <c r="AH28" s="414">
        <v>3382</v>
      </c>
      <c r="AI28" s="414">
        <v>-14</v>
      </c>
      <c r="AK28" s="5">
        <v>6</v>
      </c>
      <c r="AL28" s="413" t="s">
        <v>2181</v>
      </c>
      <c r="AM28" s="414">
        <v>892</v>
      </c>
      <c r="AN28" s="917">
        <v>2.06</v>
      </c>
      <c r="AO28" s="414">
        <v>4610</v>
      </c>
      <c r="AP28" s="414">
        <v>-17</v>
      </c>
      <c r="AR28" s="5">
        <v>6</v>
      </c>
      <c r="AS28" s="413" t="s">
        <v>2182</v>
      </c>
      <c r="AT28" s="414">
        <v>690</v>
      </c>
      <c r="AU28" s="917">
        <v>2.2000000000000002</v>
      </c>
      <c r="AV28" s="414">
        <v>4735</v>
      </c>
      <c r="AW28" s="414">
        <v>-17</v>
      </c>
      <c r="AY28" s="5">
        <v>6</v>
      </c>
      <c r="AZ28" s="413" t="s">
        <v>2183</v>
      </c>
      <c r="BA28" s="414">
        <v>268</v>
      </c>
      <c r="BB28" s="917">
        <v>3.06</v>
      </c>
      <c r="BC28" s="414">
        <v>3675</v>
      </c>
      <c r="BD28" s="414">
        <v>-14</v>
      </c>
      <c r="BF28" s="5">
        <v>6</v>
      </c>
      <c r="BG28" s="413" t="s">
        <v>2184</v>
      </c>
      <c r="BH28" s="414">
        <v>434</v>
      </c>
      <c r="BI28" s="917">
        <v>3.42</v>
      </c>
      <c r="BJ28" s="414">
        <v>3796</v>
      </c>
      <c r="BK28" s="414">
        <v>-15</v>
      </c>
      <c r="BM28" s="5">
        <v>6</v>
      </c>
      <c r="BN28" s="413" t="s">
        <v>2185</v>
      </c>
      <c r="BO28" s="414">
        <v>552</v>
      </c>
      <c r="BP28" s="917">
        <v>2.93</v>
      </c>
      <c r="BQ28" s="414">
        <v>4080</v>
      </c>
      <c r="BR28" s="414">
        <v>-14</v>
      </c>
      <c r="BS28" s="5"/>
      <c r="BT28" s="5">
        <v>6</v>
      </c>
      <c r="BU28" s="413" t="s">
        <v>2186</v>
      </c>
      <c r="BV28" s="414">
        <v>883</v>
      </c>
      <c r="BW28" s="917">
        <v>2.5</v>
      </c>
      <c r="BX28" s="414">
        <v>4392</v>
      </c>
      <c r="BY28" s="414">
        <v>-16</v>
      </c>
      <c r="BZ28" s="5"/>
      <c r="CA28" s="5">
        <v>6</v>
      </c>
      <c r="CB28" s="413" t="s">
        <v>2187</v>
      </c>
      <c r="CC28" s="414">
        <v>157</v>
      </c>
      <c r="CD28" s="917">
        <v>3.55</v>
      </c>
      <c r="CE28" s="414">
        <v>3372</v>
      </c>
      <c r="CF28" s="414">
        <v>-14</v>
      </c>
      <c r="CG28" s="5"/>
      <c r="CH28" s="5"/>
      <c r="CI28" s="5"/>
    </row>
    <row r="29" spans="2:87" ht="15" customHeight="1" x14ac:dyDescent="0.2">
      <c r="B29" s="502" t="str">
        <f>Sprache!B185&amp;IF(SpezWP,Spez!C10,35)&amp;"°C  (Qh / COP):"</f>
        <v>Valeurs de calcul pour Tdép35°C  (Qh / COP):</v>
      </c>
      <c r="C29" s="970"/>
      <c r="D29" s="541" t="s">
        <v>2948</v>
      </c>
      <c r="E29" s="541" t="str">
        <f>IF(WPArt=2,IF(SpezWP,FIXED(WP_BIN!AD81,1)&amp;"kW / "&amp;FIXED(WP_BIN!AD82,1),FIXED(WP_Daten!G5,1)&amp;"kW / "&amp;FIXED(WP_Daten!H5,1)),"")</f>
        <v/>
      </c>
      <c r="F29" s="541" t="str">
        <f>IF(WPArt=2,IF(SpezWP,FIXED(WP_BIN!AL81,1)&amp;"kW / "&amp;FIXED(WP_BIN!AL82,1),FIXED(WP_Daten!I5,1)&amp;"kW / "&amp;FIXED(WP_Daten!J5,1)),"")</f>
        <v/>
      </c>
      <c r="G29" s="541" t="str">
        <f>IF(WPArt=2,IF(SpezWP,FIXED(WP_BIN!AU81,1)&amp;"kW / "&amp;FIXED(WP_BIN!AU82,1),FIXED(WP_Daten!K5,1)&amp;"kW / "&amp;FIXED(WP_Daten!L5,1)),"")</f>
        <v/>
      </c>
      <c r="H29" s="836" t="str">
        <f>IF(WPArt=2,IF(SpezWP,FIXED(WP_BIN!AZ81,1)&amp;"kW / "&amp;FIXED(WP_BIN!AZ82,1),FIXED(WP_Daten!M5,1)&amp;"kW / "&amp;FIXED(WP_Daten!N5,1)),"")</f>
        <v/>
      </c>
      <c r="I29" s="837" t="str">
        <f ca="1">'WP1'!H26</f>
        <v>0.0kW / 0.0</v>
      </c>
      <c r="L29" s="19" t="b">
        <f ca="1">IF(AND(WPArt=2,SpezWP=FALSE,WP_Daten!K5&gt;0,WP_Daten!L5&gt;0),TRUE,FALSE)</f>
        <v>0</v>
      </c>
      <c r="M29" s="5">
        <v>7</v>
      </c>
      <c r="N29" s="413" t="str">
        <f t="shared" si="0"/>
        <v>Bludenz</v>
      </c>
      <c r="O29" s="414">
        <f t="shared" si="1"/>
        <v>570</v>
      </c>
      <c r="P29" s="414">
        <f t="shared" si="2"/>
        <v>3.29</v>
      </c>
      <c r="Q29" s="145">
        <f t="shared" si="5"/>
        <v>-15</v>
      </c>
      <c r="R29" s="414">
        <f t="shared" si="3"/>
        <v>3860</v>
      </c>
      <c r="S29" s="414">
        <f t="shared" si="4"/>
        <v>-15</v>
      </c>
      <c r="T29" s="19"/>
      <c r="U29" s="19"/>
      <c r="V29" s="5"/>
      <c r="W29" s="5">
        <v>7</v>
      </c>
      <c r="X29" s="144" t="s">
        <v>2188</v>
      </c>
      <c r="Y29" s="414">
        <v>570</v>
      </c>
      <c r="Z29" s="917">
        <v>3.29</v>
      </c>
      <c r="AA29" s="414">
        <v>3860</v>
      </c>
      <c r="AB29" s="414">
        <v>-15</v>
      </c>
      <c r="AD29" s="5">
        <v>7</v>
      </c>
      <c r="AE29" s="413" t="s">
        <v>2189</v>
      </c>
      <c r="AF29" s="414">
        <v>262</v>
      </c>
      <c r="AG29" s="917">
        <v>3.14</v>
      </c>
      <c r="AH29" s="414">
        <v>3574</v>
      </c>
      <c r="AI29" s="414">
        <v>-13</v>
      </c>
      <c r="AK29" s="5">
        <v>7</v>
      </c>
      <c r="AL29" s="413" t="s">
        <v>2190</v>
      </c>
      <c r="AM29" s="414">
        <v>1073</v>
      </c>
      <c r="AN29" s="917">
        <v>2.71</v>
      </c>
      <c r="AO29" s="414">
        <v>4720</v>
      </c>
      <c r="AP29" s="414">
        <v>-16</v>
      </c>
      <c r="AR29" s="5">
        <v>7</v>
      </c>
      <c r="AS29" s="413" t="s">
        <v>2191</v>
      </c>
      <c r="AT29" s="414">
        <v>325</v>
      </c>
      <c r="AU29" s="917">
        <v>3.2</v>
      </c>
      <c r="AV29" s="414">
        <v>3780</v>
      </c>
      <c r="AW29" s="414">
        <v>-14</v>
      </c>
      <c r="AY29" s="5">
        <v>7</v>
      </c>
      <c r="AZ29" s="413" t="s">
        <v>2192</v>
      </c>
      <c r="BA29" s="414">
        <v>342</v>
      </c>
      <c r="BB29" s="917">
        <v>3.17</v>
      </c>
      <c r="BC29" s="414">
        <v>3737</v>
      </c>
      <c r="BD29" s="414">
        <v>-14</v>
      </c>
      <c r="BF29" s="5">
        <v>7</v>
      </c>
      <c r="BG29" s="413" t="s">
        <v>2193</v>
      </c>
      <c r="BH29" s="414">
        <v>777</v>
      </c>
      <c r="BI29" s="917">
        <v>2.0299999999999998</v>
      </c>
      <c r="BJ29" s="414">
        <v>4600</v>
      </c>
      <c r="BK29" s="414">
        <v>-15</v>
      </c>
      <c r="BM29" s="5">
        <v>7</v>
      </c>
      <c r="BN29" s="413" t="s">
        <v>2194</v>
      </c>
      <c r="BO29" s="414">
        <v>1062</v>
      </c>
      <c r="BP29" s="917">
        <v>2.5299999999999998</v>
      </c>
      <c r="BQ29" s="414">
        <v>4629</v>
      </c>
      <c r="BR29" s="414">
        <v>-16</v>
      </c>
      <c r="BS29" s="5"/>
      <c r="BT29" s="5">
        <v>7</v>
      </c>
      <c r="BU29" s="413" t="s">
        <v>2195</v>
      </c>
      <c r="BV29" s="414">
        <v>567</v>
      </c>
      <c r="BW29" s="917">
        <v>2.5</v>
      </c>
      <c r="BX29" s="414">
        <v>4147</v>
      </c>
      <c r="BY29" s="414">
        <v>-15</v>
      </c>
      <c r="BZ29" s="5"/>
      <c r="CA29" s="5">
        <v>7</v>
      </c>
      <c r="CB29" s="413" t="s">
        <v>2196</v>
      </c>
      <c r="CC29" s="414">
        <v>212</v>
      </c>
      <c r="CD29" s="917">
        <v>3.51</v>
      </c>
      <c r="CE29" s="414">
        <v>3463</v>
      </c>
      <c r="CF29" s="414">
        <v>-13</v>
      </c>
      <c r="CG29" s="5"/>
      <c r="CH29" s="5"/>
      <c r="CI29" s="5"/>
    </row>
    <row r="30" spans="2:87" ht="15" customHeight="1" x14ac:dyDescent="0.2">
      <c r="B30" s="536" t="str">
        <f>Sprache!B197&amp;" 35°C"</f>
        <v>Puissance de chauffe pour Tdép 35°C</v>
      </c>
      <c r="C30" s="964"/>
      <c r="D30" s="116" t="s">
        <v>3650</v>
      </c>
      <c r="E30" s="529"/>
      <c r="F30" s="529"/>
      <c r="G30" s="529"/>
      <c r="H30" s="535"/>
      <c r="I30" s="530"/>
      <c r="L30" s="5" t="b">
        <f ca="1">IF(AND(WPArt=2,SpezWP=TRUE,WP_BIN!AU81&gt;0,WP_BIN!AU82&gt;0),TRUE,FALSE)</f>
        <v>0</v>
      </c>
      <c r="M30" s="5">
        <v>8</v>
      </c>
      <c r="N30" s="413" t="str">
        <f t="shared" si="0"/>
        <v>Brand</v>
      </c>
      <c r="O30" s="414">
        <f t="shared" si="1"/>
        <v>1020</v>
      </c>
      <c r="P30" s="414">
        <f t="shared" si="2"/>
        <v>2.52</v>
      </c>
      <c r="Q30" s="145">
        <f t="shared" si="5"/>
        <v>-17</v>
      </c>
      <c r="R30" s="414">
        <f t="shared" si="3"/>
        <v>4773</v>
      </c>
      <c r="S30" s="414">
        <f t="shared" si="4"/>
        <v>-17</v>
      </c>
      <c r="T30" s="19"/>
      <c r="U30" s="19"/>
      <c r="V30" s="5"/>
      <c r="W30" s="5">
        <v>8</v>
      </c>
      <c r="X30" s="413" t="s">
        <v>2197</v>
      </c>
      <c r="Y30" s="414">
        <v>1020</v>
      </c>
      <c r="Z30" s="917">
        <v>2.52</v>
      </c>
      <c r="AA30" s="414">
        <v>4773</v>
      </c>
      <c r="AB30" s="414">
        <v>-17</v>
      </c>
      <c r="AD30" s="5">
        <v>8</v>
      </c>
      <c r="AE30" s="413" t="s">
        <v>2198</v>
      </c>
      <c r="AF30" s="414">
        <v>227</v>
      </c>
      <c r="AG30" s="917">
        <v>3.35</v>
      </c>
      <c r="AH30" s="414">
        <v>3480</v>
      </c>
      <c r="AI30" s="414">
        <v>-13</v>
      </c>
      <c r="AK30" s="5">
        <v>8</v>
      </c>
      <c r="AL30" s="413" t="s">
        <v>2199</v>
      </c>
      <c r="AM30" s="414">
        <v>714</v>
      </c>
      <c r="AN30" s="917">
        <v>2.92</v>
      </c>
      <c r="AO30" s="414">
        <v>4184</v>
      </c>
      <c r="AP30" s="414">
        <v>-14</v>
      </c>
      <c r="AR30" s="5">
        <v>8</v>
      </c>
      <c r="AS30" s="413" t="s">
        <v>2200</v>
      </c>
      <c r="AT30" s="414">
        <v>420</v>
      </c>
      <c r="AU30" s="917">
        <v>2.95</v>
      </c>
      <c r="AV30" s="414">
        <v>4091</v>
      </c>
      <c r="AW30" s="414">
        <v>-15</v>
      </c>
      <c r="AY30" s="5">
        <v>8</v>
      </c>
      <c r="AZ30" s="413" t="s">
        <v>850</v>
      </c>
      <c r="BA30" s="414">
        <v>590</v>
      </c>
      <c r="BB30" s="917">
        <v>2.82</v>
      </c>
      <c r="BC30" s="414">
        <v>4107</v>
      </c>
      <c r="BD30" s="414">
        <v>-14</v>
      </c>
      <c r="BF30" s="5">
        <v>8</v>
      </c>
      <c r="BG30" s="413" t="s">
        <v>851</v>
      </c>
      <c r="BH30" s="414">
        <v>422</v>
      </c>
      <c r="BI30" s="917">
        <v>3.25</v>
      </c>
      <c r="BJ30" s="414">
        <v>3786</v>
      </c>
      <c r="BK30" s="414">
        <v>-15</v>
      </c>
      <c r="BM30" s="5">
        <v>8</v>
      </c>
      <c r="BN30" s="413" t="s">
        <v>852</v>
      </c>
      <c r="BO30" s="414">
        <v>725</v>
      </c>
      <c r="BP30" s="917">
        <v>2.61</v>
      </c>
      <c r="BQ30" s="414">
        <v>4416</v>
      </c>
      <c r="BR30" s="414">
        <v>-15</v>
      </c>
      <c r="BS30" s="5"/>
      <c r="BT30" s="5">
        <v>8</v>
      </c>
      <c r="BU30" s="413" t="s">
        <v>853</v>
      </c>
      <c r="BV30" s="414">
        <v>1100</v>
      </c>
      <c r="BW30" s="917">
        <v>2.34</v>
      </c>
      <c r="BX30" s="414">
        <v>4838</v>
      </c>
      <c r="BY30" s="414">
        <v>-16</v>
      </c>
      <c r="BZ30" s="5"/>
      <c r="CA30" s="5">
        <v>8</v>
      </c>
      <c r="CB30" s="413" t="s">
        <v>854</v>
      </c>
      <c r="CC30" s="414">
        <v>164</v>
      </c>
      <c r="CD30" s="917">
        <v>3.74</v>
      </c>
      <c r="CE30" s="414">
        <v>3300</v>
      </c>
      <c r="CF30" s="414">
        <v>-13</v>
      </c>
      <c r="CG30" s="5"/>
      <c r="CH30" s="5"/>
      <c r="CI30" s="5"/>
    </row>
    <row r="31" spans="2:87" ht="15" customHeight="1" x14ac:dyDescent="0.2">
      <c r="B31" s="536" t="str">
        <f>Sprache!B198&amp;" 35°C"</f>
        <v>COP à la température de départ 35°C</v>
      </c>
      <c r="C31" s="964"/>
      <c r="D31" s="116" t="s">
        <v>721</v>
      </c>
      <c r="E31" s="529"/>
      <c r="F31" s="529"/>
      <c r="G31" s="529"/>
      <c r="H31" s="535"/>
      <c r="I31" s="530"/>
      <c r="L31" s="5" t="b">
        <f ca="1">IF(OR(L29,L30,WPArt&lt;&gt;2),TRUE,FALSE)</f>
        <v>1</v>
      </c>
      <c r="M31" s="5">
        <v>9</v>
      </c>
      <c r="N31" s="413" t="str">
        <f t="shared" si="0"/>
        <v>Braz</v>
      </c>
      <c r="O31" s="414">
        <f t="shared" si="1"/>
        <v>708</v>
      </c>
      <c r="P31" s="414">
        <f t="shared" si="2"/>
        <v>2.88</v>
      </c>
      <c r="Q31" s="145">
        <f t="shared" si="5"/>
        <v>-16</v>
      </c>
      <c r="R31" s="414">
        <f t="shared" si="3"/>
        <v>4211</v>
      </c>
      <c r="S31" s="414">
        <f t="shared" si="4"/>
        <v>-16</v>
      </c>
      <c r="T31" s="19"/>
      <c r="U31" s="19"/>
      <c r="V31" s="5"/>
      <c r="W31" s="5">
        <v>9</v>
      </c>
      <c r="X31" s="413" t="s">
        <v>855</v>
      </c>
      <c r="Y31" s="414">
        <v>708</v>
      </c>
      <c r="Z31" s="917">
        <v>2.88</v>
      </c>
      <c r="AA31" s="414">
        <v>4211</v>
      </c>
      <c r="AB31" s="414">
        <v>-16</v>
      </c>
      <c r="AD31" s="5">
        <v>9</v>
      </c>
      <c r="AE31" s="413" t="s">
        <v>856</v>
      </c>
      <c r="AF31" s="414">
        <v>185</v>
      </c>
      <c r="AG31" s="917">
        <v>3.54</v>
      </c>
      <c r="AH31" s="414">
        <v>3407</v>
      </c>
      <c r="AI31" s="414">
        <v>-13</v>
      </c>
      <c r="AK31" s="5">
        <v>9</v>
      </c>
      <c r="AL31" s="413" t="s">
        <v>857</v>
      </c>
      <c r="AM31" s="414">
        <v>584</v>
      </c>
      <c r="AN31" s="917">
        <v>2.81</v>
      </c>
      <c r="AO31" s="414">
        <v>3989</v>
      </c>
      <c r="AP31" s="414">
        <v>-14</v>
      </c>
      <c r="AR31" s="5">
        <v>9</v>
      </c>
      <c r="AS31" s="413" t="s">
        <v>858</v>
      </c>
      <c r="AT31" s="414">
        <v>556</v>
      </c>
      <c r="AU31" s="917">
        <v>2.44</v>
      </c>
      <c r="AV31" s="414">
        <v>4408</v>
      </c>
      <c r="AW31" s="414">
        <v>-17</v>
      </c>
      <c r="AY31" s="5">
        <v>9</v>
      </c>
      <c r="AZ31" s="413" t="s">
        <v>859</v>
      </c>
      <c r="BA31" s="414">
        <v>599</v>
      </c>
      <c r="BB31" s="917">
        <v>2.64</v>
      </c>
      <c r="BC31" s="414">
        <v>4202</v>
      </c>
      <c r="BD31" s="414">
        <v>-15</v>
      </c>
      <c r="BF31" s="5">
        <v>9</v>
      </c>
      <c r="BG31" s="413" t="s">
        <v>860</v>
      </c>
      <c r="BH31" s="414">
        <v>885</v>
      </c>
      <c r="BI31" s="917">
        <v>2.46</v>
      </c>
      <c r="BJ31" s="414">
        <v>4595</v>
      </c>
      <c r="BK31" s="414">
        <v>-16</v>
      </c>
      <c r="BM31" s="5">
        <v>9</v>
      </c>
      <c r="BN31" s="413" t="s">
        <v>861</v>
      </c>
      <c r="BO31" s="414">
        <v>461</v>
      </c>
      <c r="BP31" s="917">
        <v>3.03</v>
      </c>
      <c r="BQ31" s="414">
        <v>4073</v>
      </c>
      <c r="BR31" s="414">
        <v>-15</v>
      </c>
      <c r="BS31" s="5"/>
      <c r="BT31" s="5">
        <v>9</v>
      </c>
      <c r="BU31" s="413" t="s">
        <v>862</v>
      </c>
      <c r="BV31" s="414">
        <v>869</v>
      </c>
      <c r="BW31" s="917">
        <v>2.1</v>
      </c>
      <c r="BX31" s="414">
        <v>4779</v>
      </c>
      <c r="BY31" s="414">
        <v>-18</v>
      </c>
      <c r="BZ31" s="5"/>
      <c r="CA31" s="5">
        <v>9</v>
      </c>
      <c r="CB31" s="413" t="s">
        <v>863</v>
      </c>
      <c r="CC31" s="414">
        <v>230</v>
      </c>
      <c r="CD31" s="917">
        <v>3.44</v>
      </c>
      <c r="CE31" s="414">
        <v>3611</v>
      </c>
      <c r="CF31" s="414">
        <v>-13</v>
      </c>
      <c r="CG31" s="5"/>
      <c r="CH31" s="5"/>
      <c r="CI31" s="5"/>
    </row>
    <row r="32" spans="2:87" ht="15" customHeight="1" x14ac:dyDescent="0.2">
      <c r="B32" s="536" t="str">
        <f>Sprache!B197&amp;" 55°C"</f>
        <v>Puissance de chauffe pour Tdép 55°C</v>
      </c>
      <c r="C32" s="964"/>
      <c r="D32" s="116" t="s">
        <v>3650</v>
      </c>
      <c r="E32" s="116"/>
      <c r="F32" s="529"/>
      <c r="G32" s="116"/>
      <c r="H32" s="529"/>
      <c r="I32" s="530"/>
      <c r="M32" s="5">
        <v>10</v>
      </c>
      <c r="N32" s="413" t="str">
        <f t="shared" si="0"/>
        <v>Bregenz</v>
      </c>
      <c r="O32" s="414">
        <f t="shared" si="1"/>
        <v>400</v>
      </c>
      <c r="P32" s="414">
        <f t="shared" si="2"/>
        <v>4.16</v>
      </c>
      <c r="Q32" s="145">
        <f t="shared" si="5"/>
        <v>-11</v>
      </c>
      <c r="R32" s="414">
        <f t="shared" si="3"/>
        <v>3470</v>
      </c>
      <c r="S32" s="414">
        <f t="shared" si="4"/>
        <v>-11</v>
      </c>
      <c r="T32" s="19"/>
      <c r="U32" s="19"/>
      <c r="V32" s="5"/>
      <c r="W32" s="5">
        <v>10</v>
      </c>
      <c r="X32" s="413" t="s">
        <v>864</v>
      </c>
      <c r="Y32" s="414">
        <v>400</v>
      </c>
      <c r="Z32" s="917">
        <v>4.16</v>
      </c>
      <c r="AA32" s="414">
        <v>3470</v>
      </c>
      <c r="AB32" s="414">
        <v>-11</v>
      </c>
      <c r="AD32" s="5">
        <v>10</v>
      </c>
      <c r="AE32" s="413" t="s">
        <v>865</v>
      </c>
      <c r="AF32" s="414">
        <v>240</v>
      </c>
      <c r="AG32" s="917">
        <v>3.15</v>
      </c>
      <c r="AH32" s="414">
        <v>3556</v>
      </c>
      <c r="AI32" s="414">
        <v>-14</v>
      </c>
      <c r="AK32" s="5">
        <v>10</v>
      </c>
      <c r="AL32" s="413" t="s">
        <v>866</v>
      </c>
      <c r="AM32" s="414">
        <v>680</v>
      </c>
      <c r="AN32" s="917">
        <v>2.27</v>
      </c>
      <c r="AO32" s="414">
        <v>4256</v>
      </c>
      <c r="AP32" s="414">
        <v>-16</v>
      </c>
      <c r="AR32" s="5">
        <v>10</v>
      </c>
      <c r="AS32" s="413" t="s">
        <v>867</v>
      </c>
      <c r="AT32" s="414">
        <v>387</v>
      </c>
      <c r="AU32" s="917">
        <v>2.7</v>
      </c>
      <c r="AV32" s="414">
        <v>4101</v>
      </c>
      <c r="AW32" s="414">
        <v>-15</v>
      </c>
      <c r="AY32" s="5">
        <v>10</v>
      </c>
      <c r="AZ32" s="413" t="s">
        <v>953</v>
      </c>
      <c r="BA32" s="414">
        <v>532</v>
      </c>
      <c r="BB32" s="917">
        <v>3.13</v>
      </c>
      <c r="BC32" s="414">
        <v>3881</v>
      </c>
      <c r="BD32" s="414">
        <v>-15</v>
      </c>
      <c r="BF32" s="5">
        <v>10</v>
      </c>
      <c r="BG32" s="413" t="s">
        <v>954</v>
      </c>
      <c r="BH32" s="414">
        <v>1002</v>
      </c>
      <c r="BI32" s="917">
        <v>2.59</v>
      </c>
      <c r="BJ32" s="414">
        <v>4666</v>
      </c>
      <c r="BK32" s="414">
        <v>-15</v>
      </c>
      <c r="BM32" s="5">
        <v>10</v>
      </c>
      <c r="BN32" s="413" t="s">
        <v>955</v>
      </c>
      <c r="BO32" s="414">
        <v>479</v>
      </c>
      <c r="BP32" s="917">
        <v>3.11</v>
      </c>
      <c r="BQ32" s="414">
        <v>3800</v>
      </c>
      <c r="BR32" s="414">
        <v>-14</v>
      </c>
      <c r="BS32" s="5"/>
      <c r="BT32" s="5">
        <v>10</v>
      </c>
      <c r="BU32" s="413" t="s">
        <v>956</v>
      </c>
      <c r="BV32" s="414">
        <v>1286</v>
      </c>
      <c r="BW32" s="917">
        <v>1.92</v>
      </c>
      <c r="BX32" s="414">
        <v>5334</v>
      </c>
      <c r="BY32" s="414">
        <v>-17</v>
      </c>
      <c r="BZ32" s="5"/>
      <c r="CA32" s="5">
        <v>10</v>
      </c>
      <c r="CB32" s="413" t="s">
        <v>957</v>
      </c>
      <c r="CC32" s="414">
        <v>200</v>
      </c>
      <c r="CD32" s="917">
        <v>3.63</v>
      </c>
      <c r="CE32" s="414">
        <v>3421</v>
      </c>
      <c r="CF32" s="414">
        <v>-13</v>
      </c>
      <c r="CG32" s="5"/>
      <c r="CH32" s="5"/>
      <c r="CI32" s="5"/>
    </row>
    <row r="33" spans="2:87" ht="15" customHeight="1" x14ac:dyDescent="0.2">
      <c r="B33" s="540" t="str">
        <f>Sprache!B198&amp;" 55°C"</f>
        <v>COP à la température de départ 55°C</v>
      </c>
      <c r="C33" s="971"/>
      <c r="D33" s="1010" t="s">
        <v>721</v>
      </c>
      <c r="E33" s="520"/>
      <c r="F33" s="531"/>
      <c r="G33" s="520"/>
      <c r="H33" s="1011"/>
      <c r="I33" s="532"/>
      <c r="M33" s="5">
        <v>11</v>
      </c>
      <c r="N33" s="413" t="str">
        <f t="shared" si="0"/>
        <v>Bregenz-Rieden</v>
      </c>
      <c r="O33" s="414">
        <f t="shared" si="1"/>
        <v>410</v>
      </c>
      <c r="P33" s="414">
        <f t="shared" si="2"/>
        <v>4.09</v>
      </c>
      <c r="Q33" s="145">
        <f t="shared" si="5"/>
        <v>-12</v>
      </c>
      <c r="R33" s="414">
        <f t="shared" si="3"/>
        <v>3517</v>
      </c>
      <c r="S33" s="414">
        <f t="shared" si="4"/>
        <v>-12</v>
      </c>
      <c r="T33" s="19"/>
      <c r="U33" s="19"/>
      <c r="V33" s="5"/>
      <c r="W33" s="5">
        <v>11</v>
      </c>
      <c r="X33" s="413" t="s">
        <v>958</v>
      </c>
      <c r="Y33" s="414">
        <v>410</v>
      </c>
      <c r="Z33" s="917">
        <v>4.09</v>
      </c>
      <c r="AA33" s="414">
        <v>3517</v>
      </c>
      <c r="AB33" s="414">
        <v>-12</v>
      </c>
      <c r="AD33" s="5">
        <v>11</v>
      </c>
      <c r="AE33" s="413" t="s">
        <v>959</v>
      </c>
      <c r="AF33" s="414">
        <v>160</v>
      </c>
      <c r="AG33" s="917">
        <v>3.54</v>
      </c>
      <c r="AH33" s="414">
        <v>3358</v>
      </c>
      <c r="AI33" s="414">
        <v>-13</v>
      </c>
      <c r="AK33" s="5">
        <v>11</v>
      </c>
      <c r="AL33" s="413" t="s">
        <v>960</v>
      </c>
      <c r="AM33" s="414">
        <v>960</v>
      </c>
      <c r="AN33" s="917">
        <v>2.86</v>
      </c>
      <c r="AO33" s="414">
        <v>4405</v>
      </c>
      <c r="AP33" s="414">
        <v>-14</v>
      </c>
      <c r="AR33" s="5">
        <v>11</v>
      </c>
      <c r="AS33" s="413" t="s">
        <v>961</v>
      </c>
      <c r="AT33" s="414">
        <v>409</v>
      </c>
      <c r="AU33" s="917">
        <v>2.93</v>
      </c>
      <c r="AV33" s="414">
        <v>4079</v>
      </c>
      <c r="AW33" s="414">
        <v>-15</v>
      </c>
      <c r="AY33" s="5">
        <v>11</v>
      </c>
      <c r="AZ33" s="413" t="s">
        <v>962</v>
      </c>
      <c r="BA33" s="414">
        <v>363</v>
      </c>
      <c r="BB33" s="917">
        <v>3.15</v>
      </c>
      <c r="BC33" s="414">
        <v>3807</v>
      </c>
      <c r="BD33" s="414">
        <v>-15</v>
      </c>
      <c r="BF33" s="5">
        <v>11</v>
      </c>
      <c r="BG33" s="413" t="s">
        <v>963</v>
      </c>
      <c r="BH33" s="414">
        <v>439</v>
      </c>
      <c r="BI33" s="917">
        <v>3.21</v>
      </c>
      <c r="BJ33" s="414">
        <v>3811</v>
      </c>
      <c r="BK33" s="414">
        <v>-15</v>
      </c>
      <c r="BM33" s="5">
        <v>11</v>
      </c>
      <c r="BN33" s="413" t="s">
        <v>964</v>
      </c>
      <c r="BO33" s="414">
        <v>670</v>
      </c>
      <c r="BP33" s="917">
        <v>2.02</v>
      </c>
      <c r="BQ33" s="414">
        <v>4639</v>
      </c>
      <c r="BR33" s="414">
        <v>-17</v>
      </c>
      <c r="BS33" s="5"/>
      <c r="BT33" s="5">
        <v>11</v>
      </c>
      <c r="BU33" s="413" t="s">
        <v>965</v>
      </c>
      <c r="BV33" s="414">
        <v>878</v>
      </c>
      <c r="BW33" s="917">
        <v>2.78</v>
      </c>
      <c r="BX33" s="414">
        <v>4477</v>
      </c>
      <c r="BY33" s="414">
        <v>-15</v>
      </c>
      <c r="BZ33" s="5"/>
      <c r="CA33" s="5">
        <v>11</v>
      </c>
      <c r="CB33" s="413" t="s">
        <v>966</v>
      </c>
      <c r="CC33" s="414">
        <v>190</v>
      </c>
      <c r="CD33" s="917">
        <v>3.66</v>
      </c>
      <c r="CE33" s="414">
        <v>3415</v>
      </c>
      <c r="CF33" s="414">
        <v>-13</v>
      </c>
      <c r="CG33" s="5"/>
      <c r="CH33" s="5"/>
      <c r="CI33" s="5"/>
    </row>
    <row r="34" spans="2:87" ht="15" customHeight="1" x14ac:dyDescent="0.2">
      <c r="B34" s="92" t="str">
        <f>IF(WPArt=4,Sprache!B88,Sprache!B70)</f>
        <v>Puissance électrique soutirée par pompe saumure:</v>
      </c>
      <c r="C34" s="250"/>
      <c r="D34" s="250"/>
      <c r="E34" s="250"/>
      <c r="F34" s="346"/>
      <c r="G34" s="1050" t="str">
        <f>IF(OR(L9=1,I11="",I35="",L43=1),"",IF(T3,T14,""))</f>
        <v/>
      </c>
      <c r="H34" s="541" t="s">
        <v>724</v>
      </c>
      <c r="I34" s="544"/>
      <c r="L34" s="5" t="b">
        <f>IF(OR(Spez!L38,Spez!L46),TRUE,FALSE)</f>
        <v>0</v>
      </c>
      <c r="M34" s="5">
        <v>12</v>
      </c>
      <c r="N34" s="413" t="str">
        <f t="shared" si="0"/>
        <v>Bregenz-Vorkloster</v>
      </c>
      <c r="O34" s="414">
        <f t="shared" si="1"/>
        <v>400</v>
      </c>
      <c r="P34" s="414">
        <f t="shared" si="2"/>
        <v>4.1500000000000004</v>
      </c>
      <c r="Q34" s="145">
        <f t="shared" si="5"/>
        <v>-11</v>
      </c>
      <c r="R34" s="414">
        <f t="shared" si="3"/>
        <v>3472</v>
      </c>
      <c r="S34" s="414">
        <f t="shared" si="4"/>
        <v>-11</v>
      </c>
      <c r="T34" s="19"/>
      <c r="U34" s="19"/>
      <c r="V34" s="5"/>
      <c r="W34" s="5">
        <v>12</v>
      </c>
      <c r="X34" s="413" t="s">
        <v>967</v>
      </c>
      <c r="Y34" s="414">
        <v>400</v>
      </c>
      <c r="Z34" s="917">
        <v>4.1500000000000004</v>
      </c>
      <c r="AA34" s="414">
        <v>3472</v>
      </c>
      <c r="AB34" s="414">
        <v>-11</v>
      </c>
      <c r="AD34" s="5">
        <v>12</v>
      </c>
      <c r="AE34" s="413" t="s">
        <v>968</v>
      </c>
      <c r="AF34" s="414">
        <v>218</v>
      </c>
      <c r="AG34" s="917">
        <v>3.56</v>
      </c>
      <c r="AH34" s="414">
        <v>3386</v>
      </c>
      <c r="AI34" s="414">
        <v>-13</v>
      </c>
      <c r="AK34" s="5">
        <v>12</v>
      </c>
      <c r="AL34" s="413" t="s">
        <v>969</v>
      </c>
      <c r="AM34" s="414">
        <v>479</v>
      </c>
      <c r="AN34" s="917">
        <v>2.29</v>
      </c>
      <c r="AO34" s="414">
        <v>4056</v>
      </c>
      <c r="AP34" s="414">
        <v>-16</v>
      </c>
      <c r="AR34" s="5">
        <v>12</v>
      </c>
      <c r="AS34" s="413" t="s">
        <v>970</v>
      </c>
      <c r="AT34" s="414">
        <v>180</v>
      </c>
      <c r="AU34" s="917">
        <v>3.37</v>
      </c>
      <c r="AV34" s="414">
        <v>3526</v>
      </c>
      <c r="AW34" s="414">
        <v>-13</v>
      </c>
      <c r="AY34" s="5">
        <v>12</v>
      </c>
      <c r="AZ34" s="413" t="s">
        <v>971</v>
      </c>
      <c r="BA34" s="414">
        <v>448</v>
      </c>
      <c r="BB34" s="917">
        <v>3.37</v>
      </c>
      <c r="BC34" s="414">
        <v>3774</v>
      </c>
      <c r="BD34" s="414">
        <v>-14</v>
      </c>
      <c r="BF34" s="5">
        <v>12</v>
      </c>
      <c r="BG34" s="413" t="s">
        <v>972</v>
      </c>
      <c r="BH34" s="414">
        <v>548</v>
      </c>
      <c r="BI34" s="917">
        <v>3.21</v>
      </c>
      <c r="BJ34" s="414">
        <v>3912</v>
      </c>
      <c r="BK34" s="414">
        <v>-15</v>
      </c>
      <c r="BM34" s="5">
        <v>12</v>
      </c>
      <c r="BN34" s="413" t="s">
        <v>973</v>
      </c>
      <c r="BO34" s="414">
        <v>314</v>
      </c>
      <c r="BP34" s="917">
        <v>3.08</v>
      </c>
      <c r="BQ34" s="414">
        <v>3605</v>
      </c>
      <c r="BR34" s="414">
        <v>-14</v>
      </c>
      <c r="BS34" s="5"/>
      <c r="BT34" s="5">
        <v>12</v>
      </c>
      <c r="BU34" s="413" t="s">
        <v>974</v>
      </c>
      <c r="BV34" s="414">
        <v>1070</v>
      </c>
      <c r="BW34" s="917">
        <v>2.38</v>
      </c>
      <c r="BX34" s="414">
        <v>4915</v>
      </c>
      <c r="BY34" s="414">
        <v>-17</v>
      </c>
      <c r="BZ34" s="5"/>
      <c r="CA34" s="5">
        <v>12</v>
      </c>
      <c r="CB34" s="413" t="s">
        <v>975</v>
      </c>
      <c r="CC34" s="414">
        <v>170</v>
      </c>
      <c r="CD34" s="917">
        <v>3.73</v>
      </c>
      <c r="CE34" s="414">
        <v>3319</v>
      </c>
      <c r="CF34" s="414">
        <v>-13</v>
      </c>
      <c r="CG34" s="5"/>
      <c r="CH34" s="5"/>
      <c r="CI34" s="5"/>
    </row>
    <row r="35" spans="2:87" ht="15" customHeight="1" x14ac:dyDescent="0.2">
      <c r="B35" s="100" t="str">
        <f>IF(WPArt=3,Sprache!B79,IF(WPArt=5,Sprache!B80,""))</f>
        <v/>
      </c>
      <c r="E35" s="116" t="str">
        <f>IF(WPArt=3,Sprache!B72,IF(WPArt=5,"W/m2",""))</f>
        <v/>
      </c>
      <c r="F35" s="535"/>
      <c r="G35" s="116" t="str">
        <f>IF(WPArt=3,Sprache!B77,IF(WPArt=5,Sprache!B188,""))</f>
        <v/>
      </c>
      <c r="H35" s="190" t="str">
        <f>IF(WPArt=3,"m",IF(WPArt=5,"m2",""))</f>
        <v/>
      </c>
      <c r="I35" s="530"/>
      <c r="L35" s="544">
        <f>IF(AND(WPArt=4,I36=""),"",IF(AND(WPArt=3,L36=1,I36&gt;0),I36,IF(WPArt&lt;&gt;3,I36,"")))</f>
        <v>0</v>
      </c>
      <c r="M35" s="5">
        <v>13</v>
      </c>
      <c r="N35" s="413" t="str">
        <f t="shared" si="0"/>
        <v>Dalaas</v>
      </c>
      <c r="O35" s="414">
        <f t="shared" si="1"/>
        <v>835</v>
      </c>
      <c r="P35" s="414">
        <f t="shared" si="2"/>
        <v>2.5499999999999998</v>
      </c>
      <c r="Q35" s="145">
        <f t="shared" si="5"/>
        <v>-17</v>
      </c>
      <c r="R35" s="414">
        <f t="shared" si="3"/>
        <v>4608</v>
      </c>
      <c r="S35" s="414">
        <f t="shared" si="4"/>
        <v>-17</v>
      </c>
      <c r="T35" s="19"/>
      <c r="U35" s="5"/>
      <c r="V35" s="5"/>
      <c r="W35" s="5">
        <v>13</v>
      </c>
      <c r="X35" s="413" t="s">
        <v>976</v>
      </c>
      <c r="Y35" s="414">
        <v>835</v>
      </c>
      <c r="Z35" s="917">
        <v>2.5499999999999998</v>
      </c>
      <c r="AA35" s="414">
        <v>4608</v>
      </c>
      <c r="AB35" s="414">
        <v>-17</v>
      </c>
      <c r="AD35" s="5">
        <v>13</v>
      </c>
      <c r="AE35" s="413" t="s">
        <v>977</v>
      </c>
      <c r="AF35" s="414">
        <v>330</v>
      </c>
      <c r="AG35" s="917">
        <v>3.25</v>
      </c>
      <c r="AH35" s="414">
        <v>3635</v>
      </c>
      <c r="AI35" s="414">
        <v>-13</v>
      </c>
      <c r="AK35" s="5">
        <v>13</v>
      </c>
      <c r="AL35" s="413" t="s">
        <v>978</v>
      </c>
      <c r="AM35" s="414">
        <v>508</v>
      </c>
      <c r="AN35" s="917">
        <v>2.61</v>
      </c>
      <c r="AO35" s="414">
        <v>3896</v>
      </c>
      <c r="AP35" s="414">
        <v>-15</v>
      </c>
      <c r="AR35" s="5">
        <v>13</v>
      </c>
      <c r="AS35" s="413" t="s">
        <v>979</v>
      </c>
      <c r="AT35" s="414">
        <v>290</v>
      </c>
      <c r="AU35" s="917">
        <v>3.26</v>
      </c>
      <c r="AV35" s="414">
        <v>3717</v>
      </c>
      <c r="AW35" s="414">
        <v>-14</v>
      </c>
      <c r="AY35" s="5">
        <v>13</v>
      </c>
      <c r="AZ35" s="413" t="s">
        <v>980</v>
      </c>
      <c r="BA35" s="414">
        <v>420</v>
      </c>
      <c r="BB35" s="917">
        <v>3.04</v>
      </c>
      <c r="BC35" s="414">
        <v>3917</v>
      </c>
      <c r="BD35" s="414">
        <v>-16</v>
      </c>
      <c r="BF35" s="5">
        <v>13</v>
      </c>
      <c r="BG35" s="413" t="s">
        <v>981</v>
      </c>
      <c r="BH35" s="414">
        <v>544</v>
      </c>
      <c r="BI35" s="917">
        <v>2.4500000000000002</v>
      </c>
      <c r="BJ35" s="414">
        <v>4248</v>
      </c>
      <c r="BK35" s="414">
        <v>-16</v>
      </c>
      <c r="BM35" s="5">
        <v>13</v>
      </c>
      <c r="BN35" s="413" t="s">
        <v>982</v>
      </c>
      <c r="BO35" s="414">
        <v>761</v>
      </c>
      <c r="BP35" s="917">
        <v>2.59</v>
      </c>
      <c r="BQ35" s="414">
        <v>4510</v>
      </c>
      <c r="BR35" s="414">
        <v>-15</v>
      </c>
      <c r="BS35" s="5"/>
      <c r="BT35" s="5">
        <v>13</v>
      </c>
      <c r="BU35" s="413" t="s">
        <v>983</v>
      </c>
      <c r="BV35" s="414">
        <v>590</v>
      </c>
      <c r="BW35" s="917">
        <v>2.46</v>
      </c>
      <c r="BX35" s="414">
        <v>4263</v>
      </c>
      <c r="BY35" s="414">
        <v>-17</v>
      </c>
      <c r="BZ35" s="5"/>
      <c r="CA35" s="5">
        <v>13</v>
      </c>
      <c r="CB35" s="413" t="s">
        <v>984</v>
      </c>
      <c r="CC35" s="414">
        <v>205</v>
      </c>
      <c r="CD35" s="917">
        <v>3.65</v>
      </c>
      <c r="CE35" s="414">
        <v>3400</v>
      </c>
      <c r="CF35" s="414">
        <v>-13</v>
      </c>
      <c r="CG35" s="5"/>
      <c r="CH35" s="5"/>
      <c r="CI35" s="5"/>
    </row>
    <row r="36" spans="2:87" ht="15" customHeight="1" x14ac:dyDescent="0.25">
      <c r="B36" s="100" t="str">
        <f>IF(EBF&gt;0,IF(WPArt=3,"Auslegungs-Sondentemperatur",IF(WPArt=5,"Auslegungs-Soletemperatur",IF(WPArt=4,Sprache!B83,"Auslegungs-Soletemperatur"))),"")</f>
        <v/>
      </c>
      <c r="C36" s="103"/>
      <c r="D36" s="103"/>
      <c r="E36" s="498" t="str">
        <f>IF(WPArt&lt;&gt;3,"","manuelle Eingabe?  ")</f>
        <v/>
      </c>
      <c r="F36" s="1066"/>
      <c r="G36" s="537" t="str">
        <f>IF(OR(L9=1,I11=""),"",IF(WPArt=5,ROUND(TQuelle_Koll-Offset,1),IF(WPArt=3,IF(U25&lt;&gt;"",U25,IF(I35&gt;0,ROUND(TQuelle-Offset,1),"")),IF(WPArt=4,IF(AND(L35&lt;4,L35&lt;&gt;""),Sprache!B132,""),""))))</f>
        <v/>
      </c>
      <c r="H36" s="116" t="str">
        <f>IF(Heizung=FALSE,"","°C")</f>
        <v/>
      </c>
      <c r="I36" s="544"/>
      <c r="J36" s="1098" t="str">
        <f>IF(AND(L36=1,I36&gt;0),"!","")</f>
        <v/>
      </c>
      <c r="L36" s="19">
        <f>IF(F36="",2,MATCH(F36,$Q$13:$Q$14,0))</f>
        <v>2</v>
      </c>
      <c r="M36" s="5">
        <v>14</v>
      </c>
      <c r="N36" s="413" t="str">
        <f t="shared" si="0"/>
        <v>Damüls</v>
      </c>
      <c r="O36" s="414">
        <f t="shared" si="1"/>
        <v>1428</v>
      </c>
      <c r="P36" s="414">
        <f t="shared" si="2"/>
        <v>2.7</v>
      </c>
      <c r="Q36" s="145">
        <f t="shared" si="5"/>
        <v>-16</v>
      </c>
      <c r="R36" s="414">
        <f t="shared" si="3"/>
        <v>5121</v>
      </c>
      <c r="S36" s="414">
        <f t="shared" si="4"/>
        <v>-16</v>
      </c>
      <c r="T36" s="19"/>
      <c r="U36" s="19"/>
      <c r="V36" s="5"/>
      <c r="W36" s="5">
        <v>14</v>
      </c>
      <c r="X36" s="413" t="s">
        <v>985</v>
      </c>
      <c r="Y36" s="414">
        <v>1428</v>
      </c>
      <c r="Z36" s="917">
        <v>2.7</v>
      </c>
      <c r="AA36" s="414">
        <v>5121</v>
      </c>
      <c r="AB36" s="414">
        <v>-16</v>
      </c>
      <c r="AD36" s="5">
        <v>14</v>
      </c>
      <c r="AE36" s="413" t="s">
        <v>986</v>
      </c>
      <c r="AF36" s="414">
        <v>214</v>
      </c>
      <c r="AG36" s="917">
        <v>3.23</v>
      </c>
      <c r="AH36" s="414">
        <v>3555</v>
      </c>
      <c r="AI36" s="414">
        <v>-14</v>
      </c>
      <c r="AK36" s="5">
        <v>14</v>
      </c>
      <c r="AL36" s="413" t="s">
        <v>987</v>
      </c>
      <c r="AM36" s="414">
        <v>502</v>
      </c>
      <c r="AN36" s="917">
        <v>2.58</v>
      </c>
      <c r="AO36" s="414">
        <v>4006</v>
      </c>
      <c r="AP36" s="414">
        <v>-15</v>
      </c>
      <c r="AR36" s="5">
        <v>14</v>
      </c>
      <c r="AS36" s="413" t="s">
        <v>988</v>
      </c>
      <c r="AT36" s="414">
        <v>226</v>
      </c>
      <c r="AU36" s="917">
        <v>4.0999999999999996</v>
      </c>
      <c r="AV36" s="414">
        <v>3149</v>
      </c>
      <c r="AW36" s="414">
        <v>-14</v>
      </c>
      <c r="AY36" s="5">
        <v>14</v>
      </c>
      <c r="AZ36" s="413" t="s">
        <v>989</v>
      </c>
      <c r="BA36" s="414">
        <v>566</v>
      </c>
      <c r="BB36" s="917">
        <v>3.04</v>
      </c>
      <c r="BC36" s="414">
        <v>4003</v>
      </c>
      <c r="BD36" s="414">
        <v>-16</v>
      </c>
      <c r="BF36" s="5">
        <v>14</v>
      </c>
      <c r="BG36" s="413" t="s">
        <v>990</v>
      </c>
      <c r="BH36" s="414">
        <v>1131</v>
      </c>
      <c r="BI36" s="917">
        <v>2.67</v>
      </c>
      <c r="BJ36" s="414">
        <v>4817</v>
      </c>
      <c r="BK36" s="414">
        <v>-15</v>
      </c>
      <c r="BM36" s="5">
        <v>14</v>
      </c>
      <c r="BN36" s="413" t="s">
        <v>991</v>
      </c>
      <c r="BO36" s="414">
        <v>778</v>
      </c>
      <c r="BP36" s="917">
        <v>2.52</v>
      </c>
      <c r="BQ36" s="414">
        <v>4579</v>
      </c>
      <c r="BR36" s="414">
        <v>-16</v>
      </c>
      <c r="BS36" s="5"/>
      <c r="BT36" s="5">
        <v>14</v>
      </c>
      <c r="BU36" s="413" t="s">
        <v>992</v>
      </c>
      <c r="BV36" s="414">
        <v>595</v>
      </c>
      <c r="BW36" s="917">
        <v>3.12</v>
      </c>
      <c r="BX36" s="414">
        <v>3832</v>
      </c>
      <c r="BY36" s="414">
        <v>-15</v>
      </c>
      <c r="BZ36" s="5"/>
      <c r="CA36" s="5">
        <v>14</v>
      </c>
      <c r="CB36" s="413" t="s">
        <v>993</v>
      </c>
      <c r="CC36" s="414">
        <v>160</v>
      </c>
      <c r="CD36" s="917">
        <v>3.62</v>
      </c>
      <c r="CE36" s="414">
        <v>3357</v>
      </c>
      <c r="CF36" s="414">
        <v>-13</v>
      </c>
      <c r="CG36" s="5"/>
      <c r="CH36" s="5"/>
      <c r="CI36" s="5"/>
    </row>
    <row r="37" spans="2:87" ht="15" customHeight="1" x14ac:dyDescent="0.2">
      <c r="B37" s="100" t="str">
        <f>'WP1'!B34</f>
        <v xml:space="preserve"> </v>
      </c>
      <c r="C37" s="103"/>
      <c r="D37" s="103"/>
      <c r="E37" s="671"/>
      <c r="F37" s="97"/>
      <c r="G37" s="127"/>
      <c r="H37" s="117" t="str">
        <f>'WP1'!G34</f>
        <v xml:space="preserve"> </v>
      </c>
      <c r="I37" s="301"/>
      <c r="M37" s="5">
        <v>15</v>
      </c>
      <c r="N37" s="413" t="str">
        <f t="shared" si="0"/>
        <v>Doren</v>
      </c>
      <c r="O37" s="414">
        <f t="shared" si="1"/>
        <v>709</v>
      </c>
      <c r="P37" s="414">
        <f t="shared" si="2"/>
        <v>2.93</v>
      </c>
      <c r="Q37" s="145">
        <f t="shared" si="5"/>
        <v>-15</v>
      </c>
      <c r="R37" s="414">
        <f t="shared" si="3"/>
        <v>4337</v>
      </c>
      <c r="S37" s="414">
        <f t="shared" si="4"/>
        <v>-15</v>
      </c>
      <c r="T37" s="19"/>
      <c r="U37" s="19"/>
      <c r="V37" s="5"/>
      <c r="W37" s="5">
        <v>15</v>
      </c>
      <c r="X37" s="413" t="s">
        <v>994</v>
      </c>
      <c r="Y37" s="414">
        <v>709</v>
      </c>
      <c r="Z37" s="917">
        <v>2.93</v>
      </c>
      <c r="AA37" s="414">
        <v>4337</v>
      </c>
      <c r="AB37" s="414">
        <v>-15</v>
      </c>
      <c r="AD37" s="5">
        <v>15</v>
      </c>
      <c r="AE37" s="413" t="s">
        <v>995</v>
      </c>
      <c r="AF37" s="414">
        <v>182</v>
      </c>
      <c r="AG37" s="917">
        <v>3.74</v>
      </c>
      <c r="AH37" s="414">
        <v>3252</v>
      </c>
      <c r="AI37" s="414">
        <v>-12</v>
      </c>
      <c r="AK37" s="5">
        <v>15</v>
      </c>
      <c r="AL37" s="413" t="s">
        <v>996</v>
      </c>
      <c r="AM37" s="414">
        <v>672</v>
      </c>
      <c r="AN37" s="917">
        <v>2.48</v>
      </c>
      <c r="AO37" s="414">
        <v>4257</v>
      </c>
      <c r="AP37" s="414">
        <v>-15</v>
      </c>
      <c r="AR37" s="5">
        <v>15</v>
      </c>
      <c r="AS37" s="413" t="s">
        <v>997</v>
      </c>
      <c r="AT37" s="414">
        <v>235</v>
      </c>
      <c r="AU37" s="917">
        <v>2.95</v>
      </c>
      <c r="AV37" s="414">
        <v>3784</v>
      </c>
      <c r="AW37" s="414">
        <v>-14</v>
      </c>
      <c r="AY37" s="5">
        <v>15</v>
      </c>
      <c r="AZ37" s="413" t="s">
        <v>998</v>
      </c>
      <c r="BA37" s="414">
        <v>344</v>
      </c>
      <c r="BB37" s="917">
        <v>3.12</v>
      </c>
      <c r="BC37" s="414">
        <v>3832</v>
      </c>
      <c r="BD37" s="414">
        <v>-15</v>
      </c>
      <c r="BF37" s="5">
        <v>15</v>
      </c>
      <c r="BG37" s="413" t="s">
        <v>999</v>
      </c>
      <c r="BH37" s="414">
        <v>818</v>
      </c>
      <c r="BI37" s="917">
        <v>2.0499999999999998</v>
      </c>
      <c r="BJ37" s="414">
        <v>4703</v>
      </c>
      <c r="BK37" s="414">
        <v>-18</v>
      </c>
      <c r="BM37" s="5">
        <v>15</v>
      </c>
      <c r="BN37" s="413" t="s">
        <v>1000</v>
      </c>
      <c r="BO37" s="414">
        <v>659</v>
      </c>
      <c r="BP37" s="917">
        <v>2.81</v>
      </c>
      <c r="BQ37" s="414">
        <v>4264</v>
      </c>
      <c r="BR37" s="414">
        <v>-14</v>
      </c>
      <c r="BS37" s="5"/>
      <c r="BT37" s="5">
        <v>15</v>
      </c>
      <c r="BU37" s="413" t="s">
        <v>1001</v>
      </c>
      <c r="BV37" s="414">
        <v>1336</v>
      </c>
      <c r="BW37" s="917">
        <v>2.1800000000000002</v>
      </c>
      <c r="BX37" s="414">
        <v>5294</v>
      </c>
      <c r="BY37" s="414">
        <v>-18</v>
      </c>
      <c r="BZ37" s="5"/>
      <c r="CA37" s="5">
        <v>15</v>
      </c>
      <c r="CB37" s="413" t="s">
        <v>1002</v>
      </c>
      <c r="CC37" s="414">
        <v>300</v>
      </c>
      <c r="CD37" s="917">
        <v>3.41</v>
      </c>
      <c r="CE37" s="414">
        <v>3617</v>
      </c>
      <c r="CF37" s="414">
        <v>-14</v>
      </c>
      <c r="CG37" s="5"/>
      <c r="CH37" s="5"/>
      <c r="CI37" s="5"/>
    </row>
    <row r="38" spans="2:87" ht="15" customHeight="1" x14ac:dyDescent="0.2">
      <c r="B38" s="100" t="str">
        <f>IF(Heizung=FALSE,"",Sprache!B149)</f>
        <v/>
      </c>
      <c r="C38" s="103"/>
      <c r="D38" s="103"/>
      <c r="E38" s="499"/>
      <c r="F38" s="1064" t="str">
        <f>IF(AND(Heizung,I38=""),"ausfüllen -&gt;","")</f>
        <v/>
      </c>
      <c r="G38" s="116" t="str">
        <f>IF(Heizung=FALSE,"","Ti,soll")</f>
        <v/>
      </c>
      <c r="H38" s="116" t="str">
        <f>IF(Heizung=FALSE,"","°C")</f>
        <v/>
      </c>
      <c r="I38" s="301"/>
      <c r="M38" s="5">
        <v>16</v>
      </c>
      <c r="N38" s="413" t="str">
        <f t="shared" si="0"/>
        <v>Dornbirn</v>
      </c>
      <c r="O38" s="414">
        <f t="shared" si="1"/>
        <v>440</v>
      </c>
      <c r="P38" s="414">
        <f t="shared" si="2"/>
        <v>3.76</v>
      </c>
      <c r="Q38" s="145">
        <f t="shared" si="5"/>
        <v>-12</v>
      </c>
      <c r="R38" s="414">
        <f t="shared" si="3"/>
        <v>3654</v>
      </c>
      <c r="S38" s="414">
        <f t="shared" si="4"/>
        <v>-12</v>
      </c>
      <c r="T38" s="5"/>
      <c r="U38" s="5"/>
      <c r="V38" s="5"/>
      <c r="W38" s="5">
        <v>16</v>
      </c>
      <c r="X38" s="413" t="s">
        <v>1003</v>
      </c>
      <c r="Y38" s="414">
        <v>440</v>
      </c>
      <c r="Z38" s="917">
        <v>3.76</v>
      </c>
      <c r="AA38" s="414">
        <v>3654</v>
      </c>
      <c r="AB38" s="414">
        <v>-12</v>
      </c>
      <c r="AD38" s="5">
        <v>16</v>
      </c>
      <c r="AE38" s="413" t="s">
        <v>1004</v>
      </c>
      <c r="AF38" s="414">
        <v>242</v>
      </c>
      <c r="AG38" s="917">
        <v>3.13</v>
      </c>
      <c r="AH38" s="414">
        <v>3576</v>
      </c>
      <c r="AI38" s="414">
        <v>-14</v>
      </c>
      <c r="AK38" s="5">
        <v>16</v>
      </c>
      <c r="AL38" s="413" t="s">
        <v>2663</v>
      </c>
      <c r="AM38" s="414">
        <v>610</v>
      </c>
      <c r="AN38" s="917">
        <v>2.1800000000000002</v>
      </c>
      <c r="AO38" s="414">
        <v>4187</v>
      </c>
      <c r="AP38" s="414">
        <v>-16</v>
      </c>
      <c r="AR38" s="5">
        <v>16</v>
      </c>
      <c r="AS38" s="413" t="s">
        <v>2664</v>
      </c>
      <c r="AT38" s="414">
        <v>270</v>
      </c>
      <c r="AU38" s="917">
        <v>3.34</v>
      </c>
      <c r="AV38" s="414">
        <v>3582</v>
      </c>
      <c r="AW38" s="414">
        <v>-13</v>
      </c>
      <c r="AY38" s="5">
        <v>16</v>
      </c>
      <c r="AZ38" s="413" t="s">
        <v>2665</v>
      </c>
      <c r="BA38" s="414">
        <v>420</v>
      </c>
      <c r="BB38" s="917">
        <v>3.15</v>
      </c>
      <c r="BC38" s="414">
        <v>3927</v>
      </c>
      <c r="BD38" s="414">
        <v>-15</v>
      </c>
      <c r="BF38" s="5">
        <v>16</v>
      </c>
      <c r="BG38" s="413" t="s">
        <v>2666</v>
      </c>
      <c r="BH38" s="414">
        <v>755</v>
      </c>
      <c r="BI38" s="917">
        <v>2.04</v>
      </c>
      <c r="BJ38" s="414">
        <v>4471</v>
      </c>
      <c r="BK38" s="414">
        <v>-18</v>
      </c>
      <c r="BM38" s="5">
        <v>16</v>
      </c>
      <c r="BN38" s="413" t="s">
        <v>2667</v>
      </c>
      <c r="BO38" s="414">
        <v>406</v>
      </c>
      <c r="BP38" s="917">
        <v>3.19</v>
      </c>
      <c r="BQ38" s="414">
        <v>3648</v>
      </c>
      <c r="BR38" s="414">
        <v>-14</v>
      </c>
      <c r="BS38" s="5"/>
      <c r="BT38" s="5">
        <v>16</v>
      </c>
      <c r="BU38" s="413" t="s">
        <v>2668</v>
      </c>
      <c r="BV38" s="414">
        <v>989</v>
      </c>
      <c r="BW38" s="917">
        <v>2.56</v>
      </c>
      <c r="BX38" s="414">
        <v>4726</v>
      </c>
      <c r="BY38" s="414">
        <v>-18</v>
      </c>
      <c r="BZ38" s="5"/>
      <c r="CA38" s="5">
        <v>16</v>
      </c>
      <c r="CB38" s="413" t="s">
        <v>2669</v>
      </c>
      <c r="CC38" s="414">
        <v>170</v>
      </c>
      <c r="CD38" s="917">
        <v>3.63</v>
      </c>
      <c r="CE38" s="414">
        <v>3355</v>
      </c>
      <c r="CF38" s="414">
        <v>-13</v>
      </c>
      <c r="CG38" s="5"/>
      <c r="CH38" s="5"/>
      <c r="CI38" s="5"/>
    </row>
    <row r="39" spans="2:87" ht="15" customHeight="1" x14ac:dyDescent="0.25">
      <c r="B39" s="100" t="str">
        <f>IF(Heizung=FALSE,"",Sprache!B47&amp;" (Ta = -8°C)")</f>
        <v/>
      </c>
      <c r="C39" s="103"/>
      <c r="D39" s="103"/>
      <c r="E39" s="1065" t="str">
        <f>IF(Heizung=FALSE,"","manuelle Eingabe?  ")</f>
        <v/>
      </c>
      <c r="F39" s="1066"/>
      <c r="G39" s="1069">
        <f>IF(AND(L39=1,I39&gt;24,I39&lt;&gt;""),MAX(I39,G40+4),IF(I12&lt;=$BA$3,BA4,IF(I12&lt;=$BB$3,BB4,IF(I12&lt;=$BC$3,BC4,IF(I12&lt;=BD3,BD4,BE4)))))</f>
        <v>32</v>
      </c>
      <c r="H39" s="1067" t="str">
        <f>IF(Heizung=FALSE,"",Sprache!B134&amp;"    [°C]")</f>
        <v/>
      </c>
      <c r="I39" s="1073"/>
      <c r="J39" s="1098" t="str">
        <f>IF(AND(L39=1,I39&gt;0),"!","")</f>
        <v/>
      </c>
      <c r="L39" s="19">
        <f>IF(F39="",2,MATCH(F39,$Q$13:$Q$14,0))</f>
        <v>2</v>
      </c>
      <c r="M39" s="5">
        <v>17</v>
      </c>
      <c r="N39" s="413" t="str">
        <f t="shared" si="0"/>
        <v>Egg</v>
      </c>
      <c r="O39" s="414">
        <f t="shared" si="1"/>
        <v>545</v>
      </c>
      <c r="P39" s="414">
        <f t="shared" si="2"/>
        <v>3.43</v>
      </c>
      <c r="Q39" s="145">
        <f t="shared" si="5"/>
        <v>-14</v>
      </c>
      <c r="R39" s="414">
        <f t="shared" si="3"/>
        <v>3926</v>
      </c>
      <c r="S39" s="414">
        <f t="shared" si="4"/>
        <v>-14</v>
      </c>
      <c r="T39" s="5"/>
      <c r="U39" s="5"/>
      <c r="V39" s="5"/>
      <c r="W39" s="5">
        <v>17</v>
      </c>
      <c r="X39" s="413" t="s">
        <v>2670</v>
      </c>
      <c r="Y39" s="414">
        <v>545</v>
      </c>
      <c r="Z39" s="917">
        <v>3.43</v>
      </c>
      <c r="AA39" s="414">
        <v>3926</v>
      </c>
      <c r="AB39" s="414">
        <v>-14</v>
      </c>
      <c r="AD39" s="5">
        <v>17</v>
      </c>
      <c r="AE39" s="413" t="s">
        <v>2671</v>
      </c>
      <c r="AF39" s="414">
        <v>340</v>
      </c>
      <c r="AG39" s="917">
        <v>3.26</v>
      </c>
      <c r="AH39" s="414">
        <v>3649</v>
      </c>
      <c r="AI39" s="414">
        <v>-14</v>
      </c>
      <c r="AK39" s="5">
        <v>17</v>
      </c>
      <c r="AL39" s="413" t="s">
        <v>2672</v>
      </c>
      <c r="AM39" s="414">
        <v>825</v>
      </c>
      <c r="AN39" s="917">
        <v>2.13</v>
      </c>
      <c r="AO39" s="414">
        <v>4681</v>
      </c>
      <c r="AP39" s="414">
        <v>-17</v>
      </c>
      <c r="AR39" s="5">
        <v>17</v>
      </c>
      <c r="AS39" s="413" t="s">
        <v>2673</v>
      </c>
      <c r="AT39" s="414">
        <v>150</v>
      </c>
      <c r="AU39" s="917">
        <v>3.34</v>
      </c>
      <c r="AV39" s="414">
        <v>3498</v>
      </c>
      <c r="AW39" s="414">
        <v>-14</v>
      </c>
      <c r="AY39" s="5">
        <v>17</v>
      </c>
      <c r="AZ39" s="413" t="s">
        <v>2674</v>
      </c>
      <c r="BA39" s="414">
        <v>290</v>
      </c>
      <c r="BB39" s="917">
        <v>3.26</v>
      </c>
      <c r="BC39" s="414">
        <v>3632</v>
      </c>
      <c r="BD39" s="414">
        <v>-13</v>
      </c>
      <c r="BF39" s="5">
        <v>17</v>
      </c>
      <c r="BG39" s="413" t="s">
        <v>2675</v>
      </c>
      <c r="BH39" s="414">
        <v>440</v>
      </c>
      <c r="BI39" s="917">
        <v>3.27</v>
      </c>
      <c r="BJ39" s="414">
        <v>3815</v>
      </c>
      <c r="BK39" s="414">
        <v>-15</v>
      </c>
      <c r="BM39" s="5">
        <v>17</v>
      </c>
      <c r="BN39" s="413" t="s">
        <v>2676</v>
      </c>
      <c r="BO39" s="414">
        <v>300</v>
      </c>
      <c r="BP39" s="917">
        <v>3.15</v>
      </c>
      <c r="BQ39" s="414">
        <v>3539</v>
      </c>
      <c r="BR39" s="414">
        <v>-13</v>
      </c>
      <c r="BS39" s="5"/>
      <c r="BT39" s="5">
        <v>17</v>
      </c>
      <c r="BU39" s="413" t="s">
        <v>2677</v>
      </c>
      <c r="BV39" s="414">
        <v>1075</v>
      </c>
      <c r="BW39" s="917">
        <v>2.54</v>
      </c>
      <c r="BX39" s="414">
        <v>4925</v>
      </c>
      <c r="BY39" s="414">
        <v>-18</v>
      </c>
      <c r="BZ39" s="5"/>
      <c r="CA39" s="5">
        <v>17</v>
      </c>
      <c r="CB39" s="413" t="s">
        <v>2678</v>
      </c>
      <c r="CC39" s="414">
        <v>170</v>
      </c>
      <c r="CD39" s="917">
        <v>3.73</v>
      </c>
      <c r="CE39" s="414">
        <v>3319</v>
      </c>
      <c r="CF39" s="414">
        <v>-13</v>
      </c>
      <c r="CG39" s="5"/>
      <c r="CH39" s="5"/>
      <c r="CI39" s="5"/>
    </row>
    <row r="40" spans="2:87" ht="15" customHeight="1" x14ac:dyDescent="0.25">
      <c r="B40" s="100" t="str">
        <f>IF(Heizung=FALSE,"",Sprache!B48&amp;" (Ta = -8°C)")</f>
        <v/>
      </c>
      <c r="C40" s="103"/>
      <c r="D40" s="103"/>
      <c r="E40" s="1065" t="str">
        <f>IF(Heizung=FALSE,"","manuelle Eingabe?  ")</f>
        <v/>
      </c>
      <c r="F40" s="1066"/>
      <c r="G40" s="1069">
        <f>IF(AND(L40=1,I40&gt;22,I40&lt;&gt;""),I40,IF(I12&lt;=$BA$3,BA5,IF(I12&lt;=$BB$3,BB5,IF(I12&lt;=$BC$3,BC5,IF(I12&lt;=BD3,BD5,BE5)))))</f>
        <v>27</v>
      </c>
      <c r="H40" s="1067" t="str">
        <f>IF(Heizung=FALSE,"",Sprache!B135&amp;"    [°C]")</f>
        <v/>
      </c>
      <c r="I40" s="1073"/>
      <c r="J40" s="1098" t="str">
        <f>IF(AND(L40=1,I40&gt;0),"!","")</f>
        <v/>
      </c>
      <c r="L40" s="19">
        <f>IF(F40="",2,MATCH(F40,$Q$13:$Q$14,0))</f>
        <v>2</v>
      </c>
      <c r="M40" s="5">
        <v>18</v>
      </c>
      <c r="N40" s="413" t="str">
        <f t="shared" si="0"/>
        <v>Feldkirch</v>
      </c>
      <c r="O40" s="414">
        <f t="shared" si="1"/>
        <v>458</v>
      </c>
      <c r="P40" s="414">
        <f t="shared" si="2"/>
        <v>3.76</v>
      </c>
      <c r="Q40" s="145">
        <f t="shared" si="5"/>
        <v>-13</v>
      </c>
      <c r="R40" s="414">
        <f t="shared" si="3"/>
        <v>3556</v>
      </c>
      <c r="S40" s="414">
        <f t="shared" si="4"/>
        <v>-13</v>
      </c>
      <c r="T40" s="5"/>
      <c r="U40" s="5"/>
      <c r="V40" s="5"/>
      <c r="W40" s="5">
        <v>18</v>
      </c>
      <c r="X40" s="413" t="s">
        <v>2679</v>
      </c>
      <c r="Y40" s="414">
        <v>458</v>
      </c>
      <c r="Z40" s="917">
        <v>3.76</v>
      </c>
      <c r="AA40" s="414">
        <v>3556</v>
      </c>
      <c r="AB40" s="414">
        <v>-13</v>
      </c>
      <c r="AD40" s="5">
        <v>18</v>
      </c>
      <c r="AE40" s="413" t="s">
        <v>2680</v>
      </c>
      <c r="AF40" s="414">
        <v>125</v>
      </c>
      <c r="AG40" s="917">
        <v>3.37</v>
      </c>
      <c r="AH40" s="414">
        <v>3392</v>
      </c>
      <c r="AI40" s="414">
        <v>-14</v>
      </c>
      <c r="AK40" s="5">
        <v>18</v>
      </c>
      <c r="AL40" s="413" t="s">
        <v>2681</v>
      </c>
      <c r="AM40" s="414">
        <v>1152</v>
      </c>
      <c r="AN40" s="917">
        <v>2.5</v>
      </c>
      <c r="AO40" s="414">
        <v>4917</v>
      </c>
      <c r="AP40" s="414">
        <v>-16</v>
      </c>
      <c r="AR40" s="5">
        <v>18</v>
      </c>
      <c r="AS40" s="413" t="s">
        <v>2682</v>
      </c>
      <c r="AT40" s="414">
        <v>973</v>
      </c>
      <c r="AU40" s="917">
        <v>3.21</v>
      </c>
      <c r="AV40" s="414">
        <v>4651</v>
      </c>
      <c r="AW40" s="414">
        <v>-15</v>
      </c>
      <c r="AY40" s="5">
        <v>18</v>
      </c>
      <c r="AZ40" s="413" t="s">
        <v>2683</v>
      </c>
      <c r="BA40" s="414">
        <v>345</v>
      </c>
      <c r="BB40" s="917">
        <v>3.15</v>
      </c>
      <c r="BC40" s="414">
        <v>3842</v>
      </c>
      <c r="BD40" s="414">
        <v>-15</v>
      </c>
      <c r="BF40" s="5">
        <v>18</v>
      </c>
      <c r="BG40" s="413" t="s">
        <v>2684</v>
      </c>
      <c r="BH40" s="414">
        <v>1051</v>
      </c>
      <c r="BI40" s="917">
        <v>2.5</v>
      </c>
      <c r="BJ40" s="414">
        <v>4725</v>
      </c>
      <c r="BK40" s="414">
        <v>-16</v>
      </c>
      <c r="BM40" s="5">
        <v>18</v>
      </c>
      <c r="BN40" s="413" t="s">
        <v>2685</v>
      </c>
      <c r="BO40" s="414">
        <v>809</v>
      </c>
      <c r="BP40" s="917">
        <v>2.0499999999999998</v>
      </c>
      <c r="BQ40" s="414">
        <v>4776</v>
      </c>
      <c r="BR40" s="414">
        <v>-16</v>
      </c>
      <c r="BS40" s="5"/>
      <c r="BT40" s="5">
        <v>18</v>
      </c>
      <c r="BU40" s="413" t="s">
        <v>2686</v>
      </c>
      <c r="BV40" s="414">
        <v>919</v>
      </c>
      <c r="BW40" s="917">
        <v>2.33</v>
      </c>
      <c r="BX40" s="414">
        <v>4825</v>
      </c>
      <c r="BY40" s="414">
        <v>-17</v>
      </c>
      <c r="BZ40" s="5"/>
      <c r="CA40" s="5">
        <v>18</v>
      </c>
      <c r="CB40" s="413" t="s">
        <v>2687</v>
      </c>
      <c r="CC40" s="414">
        <v>210</v>
      </c>
      <c r="CD40" s="917">
        <v>3.59</v>
      </c>
      <c r="CE40" s="414">
        <v>3446</v>
      </c>
      <c r="CF40" s="414">
        <v>-13</v>
      </c>
      <c r="CG40" s="5"/>
      <c r="CH40" s="5"/>
      <c r="CI40" s="5"/>
    </row>
    <row r="41" spans="2:87" ht="15" customHeight="1" x14ac:dyDescent="0.2">
      <c r="B41" s="100" t="str">
        <f>IF(Heizung=FALSE,"",IF(Heizspeicher,Sprache!B49,""))</f>
        <v/>
      </c>
      <c r="C41" s="103"/>
      <c r="D41" s="103"/>
      <c r="E41" s="250"/>
      <c r="F41" s="346"/>
      <c r="G41" s="116" t="str">
        <f>IF(Heizung=FALSE,"",IF(Heizspeicher,Sprache!B136,""))</f>
        <v/>
      </c>
      <c r="H41" s="116" t="str">
        <f>IF(Heizung=FALSE,"",IF(Heizspeicher,"°C",""))</f>
        <v/>
      </c>
      <c r="I41" s="301"/>
      <c r="M41" s="5">
        <v>19</v>
      </c>
      <c r="N41" s="413" t="str">
        <f t="shared" si="0"/>
        <v>Fontanella</v>
      </c>
      <c r="O41" s="414">
        <f t="shared" si="1"/>
        <v>1145</v>
      </c>
      <c r="P41" s="414">
        <f t="shared" si="2"/>
        <v>2.71</v>
      </c>
      <c r="Q41" s="145">
        <f t="shared" si="5"/>
        <v>-17</v>
      </c>
      <c r="R41" s="414">
        <f t="shared" si="3"/>
        <v>4859</v>
      </c>
      <c r="S41" s="414">
        <f t="shared" si="4"/>
        <v>-17</v>
      </c>
      <c r="T41" s="5"/>
      <c r="U41" s="5"/>
      <c r="V41" s="5"/>
      <c r="W41" s="5">
        <v>19</v>
      </c>
      <c r="X41" s="413" t="s">
        <v>2688</v>
      </c>
      <c r="Y41" s="414">
        <v>1145</v>
      </c>
      <c r="Z41" s="917">
        <v>2.71</v>
      </c>
      <c r="AA41" s="414">
        <v>4859</v>
      </c>
      <c r="AB41" s="414">
        <v>-17</v>
      </c>
      <c r="AD41" s="5">
        <v>19</v>
      </c>
      <c r="AE41" s="413" t="s">
        <v>2689</v>
      </c>
      <c r="AF41" s="414">
        <v>147</v>
      </c>
      <c r="AG41" s="917">
        <v>3.45</v>
      </c>
      <c r="AH41" s="414">
        <v>3409</v>
      </c>
      <c r="AI41" s="414">
        <v>-14</v>
      </c>
      <c r="AK41" s="5">
        <v>19</v>
      </c>
      <c r="AL41" s="413" t="s">
        <v>2690</v>
      </c>
      <c r="AM41" s="414">
        <v>620</v>
      </c>
      <c r="AN41" s="917">
        <v>3</v>
      </c>
      <c r="AO41" s="414">
        <v>3944</v>
      </c>
      <c r="AP41" s="414">
        <v>-15</v>
      </c>
      <c r="AR41" s="5">
        <v>19</v>
      </c>
      <c r="AS41" s="413" t="s">
        <v>2691</v>
      </c>
      <c r="AT41" s="414">
        <v>850</v>
      </c>
      <c r="AU41" s="917">
        <v>2.0299999999999998</v>
      </c>
      <c r="AV41" s="414">
        <v>4941</v>
      </c>
      <c r="AW41" s="414">
        <v>-18</v>
      </c>
      <c r="AY41" s="5">
        <v>19</v>
      </c>
      <c r="AZ41" s="413" t="s">
        <v>2692</v>
      </c>
      <c r="BA41" s="414">
        <v>255</v>
      </c>
      <c r="BB41" s="917">
        <v>3.16</v>
      </c>
      <c r="BC41" s="414">
        <v>3637</v>
      </c>
      <c r="BD41" s="414">
        <v>-14</v>
      </c>
      <c r="BF41" s="5">
        <v>19</v>
      </c>
      <c r="BG41" s="413" t="s">
        <v>365</v>
      </c>
      <c r="BH41" s="414">
        <v>830</v>
      </c>
      <c r="BI41" s="917">
        <v>2.21</v>
      </c>
      <c r="BJ41" s="414">
        <v>4678</v>
      </c>
      <c r="BK41" s="414">
        <v>-17</v>
      </c>
      <c r="BM41" s="5">
        <v>19</v>
      </c>
      <c r="BN41" s="413" t="s">
        <v>366</v>
      </c>
      <c r="BO41" s="414">
        <v>430</v>
      </c>
      <c r="BP41" s="917">
        <v>2.89</v>
      </c>
      <c r="BQ41" s="414">
        <v>3952</v>
      </c>
      <c r="BR41" s="414">
        <v>-14</v>
      </c>
      <c r="BS41" s="5"/>
      <c r="BT41" s="5">
        <v>19</v>
      </c>
      <c r="BU41" s="413" t="s">
        <v>367</v>
      </c>
      <c r="BV41" s="414">
        <v>794</v>
      </c>
      <c r="BW41" s="917">
        <v>1.93</v>
      </c>
      <c r="BX41" s="414">
        <v>4715</v>
      </c>
      <c r="BY41" s="414">
        <v>-18</v>
      </c>
      <c r="BZ41" s="5"/>
      <c r="CA41" s="5">
        <v>19</v>
      </c>
      <c r="CB41" s="413" t="s">
        <v>368</v>
      </c>
      <c r="CC41" s="414">
        <v>180</v>
      </c>
      <c r="CD41" s="917">
        <v>3.66</v>
      </c>
      <c r="CE41" s="414">
        <v>3398</v>
      </c>
      <c r="CF41" s="414">
        <v>-13</v>
      </c>
      <c r="CG41" s="5"/>
      <c r="CH41" s="5"/>
      <c r="CI41" s="5"/>
    </row>
    <row r="42" spans="2:87" ht="15" customHeight="1" x14ac:dyDescent="0.2">
      <c r="B42" s="205" t="str">
        <f>'WP1'!B39</f>
        <v/>
      </c>
      <c r="C42" s="517"/>
      <c r="D42" s="517"/>
      <c r="E42" s="517"/>
      <c r="F42" s="519"/>
      <c r="G42" s="549"/>
      <c r="H42" s="520" t="str">
        <f>'WP1'!G39</f>
        <v/>
      </c>
      <c r="I42" s="1119"/>
      <c r="M42" s="5">
        <v>20</v>
      </c>
      <c r="N42" s="413" t="str">
        <f t="shared" si="0"/>
        <v>Frastanz</v>
      </c>
      <c r="O42" s="414">
        <f t="shared" si="1"/>
        <v>495</v>
      </c>
      <c r="P42" s="414">
        <f t="shared" si="2"/>
        <v>3.42</v>
      </c>
      <c r="Q42" s="145">
        <f t="shared" si="5"/>
        <v>-14</v>
      </c>
      <c r="R42" s="414">
        <f t="shared" si="3"/>
        <v>3747</v>
      </c>
      <c r="S42" s="414">
        <f t="shared" si="4"/>
        <v>-14</v>
      </c>
      <c r="T42" s="5"/>
      <c r="U42" s="5"/>
      <c r="V42" s="5"/>
      <c r="W42" s="5">
        <v>20</v>
      </c>
      <c r="X42" s="413" t="s">
        <v>369</v>
      </c>
      <c r="Y42" s="414">
        <v>495</v>
      </c>
      <c r="Z42" s="917">
        <v>3.42</v>
      </c>
      <c r="AA42" s="414">
        <v>3747</v>
      </c>
      <c r="AB42" s="414">
        <v>-14</v>
      </c>
      <c r="AD42" s="5">
        <v>20</v>
      </c>
      <c r="AE42" s="413" t="s">
        <v>370</v>
      </c>
      <c r="AF42" s="414">
        <v>239</v>
      </c>
      <c r="AG42" s="917">
        <v>3.2</v>
      </c>
      <c r="AH42" s="414">
        <v>3595</v>
      </c>
      <c r="AI42" s="414">
        <v>-14</v>
      </c>
      <c r="AK42" s="5">
        <v>20</v>
      </c>
      <c r="AL42" s="413" t="s">
        <v>371</v>
      </c>
      <c r="AM42" s="414">
        <v>1012</v>
      </c>
      <c r="AN42" s="917">
        <v>2.42</v>
      </c>
      <c r="AO42" s="414">
        <v>4572</v>
      </c>
      <c r="AP42" s="414">
        <v>-15</v>
      </c>
      <c r="AR42" s="5">
        <v>20</v>
      </c>
      <c r="AS42" s="413" t="s">
        <v>372</v>
      </c>
      <c r="AT42" s="414">
        <v>240</v>
      </c>
      <c r="AU42" s="917">
        <v>3.34</v>
      </c>
      <c r="AV42" s="414">
        <v>3598</v>
      </c>
      <c r="AW42" s="414">
        <v>-13</v>
      </c>
      <c r="AY42" s="5">
        <v>20</v>
      </c>
      <c r="AZ42" s="413" t="s">
        <v>373</v>
      </c>
      <c r="BA42" s="414">
        <v>604</v>
      </c>
      <c r="BB42" s="917">
        <v>2.66</v>
      </c>
      <c r="BC42" s="414">
        <v>4162</v>
      </c>
      <c r="BD42" s="414">
        <v>-14</v>
      </c>
      <c r="BF42" s="5">
        <v>20</v>
      </c>
      <c r="BG42" s="413" t="s">
        <v>374</v>
      </c>
      <c r="BH42" s="414">
        <v>771</v>
      </c>
      <c r="BI42" s="917">
        <v>3.51</v>
      </c>
      <c r="BJ42" s="414">
        <v>4039</v>
      </c>
      <c r="BK42" s="414">
        <v>-15</v>
      </c>
      <c r="BM42" s="5">
        <v>20</v>
      </c>
      <c r="BN42" s="413" t="s">
        <v>375</v>
      </c>
      <c r="BO42" s="414">
        <v>623</v>
      </c>
      <c r="BP42" s="917">
        <v>2.62</v>
      </c>
      <c r="BQ42" s="414">
        <v>4206</v>
      </c>
      <c r="BR42" s="414">
        <v>-15</v>
      </c>
      <c r="BS42" s="5"/>
      <c r="BT42" s="5">
        <v>20</v>
      </c>
      <c r="BU42" s="413" t="s">
        <v>376</v>
      </c>
      <c r="BV42" s="414">
        <v>534</v>
      </c>
      <c r="BW42" s="917">
        <v>2.89</v>
      </c>
      <c r="BX42" s="414">
        <v>3901</v>
      </c>
      <c r="BY42" s="414">
        <v>-15</v>
      </c>
      <c r="BZ42" s="5"/>
      <c r="CA42" s="5">
        <v>20</v>
      </c>
      <c r="CB42" s="413" t="s">
        <v>377</v>
      </c>
      <c r="CC42" s="414">
        <v>180</v>
      </c>
      <c r="CD42" s="917">
        <v>3.64</v>
      </c>
      <c r="CE42" s="414">
        <v>3386</v>
      </c>
      <c r="CF42" s="414">
        <v>-13</v>
      </c>
      <c r="CG42" s="5"/>
      <c r="CH42" s="5"/>
      <c r="CI42" s="5"/>
    </row>
    <row r="43" spans="2:87" ht="15" customHeight="1" x14ac:dyDescent="0.2">
      <c r="B43" s="92" t="str">
        <f>IF(WW,Sprache!B51,"")</f>
        <v/>
      </c>
      <c r="C43" s="250"/>
      <c r="D43" s="250"/>
      <c r="E43" s="250"/>
      <c r="F43" s="346" t="str">
        <f>'WP1'!E40</f>
        <v/>
      </c>
      <c r="G43" s="1252"/>
      <c r="H43" s="1253"/>
      <c r="I43" s="1254"/>
      <c r="L43" s="19">
        <f>IF(G43="",1,MATCH(G43,AQ3:AQ8,0))</f>
        <v>1</v>
      </c>
      <c r="M43" s="5">
        <v>21</v>
      </c>
      <c r="N43" s="413" t="str">
        <f t="shared" si="0"/>
        <v>Fußach</v>
      </c>
      <c r="O43" s="414">
        <f t="shared" si="1"/>
        <v>398</v>
      </c>
      <c r="P43" s="414">
        <f t="shared" si="2"/>
        <v>3.78</v>
      </c>
      <c r="Q43" s="145">
        <f t="shared" si="5"/>
        <v>-12</v>
      </c>
      <c r="R43" s="414">
        <f t="shared" si="3"/>
        <v>3650</v>
      </c>
      <c r="S43" s="414">
        <f t="shared" si="4"/>
        <v>-12</v>
      </c>
      <c r="T43" s="5"/>
      <c r="U43" s="5"/>
      <c r="V43" s="5"/>
      <c r="W43" s="5">
        <v>21</v>
      </c>
      <c r="X43" s="413" t="s">
        <v>378</v>
      </c>
      <c r="Y43" s="414">
        <v>398</v>
      </c>
      <c r="Z43" s="917">
        <v>3.78</v>
      </c>
      <c r="AA43" s="414">
        <v>3650</v>
      </c>
      <c r="AB43" s="414">
        <v>-12</v>
      </c>
      <c r="AD43" s="5">
        <v>21</v>
      </c>
      <c r="AE43" s="413" t="s">
        <v>379</v>
      </c>
      <c r="AF43" s="414">
        <v>130</v>
      </c>
      <c r="AG43" s="917">
        <v>3.54</v>
      </c>
      <c r="AH43" s="414">
        <v>3357</v>
      </c>
      <c r="AI43" s="414">
        <v>-13</v>
      </c>
      <c r="AK43" s="5">
        <v>21</v>
      </c>
      <c r="AL43" s="413" t="s">
        <v>380</v>
      </c>
      <c r="AM43" s="414">
        <v>580</v>
      </c>
      <c r="AN43" s="917">
        <v>2.4900000000000002</v>
      </c>
      <c r="AO43" s="414">
        <v>4063</v>
      </c>
      <c r="AP43" s="414">
        <v>-16</v>
      </c>
      <c r="AR43" s="5">
        <v>21</v>
      </c>
      <c r="AS43" s="413" t="s">
        <v>381</v>
      </c>
      <c r="AT43" s="414">
        <v>395</v>
      </c>
      <c r="AU43" s="917">
        <v>2.9</v>
      </c>
      <c r="AV43" s="414">
        <v>4035</v>
      </c>
      <c r="AW43" s="414">
        <v>-15</v>
      </c>
      <c r="AY43" s="5">
        <v>21</v>
      </c>
      <c r="AZ43" s="413" t="s">
        <v>382</v>
      </c>
      <c r="BA43" s="414">
        <v>272</v>
      </c>
      <c r="BB43" s="917">
        <v>3.33</v>
      </c>
      <c r="BC43" s="414">
        <v>3701</v>
      </c>
      <c r="BD43" s="414">
        <v>-14</v>
      </c>
      <c r="BF43" s="5">
        <v>21</v>
      </c>
      <c r="BG43" s="413" t="s">
        <v>383</v>
      </c>
      <c r="BH43" s="414">
        <v>856</v>
      </c>
      <c r="BI43" s="917">
        <v>1.89</v>
      </c>
      <c r="BJ43" s="414">
        <v>4817</v>
      </c>
      <c r="BK43" s="414">
        <v>-17</v>
      </c>
      <c r="BM43" s="5">
        <v>21</v>
      </c>
      <c r="BN43" s="413" t="s">
        <v>384</v>
      </c>
      <c r="BO43" s="414">
        <v>860</v>
      </c>
      <c r="BP43" s="917">
        <v>2.62</v>
      </c>
      <c r="BQ43" s="414">
        <v>4414</v>
      </c>
      <c r="BR43" s="414">
        <v>-15</v>
      </c>
      <c r="BS43" s="5"/>
      <c r="BT43" s="5">
        <v>21</v>
      </c>
      <c r="BU43" s="413" t="s">
        <v>385</v>
      </c>
      <c r="BV43" s="414">
        <v>737</v>
      </c>
      <c r="BW43" s="917">
        <v>2.25</v>
      </c>
      <c r="BX43" s="414">
        <v>4278</v>
      </c>
      <c r="BY43" s="414">
        <v>-16</v>
      </c>
      <c r="BZ43" s="5"/>
      <c r="CA43" s="5">
        <v>21</v>
      </c>
      <c r="CB43" s="413" t="s">
        <v>386</v>
      </c>
      <c r="CC43" s="414">
        <v>190</v>
      </c>
      <c r="CD43" s="917">
        <v>3.59</v>
      </c>
      <c r="CE43" s="414">
        <v>3414</v>
      </c>
      <c r="CF43" s="414">
        <v>-13</v>
      </c>
      <c r="CG43" s="5"/>
      <c r="CH43" s="5"/>
      <c r="CI43" s="5"/>
    </row>
    <row r="44" spans="2:87" ht="15" customHeight="1" x14ac:dyDescent="0.2">
      <c r="B44" s="100" t="str">
        <f>IF(WW,Sprache!B52,"")</f>
        <v/>
      </c>
      <c r="C44" s="103"/>
      <c r="D44" s="103"/>
      <c r="E44" s="103"/>
      <c r="F44" s="47" t="str">
        <f>'WP1'!E41</f>
        <v/>
      </c>
      <c r="G44" s="127"/>
      <c r="H44" s="116" t="str">
        <f>IF(WW,"°C","")</f>
        <v/>
      </c>
      <c r="I44" s="154"/>
      <c r="L44" s="5" t="b">
        <f>'WP1'!J41</f>
        <v>0</v>
      </c>
      <c r="M44" s="5">
        <v>22</v>
      </c>
      <c r="N44" s="413" t="str">
        <f t="shared" si="0"/>
        <v>Gaißau</v>
      </c>
      <c r="O44" s="414">
        <f t="shared" si="1"/>
        <v>399</v>
      </c>
      <c r="P44" s="414">
        <f t="shared" si="2"/>
        <v>3.72</v>
      </c>
      <c r="Q44" s="145">
        <f t="shared" si="5"/>
        <v>-12</v>
      </c>
      <c r="R44" s="414">
        <f t="shared" si="3"/>
        <v>3647</v>
      </c>
      <c r="S44" s="414">
        <f t="shared" si="4"/>
        <v>-12</v>
      </c>
      <c r="T44" s="5"/>
      <c r="U44" s="5"/>
      <c r="V44" s="5"/>
      <c r="W44" s="5">
        <v>22</v>
      </c>
      <c r="X44" s="413" t="s">
        <v>387</v>
      </c>
      <c r="Y44" s="414">
        <v>399</v>
      </c>
      <c r="Z44" s="917">
        <v>3.72</v>
      </c>
      <c r="AA44" s="414">
        <v>3647</v>
      </c>
      <c r="AB44" s="414">
        <v>-12</v>
      </c>
      <c r="AD44" s="5">
        <v>22</v>
      </c>
      <c r="AE44" s="413" t="s">
        <v>388</v>
      </c>
      <c r="AF44" s="414">
        <v>194</v>
      </c>
      <c r="AG44" s="917">
        <v>3.73</v>
      </c>
      <c r="AH44" s="414">
        <v>3271</v>
      </c>
      <c r="AI44" s="414">
        <v>-12</v>
      </c>
      <c r="AK44" s="5">
        <v>22</v>
      </c>
      <c r="AL44" s="413" t="s">
        <v>389</v>
      </c>
      <c r="AM44" s="414">
        <v>1062</v>
      </c>
      <c r="AN44" s="917">
        <v>2.39</v>
      </c>
      <c r="AO44" s="414">
        <v>4879</v>
      </c>
      <c r="AP44" s="414">
        <v>-16</v>
      </c>
      <c r="AR44" s="5">
        <v>22</v>
      </c>
      <c r="AS44" s="413" t="s">
        <v>390</v>
      </c>
      <c r="AT44" s="414">
        <v>310</v>
      </c>
      <c r="AU44" s="917">
        <v>3.25</v>
      </c>
      <c r="AV44" s="414">
        <v>3736</v>
      </c>
      <c r="AW44" s="414">
        <v>-14</v>
      </c>
      <c r="AY44" s="5">
        <v>22</v>
      </c>
      <c r="AZ44" s="413" t="s">
        <v>391</v>
      </c>
      <c r="BA44" s="414">
        <v>432</v>
      </c>
      <c r="BB44" s="917">
        <v>3.23</v>
      </c>
      <c r="BC44" s="414">
        <v>3908</v>
      </c>
      <c r="BD44" s="414">
        <v>-14</v>
      </c>
      <c r="BF44" s="5">
        <v>22</v>
      </c>
      <c r="BG44" s="413" t="s">
        <v>392</v>
      </c>
      <c r="BH44" s="414">
        <v>621</v>
      </c>
      <c r="BI44" s="917">
        <v>3.17</v>
      </c>
      <c r="BJ44" s="414">
        <v>4073</v>
      </c>
      <c r="BK44" s="414">
        <v>-16</v>
      </c>
      <c r="BM44" s="5">
        <v>22</v>
      </c>
      <c r="BN44" s="413" t="s">
        <v>393</v>
      </c>
      <c r="BO44" s="414">
        <v>284</v>
      </c>
      <c r="BP44" s="917">
        <v>3.11</v>
      </c>
      <c r="BQ44" s="414">
        <v>3580</v>
      </c>
      <c r="BR44" s="414">
        <v>-13</v>
      </c>
      <c r="BS44" s="5"/>
      <c r="BT44" s="5">
        <v>22</v>
      </c>
      <c r="BU44" s="413" t="s">
        <v>394</v>
      </c>
      <c r="BV44" s="414">
        <v>475</v>
      </c>
      <c r="BW44" s="917">
        <v>3.05</v>
      </c>
      <c r="BX44" s="414">
        <v>3949</v>
      </c>
      <c r="BY44" s="414">
        <v>-15</v>
      </c>
      <c r="BZ44" s="5"/>
      <c r="CA44" s="5">
        <v>22</v>
      </c>
      <c r="CB44" s="413" t="s">
        <v>395</v>
      </c>
      <c r="CC44" s="414">
        <v>200</v>
      </c>
      <c r="CD44" s="917">
        <v>3.64</v>
      </c>
      <c r="CE44" s="414">
        <v>3419</v>
      </c>
      <c r="CF44" s="414">
        <v>-13</v>
      </c>
      <c r="CG44" s="5"/>
      <c r="CH44" s="5"/>
      <c r="CI44" s="5"/>
    </row>
    <row r="45" spans="2:87" ht="15" customHeight="1" x14ac:dyDescent="0.2">
      <c r="B45" s="100" t="str">
        <f>'WP1'!B42</f>
        <v/>
      </c>
      <c r="C45" s="103"/>
      <c r="D45" s="103"/>
      <c r="E45" s="103"/>
      <c r="F45" s="347" t="str">
        <f>'WP1'!E42</f>
        <v/>
      </c>
      <c r="G45" s="122" t="str">
        <f>'WP1'!F42</f>
        <v/>
      </c>
      <c r="H45" s="116" t="str">
        <f>IF(WW,"°C","")</f>
        <v/>
      </c>
      <c r="I45" s="154"/>
      <c r="L45" s="5" t="b">
        <f>'WP1'!J42</f>
        <v>1</v>
      </c>
      <c r="M45" s="5">
        <v>23</v>
      </c>
      <c r="N45" s="413" t="str">
        <f t="shared" si="0"/>
        <v>Gargellen</v>
      </c>
      <c r="O45" s="414">
        <f t="shared" si="1"/>
        <v>1423</v>
      </c>
      <c r="P45" s="414">
        <f t="shared" si="2"/>
        <v>2.7</v>
      </c>
      <c r="Q45" s="145">
        <f t="shared" si="5"/>
        <v>-18</v>
      </c>
      <c r="R45" s="414">
        <f t="shared" si="3"/>
        <v>5242</v>
      </c>
      <c r="S45" s="414">
        <f t="shared" si="4"/>
        <v>-18</v>
      </c>
      <c r="T45" s="5"/>
      <c r="U45" s="5"/>
      <c r="V45" s="5"/>
      <c r="W45" s="5">
        <v>23</v>
      </c>
      <c r="X45" s="413" t="s">
        <v>396</v>
      </c>
      <c r="Y45" s="414">
        <v>1423</v>
      </c>
      <c r="Z45" s="917">
        <v>2.7</v>
      </c>
      <c r="AA45" s="414">
        <v>5242</v>
      </c>
      <c r="AB45" s="414">
        <v>-18</v>
      </c>
      <c r="AD45" s="5">
        <v>23</v>
      </c>
      <c r="AE45" s="413" t="s">
        <v>397</v>
      </c>
      <c r="AF45" s="414">
        <v>311</v>
      </c>
      <c r="AG45" s="917">
        <v>3.23</v>
      </c>
      <c r="AH45" s="414">
        <v>3571</v>
      </c>
      <c r="AI45" s="414">
        <v>-13</v>
      </c>
      <c r="AK45" s="5">
        <v>23</v>
      </c>
      <c r="AL45" s="413" t="s">
        <v>398</v>
      </c>
      <c r="AM45" s="414">
        <v>430</v>
      </c>
      <c r="AN45" s="917">
        <v>2.25</v>
      </c>
      <c r="AO45" s="414">
        <v>3922</v>
      </c>
      <c r="AP45" s="414">
        <v>-16</v>
      </c>
      <c r="AR45" s="5">
        <v>23</v>
      </c>
      <c r="AS45" s="413" t="s">
        <v>525</v>
      </c>
      <c r="AT45" s="414">
        <v>498</v>
      </c>
      <c r="AU45" s="917">
        <v>2.95</v>
      </c>
      <c r="AV45" s="414">
        <v>4108</v>
      </c>
      <c r="AW45" s="414">
        <v>-14</v>
      </c>
      <c r="AY45" s="5">
        <v>23</v>
      </c>
      <c r="AZ45" s="413" t="s">
        <v>526</v>
      </c>
      <c r="BA45" s="414">
        <v>448</v>
      </c>
      <c r="BB45" s="917">
        <v>3.12</v>
      </c>
      <c r="BC45" s="414">
        <v>3900</v>
      </c>
      <c r="BD45" s="414">
        <v>-15</v>
      </c>
      <c r="BF45" s="5">
        <v>23</v>
      </c>
      <c r="BG45" s="413" t="s">
        <v>527</v>
      </c>
      <c r="BH45" s="414">
        <v>430</v>
      </c>
      <c r="BI45" s="917">
        <v>3.44</v>
      </c>
      <c r="BJ45" s="414">
        <v>3792</v>
      </c>
      <c r="BK45" s="414">
        <v>-15</v>
      </c>
      <c r="BM45" s="5">
        <v>23</v>
      </c>
      <c r="BN45" s="413" t="s">
        <v>528</v>
      </c>
      <c r="BO45" s="414">
        <v>278</v>
      </c>
      <c r="BP45" s="917">
        <v>3.11</v>
      </c>
      <c r="BQ45" s="414">
        <v>3581</v>
      </c>
      <c r="BR45" s="414">
        <v>-13</v>
      </c>
      <c r="BS45" s="5"/>
      <c r="BT45" s="5">
        <v>23</v>
      </c>
      <c r="BU45" s="413" t="s">
        <v>529</v>
      </c>
      <c r="BV45" s="414">
        <v>995</v>
      </c>
      <c r="BW45" s="917">
        <v>2.52</v>
      </c>
      <c r="BX45" s="414">
        <v>4736</v>
      </c>
      <c r="BY45" s="414">
        <v>-17</v>
      </c>
      <c r="BZ45" s="5"/>
      <c r="CA45" s="5">
        <v>23</v>
      </c>
      <c r="CB45" s="413" t="s">
        <v>530</v>
      </c>
      <c r="CC45" s="414">
        <v>264</v>
      </c>
      <c r="CD45" s="917">
        <v>3.48</v>
      </c>
      <c r="CE45" s="414">
        <v>3502</v>
      </c>
      <c r="CF45" s="414">
        <v>-13</v>
      </c>
      <c r="CG45" s="5"/>
      <c r="CH45" s="5"/>
      <c r="CI45" s="5"/>
    </row>
    <row r="46" spans="2:87" ht="15" customHeight="1" x14ac:dyDescent="0.2">
      <c r="B46" s="205" t="str">
        <f>IF(AND(WW),Sprache!B199,"")</f>
        <v/>
      </c>
      <c r="C46" s="517"/>
      <c r="D46" s="517"/>
      <c r="E46" s="1044" t="str">
        <f>IF(AND(WW,L46=1),Sprache!B24,"")</f>
        <v/>
      </c>
      <c r="F46" s="724"/>
      <c r="G46" s="520" t="s">
        <v>2543</v>
      </c>
      <c r="H46" s="520" t="s">
        <v>722</v>
      </c>
      <c r="I46" s="550"/>
      <c r="L46" s="19">
        <f>IF(F46="",1,MATCH(F46,$AB$3:$AB$6,0))</f>
        <v>1</v>
      </c>
      <c r="M46" s="5">
        <v>24</v>
      </c>
      <c r="N46" s="413" t="str">
        <f t="shared" si="0"/>
        <v>Gaschurn</v>
      </c>
      <c r="O46" s="414">
        <f t="shared" si="1"/>
        <v>979</v>
      </c>
      <c r="P46" s="414">
        <f t="shared" si="2"/>
        <v>2.5499999999999998</v>
      </c>
      <c r="Q46" s="145">
        <f t="shared" si="5"/>
        <v>-17</v>
      </c>
      <c r="R46" s="414">
        <f t="shared" si="3"/>
        <v>4728</v>
      </c>
      <c r="S46" s="414">
        <f t="shared" si="4"/>
        <v>-17</v>
      </c>
      <c r="T46" s="5"/>
      <c r="U46" s="5"/>
      <c r="V46" s="5"/>
      <c r="W46" s="5">
        <v>24</v>
      </c>
      <c r="X46" s="413" t="s">
        <v>531</v>
      </c>
      <c r="Y46" s="414">
        <v>979</v>
      </c>
      <c r="Z46" s="917">
        <v>2.5499999999999998</v>
      </c>
      <c r="AA46" s="414">
        <v>4728</v>
      </c>
      <c r="AB46" s="414">
        <v>-17</v>
      </c>
      <c r="AD46" s="5">
        <v>24</v>
      </c>
      <c r="AE46" s="413" t="s">
        <v>532</v>
      </c>
      <c r="AF46" s="414">
        <v>238</v>
      </c>
      <c r="AG46" s="917">
        <v>3.41</v>
      </c>
      <c r="AH46" s="414">
        <v>3483</v>
      </c>
      <c r="AI46" s="414">
        <v>-13</v>
      </c>
      <c r="AK46" s="5">
        <v>24</v>
      </c>
      <c r="AL46" s="413" t="s">
        <v>533</v>
      </c>
      <c r="AM46" s="414">
        <v>475</v>
      </c>
      <c r="AN46" s="917">
        <v>1.95</v>
      </c>
      <c r="AO46" s="414">
        <v>4097</v>
      </c>
      <c r="AP46" s="414">
        <v>-16</v>
      </c>
      <c r="AR46" s="5">
        <v>24</v>
      </c>
      <c r="AS46" s="413" t="s">
        <v>534</v>
      </c>
      <c r="AT46" s="414">
        <v>221</v>
      </c>
      <c r="AU46" s="917">
        <v>3.09</v>
      </c>
      <c r="AV46" s="414">
        <v>3653</v>
      </c>
      <c r="AW46" s="414">
        <v>-14</v>
      </c>
      <c r="AY46" s="5">
        <v>24</v>
      </c>
      <c r="AZ46" s="413" t="s">
        <v>535</v>
      </c>
      <c r="BA46" s="414">
        <v>254</v>
      </c>
      <c r="BB46" s="917">
        <v>3.27</v>
      </c>
      <c r="BC46" s="414">
        <v>3598</v>
      </c>
      <c r="BD46" s="414">
        <v>-13</v>
      </c>
      <c r="BF46" s="5">
        <v>24</v>
      </c>
      <c r="BG46" s="413" t="s">
        <v>536</v>
      </c>
      <c r="BH46" s="414">
        <v>560</v>
      </c>
      <c r="BI46" s="917">
        <v>3.11</v>
      </c>
      <c r="BJ46" s="414">
        <v>4004</v>
      </c>
      <c r="BK46" s="414">
        <v>-16</v>
      </c>
      <c r="BM46" s="5">
        <v>24</v>
      </c>
      <c r="BN46" s="413" t="s">
        <v>537</v>
      </c>
      <c r="BO46" s="414">
        <v>542</v>
      </c>
      <c r="BP46" s="917">
        <v>3.03</v>
      </c>
      <c r="BQ46" s="414">
        <v>3902</v>
      </c>
      <c r="BR46" s="414">
        <v>-14</v>
      </c>
      <c r="BS46" s="5"/>
      <c r="BT46" s="5">
        <v>24</v>
      </c>
      <c r="BU46" s="413" t="s">
        <v>538</v>
      </c>
      <c r="BV46" s="414">
        <v>1040</v>
      </c>
      <c r="BW46" s="917">
        <v>2.42</v>
      </c>
      <c r="BX46" s="414">
        <v>4851</v>
      </c>
      <c r="BY46" s="414">
        <v>-17</v>
      </c>
      <c r="BZ46" s="5"/>
      <c r="CA46" s="5">
        <v>24</v>
      </c>
      <c r="CB46" s="413" t="s">
        <v>539</v>
      </c>
      <c r="CC46" s="414">
        <v>170</v>
      </c>
      <c r="CD46" s="917">
        <v>3.78</v>
      </c>
      <c r="CE46" s="414">
        <v>3309</v>
      </c>
      <c r="CF46" s="414">
        <v>-13</v>
      </c>
      <c r="CG46" s="5"/>
      <c r="CH46" s="5"/>
      <c r="CI46" s="5"/>
    </row>
    <row r="47" spans="2:87" ht="15" customHeight="1" x14ac:dyDescent="0.25">
      <c r="B47" s="85" t="str">
        <f>Sprache!B31</f>
        <v>Installation solaire</v>
      </c>
      <c r="C47" s="495"/>
      <c r="D47" s="551"/>
      <c r="E47" s="551"/>
      <c r="F47" s="731" t="str">
        <f>IF(AND(G47=""),Sprache!B24,"")</f>
        <v>choisir -&gt;</v>
      </c>
      <c r="G47" s="1249"/>
      <c r="H47" s="1250"/>
      <c r="I47" s="1251"/>
      <c r="L47" s="19">
        <f>IF(G47="",1,MATCH(G47,AT5:AT11,0))</f>
        <v>1</v>
      </c>
      <c r="M47" s="5">
        <v>25</v>
      </c>
      <c r="N47" s="413" t="str">
        <f t="shared" si="0"/>
        <v>Göfis</v>
      </c>
      <c r="O47" s="414">
        <f t="shared" si="1"/>
        <v>558</v>
      </c>
      <c r="P47" s="414">
        <f t="shared" si="2"/>
        <v>3.29</v>
      </c>
      <c r="Q47" s="145">
        <f t="shared" si="5"/>
        <v>-14</v>
      </c>
      <c r="R47" s="414">
        <f t="shared" si="3"/>
        <v>3861</v>
      </c>
      <c r="S47" s="414">
        <f t="shared" si="4"/>
        <v>-14</v>
      </c>
      <c r="T47" s="5"/>
      <c r="U47" s="5"/>
      <c r="V47" s="5"/>
      <c r="W47" s="5">
        <v>25</v>
      </c>
      <c r="X47" s="413" t="s">
        <v>540</v>
      </c>
      <c r="Y47" s="414">
        <v>558</v>
      </c>
      <c r="Z47" s="917">
        <v>3.29</v>
      </c>
      <c r="AA47" s="414">
        <v>3861</v>
      </c>
      <c r="AB47" s="414">
        <v>-14</v>
      </c>
      <c r="AD47" s="5">
        <v>25</v>
      </c>
      <c r="AE47" s="413" t="s">
        <v>541</v>
      </c>
      <c r="AF47" s="414">
        <v>225</v>
      </c>
      <c r="AG47" s="917">
        <v>3.24</v>
      </c>
      <c r="AH47" s="414">
        <v>3586</v>
      </c>
      <c r="AI47" s="414">
        <v>-14</v>
      </c>
      <c r="AK47" s="5">
        <v>25</v>
      </c>
      <c r="AL47" s="413" t="s">
        <v>542</v>
      </c>
      <c r="AM47" s="414">
        <v>575</v>
      </c>
      <c r="AN47" s="917">
        <v>2.2999999999999998</v>
      </c>
      <c r="AO47" s="414">
        <v>4196</v>
      </c>
      <c r="AP47" s="414">
        <v>-16</v>
      </c>
      <c r="AR47" s="5">
        <v>25</v>
      </c>
      <c r="AS47" s="413" t="s">
        <v>543</v>
      </c>
      <c r="AT47" s="414">
        <v>208</v>
      </c>
      <c r="AU47" s="917">
        <v>3.29</v>
      </c>
      <c r="AV47" s="414">
        <v>3577</v>
      </c>
      <c r="AW47" s="414">
        <v>-14</v>
      </c>
      <c r="AY47" s="5">
        <v>25</v>
      </c>
      <c r="AZ47" s="413" t="s">
        <v>544</v>
      </c>
      <c r="BA47" s="414">
        <v>484</v>
      </c>
      <c r="BB47" s="917">
        <v>3.15</v>
      </c>
      <c r="BC47" s="414">
        <v>4077</v>
      </c>
      <c r="BD47" s="414">
        <v>-15</v>
      </c>
      <c r="BF47" s="5">
        <v>25</v>
      </c>
      <c r="BG47" s="413" t="s">
        <v>545</v>
      </c>
      <c r="BH47" s="414">
        <v>787</v>
      </c>
      <c r="BI47" s="917">
        <v>2.97</v>
      </c>
      <c r="BJ47" s="414">
        <v>4292</v>
      </c>
      <c r="BK47" s="414">
        <v>-16</v>
      </c>
      <c r="BM47" s="5">
        <v>25</v>
      </c>
      <c r="BN47" s="413" t="s">
        <v>546</v>
      </c>
      <c r="BO47" s="414">
        <v>485</v>
      </c>
      <c r="BP47" s="917">
        <v>2.9</v>
      </c>
      <c r="BQ47" s="414">
        <v>3915</v>
      </c>
      <c r="BR47" s="414">
        <v>-14</v>
      </c>
      <c r="BS47" s="5"/>
      <c r="BT47" s="5">
        <v>25</v>
      </c>
      <c r="BU47" s="413" t="s">
        <v>547</v>
      </c>
      <c r="BV47" s="414">
        <v>804</v>
      </c>
      <c r="BW47" s="917">
        <v>1.91</v>
      </c>
      <c r="BX47" s="414">
        <v>4740</v>
      </c>
      <c r="BY47" s="414">
        <v>-18</v>
      </c>
      <c r="BZ47" s="5"/>
      <c r="CA47" s="5">
        <v>25</v>
      </c>
      <c r="CB47" s="413" t="s">
        <v>548</v>
      </c>
      <c r="CC47" s="414">
        <v>200</v>
      </c>
      <c r="CD47" s="917">
        <v>3.57</v>
      </c>
      <c r="CE47" s="414">
        <v>3417</v>
      </c>
      <c r="CF47" s="414">
        <v>-13</v>
      </c>
      <c r="CG47" s="5"/>
      <c r="CH47" s="5"/>
      <c r="CI47" s="5"/>
    </row>
    <row r="48" spans="2:87" ht="15" customHeight="1" x14ac:dyDescent="0.2">
      <c r="B48" s="20" t="str">
        <f>Sprache!B55</f>
        <v>Surface des absorbeurs</v>
      </c>
      <c r="F48" s="545"/>
      <c r="G48" s="546"/>
      <c r="H48" s="547" t="s">
        <v>2339</v>
      </c>
      <c r="I48" s="730"/>
      <c r="M48" s="5">
        <v>26</v>
      </c>
      <c r="N48" s="413" t="str">
        <f t="shared" si="0"/>
        <v>Götzis</v>
      </c>
      <c r="O48" s="414">
        <f t="shared" si="1"/>
        <v>448</v>
      </c>
      <c r="P48" s="414">
        <f t="shared" si="2"/>
        <v>3.71</v>
      </c>
      <c r="Q48" s="145">
        <f t="shared" si="5"/>
        <v>-13</v>
      </c>
      <c r="R48" s="414">
        <f t="shared" si="3"/>
        <v>3600</v>
      </c>
      <c r="S48" s="414">
        <f t="shared" si="4"/>
        <v>-13</v>
      </c>
      <c r="T48" s="5"/>
      <c r="U48" s="5"/>
      <c r="V48" s="5"/>
      <c r="W48" s="5">
        <v>26</v>
      </c>
      <c r="X48" s="413" t="s">
        <v>549</v>
      </c>
      <c r="Y48" s="414">
        <v>448</v>
      </c>
      <c r="Z48" s="917">
        <v>3.71</v>
      </c>
      <c r="AA48" s="414">
        <v>3600</v>
      </c>
      <c r="AB48" s="414">
        <v>-13</v>
      </c>
      <c r="AD48" s="5">
        <v>26</v>
      </c>
      <c r="AE48" s="413" t="s">
        <v>550</v>
      </c>
      <c r="AF48" s="414">
        <v>128</v>
      </c>
      <c r="AG48" s="917">
        <v>3.4</v>
      </c>
      <c r="AH48" s="414">
        <v>3370</v>
      </c>
      <c r="AI48" s="414">
        <v>-14</v>
      </c>
      <c r="AK48" s="5">
        <v>26</v>
      </c>
      <c r="AL48" s="413" t="s">
        <v>551</v>
      </c>
      <c r="AM48" s="414">
        <v>637</v>
      </c>
      <c r="AN48" s="917">
        <v>2.76</v>
      </c>
      <c r="AO48" s="414">
        <v>4104</v>
      </c>
      <c r="AP48" s="414">
        <v>-15</v>
      </c>
      <c r="AR48" s="5">
        <v>26</v>
      </c>
      <c r="AS48" s="413" t="s">
        <v>552</v>
      </c>
      <c r="AT48" s="414">
        <v>189</v>
      </c>
      <c r="AU48" s="917">
        <v>3.37</v>
      </c>
      <c r="AV48" s="414">
        <v>3543</v>
      </c>
      <c r="AW48" s="414">
        <v>-13</v>
      </c>
      <c r="AY48" s="5">
        <v>26</v>
      </c>
      <c r="AZ48" s="413" t="s">
        <v>553</v>
      </c>
      <c r="BA48" s="414">
        <v>416</v>
      </c>
      <c r="BB48" s="917">
        <v>3.06</v>
      </c>
      <c r="BC48" s="414">
        <v>3946</v>
      </c>
      <c r="BD48" s="414">
        <v>-15</v>
      </c>
      <c r="BF48" s="5">
        <v>26</v>
      </c>
      <c r="BG48" s="413" t="s">
        <v>554</v>
      </c>
      <c r="BH48" s="414">
        <v>1050</v>
      </c>
      <c r="BI48" s="917">
        <v>1.74</v>
      </c>
      <c r="BJ48" s="414">
        <v>5095</v>
      </c>
      <c r="BK48" s="414">
        <v>-17</v>
      </c>
      <c r="BM48" s="5">
        <v>26</v>
      </c>
      <c r="BN48" s="413" t="s">
        <v>555</v>
      </c>
      <c r="BO48" s="414">
        <v>250</v>
      </c>
      <c r="BP48" s="917">
        <v>3.09</v>
      </c>
      <c r="BQ48" s="414">
        <v>3535</v>
      </c>
      <c r="BR48" s="414">
        <v>-13</v>
      </c>
      <c r="BS48" s="5"/>
      <c r="BT48" s="5">
        <v>26</v>
      </c>
      <c r="BU48" s="413" t="s">
        <v>556</v>
      </c>
      <c r="BV48" s="414">
        <v>976</v>
      </c>
      <c r="BW48" s="917">
        <v>2.6</v>
      </c>
      <c r="BX48" s="414">
        <v>4680</v>
      </c>
      <c r="BY48" s="414">
        <v>-17</v>
      </c>
      <c r="BZ48" s="5"/>
      <c r="CA48" s="5">
        <v>26</v>
      </c>
      <c r="CB48" s="413" t="s">
        <v>557</v>
      </c>
      <c r="CC48" s="414">
        <v>215</v>
      </c>
      <c r="CD48" s="917">
        <v>3.58</v>
      </c>
      <c r="CE48" s="414">
        <v>3416</v>
      </c>
      <c r="CF48" s="414">
        <v>-13</v>
      </c>
      <c r="CG48" s="5"/>
      <c r="CH48" s="5"/>
      <c r="CI48" s="5"/>
    </row>
    <row r="49" spans="2:87" ht="15" customHeight="1" x14ac:dyDescent="0.2">
      <c r="B49" s="166" t="str">
        <f>Sprache!B56</f>
        <v>orientation / inclinaison des collecteurs</v>
      </c>
      <c r="C49" s="499"/>
      <c r="D49" s="499"/>
      <c r="E49" s="499"/>
      <c r="F49" s="727" t="str">
        <f>'WP1'!E50</f>
        <v xml:space="preserve">Azimut [°]:  </v>
      </c>
      <c r="G49" s="343"/>
      <c r="H49" s="726" t="str">
        <f>'WP1'!G50</f>
        <v>Pente [°]:</v>
      </c>
      <c r="I49" s="173"/>
      <c r="M49" s="5">
        <v>27</v>
      </c>
      <c r="N49" s="413" t="str">
        <f t="shared" si="0"/>
        <v>Hard</v>
      </c>
      <c r="O49" s="414">
        <f t="shared" si="1"/>
        <v>398</v>
      </c>
      <c r="P49" s="414">
        <f t="shared" si="2"/>
        <v>3.74</v>
      </c>
      <c r="Q49" s="145">
        <f t="shared" si="5"/>
        <v>-12</v>
      </c>
      <c r="R49" s="414">
        <f t="shared" si="3"/>
        <v>3643</v>
      </c>
      <c r="S49" s="414">
        <f t="shared" si="4"/>
        <v>-12</v>
      </c>
      <c r="T49" s="19"/>
      <c r="U49" s="5"/>
      <c r="V49" s="5"/>
      <c r="W49" s="5">
        <v>27</v>
      </c>
      <c r="X49" s="413" t="s">
        <v>558</v>
      </c>
      <c r="Y49" s="414">
        <v>398</v>
      </c>
      <c r="Z49" s="917">
        <v>3.74</v>
      </c>
      <c r="AA49" s="414">
        <v>3643</v>
      </c>
      <c r="AB49" s="414">
        <v>-12</v>
      </c>
      <c r="AD49" s="5">
        <v>27</v>
      </c>
      <c r="AE49" s="413" t="s">
        <v>559</v>
      </c>
      <c r="AF49" s="414">
        <v>253</v>
      </c>
      <c r="AG49" s="917">
        <v>3.36</v>
      </c>
      <c r="AH49" s="414">
        <v>3428</v>
      </c>
      <c r="AI49" s="414">
        <v>-13</v>
      </c>
      <c r="AK49" s="5">
        <v>27</v>
      </c>
      <c r="AL49" s="413" t="s">
        <v>560</v>
      </c>
      <c r="AM49" s="414">
        <v>600</v>
      </c>
      <c r="AN49" s="917">
        <v>2.75</v>
      </c>
      <c r="AO49" s="414">
        <v>3968</v>
      </c>
      <c r="AP49" s="414">
        <v>-15</v>
      </c>
      <c r="AR49" s="5">
        <v>27</v>
      </c>
      <c r="AS49" s="413" t="s">
        <v>561</v>
      </c>
      <c r="AT49" s="414">
        <v>178</v>
      </c>
      <c r="AU49" s="917">
        <v>3.3</v>
      </c>
      <c r="AV49" s="414">
        <v>3558</v>
      </c>
      <c r="AW49" s="414">
        <v>-14</v>
      </c>
      <c r="AY49" s="5">
        <v>27</v>
      </c>
      <c r="AZ49" s="413" t="s">
        <v>562</v>
      </c>
      <c r="BA49" s="414">
        <v>464</v>
      </c>
      <c r="BB49" s="917">
        <v>3.2</v>
      </c>
      <c r="BC49" s="414">
        <v>3813</v>
      </c>
      <c r="BD49" s="414">
        <v>-15</v>
      </c>
      <c r="BF49" s="5">
        <v>27</v>
      </c>
      <c r="BG49" s="413" t="s">
        <v>563</v>
      </c>
      <c r="BH49" s="414">
        <v>920</v>
      </c>
      <c r="BI49" s="917">
        <v>1.88</v>
      </c>
      <c r="BJ49" s="414">
        <v>4910</v>
      </c>
      <c r="BK49" s="414">
        <v>-17</v>
      </c>
      <c r="BM49" s="5">
        <v>27</v>
      </c>
      <c r="BN49" s="413" t="s">
        <v>564</v>
      </c>
      <c r="BO49" s="414">
        <v>319</v>
      </c>
      <c r="BP49" s="917">
        <v>3.4</v>
      </c>
      <c r="BQ49" s="414">
        <v>3470</v>
      </c>
      <c r="BR49" s="414">
        <v>-12</v>
      </c>
      <c r="BS49" s="5"/>
      <c r="BT49" s="5">
        <v>27</v>
      </c>
      <c r="BU49" s="413" t="s">
        <v>565</v>
      </c>
      <c r="BV49" s="414">
        <v>475</v>
      </c>
      <c r="BW49" s="917">
        <v>3.03</v>
      </c>
      <c r="BX49" s="414">
        <v>3953</v>
      </c>
      <c r="BY49" s="414">
        <v>-15</v>
      </c>
      <c r="BZ49" s="5"/>
      <c r="CA49" s="5">
        <v>27</v>
      </c>
      <c r="CB49" s="413" t="s">
        <v>566</v>
      </c>
      <c r="CC49" s="414">
        <v>210</v>
      </c>
      <c r="CD49" s="917">
        <v>3.54</v>
      </c>
      <c r="CE49" s="414">
        <v>3474</v>
      </c>
      <c r="CF49" s="414">
        <v>-13</v>
      </c>
      <c r="CG49" s="5"/>
      <c r="CH49" s="5"/>
      <c r="CI49" s="5"/>
    </row>
    <row r="50" spans="2:87" ht="15" customHeight="1" x14ac:dyDescent="0.2">
      <c r="B50" s="166" t="str">
        <f>Sprache!B57</f>
        <v>Apport net par m2 d'absorbeur</v>
      </c>
      <c r="C50" s="499"/>
      <c r="D50" s="499"/>
      <c r="E50" s="499"/>
      <c r="F50" s="689" t="str">
        <f>IF(_SIA384,Sprache!B269,Sprache!B140)</f>
        <v>valeur proposée:</v>
      </c>
      <c r="G50" s="690">
        <f>'WP1'!F51</f>
        <v>0</v>
      </c>
      <c r="H50" s="169" t="s">
        <v>938</v>
      </c>
      <c r="I50" s="173"/>
      <c r="M50" s="5">
        <v>28</v>
      </c>
      <c r="N50" s="413" t="str">
        <f t="shared" si="0"/>
        <v>Hirschegg</v>
      </c>
      <c r="O50" s="414">
        <f t="shared" si="1"/>
        <v>1124</v>
      </c>
      <c r="P50" s="414">
        <f t="shared" si="2"/>
        <v>2.4</v>
      </c>
      <c r="Q50" s="145">
        <f t="shared" si="5"/>
        <v>-18</v>
      </c>
      <c r="R50" s="414">
        <f t="shared" si="3"/>
        <v>5068</v>
      </c>
      <c r="S50" s="414">
        <f t="shared" si="4"/>
        <v>-18</v>
      </c>
      <c r="T50" s="19"/>
      <c r="U50" s="5"/>
      <c r="V50" s="5"/>
      <c r="W50" s="5">
        <v>28</v>
      </c>
      <c r="X50" s="413" t="s">
        <v>567</v>
      </c>
      <c r="Y50" s="414">
        <v>1124</v>
      </c>
      <c r="Z50" s="917">
        <v>2.4</v>
      </c>
      <c r="AA50" s="414">
        <v>5068</v>
      </c>
      <c r="AB50" s="414">
        <v>-18</v>
      </c>
      <c r="AD50" s="5">
        <v>28</v>
      </c>
      <c r="AE50" s="413" t="s">
        <v>568</v>
      </c>
      <c r="AF50" s="414">
        <v>229</v>
      </c>
      <c r="AG50" s="917">
        <v>3.17</v>
      </c>
      <c r="AH50" s="414">
        <v>3584</v>
      </c>
      <c r="AI50" s="414">
        <v>-14</v>
      </c>
      <c r="AK50" s="5">
        <v>28</v>
      </c>
      <c r="AL50" s="413" t="s">
        <v>569</v>
      </c>
      <c r="AM50" s="414">
        <v>555</v>
      </c>
      <c r="AN50" s="917">
        <v>2.7</v>
      </c>
      <c r="AO50" s="414">
        <v>4082</v>
      </c>
      <c r="AP50" s="414">
        <v>-15</v>
      </c>
      <c r="AR50" s="5">
        <v>28</v>
      </c>
      <c r="AS50" s="413" t="s">
        <v>570</v>
      </c>
      <c r="AT50" s="414">
        <v>148</v>
      </c>
      <c r="AU50" s="917">
        <v>3.42</v>
      </c>
      <c r="AV50" s="414">
        <v>3415</v>
      </c>
      <c r="AW50" s="414">
        <v>-14</v>
      </c>
      <c r="AY50" s="5">
        <v>28</v>
      </c>
      <c r="AZ50" s="413" t="s">
        <v>571</v>
      </c>
      <c r="BA50" s="414">
        <v>242</v>
      </c>
      <c r="BB50" s="917">
        <v>3.27</v>
      </c>
      <c r="BC50" s="414">
        <v>3564</v>
      </c>
      <c r="BD50" s="414">
        <v>-13</v>
      </c>
      <c r="BF50" s="5">
        <v>28</v>
      </c>
      <c r="BG50" s="413" t="s">
        <v>572</v>
      </c>
      <c r="BH50" s="414">
        <v>812</v>
      </c>
      <c r="BI50" s="917">
        <v>2.13</v>
      </c>
      <c r="BJ50" s="414">
        <v>4610</v>
      </c>
      <c r="BK50" s="414">
        <v>-18</v>
      </c>
      <c r="BM50" s="5">
        <v>28</v>
      </c>
      <c r="BN50" s="413" t="s">
        <v>573</v>
      </c>
      <c r="BO50" s="414">
        <v>290</v>
      </c>
      <c r="BP50" s="917">
        <v>3.27</v>
      </c>
      <c r="BQ50" s="414">
        <v>3496</v>
      </c>
      <c r="BR50" s="414">
        <v>-12</v>
      </c>
      <c r="BS50" s="5"/>
      <c r="BT50" s="5">
        <v>28</v>
      </c>
      <c r="BU50" s="413" t="s">
        <v>3290</v>
      </c>
      <c r="BV50" s="414">
        <v>635</v>
      </c>
      <c r="BW50" s="917">
        <v>2.6</v>
      </c>
      <c r="BX50" s="414">
        <v>4316</v>
      </c>
      <c r="BY50" s="414">
        <v>-16</v>
      </c>
      <c r="BZ50" s="5"/>
      <c r="CA50" s="5">
        <v>28</v>
      </c>
      <c r="CB50" s="413" t="s">
        <v>3291</v>
      </c>
      <c r="CC50" s="414">
        <v>200</v>
      </c>
      <c r="CD50" s="917">
        <v>3.6</v>
      </c>
      <c r="CE50" s="414">
        <v>3428</v>
      </c>
      <c r="CF50" s="414">
        <v>-13</v>
      </c>
      <c r="CG50" s="5"/>
      <c r="CH50" s="5"/>
      <c r="CI50" s="5"/>
    </row>
    <row r="51" spans="2:87" ht="15" customHeight="1" x14ac:dyDescent="0.2">
      <c r="B51" s="166" t="str">
        <f>IF(OR(MinSol,solarExtern),Sprache!B58,Sprache!B275)</f>
        <v>Spécifications du collecteur</v>
      </c>
      <c r="C51" s="499"/>
      <c r="D51" s="694" t="str">
        <f>IF(OR(MinSol,solarExtern),""," ho = ")</f>
        <v xml:space="preserve"> ho = </v>
      </c>
      <c r="E51" s="691"/>
      <c r="F51" s="692" t="str">
        <f>IF(OR(MinSol,solarExtern),"","              a1 = ")</f>
        <v xml:space="preserve">              a1 = </v>
      </c>
      <c r="G51" s="742"/>
      <c r="H51" s="116" t="str">
        <f>IF(OR(MinSol,solarExtern),Sprache!B130,"           a2 = ")</f>
        <v xml:space="preserve">           a2 = </v>
      </c>
      <c r="I51" s="746"/>
      <c r="M51" s="5">
        <v>29</v>
      </c>
      <c r="N51" s="413" t="str">
        <f t="shared" si="0"/>
        <v>Hittisau</v>
      </c>
      <c r="O51" s="414">
        <f t="shared" si="1"/>
        <v>790</v>
      </c>
      <c r="P51" s="414">
        <f t="shared" si="2"/>
        <v>2.5499999999999998</v>
      </c>
      <c r="Q51" s="145">
        <f t="shared" si="5"/>
        <v>-17</v>
      </c>
      <c r="R51" s="414">
        <f t="shared" si="3"/>
        <v>4623</v>
      </c>
      <c r="S51" s="414">
        <f t="shared" si="4"/>
        <v>-17</v>
      </c>
      <c r="T51" s="19"/>
      <c r="U51" s="5"/>
      <c r="V51" s="5"/>
      <c r="W51" s="5">
        <v>29</v>
      </c>
      <c r="X51" s="413" t="s">
        <v>3292</v>
      </c>
      <c r="Y51" s="414">
        <v>790</v>
      </c>
      <c r="Z51" s="917">
        <v>2.5499999999999998</v>
      </c>
      <c r="AA51" s="414">
        <v>4623</v>
      </c>
      <c r="AB51" s="414">
        <v>-17</v>
      </c>
      <c r="AD51" s="5">
        <v>29</v>
      </c>
      <c r="AE51" s="413" t="s">
        <v>3293</v>
      </c>
      <c r="AF51" s="414">
        <v>182</v>
      </c>
      <c r="AG51" s="917">
        <v>3.68</v>
      </c>
      <c r="AH51" s="414">
        <v>3297</v>
      </c>
      <c r="AI51" s="414">
        <v>-13</v>
      </c>
      <c r="AK51" s="5">
        <v>29</v>
      </c>
      <c r="AL51" s="413" t="s">
        <v>3294</v>
      </c>
      <c r="AM51" s="414">
        <v>802</v>
      </c>
      <c r="AN51" s="917">
        <v>2.88</v>
      </c>
      <c r="AO51" s="414">
        <v>4264</v>
      </c>
      <c r="AP51" s="414">
        <v>-15</v>
      </c>
      <c r="AR51" s="5">
        <v>29</v>
      </c>
      <c r="AS51" s="413" t="s">
        <v>3295</v>
      </c>
      <c r="AT51" s="414">
        <v>286</v>
      </c>
      <c r="AU51" s="917">
        <v>3.33</v>
      </c>
      <c r="AV51" s="414">
        <v>3551</v>
      </c>
      <c r="AW51" s="414">
        <v>-14</v>
      </c>
      <c r="AY51" s="5">
        <v>29</v>
      </c>
      <c r="AZ51" s="413" t="s">
        <v>3296</v>
      </c>
      <c r="BA51" s="414">
        <v>407</v>
      </c>
      <c r="BB51" s="917">
        <v>3.14</v>
      </c>
      <c r="BC51" s="414">
        <v>3911</v>
      </c>
      <c r="BD51" s="414">
        <v>-15</v>
      </c>
      <c r="BF51" s="5">
        <v>29</v>
      </c>
      <c r="BG51" s="413" t="s">
        <v>3297</v>
      </c>
      <c r="BH51" s="414">
        <v>670</v>
      </c>
      <c r="BI51" s="917">
        <v>2.97</v>
      </c>
      <c r="BJ51" s="414">
        <v>4173</v>
      </c>
      <c r="BK51" s="414">
        <v>-15</v>
      </c>
      <c r="BM51" s="5">
        <v>29</v>
      </c>
      <c r="BN51" s="413" t="s">
        <v>2564</v>
      </c>
      <c r="BO51" s="414">
        <v>531</v>
      </c>
      <c r="BP51" s="917">
        <v>3.08</v>
      </c>
      <c r="BQ51" s="414">
        <v>3858</v>
      </c>
      <c r="BR51" s="414">
        <v>-13</v>
      </c>
      <c r="BS51" s="5"/>
      <c r="BT51" s="5">
        <v>29</v>
      </c>
      <c r="BU51" s="413" t="s">
        <v>2565</v>
      </c>
      <c r="BV51" s="414">
        <v>1273</v>
      </c>
      <c r="BW51" s="917">
        <v>2.2000000000000002</v>
      </c>
      <c r="BX51" s="414">
        <v>5250</v>
      </c>
      <c r="BY51" s="414">
        <v>-17</v>
      </c>
      <c r="BZ51" s="5"/>
      <c r="CA51" s="5">
        <v>29</v>
      </c>
      <c r="CB51" s="413" t="s">
        <v>2566</v>
      </c>
      <c r="CC51" s="414">
        <v>175</v>
      </c>
      <c r="CD51" s="917">
        <v>3.64</v>
      </c>
      <c r="CE51" s="414">
        <v>3387</v>
      </c>
      <c r="CF51" s="414">
        <v>-13</v>
      </c>
      <c r="CG51" s="5"/>
      <c r="CH51" s="5"/>
      <c r="CI51" s="5"/>
    </row>
    <row r="52" spans="2:87" ht="15" customHeight="1" x14ac:dyDescent="0.2">
      <c r="B52" s="166" t="str">
        <f>Sprache!B59</f>
        <v>Taux de couverture solaire pour l'ECS</v>
      </c>
      <c r="C52" s="499"/>
      <c r="D52" s="499"/>
      <c r="E52" s="499"/>
      <c r="F52" s="312"/>
      <c r="G52" s="840" t="s">
        <v>2310</v>
      </c>
      <c r="H52" s="42" t="s">
        <v>3643</v>
      </c>
      <c r="I52" s="695">
        <f>'WP1'!H53</f>
        <v>0</v>
      </c>
      <c r="M52" s="5">
        <v>30</v>
      </c>
      <c r="N52" s="413" t="str">
        <f t="shared" si="0"/>
        <v>Höchst</v>
      </c>
      <c r="O52" s="414">
        <f t="shared" si="1"/>
        <v>403</v>
      </c>
      <c r="P52" s="414">
        <f t="shared" si="2"/>
        <v>3.73</v>
      </c>
      <c r="Q52" s="145">
        <f t="shared" si="5"/>
        <v>-12</v>
      </c>
      <c r="R52" s="414">
        <f t="shared" si="3"/>
        <v>3660</v>
      </c>
      <c r="S52" s="414">
        <f t="shared" si="4"/>
        <v>-12</v>
      </c>
      <c r="T52" s="19"/>
      <c r="U52" s="5"/>
      <c r="V52" s="5"/>
      <c r="W52" s="5">
        <v>30</v>
      </c>
      <c r="X52" s="413" t="s">
        <v>2567</v>
      </c>
      <c r="Y52" s="414">
        <v>403</v>
      </c>
      <c r="Z52" s="917">
        <v>3.73</v>
      </c>
      <c r="AA52" s="414">
        <v>3660</v>
      </c>
      <c r="AB52" s="414">
        <v>-12</v>
      </c>
      <c r="AD52" s="5">
        <v>30</v>
      </c>
      <c r="AE52" s="413" t="s">
        <v>2568</v>
      </c>
      <c r="AF52" s="414">
        <v>239</v>
      </c>
      <c r="AG52" s="917">
        <v>3.4</v>
      </c>
      <c r="AH52" s="414">
        <v>3485</v>
      </c>
      <c r="AI52" s="414">
        <v>-13</v>
      </c>
      <c r="AK52" s="5">
        <v>30</v>
      </c>
      <c r="AL52" s="413" t="s">
        <v>2569</v>
      </c>
      <c r="AM52" s="414">
        <v>560</v>
      </c>
      <c r="AN52" s="917">
        <v>2.72</v>
      </c>
      <c r="AO52" s="414">
        <v>4027</v>
      </c>
      <c r="AP52" s="414">
        <v>-15</v>
      </c>
      <c r="AR52" s="5">
        <v>30</v>
      </c>
      <c r="AS52" s="413" t="s">
        <v>2570</v>
      </c>
      <c r="AT52" s="414">
        <v>480</v>
      </c>
      <c r="AU52" s="917">
        <v>3.05</v>
      </c>
      <c r="AV52" s="414">
        <v>3881</v>
      </c>
      <c r="AW52" s="414">
        <v>-13</v>
      </c>
      <c r="AY52" s="5">
        <v>30</v>
      </c>
      <c r="AZ52" s="413" t="s">
        <v>2571</v>
      </c>
      <c r="BA52" s="414">
        <v>435</v>
      </c>
      <c r="BB52" s="917">
        <v>2.99</v>
      </c>
      <c r="BC52" s="414">
        <v>3929</v>
      </c>
      <c r="BD52" s="414">
        <v>-15</v>
      </c>
      <c r="BF52" s="5">
        <v>30</v>
      </c>
      <c r="BG52" s="413" t="s">
        <v>2572</v>
      </c>
      <c r="BH52" s="414">
        <v>459</v>
      </c>
      <c r="BI52" s="917">
        <v>3.42</v>
      </c>
      <c r="BJ52" s="414">
        <v>3813</v>
      </c>
      <c r="BK52" s="414">
        <v>-15</v>
      </c>
      <c r="BM52" s="5">
        <v>30</v>
      </c>
      <c r="BN52" s="413" t="s">
        <v>2573</v>
      </c>
      <c r="BO52" s="414">
        <v>244</v>
      </c>
      <c r="BP52" s="917">
        <v>3.17</v>
      </c>
      <c r="BQ52" s="414">
        <v>3518</v>
      </c>
      <c r="BR52" s="414">
        <v>-13</v>
      </c>
      <c r="BS52" s="5"/>
      <c r="BT52" s="5">
        <v>30</v>
      </c>
      <c r="BU52" s="413" t="s">
        <v>2574</v>
      </c>
      <c r="BV52" s="414">
        <v>790</v>
      </c>
      <c r="BW52" s="917">
        <v>2.12</v>
      </c>
      <c r="BX52" s="414">
        <v>4685</v>
      </c>
      <c r="BY52" s="414">
        <v>-17</v>
      </c>
      <c r="BZ52" s="5"/>
      <c r="CA52" s="5">
        <v>30</v>
      </c>
      <c r="CB52" s="413" t="s">
        <v>2575</v>
      </c>
      <c r="CC52" s="414">
        <v>172</v>
      </c>
      <c r="CD52" s="917">
        <v>3.55</v>
      </c>
      <c r="CE52" s="414">
        <v>3373</v>
      </c>
      <c r="CF52" s="414">
        <v>-13</v>
      </c>
      <c r="CG52" s="5"/>
      <c r="CH52" s="5"/>
      <c r="CI52" s="5"/>
    </row>
    <row r="53" spans="2:87" ht="15" customHeight="1" x14ac:dyDescent="0.2">
      <c r="B53" s="166" t="str">
        <f>Sprache!B60</f>
        <v>Taux de couverture solaire pour le chauffage</v>
      </c>
      <c r="C53" s="499"/>
      <c r="D53" s="499"/>
      <c r="E53" s="499"/>
      <c r="F53" s="167"/>
      <c r="G53" s="840" t="s">
        <v>2310</v>
      </c>
      <c r="H53" s="42" t="s">
        <v>3643</v>
      </c>
      <c r="I53" s="696">
        <f>'WP1'!H54</f>
        <v>0</v>
      </c>
      <c r="M53" s="5">
        <v>31</v>
      </c>
      <c r="N53" s="413" t="str">
        <f t="shared" si="0"/>
        <v>Hohenems</v>
      </c>
      <c r="O53" s="414">
        <f t="shared" si="1"/>
        <v>432</v>
      </c>
      <c r="P53" s="414">
        <f t="shared" si="2"/>
        <v>3.71</v>
      </c>
      <c r="Q53" s="145">
        <f t="shared" si="5"/>
        <v>-13</v>
      </c>
      <c r="R53" s="414">
        <f t="shared" si="3"/>
        <v>3632</v>
      </c>
      <c r="S53" s="414">
        <f t="shared" si="4"/>
        <v>-13</v>
      </c>
      <c r="T53" s="19"/>
      <c r="U53" s="5"/>
      <c r="V53" s="5"/>
      <c r="W53" s="5">
        <v>31</v>
      </c>
      <c r="X53" s="413" t="s">
        <v>2576</v>
      </c>
      <c r="Y53" s="414">
        <v>432</v>
      </c>
      <c r="Z53" s="917">
        <v>3.71</v>
      </c>
      <c r="AA53" s="414">
        <v>3632</v>
      </c>
      <c r="AB53" s="414">
        <v>-13</v>
      </c>
      <c r="AD53" s="5">
        <v>31</v>
      </c>
      <c r="AE53" s="413" t="s">
        <v>2577</v>
      </c>
      <c r="AF53" s="414">
        <v>273</v>
      </c>
      <c r="AG53" s="917">
        <v>3.62</v>
      </c>
      <c r="AH53" s="414">
        <v>3424</v>
      </c>
      <c r="AI53" s="414">
        <v>-13</v>
      </c>
      <c r="AK53" s="5">
        <v>31</v>
      </c>
      <c r="AL53" s="413" t="s">
        <v>2578</v>
      </c>
      <c r="AM53" s="414">
        <v>440</v>
      </c>
      <c r="AN53" s="917">
        <v>2.56</v>
      </c>
      <c r="AO53" s="414">
        <v>3960</v>
      </c>
      <c r="AP53" s="414">
        <v>-15</v>
      </c>
      <c r="AR53" s="5">
        <v>31</v>
      </c>
      <c r="AS53" s="413" t="s">
        <v>2579</v>
      </c>
      <c r="AT53" s="414">
        <v>260</v>
      </c>
      <c r="AU53" s="917">
        <v>3.55</v>
      </c>
      <c r="AV53" s="414">
        <v>3455</v>
      </c>
      <c r="AW53" s="414">
        <v>-13</v>
      </c>
      <c r="AY53" s="5">
        <v>31</v>
      </c>
      <c r="AZ53" s="413" t="s">
        <v>2580</v>
      </c>
      <c r="BA53" s="414">
        <v>498</v>
      </c>
      <c r="BB53" s="917">
        <v>2.7</v>
      </c>
      <c r="BC53" s="414">
        <v>4272</v>
      </c>
      <c r="BD53" s="414">
        <v>-14</v>
      </c>
      <c r="BF53" s="5">
        <v>31</v>
      </c>
      <c r="BG53" s="413" t="s">
        <v>2581</v>
      </c>
      <c r="BH53" s="414">
        <v>440</v>
      </c>
      <c r="BI53" s="917">
        <v>3.3</v>
      </c>
      <c r="BJ53" s="414">
        <v>3807</v>
      </c>
      <c r="BK53" s="414">
        <v>-15</v>
      </c>
      <c r="BM53" s="5">
        <v>31</v>
      </c>
      <c r="BN53" s="413" t="s">
        <v>2582</v>
      </c>
      <c r="BO53" s="414">
        <v>410</v>
      </c>
      <c r="BP53" s="917">
        <v>2.94</v>
      </c>
      <c r="BQ53" s="414">
        <v>3838</v>
      </c>
      <c r="BR53" s="414">
        <v>-14</v>
      </c>
      <c r="BS53" s="5"/>
      <c r="BT53" s="5">
        <v>31</v>
      </c>
      <c r="BU53" s="413" t="s">
        <v>2583</v>
      </c>
      <c r="BV53" s="414">
        <v>839</v>
      </c>
      <c r="BW53" s="917">
        <v>2.82</v>
      </c>
      <c r="BX53" s="414">
        <v>4399</v>
      </c>
      <c r="BY53" s="414">
        <v>-14</v>
      </c>
      <c r="BZ53" s="5"/>
      <c r="CA53" s="5">
        <v>31</v>
      </c>
      <c r="CB53" s="413" t="s">
        <v>2584</v>
      </c>
      <c r="CC53" s="414">
        <v>160</v>
      </c>
      <c r="CD53" s="917">
        <v>3.5</v>
      </c>
      <c r="CE53" s="414">
        <v>3449</v>
      </c>
      <c r="CF53" s="414">
        <v>-13</v>
      </c>
      <c r="CG53" s="5"/>
      <c r="CH53" s="5"/>
      <c r="CI53" s="5"/>
    </row>
    <row r="54" spans="2:87" ht="15" customHeight="1" x14ac:dyDescent="0.2">
      <c r="B54" s="1068" t="str">
        <f>IF(OR(L39=1,L40=1),IF(L36=1,"Berechnungen sind beizulegen: Heizlast nach EN12831 und Auslegung Wärmeabgabesystem gem. Hersteller und Sondenauslegung","Berechnungen sind beizulegen: Heizlast nach EN12831 und Auslegung Wärmeabgabesystem gem. Hersteller"),IF(L36=1,"Berechnungen sind beizulegen: Sondenauslegung",""))</f>
        <v/>
      </c>
      <c r="C54" s="23"/>
      <c r="D54" s="23"/>
      <c r="E54" s="23"/>
      <c r="F54" s="176"/>
      <c r="G54" s="1049"/>
      <c r="H54" s="1049"/>
      <c r="I54" s="23"/>
      <c r="M54" s="5">
        <v>32</v>
      </c>
      <c r="N54" s="413" t="str">
        <f t="shared" si="0"/>
        <v>Hohenweiler</v>
      </c>
      <c r="O54" s="414">
        <f t="shared" si="1"/>
        <v>504</v>
      </c>
      <c r="P54" s="414">
        <f t="shared" si="2"/>
        <v>3.65</v>
      </c>
      <c r="Q54" s="145">
        <f t="shared" si="5"/>
        <v>-12</v>
      </c>
      <c r="R54" s="414">
        <f t="shared" si="3"/>
        <v>3760</v>
      </c>
      <c r="S54" s="414">
        <f t="shared" si="4"/>
        <v>-12</v>
      </c>
      <c r="T54" s="19"/>
      <c r="U54" s="5"/>
      <c r="V54" s="5"/>
      <c r="W54" s="5">
        <v>32</v>
      </c>
      <c r="X54" s="413" t="s">
        <v>2585</v>
      </c>
      <c r="Y54" s="414">
        <v>504</v>
      </c>
      <c r="Z54" s="917">
        <v>3.65</v>
      </c>
      <c r="AA54" s="414">
        <v>3760</v>
      </c>
      <c r="AB54" s="414">
        <v>-12</v>
      </c>
      <c r="AD54" s="5">
        <v>32</v>
      </c>
      <c r="AE54" s="413" t="s">
        <v>2586</v>
      </c>
      <c r="AF54" s="414">
        <v>117</v>
      </c>
      <c r="AG54" s="917">
        <v>3.39</v>
      </c>
      <c r="AH54" s="414">
        <v>3305</v>
      </c>
      <c r="AI54" s="414">
        <v>-14</v>
      </c>
      <c r="AK54" s="5">
        <v>32</v>
      </c>
      <c r="AL54" s="413" t="s">
        <v>2587</v>
      </c>
      <c r="AM54" s="414">
        <v>554</v>
      </c>
      <c r="AN54" s="917">
        <v>2.4500000000000002</v>
      </c>
      <c r="AO54" s="414">
        <v>4036</v>
      </c>
      <c r="AP54" s="414">
        <v>-16</v>
      </c>
      <c r="AR54" s="5">
        <v>32</v>
      </c>
      <c r="AS54" s="413" t="s">
        <v>2588</v>
      </c>
      <c r="AT54" s="414">
        <v>228</v>
      </c>
      <c r="AU54" s="917">
        <v>3.74</v>
      </c>
      <c r="AV54" s="414">
        <v>3350</v>
      </c>
      <c r="AW54" s="414">
        <v>-13</v>
      </c>
      <c r="AY54" s="5">
        <v>32</v>
      </c>
      <c r="AZ54" s="413" t="s">
        <v>2589</v>
      </c>
      <c r="BA54" s="414">
        <v>378</v>
      </c>
      <c r="BB54" s="917">
        <v>3.1</v>
      </c>
      <c r="BC54" s="414">
        <v>3768</v>
      </c>
      <c r="BD54" s="414">
        <v>-14</v>
      </c>
      <c r="BF54" s="5">
        <v>32</v>
      </c>
      <c r="BG54" s="413" t="s">
        <v>2590</v>
      </c>
      <c r="BH54" s="414">
        <v>885</v>
      </c>
      <c r="BI54" s="917">
        <v>2.0299999999999998</v>
      </c>
      <c r="BJ54" s="414">
        <v>4799</v>
      </c>
      <c r="BK54" s="414">
        <v>-17</v>
      </c>
      <c r="BM54" s="5">
        <v>32</v>
      </c>
      <c r="BN54" s="413" t="s">
        <v>2591</v>
      </c>
      <c r="BO54" s="414">
        <v>368</v>
      </c>
      <c r="BP54" s="917">
        <v>3.21</v>
      </c>
      <c r="BQ54" s="414">
        <v>3594</v>
      </c>
      <c r="BR54" s="414">
        <v>-13</v>
      </c>
      <c r="BS54" s="5"/>
      <c r="BT54" s="5">
        <v>32</v>
      </c>
      <c r="BU54" s="413" t="s">
        <v>2592</v>
      </c>
      <c r="BV54" s="414">
        <v>675</v>
      </c>
      <c r="BW54" s="917">
        <v>2.82</v>
      </c>
      <c r="BX54" s="414">
        <v>4089</v>
      </c>
      <c r="BY54" s="414">
        <v>-15</v>
      </c>
      <c r="BZ54" s="5"/>
      <c r="CA54" s="5">
        <v>32</v>
      </c>
      <c r="CB54" s="413" t="s">
        <v>2593</v>
      </c>
      <c r="CC54" s="414">
        <v>200</v>
      </c>
      <c r="CD54" s="917">
        <v>3.71</v>
      </c>
      <c r="CE54" s="414">
        <v>3355</v>
      </c>
      <c r="CF54" s="414">
        <v>-13</v>
      </c>
      <c r="CG54" s="5"/>
      <c r="CH54" s="5"/>
      <c r="CI54" s="5"/>
    </row>
    <row r="55" spans="2:87" ht="15" customHeight="1" x14ac:dyDescent="0.25">
      <c r="B55" s="85" t="str">
        <f>Sprache!B32</f>
        <v>Résultats</v>
      </c>
      <c r="C55" s="1072" t="str">
        <f ca="1">IF(AND(WPArt=3,I35=""),"",IF(OR(L9=1,L31=FALSE),"",IF(I11&gt;0,IF(OR(I61&lt;4,I64&lt;3.5),"Achtung, Anlage nicht förderfähig, JAZ(Heizung) muss grösser 4,0 und JAZ(Gesamt) grösser 3,5 sein!","Anlage ist förderfähig!"),"")))</f>
        <v/>
      </c>
      <c r="D55" s="495"/>
      <c r="E55" s="495"/>
      <c r="F55" s="86"/>
      <c r="G55" s="177"/>
      <c r="H55" s="177"/>
      <c r="I55" s="158"/>
      <c r="M55" s="5">
        <v>33</v>
      </c>
      <c r="N55" s="413" t="str">
        <f t="shared" si="0"/>
        <v>Hörbranz</v>
      </c>
      <c r="O55" s="414">
        <f t="shared" si="1"/>
        <v>426</v>
      </c>
      <c r="P55" s="414">
        <f t="shared" si="2"/>
        <v>4</v>
      </c>
      <c r="Q55" s="145">
        <f t="shared" si="5"/>
        <v>-12</v>
      </c>
      <c r="R55" s="414">
        <f t="shared" si="3"/>
        <v>3552</v>
      </c>
      <c r="S55" s="414">
        <f t="shared" si="4"/>
        <v>-12</v>
      </c>
      <c r="T55" s="19"/>
      <c r="U55" s="5"/>
      <c r="V55" s="5"/>
      <c r="W55" s="5">
        <v>33</v>
      </c>
      <c r="X55" s="413" t="s">
        <v>2594</v>
      </c>
      <c r="Y55" s="414">
        <v>426</v>
      </c>
      <c r="Z55" s="917">
        <v>4</v>
      </c>
      <c r="AA55" s="414">
        <v>3552</v>
      </c>
      <c r="AB55" s="414">
        <v>-12</v>
      </c>
      <c r="AD55" s="5">
        <v>33</v>
      </c>
      <c r="AE55" s="413" t="s">
        <v>2595</v>
      </c>
      <c r="AF55" s="414">
        <v>242</v>
      </c>
      <c r="AG55" s="917">
        <v>3.17</v>
      </c>
      <c r="AH55" s="414">
        <v>3552</v>
      </c>
      <c r="AI55" s="414">
        <v>-13</v>
      </c>
      <c r="AK55" s="5">
        <v>33</v>
      </c>
      <c r="AL55" s="413" t="s">
        <v>2596</v>
      </c>
      <c r="AM55" s="414">
        <v>540</v>
      </c>
      <c r="AN55" s="917">
        <v>3.08</v>
      </c>
      <c r="AO55" s="414">
        <v>3841</v>
      </c>
      <c r="AP55" s="414">
        <v>-14</v>
      </c>
      <c r="AR55" s="5">
        <v>33</v>
      </c>
      <c r="AS55" s="413" t="s">
        <v>223</v>
      </c>
      <c r="AT55" s="414">
        <v>519</v>
      </c>
      <c r="AU55" s="917">
        <v>2.97</v>
      </c>
      <c r="AV55" s="414">
        <v>4052</v>
      </c>
      <c r="AW55" s="414">
        <v>-15</v>
      </c>
      <c r="AY55" s="5">
        <v>33</v>
      </c>
      <c r="AZ55" s="413" t="s">
        <v>224</v>
      </c>
      <c r="BA55" s="414">
        <v>469</v>
      </c>
      <c r="BB55" s="917">
        <v>3.28</v>
      </c>
      <c r="BC55" s="414">
        <v>3862</v>
      </c>
      <c r="BD55" s="414">
        <v>-14</v>
      </c>
      <c r="BF55" s="5">
        <v>33</v>
      </c>
      <c r="BG55" s="413" t="s">
        <v>225</v>
      </c>
      <c r="BH55" s="414">
        <v>480</v>
      </c>
      <c r="BI55" s="917">
        <v>3.68</v>
      </c>
      <c r="BJ55" s="414">
        <v>3802</v>
      </c>
      <c r="BK55" s="414">
        <v>-14</v>
      </c>
      <c r="BM55" s="5">
        <v>33</v>
      </c>
      <c r="BN55" s="413" t="s">
        <v>226</v>
      </c>
      <c r="BO55" s="414">
        <v>324</v>
      </c>
      <c r="BP55" s="917">
        <v>2.8</v>
      </c>
      <c r="BQ55" s="414">
        <v>3699</v>
      </c>
      <c r="BR55" s="414">
        <v>-14</v>
      </c>
      <c r="BS55" s="5"/>
      <c r="BT55" s="5">
        <v>33</v>
      </c>
      <c r="BU55" s="413" t="s">
        <v>227</v>
      </c>
      <c r="BV55" s="414">
        <v>1073</v>
      </c>
      <c r="BW55" s="917">
        <v>2.77</v>
      </c>
      <c r="BX55" s="414">
        <v>4584</v>
      </c>
      <c r="BY55" s="414">
        <v>-16</v>
      </c>
      <c r="BZ55" s="5"/>
      <c r="CA55" s="5">
        <v>33</v>
      </c>
      <c r="CB55" s="413" t="s">
        <v>228</v>
      </c>
      <c r="CC55" s="414">
        <v>170</v>
      </c>
      <c r="CD55" s="917">
        <v>3.68</v>
      </c>
      <c r="CE55" s="414">
        <v>3361</v>
      </c>
      <c r="CF55" s="414">
        <v>-13</v>
      </c>
      <c r="CG55" s="5"/>
      <c r="CH55" s="5"/>
      <c r="CI55" s="5"/>
    </row>
    <row r="56" spans="2:87" ht="15" customHeight="1" x14ac:dyDescent="0.25">
      <c r="B56" s="1000" t="str">
        <f ca="1">IF(AND(WPArt=3,I35=""),"",IF(OR(L9=1,I11="",L31=FALSE),"",'WP1'!B57))</f>
        <v/>
      </c>
      <c r="C56" s="23"/>
      <c r="D56" s="23"/>
      <c r="E56" s="23"/>
      <c r="F56" s="178" t="str">
        <f ca="1">IF(AND(WPArt=3,I35=""),"",IF(OR(L9=1,I11="",L31=FALSE),"",'WP1'!E57))</f>
        <v/>
      </c>
      <c r="G56" s="179" t="str">
        <f ca="1">IF(AND(WPArt=3,I35=""),"",IF(OR(L9=1,I11="",L31=FALSE),"",'WP1'!F57))</f>
        <v/>
      </c>
      <c r="H56" s="180" t="str">
        <f>IF(AND(Heizung,OR(bivalent,elZusatz)),"kWh = ","")</f>
        <v/>
      </c>
      <c r="I56" s="181">
        <f>IF(AND(WPArt=3,I35=""),"",IF(Kategorie&gt;1,IF(AND(Heizung,OR(bivalent,elZusatz)),Zusatzheizung_total/Etah,""),))</f>
        <v>0</v>
      </c>
      <c r="M56" s="5">
        <v>34</v>
      </c>
      <c r="N56" s="413" t="str">
        <f t="shared" si="0"/>
        <v>Kennelbach</v>
      </c>
      <c r="O56" s="414">
        <f t="shared" si="1"/>
        <v>430</v>
      </c>
      <c r="P56" s="414">
        <f t="shared" si="2"/>
        <v>4.03</v>
      </c>
      <c r="Q56" s="145">
        <f t="shared" si="5"/>
        <v>-12</v>
      </c>
      <c r="R56" s="414">
        <f t="shared" si="3"/>
        <v>3545</v>
      </c>
      <c r="S56" s="414">
        <f t="shared" si="4"/>
        <v>-12</v>
      </c>
      <c r="T56" s="19"/>
      <c r="U56" s="5"/>
      <c r="V56" s="5"/>
      <c r="W56" s="5">
        <v>34</v>
      </c>
      <c r="X56" s="413" t="s">
        <v>229</v>
      </c>
      <c r="Y56" s="414">
        <v>430</v>
      </c>
      <c r="Z56" s="917">
        <v>4.03</v>
      </c>
      <c r="AA56" s="414">
        <v>3545</v>
      </c>
      <c r="AB56" s="414">
        <v>-12</v>
      </c>
      <c r="AD56" s="5">
        <v>34</v>
      </c>
      <c r="AE56" s="413" t="s">
        <v>230</v>
      </c>
      <c r="AF56" s="414">
        <v>130</v>
      </c>
      <c r="AG56" s="917">
        <v>3.53</v>
      </c>
      <c r="AH56" s="414">
        <v>3360</v>
      </c>
      <c r="AI56" s="414">
        <v>-13</v>
      </c>
      <c r="AK56" s="5">
        <v>34</v>
      </c>
      <c r="AL56" s="413" t="s">
        <v>231</v>
      </c>
      <c r="AM56" s="414">
        <v>565</v>
      </c>
      <c r="AN56" s="917">
        <v>2.5099999999999998</v>
      </c>
      <c r="AO56" s="414">
        <v>4041</v>
      </c>
      <c r="AP56" s="414">
        <v>-16</v>
      </c>
      <c r="AR56" s="5">
        <v>34</v>
      </c>
      <c r="AS56" s="413" t="s">
        <v>232</v>
      </c>
      <c r="AT56" s="414">
        <v>154</v>
      </c>
      <c r="AU56" s="917">
        <v>3.37</v>
      </c>
      <c r="AV56" s="414">
        <v>3426</v>
      </c>
      <c r="AW56" s="414">
        <v>-14</v>
      </c>
      <c r="AY56" s="5">
        <v>34</v>
      </c>
      <c r="AZ56" s="413" t="s">
        <v>233</v>
      </c>
      <c r="BA56" s="414">
        <v>479</v>
      </c>
      <c r="BB56" s="917">
        <v>3</v>
      </c>
      <c r="BC56" s="414">
        <v>3944</v>
      </c>
      <c r="BD56" s="414">
        <v>-14</v>
      </c>
      <c r="BF56" s="5">
        <v>34</v>
      </c>
      <c r="BG56" s="413" t="s">
        <v>234</v>
      </c>
      <c r="BH56" s="414">
        <v>745</v>
      </c>
      <c r="BI56" s="917">
        <v>2.1800000000000002</v>
      </c>
      <c r="BJ56" s="414">
        <v>4474</v>
      </c>
      <c r="BK56" s="414">
        <v>-17</v>
      </c>
      <c r="BM56" s="5">
        <v>34</v>
      </c>
      <c r="BN56" s="413" t="s">
        <v>235</v>
      </c>
      <c r="BO56" s="414">
        <v>324</v>
      </c>
      <c r="BP56" s="917">
        <v>2.8</v>
      </c>
      <c r="BQ56" s="414">
        <v>3699</v>
      </c>
      <c r="BR56" s="414">
        <v>-14</v>
      </c>
      <c r="BS56" s="5"/>
      <c r="BT56" s="5">
        <v>34</v>
      </c>
      <c r="BU56" s="413" t="s">
        <v>236</v>
      </c>
      <c r="BV56" s="414">
        <v>1154</v>
      </c>
      <c r="BW56" s="917">
        <v>2.39</v>
      </c>
      <c r="BX56" s="414">
        <v>4930</v>
      </c>
      <c r="BY56" s="414">
        <v>-17</v>
      </c>
      <c r="BZ56" s="5"/>
      <c r="CA56" s="5">
        <v>34</v>
      </c>
      <c r="CB56" s="413" t="s">
        <v>718</v>
      </c>
      <c r="CC56" s="414"/>
      <c r="CD56" s="917"/>
      <c r="CE56" s="414"/>
      <c r="CF56" s="414"/>
      <c r="CG56" s="5"/>
      <c r="CH56" s="5"/>
      <c r="CI56" s="5"/>
    </row>
    <row r="57" spans="2:87" ht="15" customHeight="1" x14ac:dyDescent="0.25">
      <c r="B57" s="1019" t="str">
        <f>'WP1'!B58</f>
        <v/>
      </c>
      <c r="C57" s="103"/>
      <c r="D57" s="103"/>
      <c r="E57" s="103"/>
      <c r="F57" s="182" t="str">
        <f>'WP1'!E58</f>
        <v/>
      </c>
      <c r="G57" s="183" t="str">
        <f>'WP1'!F58</f>
        <v/>
      </c>
      <c r="H57" s="184" t="str">
        <f>'WP1'!G58</f>
        <v/>
      </c>
      <c r="I57" s="185">
        <f>'WP1'!H58</f>
        <v>0</v>
      </c>
      <c r="M57" s="5">
        <v>35</v>
      </c>
      <c r="N57" s="413" t="str">
        <f t="shared" si="0"/>
        <v>Klaus</v>
      </c>
      <c r="O57" s="414">
        <f t="shared" si="1"/>
        <v>475</v>
      </c>
      <c r="P57" s="414">
        <f t="shared" si="2"/>
        <v>3.65</v>
      </c>
      <c r="Q57" s="145">
        <f t="shared" si="5"/>
        <v>-13</v>
      </c>
      <c r="R57" s="414">
        <f t="shared" si="3"/>
        <v>3647</v>
      </c>
      <c r="S57" s="414">
        <f t="shared" si="4"/>
        <v>-13</v>
      </c>
      <c r="T57" s="19"/>
      <c r="U57" s="5"/>
      <c r="V57" s="5"/>
      <c r="W57" s="5">
        <v>35</v>
      </c>
      <c r="X57" s="413" t="s">
        <v>237</v>
      </c>
      <c r="Y57" s="414">
        <v>475</v>
      </c>
      <c r="Z57" s="917">
        <v>3.65</v>
      </c>
      <c r="AA57" s="414">
        <v>3647</v>
      </c>
      <c r="AB57" s="414">
        <v>-13</v>
      </c>
      <c r="AD57" s="5">
        <v>35</v>
      </c>
      <c r="AE57" s="413" t="s">
        <v>238</v>
      </c>
      <c r="AF57" s="414">
        <v>361</v>
      </c>
      <c r="AG57" s="917">
        <v>3.2</v>
      </c>
      <c r="AH57" s="414">
        <v>3679</v>
      </c>
      <c r="AI57" s="414">
        <v>-13</v>
      </c>
      <c r="AK57" s="5">
        <v>35</v>
      </c>
      <c r="AL57" s="413" t="s">
        <v>239</v>
      </c>
      <c r="AM57" s="414">
        <v>488</v>
      </c>
      <c r="AN57" s="917">
        <v>2.34</v>
      </c>
      <c r="AO57" s="414">
        <v>4043</v>
      </c>
      <c r="AP57" s="414">
        <v>-16</v>
      </c>
      <c r="AR57" s="5">
        <v>35</v>
      </c>
      <c r="AS57" s="413" t="s">
        <v>240</v>
      </c>
      <c r="AT57" s="414">
        <v>315</v>
      </c>
      <c r="AU57" s="917">
        <v>3.21</v>
      </c>
      <c r="AV57" s="414">
        <v>3694</v>
      </c>
      <c r="AW57" s="414">
        <v>-14</v>
      </c>
      <c r="AY57" s="5">
        <v>35</v>
      </c>
      <c r="AZ57" s="413" t="s">
        <v>241</v>
      </c>
      <c r="BA57" s="414">
        <v>749</v>
      </c>
      <c r="BB57" s="917">
        <v>2.42</v>
      </c>
      <c r="BC57" s="414">
        <v>4466</v>
      </c>
      <c r="BD57" s="414">
        <v>-16</v>
      </c>
      <c r="BF57" s="5">
        <v>35</v>
      </c>
      <c r="BG57" s="413" t="s">
        <v>242</v>
      </c>
      <c r="BH57" s="414">
        <v>445</v>
      </c>
      <c r="BI57" s="917">
        <v>3.41</v>
      </c>
      <c r="BJ57" s="414">
        <v>3798</v>
      </c>
      <c r="BK57" s="414">
        <v>-15</v>
      </c>
      <c r="BM57" s="5">
        <v>35</v>
      </c>
      <c r="BN57" s="413" t="s">
        <v>243</v>
      </c>
      <c r="BO57" s="414">
        <v>575</v>
      </c>
      <c r="BP57" s="917">
        <v>3.01</v>
      </c>
      <c r="BQ57" s="414">
        <v>3908</v>
      </c>
      <c r="BR57" s="414">
        <v>-14</v>
      </c>
      <c r="BS57" s="5"/>
      <c r="BT57" s="5">
        <v>35</v>
      </c>
      <c r="BU57" s="413" t="s">
        <v>244</v>
      </c>
      <c r="BV57" s="414">
        <v>592</v>
      </c>
      <c r="BW57" s="917">
        <v>3.07</v>
      </c>
      <c r="BX57" s="414">
        <v>3842</v>
      </c>
      <c r="BY57" s="414">
        <v>-15</v>
      </c>
      <c r="BZ57" s="5"/>
      <c r="CA57" s="5">
        <v>35</v>
      </c>
      <c r="CB57" s="413" t="s">
        <v>718</v>
      </c>
      <c r="CC57" s="414"/>
      <c r="CD57" s="917"/>
      <c r="CE57" s="414"/>
      <c r="CF57" s="414"/>
      <c r="CG57" s="5"/>
      <c r="CH57" s="5"/>
      <c r="CI57" s="5"/>
    </row>
    <row r="58" spans="2:87" ht="15" customHeight="1" x14ac:dyDescent="0.2">
      <c r="B58" s="1019" t="str">
        <f ca="1">IF(I58&lt;&gt;"",'WP1'!B61,"")</f>
        <v/>
      </c>
      <c r="C58" s="103"/>
      <c r="D58" s="103"/>
      <c r="E58" s="103"/>
      <c r="F58" s="97"/>
      <c r="G58" s="187"/>
      <c r="H58" s="918" t="str">
        <f ca="1">IF(I58&lt;&gt;"","h / a","")</f>
        <v/>
      </c>
      <c r="I58" s="185" t="str">
        <f ca="1">IF(AND(WPArt=3,I35=""),"",IF(OR(L9=1,I11="",L31=FALSE),"",'WP1'!H61))</f>
        <v/>
      </c>
      <c r="L58" s="1094" t="s">
        <v>705</v>
      </c>
      <c r="M58" s="5">
        <v>36</v>
      </c>
      <c r="N58" s="413" t="str">
        <f t="shared" si="0"/>
        <v>Klösterle</v>
      </c>
      <c r="O58" s="414">
        <f t="shared" si="1"/>
        <v>1073</v>
      </c>
      <c r="P58" s="414">
        <f t="shared" si="2"/>
        <v>2.65</v>
      </c>
      <c r="Q58" s="145">
        <f t="shared" si="5"/>
        <v>-17</v>
      </c>
      <c r="R58" s="414">
        <f t="shared" si="3"/>
        <v>4858</v>
      </c>
      <c r="S58" s="414">
        <f t="shared" si="4"/>
        <v>-17</v>
      </c>
      <c r="T58" s="19"/>
      <c r="U58" s="5"/>
      <c r="V58" s="5"/>
      <c r="W58" s="5">
        <v>36</v>
      </c>
      <c r="X58" s="413" t="s">
        <v>245</v>
      </c>
      <c r="Y58" s="414">
        <v>1073</v>
      </c>
      <c r="Z58" s="917">
        <v>2.65</v>
      </c>
      <c r="AA58" s="414">
        <v>4858</v>
      </c>
      <c r="AB58" s="414">
        <v>-17</v>
      </c>
      <c r="AD58" s="5">
        <v>36</v>
      </c>
      <c r="AE58" s="413" t="s">
        <v>246</v>
      </c>
      <c r="AF58" s="414">
        <v>300</v>
      </c>
      <c r="AG58" s="917">
        <v>3.43</v>
      </c>
      <c r="AH58" s="414">
        <v>3429</v>
      </c>
      <c r="AI58" s="414">
        <v>-12</v>
      </c>
      <c r="AK58" s="5">
        <v>36</v>
      </c>
      <c r="AL58" s="413" t="s">
        <v>247</v>
      </c>
      <c r="AM58" s="414">
        <v>743</v>
      </c>
      <c r="AN58" s="917">
        <v>2.93</v>
      </c>
      <c r="AO58" s="414">
        <v>4149</v>
      </c>
      <c r="AP58" s="414">
        <v>-15</v>
      </c>
      <c r="AR58" s="5">
        <v>36</v>
      </c>
      <c r="AS58" s="413" t="s">
        <v>248</v>
      </c>
      <c r="AT58" s="414">
        <v>164</v>
      </c>
      <c r="AU58" s="917">
        <v>3.26</v>
      </c>
      <c r="AV58" s="414">
        <v>3600</v>
      </c>
      <c r="AW58" s="414">
        <v>-14</v>
      </c>
      <c r="AY58" s="5">
        <v>36</v>
      </c>
      <c r="AZ58" s="413" t="s">
        <v>249</v>
      </c>
      <c r="BA58" s="414">
        <v>311</v>
      </c>
      <c r="BB58" s="917">
        <v>2.96</v>
      </c>
      <c r="BC58" s="414">
        <v>3971</v>
      </c>
      <c r="BD58" s="414">
        <v>-16</v>
      </c>
      <c r="BF58" s="5">
        <v>36</v>
      </c>
      <c r="BG58" s="413" t="s">
        <v>250</v>
      </c>
      <c r="BH58" s="414">
        <v>922</v>
      </c>
      <c r="BI58" s="917">
        <v>2.4</v>
      </c>
      <c r="BJ58" s="414">
        <v>4699</v>
      </c>
      <c r="BK58" s="414">
        <v>-16</v>
      </c>
      <c r="BM58" s="5">
        <v>36</v>
      </c>
      <c r="BN58" s="413" t="s">
        <v>251</v>
      </c>
      <c r="BO58" s="414">
        <v>690</v>
      </c>
      <c r="BP58" s="917">
        <v>2.6</v>
      </c>
      <c r="BQ58" s="414">
        <v>4314</v>
      </c>
      <c r="BR58" s="414">
        <v>-15</v>
      </c>
      <c r="BS58" s="5"/>
      <c r="BT58" s="5">
        <v>36</v>
      </c>
      <c r="BU58" s="413" t="s">
        <v>252</v>
      </c>
      <c r="BV58" s="414">
        <v>544</v>
      </c>
      <c r="BW58" s="917">
        <v>2.95</v>
      </c>
      <c r="BX58" s="414">
        <v>3870</v>
      </c>
      <c r="BY58" s="414">
        <v>-15</v>
      </c>
      <c r="BZ58" s="5"/>
      <c r="CA58" s="5">
        <v>36</v>
      </c>
      <c r="CB58" s="413" t="s">
        <v>718</v>
      </c>
      <c r="CC58" s="414"/>
      <c r="CD58" s="917"/>
      <c r="CE58" s="414"/>
      <c r="CF58" s="414"/>
      <c r="CG58" s="5"/>
      <c r="CH58" s="5"/>
      <c r="CI58" s="5"/>
    </row>
    <row r="59" spans="2:87" ht="15" customHeight="1" x14ac:dyDescent="0.2">
      <c r="B59" s="1019" t="str">
        <f>IF(Heizung=FALSE,"","Anteil und JAZ der Heizung mit Solaranlage")</f>
        <v/>
      </c>
      <c r="C59" s="103"/>
      <c r="D59" s="103"/>
      <c r="E59" s="103"/>
      <c r="F59" s="97"/>
      <c r="G59" s="127"/>
      <c r="H59" s="1118" t="s">
        <v>3303</v>
      </c>
      <c r="I59" s="195" t="str">
        <f ca="1">IF(AND(WPArt=3,I35=""),"",IF(OR(L9=1,I11="",L31=FALSE,Heizung=FALSE),"",IF(I53&lt;1,IF(bivalent,(1-G56)/(G61/jazh),1/(G61/jazh+G56)),999)))</f>
        <v/>
      </c>
      <c r="L59" s="1013">
        <f ca="1">IF(G61&lt;&gt;"",G61+I53,I53)</f>
        <v>0</v>
      </c>
      <c r="M59" s="5">
        <v>37</v>
      </c>
      <c r="N59" s="413" t="str">
        <f t="shared" si="0"/>
        <v>Koblach</v>
      </c>
      <c r="O59" s="414">
        <f t="shared" si="1"/>
        <v>445</v>
      </c>
      <c r="P59" s="414">
        <f t="shared" si="2"/>
        <v>3.75</v>
      </c>
      <c r="Q59" s="145">
        <f t="shared" si="5"/>
        <v>-13</v>
      </c>
      <c r="R59" s="414">
        <f t="shared" si="3"/>
        <v>3576</v>
      </c>
      <c r="S59" s="414">
        <f t="shared" si="4"/>
        <v>-13</v>
      </c>
      <c r="T59" s="19"/>
      <c r="U59" s="5"/>
      <c r="V59" s="5"/>
      <c r="W59" s="5">
        <v>37</v>
      </c>
      <c r="X59" s="413" t="s">
        <v>253</v>
      </c>
      <c r="Y59" s="414">
        <v>445</v>
      </c>
      <c r="Z59" s="917">
        <v>3.75</v>
      </c>
      <c r="AA59" s="414">
        <v>3576</v>
      </c>
      <c r="AB59" s="414">
        <v>-13</v>
      </c>
      <c r="AD59" s="5">
        <v>37</v>
      </c>
      <c r="AE59" s="413" t="s">
        <v>254</v>
      </c>
      <c r="AF59" s="414">
        <v>138</v>
      </c>
      <c r="AG59" s="917">
        <v>3.42</v>
      </c>
      <c r="AH59" s="414">
        <v>3399</v>
      </c>
      <c r="AI59" s="414">
        <v>-14</v>
      </c>
      <c r="AK59" s="5">
        <v>37</v>
      </c>
      <c r="AL59" s="413" t="s">
        <v>255</v>
      </c>
      <c r="AM59" s="414">
        <v>550</v>
      </c>
      <c r="AN59" s="917">
        <v>2.5</v>
      </c>
      <c r="AO59" s="414">
        <v>4059</v>
      </c>
      <c r="AP59" s="414">
        <v>-15</v>
      </c>
      <c r="AR59" s="5">
        <v>37</v>
      </c>
      <c r="AS59" s="413" t="s">
        <v>256</v>
      </c>
      <c r="AT59" s="414">
        <v>185</v>
      </c>
      <c r="AU59" s="917">
        <v>3.66</v>
      </c>
      <c r="AV59" s="414">
        <v>3349</v>
      </c>
      <c r="AW59" s="414">
        <v>-13</v>
      </c>
      <c r="AY59" s="5">
        <v>37</v>
      </c>
      <c r="AZ59" s="413" t="s">
        <v>257</v>
      </c>
      <c r="BA59" s="414">
        <v>380</v>
      </c>
      <c r="BB59" s="917">
        <v>2.99</v>
      </c>
      <c r="BC59" s="414">
        <v>3929</v>
      </c>
      <c r="BD59" s="414">
        <v>-15</v>
      </c>
      <c r="BF59" s="5">
        <v>37</v>
      </c>
      <c r="BG59" s="413" t="s">
        <v>258</v>
      </c>
      <c r="BH59" s="414">
        <v>522</v>
      </c>
      <c r="BI59" s="917">
        <v>3.3</v>
      </c>
      <c r="BJ59" s="414">
        <v>3942</v>
      </c>
      <c r="BK59" s="414">
        <v>-15</v>
      </c>
      <c r="BM59" s="5">
        <v>37</v>
      </c>
      <c r="BN59" s="413" t="s">
        <v>259</v>
      </c>
      <c r="BO59" s="414">
        <v>669</v>
      </c>
      <c r="BP59" s="917">
        <v>2.81</v>
      </c>
      <c r="BQ59" s="414">
        <v>4367</v>
      </c>
      <c r="BR59" s="414">
        <v>-15</v>
      </c>
      <c r="BS59" s="5"/>
      <c r="BT59" s="5">
        <v>37</v>
      </c>
      <c r="BU59" s="413" t="s">
        <v>260</v>
      </c>
      <c r="BV59" s="414">
        <v>937</v>
      </c>
      <c r="BW59" s="917">
        <v>2.85</v>
      </c>
      <c r="BX59" s="414">
        <v>4527</v>
      </c>
      <c r="BY59" s="414">
        <v>-15</v>
      </c>
      <c r="BZ59" s="5"/>
      <c r="CA59" s="5">
        <v>37</v>
      </c>
      <c r="CB59" s="413" t="s">
        <v>718</v>
      </c>
      <c r="CC59" s="414"/>
      <c r="CD59" s="917"/>
      <c r="CE59" s="414"/>
      <c r="CF59" s="414"/>
      <c r="CG59" s="5"/>
      <c r="CH59" s="5"/>
      <c r="CI59" s="5"/>
    </row>
    <row r="60" spans="2:87" ht="15" customHeight="1" x14ac:dyDescent="0.2">
      <c r="B60" s="1019" t="str">
        <f>IF(WW=FALSE,"","Anteil und JAZ für Warmwasser mit Solaranlage")</f>
        <v/>
      </c>
      <c r="C60" s="103"/>
      <c r="D60" s="103"/>
      <c r="E60" s="103"/>
      <c r="F60" s="97"/>
      <c r="G60" s="127"/>
      <c r="H60" s="1118" t="s">
        <v>3304</v>
      </c>
      <c r="I60" s="196" t="str">
        <f>IF(AND(WPArt=3,I35=""),"",IF(OR(L9=1,I11="",G62=0,WW=FALSE,AND(WW=TRUE,L43=1)),"",IF(I52&lt;1,1/(G62/jazww+IF(G57&lt;&gt;"",G57,0)),999)))</f>
        <v/>
      </c>
      <c r="L60" s="1013">
        <f>IF(G62&lt;&gt;"",G62+I52,I52)</f>
        <v>0</v>
      </c>
      <c r="M60" s="5">
        <v>38</v>
      </c>
      <c r="N60" s="413" t="str">
        <f t="shared" si="0"/>
        <v>Krumbach</v>
      </c>
      <c r="O60" s="414">
        <f t="shared" si="1"/>
        <v>732</v>
      </c>
      <c r="P60" s="414">
        <f t="shared" si="2"/>
        <v>2.73</v>
      </c>
      <c r="Q60" s="145">
        <f t="shared" si="5"/>
        <v>-16</v>
      </c>
      <c r="R60" s="414">
        <f t="shared" si="3"/>
        <v>4439</v>
      </c>
      <c r="S60" s="414">
        <f t="shared" si="4"/>
        <v>-16</v>
      </c>
      <c r="T60" s="5"/>
      <c r="U60" s="5"/>
      <c r="V60" s="5"/>
      <c r="W60" s="5">
        <v>38</v>
      </c>
      <c r="X60" s="413" t="s">
        <v>261</v>
      </c>
      <c r="Y60" s="414">
        <v>732</v>
      </c>
      <c r="Z60" s="917">
        <v>2.73</v>
      </c>
      <c r="AA60" s="414">
        <v>4439</v>
      </c>
      <c r="AB60" s="414">
        <v>-16</v>
      </c>
      <c r="AD60" s="5">
        <v>38</v>
      </c>
      <c r="AE60" s="413" t="s">
        <v>262</v>
      </c>
      <c r="AF60" s="414">
        <v>233</v>
      </c>
      <c r="AG60" s="917">
        <v>3.53</v>
      </c>
      <c r="AH60" s="414">
        <v>3425</v>
      </c>
      <c r="AI60" s="414">
        <v>-13</v>
      </c>
      <c r="AK60" s="5">
        <v>38</v>
      </c>
      <c r="AL60" s="413" t="s">
        <v>263</v>
      </c>
      <c r="AM60" s="414">
        <v>466</v>
      </c>
      <c r="AN60" s="917">
        <v>2.2400000000000002</v>
      </c>
      <c r="AO60" s="414">
        <v>3926</v>
      </c>
      <c r="AP60" s="414">
        <v>-16</v>
      </c>
      <c r="AR60" s="5">
        <v>38</v>
      </c>
      <c r="AS60" s="413" t="s">
        <v>264</v>
      </c>
      <c r="AT60" s="414">
        <v>192</v>
      </c>
      <c r="AU60" s="917">
        <v>3.54</v>
      </c>
      <c r="AV60" s="414">
        <v>3408</v>
      </c>
      <c r="AW60" s="414">
        <v>-13</v>
      </c>
      <c r="AY60" s="5">
        <v>38</v>
      </c>
      <c r="AZ60" s="413" t="s">
        <v>265</v>
      </c>
      <c r="BA60" s="414">
        <v>515</v>
      </c>
      <c r="BB60" s="917">
        <v>2.97</v>
      </c>
      <c r="BC60" s="414">
        <v>3899</v>
      </c>
      <c r="BD60" s="414">
        <v>-14</v>
      </c>
      <c r="BF60" s="5">
        <v>38</v>
      </c>
      <c r="BG60" s="413" t="s">
        <v>266</v>
      </c>
      <c r="BH60" s="414">
        <v>445</v>
      </c>
      <c r="BI60" s="917">
        <v>3.59</v>
      </c>
      <c r="BJ60" s="414">
        <v>3824</v>
      </c>
      <c r="BK60" s="414">
        <v>-15</v>
      </c>
      <c r="BM60" s="5">
        <v>38</v>
      </c>
      <c r="BN60" s="413" t="s">
        <v>267</v>
      </c>
      <c r="BO60" s="414">
        <v>312</v>
      </c>
      <c r="BP60" s="917">
        <v>3.29</v>
      </c>
      <c r="BQ60" s="414">
        <v>3492</v>
      </c>
      <c r="BR60" s="414">
        <v>-12</v>
      </c>
      <c r="BS60" s="5"/>
      <c r="BT60" s="5">
        <v>38</v>
      </c>
      <c r="BU60" s="413" t="s">
        <v>268</v>
      </c>
      <c r="BV60" s="414">
        <v>1584</v>
      </c>
      <c r="BW60" s="917">
        <v>1.26</v>
      </c>
      <c r="BX60" s="414">
        <v>5977</v>
      </c>
      <c r="BY60" s="414">
        <v>-20</v>
      </c>
      <c r="BZ60" s="5"/>
      <c r="CA60" s="5">
        <v>38</v>
      </c>
      <c r="CB60" s="413" t="s">
        <v>718</v>
      </c>
      <c r="CC60" s="414"/>
      <c r="CD60" s="917"/>
      <c r="CE60" s="414"/>
      <c r="CF60" s="414"/>
      <c r="CG60" s="5"/>
      <c r="CH60" s="5"/>
      <c r="CI60" s="5"/>
    </row>
    <row r="61" spans="2:87" ht="15" customHeight="1" x14ac:dyDescent="0.25">
      <c r="B61" s="1019" t="str">
        <f>IF(Heizung=FALSE,"","Anteil und JAZ der Heizung")</f>
        <v/>
      </c>
      <c r="C61" s="103"/>
      <c r="D61" s="103"/>
      <c r="E61" s="103"/>
      <c r="F61" s="182" t="str">
        <f>IF(AND(Heizung),"e = ","")</f>
        <v/>
      </c>
      <c r="G61" s="183" t="str">
        <f ca="1">IF(AND(WPArt=3,I35=""),"",IF(OR(L9=1,I11="",L31=FALSE),"",'WP1'!F62))</f>
        <v/>
      </c>
      <c r="H61" s="1118" t="s">
        <v>3303</v>
      </c>
      <c r="I61" s="195" t="str">
        <f ca="1">IF(AND(WPArt=3,I35=""),"",IF(OR(L9=1,I11="",L31=FALSE,Heizung=FALSE),"",IF(I53&lt;1,IF(bivalent,jazh,(1-I53)/(G61/jazh+G56)),999)))</f>
        <v/>
      </c>
      <c r="M61" s="5">
        <v>39</v>
      </c>
      <c r="N61" s="413" t="str">
        <f t="shared" si="0"/>
        <v>Langen</v>
      </c>
      <c r="O61" s="414">
        <f t="shared" si="1"/>
        <v>657</v>
      </c>
      <c r="P61" s="414">
        <f t="shared" si="2"/>
        <v>3.15</v>
      </c>
      <c r="Q61" s="145">
        <f t="shared" si="5"/>
        <v>-14</v>
      </c>
      <c r="R61" s="414">
        <f t="shared" si="3"/>
        <v>4161</v>
      </c>
      <c r="S61" s="414">
        <f t="shared" si="4"/>
        <v>-14</v>
      </c>
      <c r="T61" s="5"/>
      <c r="U61" s="5"/>
      <c r="V61" s="5"/>
      <c r="W61" s="5">
        <v>39</v>
      </c>
      <c r="X61" s="413" t="s">
        <v>269</v>
      </c>
      <c r="Y61" s="414">
        <v>657</v>
      </c>
      <c r="Z61" s="917">
        <v>3.15</v>
      </c>
      <c r="AA61" s="414">
        <v>4161</v>
      </c>
      <c r="AB61" s="414">
        <v>-14</v>
      </c>
      <c r="AD61" s="5">
        <v>39</v>
      </c>
      <c r="AE61" s="413" t="s">
        <v>2202</v>
      </c>
      <c r="AF61" s="414">
        <v>321</v>
      </c>
      <c r="AG61" s="917">
        <v>3.28</v>
      </c>
      <c r="AH61" s="414">
        <v>3628</v>
      </c>
      <c r="AI61" s="414">
        <v>-13</v>
      </c>
      <c r="AK61" s="5">
        <v>39</v>
      </c>
      <c r="AL61" s="413" t="s">
        <v>2203</v>
      </c>
      <c r="AM61" s="414">
        <v>520</v>
      </c>
      <c r="AN61" s="917">
        <v>3.11</v>
      </c>
      <c r="AO61" s="414">
        <v>3817</v>
      </c>
      <c r="AP61" s="414">
        <v>-14</v>
      </c>
      <c r="AR61" s="5">
        <v>39</v>
      </c>
      <c r="AS61" s="413" t="s">
        <v>2204</v>
      </c>
      <c r="AT61" s="414">
        <v>275</v>
      </c>
      <c r="AU61" s="917">
        <v>3.33</v>
      </c>
      <c r="AV61" s="414">
        <v>3750</v>
      </c>
      <c r="AW61" s="414">
        <v>-14</v>
      </c>
      <c r="AY61" s="5">
        <v>39</v>
      </c>
      <c r="AZ61" s="413" t="s">
        <v>2205</v>
      </c>
      <c r="BA61" s="414">
        <v>236</v>
      </c>
      <c r="BB61" s="917">
        <v>3.09</v>
      </c>
      <c r="BC61" s="414">
        <v>3669</v>
      </c>
      <c r="BD61" s="414">
        <v>-14</v>
      </c>
      <c r="BF61" s="5">
        <v>39</v>
      </c>
      <c r="BG61" s="413" t="s">
        <v>2206</v>
      </c>
      <c r="BH61" s="414">
        <v>550</v>
      </c>
      <c r="BI61" s="917">
        <v>3.01</v>
      </c>
      <c r="BJ61" s="414">
        <v>4077</v>
      </c>
      <c r="BK61" s="414">
        <v>-16</v>
      </c>
      <c r="BM61" s="5">
        <v>39</v>
      </c>
      <c r="BN61" s="413" t="s">
        <v>2207</v>
      </c>
      <c r="BO61" s="414">
        <v>309</v>
      </c>
      <c r="BP61" s="917">
        <v>3.16</v>
      </c>
      <c r="BQ61" s="414">
        <v>3553</v>
      </c>
      <c r="BR61" s="414">
        <v>-13</v>
      </c>
      <c r="BS61" s="5"/>
      <c r="BT61" s="5">
        <v>39</v>
      </c>
      <c r="BU61" s="413" t="s">
        <v>2208</v>
      </c>
      <c r="BV61" s="414">
        <v>1245</v>
      </c>
      <c r="BW61" s="917">
        <v>2.4300000000000002</v>
      </c>
      <c r="BX61" s="414">
        <v>5024</v>
      </c>
      <c r="BY61" s="414">
        <v>-16</v>
      </c>
      <c r="BZ61" s="5"/>
      <c r="CA61" s="5">
        <v>39</v>
      </c>
      <c r="CB61" s="413" t="s">
        <v>718</v>
      </c>
      <c r="CC61" s="414"/>
      <c r="CD61" s="917"/>
      <c r="CE61" s="414"/>
      <c r="CF61" s="414"/>
      <c r="CG61" s="5"/>
      <c r="CH61" s="5"/>
      <c r="CI61" s="5"/>
    </row>
    <row r="62" spans="2:87" ht="15" customHeight="1" x14ac:dyDescent="0.25">
      <c r="B62" s="1019" t="str">
        <f>IF(WW=FALSE,"","Anteil und JAZ für Warmwasser")</f>
        <v/>
      </c>
      <c r="C62" s="103"/>
      <c r="D62" s="103"/>
      <c r="E62" s="103"/>
      <c r="F62" s="182" t="str">
        <f>IF(AND(WW),"e = ","")</f>
        <v/>
      </c>
      <c r="G62" s="183" t="str">
        <f>IF(AND(WPArt=3,I35=""),"",IF(OR(L9=1,I11=""),"",'WP1'!F63))</f>
        <v/>
      </c>
      <c r="H62" s="1118" t="s">
        <v>3304</v>
      </c>
      <c r="I62" s="196" t="str">
        <f>IF(AND(WPArt=3,I35=""),"",IF(OR(L9=1,I11="",G62=0,WW=FALSE,AND(WW=TRUE,L43=1)),"",IF(I52&lt;1,(1-I52)/(G62/jazww+IF(G57&lt;&gt;"",G57,0)),999)))</f>
        <v/>
      </c>
      <c r="M62" s="5">
        <v>40</v>
      </c>
      <c r="N62" s="413" t="str">
        <f t="shared" si="0"/>
        <v>Langen am Arlberg</v>
      </c>
      <c r="O62" s="414">
        <f t="shared" si="1"/>
        <v>1174</v>
      </c>
      <c r="P62" s="414">
        <f t="shared" si="2"/>
        <v>2.72</v>
      </c>
      <c r="Q62" s="145">
        <f t="shared" si="5"/>
        <v>-16</v>
      </c>
      <c r="R62" s="414">
        <f t="shared" si="3"/>
        <v>4926</v>
      </c>
      <c r="S62" s="414">
        <f t="shared" si="4"/>
        <v>-16</v>
      </c>
      <c r="T62" s="5"/>
      <c r="U62" s="5"/>
      <c r="V62" s="5"/>
      <c r="W62" s="5">
        <v>40</v>
      </c>
      <c r="X62" s="413" t="s">
        <v>2209</v>
      </c>
      <c r="Y62" s="414">
        <v>1174</v>
      </c>
      <c r="Z62" s="917">
        <v>2.72</v>
      </c>
      <c r="AA62" s="414">
        <v>4926</v>
      </c>
      <c r="AB62" s="919">
        <v>-16</v>
      </c>
      <c r="AD62" s="5">
        <v>40</v>
      </c>
      <c r="AE62" s="413" t="s">
        <v>2210</v>
      </c>
      <c r="AF62" s="414">
        <v>256</v>
      </c>
      <c r="AG62" s="917">
        <v>3.25</v>
      </c>
      <c r="AH62" s="414">
        <v>3552</v>
      </c>
      <c r="AI62" s="919">
        <v>-13</v>
      </c>
      <c r="AK62" s="5">
        <v>40</v>
      </c>
      <c r="AL62" s="413" t="s">
        <v>2211</v>
      </c>
      <c r="AM62" s="414">
        <v>559</v>
      </c>
      <c r="AN62" s="917">
        <v>2.4500000000000002</v>
      </c>
      <c r="AO62" s="414">
        <v>4053</v>
      </c>
      <c r="AP62" s="919">
        <v>-16</v>
      </c>
      <c r="AR62" s="5">
        <v>40</v>
      </c>
      <c r="AS62" s="413" t="s">
        <v>2212</v>
      </c>
      <c r="AT62" s="414">
        <v>245</v>
      </c>
      <c r="AU62" s="917">
        <v>3.46</v>
      </c>
      <c r="AV62" s="414">
        <v>3656</v>
      </c>
      <c r="AW62" s="919">
        <v>-13</v>
      </c>
      <c r="AY62" s="5">
        <v>40</v>
      </c>
      <c r="AZ62" s="413" t="s">
        <v>2213</v>
      </c>
      <c r="BA62" s="414">
        <v>352</v>
      </c>
      <c r="BB62" s="917">
        <v>3.15</v>
      </c>
      <c r="BC62" s="414">
        <v>3826</v>
      </c>
      <c r="BD62" s="919">
        <v>-15</v>
      </c>
      <c r="BF62" s="5">
        <v>40</v>
      </c>
      <c r="BG62" s="413" t="s">
        <v>2214</v>
      </c>
      <c r="BH62" s="414">
        <v>1053</v>
      </c>
      <c r="BI62" s="917">
        <v>1.99</v>
      </c>
      <c r="BJ62" s="414">
        <v>5079</v>
      </c>
      <c r="BK62" s="919">
        <v>-18</v>
      </c>
      <c r="BM62" s="5">
        <v>40</v>
      </c>
      <c r="BN62" s="413" t="s">
        <v>2215</v>
      </c>
      <c r="BO62" s="414">
        <v>794</v>
      </c>
      <c r="BP62" s="917">
        <v>2.88</v>
      </c>
      <c r="BQ62" s="414">
        <v>4228</v>
      </c>
      <c r="BR62" s="919">
        <v>-14</v>
      </c>
      <c r="BS62" s="5"/>
      <c r="BT62" s="5">
        <v>40</v>
      </c>
      <c r="BU62" s="413" t="s">
        <v>2216</v>
      </c>
      <c r="BV62" s="414">
        <v>985</v>
      </c>
      <c r="BW62" s="917">
        <v>2.65</v>
      </c>
      <c r="BX62" s="414">
        <v>4651</v>
      </c>
      <c r="BY62" s="919">
        <v>-15</v>
      </c>
      <c r="BZ62" s="5"/>
      <c r="CA62" s="5">
        <v>40</v>
      </c>
      <c r="CB62" s="413" t="s">
        <v>718</v>
      </c>
      <c r="CC62" s="414"/>
      <c r="CD62" s="917"/>
      <c r="CE62" s="414"/>
      <c r="CF62" s="919"/>
      <c r="CG62" s="5"/>
      <c r="CH62" s="106"/>
      <c r="CI62" s="5"/>
    </row>
    <row r="63" spans="2:87" ht="15" customHeight="1" x14ac:dyDescent="0.2">
      <c r="B63" s="1019" t="str">
        <f>IF(L28&gt;3,"",IF(OR(WW=FALSE,Heizung=FALSE),"",IF($L$47&gt;1,"JAZ (ohne Elektrozusatz) für Heizung + Warmwasser ohne Solaranlage:","Jahresarbeitszahl (ohne Elektrozusatz) Heizung + Warmwasser (JAZh+ww):")))</f>
        <v/>
      </c>
      <c r="C63" s="103"/>
      <c r="D63" s="103"/>
      <c r="E63" s="103"/>
      <c r="F63" s="921"/>
      <c r="G63" s="127"/>
      <c r="H63" s="190" t="str">
        <f>IF(L28=5,"","-")</f>
        <v>-</v>
      </c>
      <c r="I63" s="810" t="str">
        <f>'WP1'!H66</f>
        <v/>
      </c>
      <c r="M63" s="5">
        <v>41</v>
      </c>
      <c r="N63" s="413" t="str">
        <f t="shared" si="0"/>
        <v>Langenegg</v>
      </c>
      <c r="O63" s="414">
        <f t="shared" si="1"/>
        <v>695</v>
      </c>
      <c r="P63" s="414">
        <f t="shared" si="2"/>
        <v>2.88</v>
      </c>
      <c r="Q63" s="145">
        <f t="shared" si="5"/>
        <v>-15</v>
      </c>
      <c r="R63" s="414">
        <f t="shared" si="3"/>
        <v>4331</v>
      </c>
      <c r="S63" s="414">
        <f t="shared" si="4"/>
        <v>-15</v>
      </c>
      <c r="T63" s="5"/>
      <c r="U63" s="5"/>
      <c r="V63" s="5"/>
      <c r="W63" s="5">
        <v>41</v>
      </c>
      <c r="X63" s="144" t="s">
        <v>2217</v>
      </c>
      <c r="Y63" s="145">
        <v>695</v>
      </c>
      <c r="Z63" s="916">
        <v>2.88</v>
      </c>
      <c r="AA63" s="145">
        <v>4331</v>
      </c>
      <c r="AB63" s="920">
        <v>-15</v>
      </c>
      <c r="AD63" s="5">
        <v>41</v>
      </c>
      <c r="AE63" s="413" t="s">
        <v>2218</v>
      </c>
      <c r="AF63" s="145">
        <v>236</v>
      </c>
      <c r="AG63" s="916">
        <v>3.14</v>
      </c>
      <c r="AH63" s="145">
        <v>3557</v>
      </c>
      <c r="AI63" s="920">
        <v>-14</v>
      </c>
      <c r="AK63" s="5">
        <v>41</v>
      </c>
      <c r="AL63" s="413" t="s">
        <v>2219</v>
      </c>
      <c r="AM63" s="145">
        <v>694</v>
      </c>
      <c r="AN63" s="916">
        <v>3.03</v>
      </c>
      <c r="AO63" s="145">
        <v>4089</v>
      </c>
      <c r="AP63" s="920">
        <v>-14</v>
      </c>
      <c r="AR63" s="5">
        <v>41</v>
      </c>
      <c r="AS63" s="413" t="s">
        <v>2220</v>
      </c>
      <c r="AT63" s="145">
        <v>252</v>
      </c>
      <c r="AU63" s="916">
        <v>3.53</v>
      </c>
      <c r="AV63" s="145">
        <v>3475</v>
      </c>
      <c r="AW63" s="920">
        <v>-13</v>
      </c>
      <c r="AY63" s="5">
        <v>41</v>
      </c>
      <c r="AZ63" s="413" t="s">
        <v>2221</v>
      </c>
      <c r="BA63" s="145">
        <v>284</v>
      </c>
      <c r="BB63" s="916">
        <v>2.99</v>
      </c>
      <c r="BC63" s="145">
        <v>3896</v>
      </c>
      <c r="BD63" s="920">
        <v>-15</v>
      </c>
      <c r="BF63" s="5">
        <v>41</v>
      </c>
      <c r="BG63" s="413" t="s">
        <v>2222</v>
      </c>
      <c r="BH63" s="145">
        <v>738</v>
      </c>
      <c r="BI63" s="916">
        <v>2.95</v>
      </c>
      <c r="BJ63" s="145">
        <v>4263</v>
      </c>
      <c r="BK63" s="920">
        <v>-16</v>
      </c>
      <c r="BM63" s="5">
        <v>41</v>
      </c>
      <c r="BN63" s="413" t="s">
        <v>2223</v>
      </c>
      <c r="BO63" s="145">
        <v>405</v>
      </c>
      <c r="BP63" s="916">
        <v>3.32</v>
      </c>
      <c r="BQ63" s="145">
        <v>3520</v>
      </c>
      <c r="BR63" s="920">
        <v>-13</v>
      </c>
      <c r="BS63" s="5"/>
      <c r="BT63" s="5">
        <v>41</v>
      </c>
      <c r="BU63" s="413" t="s">
        <v>2224</v>
      </c>
      <c r="BV63" s="145">
        <v>773</v>
      </c>
      <c r="BW63" s="916">
        <v>2.0099999999999998</v>
      </c>
      <c r="BX63" s="145">
        <v>4678</v>
      </c>
      <c r="BY63" s="920">
        <v>-18</v>
      </c>
      <c r="BZ63" s="5"/>
      <c r="CA63" s="5">
        <v>41</v>
      </c>
      <c r="CB63" s="413" t="s">
        <v>718</v>
      </c>
      <c r="CC63" s="145"/>
      <c r="CD63" s="916"/>
      <c r="CE63" s="145"/>
      <c r="CF63" s="920"/>
      <c r="CG63" s="5"/>
      <c r="CH63" s="5"/>
      <c r="CI63" s="5"/>
    </row>
    <row r="64" spans="2:87" ht="15" customHeight="1" thickBot="1" x14ac:dyDescent="0.25">
      <c r="B64" s="1002" t="str">
        <f ca="1">IF(L28=5,"",IF(OR(L9=1,I11="",L31=FALSE,AND(WPArt=3,I35="")),"","Jahresarbeitszahl JAZ (inkl. Elektrozusatz) für Heizung und Warmwasser"))</f>
        <v/>
      </c>
      <c r="C64" s="27"/>
      <c r="D64" s="27"/>
      <c r="E64" s="27"/>
      <c r="F64" s="922"/>
      <c r="G64" s="923"/>
      <c r="H64" s="1120" t="str">
        <f>IF(L28=5,"","JAZ Gesamt =")</f>
        <v>JAZ Gesamt =</v>
      </c>
      <c r="I64" s="1095" t="str">
        <f>IF(OR(AND(WW=TRUE,L43=1),L28=5),"",IF(AND(WW=FALSE,Heizung=FALSE),"",IF(Heizung=FALSE,I62,IF(WW=FALSE,I61,IF(OR(L9=1,I11="",L31=FALSE,AND(WPArt=3,I35="")),"",IF(AND(G61&gt;0,G62&gt;0),IF(bivalent,(wh/www*G61+G62)/(wh/www*G61/jazh+G62/jazww+IF(G57&lt;&gt;"",G57,0)),(wh/www*(1-I53)+1-I52)/(wh/www*(G61/jazh+IF(G56&lt;&gt;"",G56,0))+G62/jazww+IF(G57&lt;&gt;"",G57,0)))))))))</f>
        <v/>
      </c>
      <c r="M64" s="5">
        <v>42</v>
      </c>
      <c r="N64" s="413" t="str">
        <f t="shared" si="0"/>
        <v>Lauterach</v>
      </c>
      <c r="O64" s="414">
        <f t="shared" si="1"/>
        <v>412</v>
      </c>
      <c r="P64" s="414">
        <f t="shared" si="2"/>
        <v>3.98</v>
      </c>
      <c r="Q64" s="145">
        <f t="shared" si="5"/>
        <v>-12</v>
      </c>
      <c r="R64" s="414">
        <f t="shared" si="3"/>
        <v>3541</v>
      </c>
      <c r="S64" s="414">
        <f t="shared" si="4"/>
        <v>-12</v>
      </c>
      <c r="T64" s="5"/>
      <c r="U64" s="5"/>
      <c r="V64" s="5"/>
      <c r="W64" s="5">
        <v>42</v>
      </c>
      <c r="X64" s="144" t="s">
        <v>2225</v>
      </c>
      <c r="Y64" s="145">
        <v>412</v>
      </c>
      <c r="Z64" s="916">
        <v>3.98</v>
      </c>
      <c r="AA64" s="145">
        <v>3541</v>
      </c>
      <c r="AB64" s="145">
        <v>-12</v>
      </c>
      <c r="AD64" s="5">
        <v>42</v>
      </c>
      <c r="AE64" s="413" t="s">
        <v>2226</v>
      </c>
      <c r="AF64" s="145">
        <v>197</v>
      </c>
      <c r="AG64" s="916">
        <v>3.58</v>
      </c>
      <c r="AH64" s="145">
        <v>3350</v>
      </c>
      <c r="AI64" s="145">
        <v>-13</v>
      </c>
      <c r="AK64" s="5">
        <v>42</v>
      </c>
      <c r="AL64" s="413" t="s">
        <v>2227</v>
      </c>
      <c r="AM64" s="145">
        <v>491</v>
      </c>
      <c r="AN64" s="916">
        <v>2.4900000000000002</v>
      </c>
      <c r="AO64" s="145">
        <v>3905</v>
      </c>
      <c r="AP64" s="145">
        <v>-16</v>
      </c>
      <c r="AR64" s="5">
        <v>42</v>
      </c>
      <c r="AS64" s="413" t="s">
        <v>2228</v>
      </c>
      <c r="AT64" s="145">
        <v>168</v>
      </c>
      <c r="AU64" s="916">
        <v>3.35</v>
      </c>
      <c r="AV64" s="145">
        <v>3547</v>
      </c>
      <c r="AW64" s="145">
        <v>-14</v>
      </c>
      <c r="AY64" s="5">
        <v>42</v>
      </c>
      <c r="AZ64" s="413" t="s">
        <v>1627</v>
      </c>
      <c r="BA64" s="145">
        <v>393</v>
      </c>
      <c r="BB64" s="916">
        <v>2.97</v>
      </c>
      <c r="BC64" s="145">
        <v>3917</v>
      </c>
      <c r="BD64" s="145">
        <v>-15</v>
      </c>
      <c r="BF64" s="5">
        <v>42</v>
      </c>
      <c r="BG64" s="413" t="s">
        <v>1628</v>
      </c>
      <c r="BH64" s="145">
        <v>800</v>
      </c>
      <c r="BI64" s="916">
        <v>1.94</v>
      </c>
      <c r="BJ64" s="145">
        <v>4749</v>
      </c>
      <c r="BK64" s="145">
        <v>-18</v>
      </c>
      <c r="BM64" s="5">
        <v>42</v>
      </c>
      <c r="BN64" s="413" t="s">
        <v>1629</v>
      </c>
      <c r="BO64" s="145">
        <v>270</v>
      </c>
      <c r="BP64" s="916">
        <v>3</v>
      </c>
      <c r="BQ64" s="145">
        <v>3570</v>
      </c>
      <c r="BR64" s="145">
        <v>-14</v>
      </c>
      <c r="BS64" s="5"/>
      <c r="BT64" s="5">
        <v>42</v>
      </c>
      <c r="BU64" s="413" t="s">
        <v>1630</v>
      </c>
      <c r="BV64" s="145">
        <v>868</v>
      </c>
      <c r="BW64" s="916">
        <v>2.83</v>
      </c>
      <c r="BX64" s="145">
        <v>4465</v>
      </c>
      <c r="BY64" s="145">
        <v>-15</v>
      </c>
      <c r="BZ64" s="5"/>
      <c r="CA64" s="5">
        <v>42</v>
      </c>
      <c r="CB64" s="413" t="s">
        <v>718</v>
      </c>
      <c r="CC64" s="145"/>
      <c r="CD64" s="916"/>
      <c r="CE64" s="145"/>
      <c r="CF64" s="145"/>
      <c r="CG64" s="5"/>
      <c r="CH64" s="5"/>
      <c r="CI64" s="5"/>
    </row>
    <row r="65" spans="2:87" ht="34.9" customHeight="1" thickTop="1" x14ac:dyDescent="0.2">
      <c r="B65" s="1277" t="s">
        <v>117</v>
      </c>
      <c r="C65" s="1278"/>
      <c r="D65" s="1278"/>
      <c r="E65" s="1278"/>
      <c r="F65" s="1278"/>
      <c r="G65" s="1278"/>
      <c r="H65" s="1278"/>
      <c r="I65" s="1278"/>
      <c r="M65" s="5">
        <v>43</v>
      </c>
      <c r="N65" s="413" t="str">
        <f t="shared" si="0"/>
        <v>Lech</v>
      </c>
      <c r="O65" s="414">
        <f t="shared" si="1"/>
        <v>1444</v>
      </c>
      <c r="P65" s="414">
        <f t="shared" si="2"/>
        <v>2.2000000000000002</v>
      </c>
      <c r="Q65" s="145">
        <f t="shared" si="5"/>
        <v>-17</v>
      </c>
      <c r="R65" s="414">
        <f t="shared" si="3"/>
        <v>5482</v>
      </c>
      <c r="S65" s="414">
        <f t="shared" si="4"/>
        <v>-17</v>
      </c>
      <c r="T65" s="19"/>
      <c r="U65" s="5"/>
      <c r="V65" s="5"/>
      <c r="W65" s="5">
        <v>43</v>
      </c>
      <c r="X65" s="144" t="s">
        <v>1631</v>
      </c>
      <c r="Y65" s="145">
        <v>1444</v>
      </c>
      <c r="Z65" s="916">
        <v>2.2000000000000002</v>
      </c>
      <c r="AA65" s="145">
        <v>5482</v>
      </c>
      <c r="AB65" s="145">
        <v>-17</v>
      </c>
      <c r="AD65" s="5">
        <v>43</v>
      </c>
      <c r="AE65" s="413" t="s">
        <v>1632</v>
      </c>
      <c r="AF65" s="145">
        <v>254</v>
      </c>
      <c r="AG65" s="916">
        <v>3.17</v>
      </c>
      <c r="AH65" s="145">
        <v>3584</v>
      </c>
      <c r="AI65" s="145">
        <v>-14</v>
      </c>
      <c r="AK65" s="5">
        <v>43</v>
      </c>
      <c r="AL65" s="413" t="s">
        <v>1633</v>
      </c>
      <c r="AM65" s="145">
        <v>695</v>
      </c>
      <c r="AN65" s="916">
        <v>2.98</v>
      </c>
      <c r="AO65" s="145">
        <v>4086</v>
      </c>
      <c r="AP65" s="145">
        <v>-15</v>
      </c>
      <c r="AR65" s="5">
        <v>43</v>
      </c>
      <c r="AS65" s="413" t="s">
        <v>1634</v>
      </c>
      <c r="AT65" s="145">
        <v>240</v>
      </c>
      <c r="AU65" s="916">
        <v>3.34</v>
      </c>
      <c r="AV65" s="145">
        <v>3615</v>
      </c>
      <c r="AW65" s="145">
        <v>-14</v>
      </c>
      <c r="AY65" s="5">
        <v>43</v>
      </c>
      <c r="AZ65" s="413" t="s">
        <v>1635</v>
      </c>
      <c r="BA65" s="145">
        <v>340</v>
      </c>
      <c r="BB65" s="916">
        <v>3.29</v>
      </c>
      <c r="BC65" s="145">
        <v>3793</v>
      </c>
      <c r="BD65" s="145">
        <v>-14</v>
      </c>
      <c r="BF65" s="5">
        <v>43</v>
      </c>
      <c r="BG65" s="413" t="s">
        <v>1636</v>
      </c>
      <c r="BH65" s="145">
        <v>710</v>
      </c>
      <c r="BI65" s="916">
        <v>2.2000000000000002</v>
      </c>
      <c r="BJ65" s="145">
        <v>4539</v>
      </c>
      <c r="BK65" s="145">
        <v>-17</v>
      </c>
      <c r="BM65" s="5">
        <v>43</v>
      </c>
      <c r="BN65" s="413" t="s">
        <v>1637</v>
      </c>
      <c r="BO65" s="145">
        <v>365</v>
      </c>
      <c r="BP65" s="916">
        <v>3.12</v>
      </c>
      <c r="BQ65" s="145">
        <v>3662</v>
      </c>
      <c r="BR65" s="145">
        <v>-14</v>
      </c>
      <c r="BS65" s="5"/>
      <c r="BT65" s="5">
        <v>43</v>
      </c>
      <c r="BU65" s="413" t="s">
        <v>1638</v>
      </c>
      <c r="BV65" s="145">
        <v>1034</v>
      </c>
      <c r="BW65" s="916">
        <v>2.4500000000000002</v>
      </c>
      <c r="BX65" s="145">
        <v>5003</v>
      </c>
      <c r="BY65" s="145">
        <v>-19</v>
      </c>
      <c r="BZ65" s="5"/>
      <c r="CA65" s="5">
        <v>43</v>
      </c>
      <c r="CB65" s="413" t="s">
        <v>718</v>
      </c>
      <c r="CC65" s="145"/>
      <c r="CD65" s="916"/>
      <c r="CE65" s="145"/>
      <c r="CF65" s="145"/>
      <c r="CG65" s="5"/>
      <c r="CH65" s="5"/>
      <c r="CI65" s="5"/>
    </row>
    <row r="66" spans="2:87" ht="15" hidden="1" customHeight="1" x14ac:dyDescent="0.2">
      <c r="B66" s="1088" t="s">
        <v>888</v>
      </c>
      <c r="C66" s="501"/>
      <c r="D66" s="501"/>
      <c r="E66" s="501"/>
      <c r="F66" s="514"/>
      <c r="G66" s="515"/>
      <c r="H66" s="1089" t="s">
        <v>721</v>
      </c>
      <c r="I66" s="1090" t="str">
        <f>IF(AND(WPArt=3,I35=""),"",IF(OR(L9=1,I11=""),"",IF(AND(WW,Heizung),IF((Qww+Qh)&gt;0,Qh/(Qww+Qh),0),IF(Heizung,1,0))))</f>
        <v/>
      </c>
      <c r="M66" s="5">
        <v>44</v>
      </c>
      <c r="N66" s="413" t="str">
        <f t="shared" si="0"/>
        <v>Lingenau</v>
      </c>
      <c r="O66" s="414">
        <f t="shared" si="1"/>
        <v>685</v>
      </c>
      <c r="P66" s="414">
        <f t="shared" si="2"/>
        <v>2.9</v>
      </c>
      <c r="Q66" s="145">
        <f t="shared" si="5"/>
        <v>-16</v>
      </c>
      <c r="R66" s="414">
        <f t="shared" si="3"/>
        <v>4326</v>
      </c>
      <c r="S66" s="414">
        <f t="shared" si="4"/>
        <v>-16</v>
      </c>
      <c r="T66" s="19"/>
      <c r="U66" s="5"/>
      <c r="V66" s="5"/>
      <c r="W66" s="5">
        <v>44</v>
      </c>
      <c r="X66" s="144" t="s">
        <v>1639</v>
      </c>
      <c r="Y66" s="145">
        <v>685</v>
      </c>
      <c r="Z66" s="916">
        <v>2.9</v>
      </c>
      <c r="AA66" s="145">
        <v>4326</v>
      </c>
      <c r="AB66" s="145">
        <v>-16</v>
      </c>
      <c r="AD66" s="5">
        <v>44</v>
      </c>
      <c r="AE66" s="413" t="s">
        <v>1640</v>
      </c>
      <c r="AF66" s="145">
        <v>305</v>
      </c>
      <c r="AG66" s="916">
        <v>3.32</v>
      </c>
      <c r="AH66" s="145">
        <v>3587</v>
      </c>
      <c r="AI66" s="145">
        <v>-13</v>
      </c>
      <c r="AK66" s="5">
        <v>44</v>
      </c>
      <c r="AL66" s="413" t="s">
        <v>1641</v>
      </c>
      <c r="AM66" s="145">
        <v>634</v>
      </c>
      <c r="AN66" s="916">
        <v>2.63</v>
      </c>
      <c r="AO66" s="145">
        <v>4239</v>
      </c>
      <c r="AP66" s="145">
        <v>-15</v>
      </c>
      <c r="AR66" s="5">
        <v>44</v>
      </c>
      <c r="AS66" s="413" t="s">
        <v>1642</v>
      </c>
      <c r="AT66" s="145">
        <v>340</v>
      </c>
      <c r="AU66" s="916">
        <v>3.23</v>
      </c>
      <c r="AV66" s="145">
        <v>3806</v>
      </c>
      <c r="AW66" s="145">
        <v>-14</v>
      </c>
      <c r="AY66" s="5">
        <v>44</v>
      </c>
      <c r="AZ66" s="413" t="s">
        <v>1188</v>
      </c>
      <c r="BA66" s="145">
        <v>394</v>
      </c>
      <c r="BB66" s="916">
        <v>3.07</v>
      </c>
      <c r="BC66" s="145">
        <v>3877</v>
      </c>
      <c r="BD66" s="145">
        <v>-15</v>
      </c>
      <c r="BF66" s="5">
        <v>44</v>
      </c>
      <c r="BG66" s="413" t="s">
        <v>1189</v>
      </c>
      <c r="BH66" s="145">
        <v>980</v>
      </c>
      <c r="BI66" s="916">
        <v>2.48</v>
      </c>
      <c r="BJ66" s="145">
        <v>4714</v>
      </c>
      <c r="BK66" s="145">
        <v>-16</v>
      </c>
      <c r="BM66" s="5">
        <v>44</v>
      </c>
      <c r="BN66" s="413" t="s">
        <v>1190</v>
      </c>
      <c r="BO66" s="145">
        <v>745</v>
      </c>
      <c r="BP66" s="916">
        <v>3</v>
      </c>
      <c r="BQ66" s="145">
        <v>4181</v>
      </c>
      <c r="BR66" s="145">
        <v>-14</v>
      </c>
      <c r="BS66" s="5"/>
      <c r="BT66" s="5">
        <v>44</v>
      </c>
      <c r="BU66" s="413" t="s">
        <v>2231</v>
      </c>
      <c r="BV66" s="145">
        <v>1165</v>
      </c>
      <c r="BW66" s="916">
        <v>2.37</v>
      </c>
      <c r="BX66" s="145">
        <v>4990</v>
      </c>
      <c r="BY66" s="145">
        <v>-15</v>
      </c>
      <c r="BZ66" s="5"/>
      <c r="CA66" s="5">
        <v>44</v>
      </c>
      <c r="CB66" s="413" t="s">
        <v>718</v>
      </c>
      <c r="CC66" s="145"/>
      <c r="CD66" s="916"/>
      <c r="CE66" s="145"/>
      <c r="CF66" s="145"/>
      <c r="CG66" s="5"/>
      <c r="CH66" s="5"/>
      <c r="CI66" s="5"/>
    </row>
    <row r="67" spans="2:87" ht="15.6" hidden="1" customHeight="1" x14ac:dyDescent="0.2">
      <c r="B67" s="1091" t="s">
        <v>889</v>
      </c>
      <c r="C67" s="517"/>
      <c r="D67" s="517"/>
      <c r="E67" s="517"/>
      <c r="F67" s="519"/>
      <c r="G67" s="207"/>
      <c r="H67" s="1092" t="s">
        <v>721</v>
      </c>
      <c r="I67" s="1093" t="str">
        <f>IF(AND(WPArt=3,I35=""),"",IF(OR(L9=1,I11=""),"",IF(AND(WW,Heizung),IF((Qww+Qh)&gt;0,Qww/(Qww+Qh),0),IF(WW,1,0))))</f>
        <v/>
      </c>
      <c r="M67" s="5">
        <v>45</v>
      </c>
      <c r="N67" s="413" t="str">
        <f t="shared" si="0"/>
        <v>Lochau</v>
      </c>
      <c r="O67" s="414">
        <f t="shared" si="1"/>
        <v>415</v>
      </c>
      <c r="P67" s="414">
        <f t="shared" si="2"/>
        <v>4.0999999999999996</v>
      </c>
      <c r="Q67" s="145">
        <f t="shared" si="5"/>
        <v>-12</v>
      </c>
      <c r="R67" s="414">
        <f t="shared" si="3"/>
        <v>3514</v>
      </c>
      <c r="S67" s="414">
        <f t="shared" si="4"/>
        <v>-12</v>
      </c>
      <c r="T67" s="19"/>
      <c r="U67" s="5"/>
      <c r="V67" s="5"/>
      <c r="W67" s="5">
        <v>45</v>
      </c>
      <c r="X67" s="144" t="s">
        <v>2232</v>
      </c>
      <c r="Y67" s="145">
        <v>415</v>
      </c>
      <c r="Z67" s="916">
        <v>4.0999999999999996</v>
      </c>
      <c r="AA67" s="145">
        <v>3514</v>
      </c>
      <c r="AB67" s="145">
        <v>-12</v>
      </c>
      <c r="AD67" s="5">
        <v>45</v>
      </c>
      <c r="AE67" s="413" t="s">
        <v>2233</v>
      </c>
      <c r="AF67" s="145">
        <v>294</v>
      </c>
      <c r="AG67" s="916">
        <v>3.34</v>
      </c>
      <c r="AH67" s="145">
        <v>3566</v>
      </c>
      <c r="AI67" s="145">
        <v>-13</v>
      </c>
      <c r="AK67" s="5">
        <v>45</v>
      </c>
      <c r="AL67" s="413" t="s">
        <v>2234</v>
      </c>
      <c r="AM67" s="145">
        <v>507</v>
      </c>
      <c r="AN67" s="916">
        <v>2.39</v>
      </c>
      <c r="AO67" s="145">
        <v>3997</v>
      </c>
      <c r="AP67" s="145">
        <v>-16</v>
      </c>
      <c r="AR67" s="5">
        <v>45</v>
      </c>
      <c r="AS67" s="413" t="s">
        <v>2235</v>
      </c>
      <c r="AT67" s="145">
        <v>535</v>
      </c>
      <c r="AU67" s="916">
        <v>2.5499999999999998</v>
      </c>
      <c r="AV67" s="145">
        <v>4379</v>
      </c>
      <c r="AW67" s="145">
        <v>-17</v>
      </c>
      <c r="AY67" s="5">
        <v>45</v>
      </c>
      <c r="AZ67" s="413" t="s">
        <v>2236</v>
      </c>
      <c r="BA67" s="145">
        <v>421</v>
      </c>
      <c r="BB67" s="916">
        <v>3.15</v>
      </c>
      <c r="BC67" s="145">
        <v>3876</v>
      </c>
      <c r="BD67" s="145">
        <v>-15</v>
      </c>
      <c r="BF67" s="5">
        <v>45</v>
      </c>
      <c r="BG67" s="413" t="s">
        <v>2237</v>
      </c>
      <c r="BH67" s="145">
        <v>784</v>
      </c>
      <c r="BI67" s="916">
        <v>2.12</v>
      </c>
      <c r="BJ67" s="145">
        <v>4542</v>
      </c>
      <c r="BK67" s="145">
        <v>-18</v>
      </c>
      <c r="BM67" s="5">
        <v>45</v>
      </c>
      <c r="BN67" s="413" t="s">
        <v>2238</v>
      </c>
      <c r="BO67" s="145">
        <v>710</v>
      </c>
      <c r="BP67" s="916">
        <v>2.63</v>
      </c>
      <c r="BQ67" s="145">
        <v>4430</v>
      </c>
      <c r="BR67" s="145">
        <v>-15</v>
      </c>
      <c r="BS67" s="5"/>
      <c r="BT67" s="5">
        <v>45</v>
      </c>
      <c r="BU67" s="413" t="s">
        <v>2239</v>
      </c>
      <c r="BV67" s="145">
        <v>1238</v>
      </c>
      <c r="BW67" s="916">
        <v>2.19</v>
      </c>
      <c r="BX67" s="145">
        <v>5147</v>
      </c>
      <c r="BY67" s="145">
        <v>-17</v>
      </c>
      <c r="BZ67" s="5"/>
      <c r="CA67" s="5">
        <v>45</v>
      </c>
      <c r="CB67" s="413" t="s">
        <v>718</v>
      </c>
      <c r="CC67" s="145"/>
      <c r="CD67" s="916"/>
      <c r="CE67" s="145"/>
      <c r="CF67" s="145"/>
      <c r="CG67" s="5"/>
      <c r="CH67" s="5"/>
      <c r="CI67" s="5"/>
    </row>
    <row r="68" spans="2:87" ht="15" hidden="1" customHeight="1" x14ac:dyDescent="0.2">
      <c r="B68" s="1086" t="s">
        <v>2696</v>
      </c>
      <c r="C68" s="1086" t="s">
        <v>770</v>
      </c>
      <c r="D68" s="1087"/>
      <c r="E68" s="1087"/>
      <c r="F68" s="678"/>
      <c r="M68" s="5">
        <v>46</v>
      </c>
      <c r="N68" s="413" t="str">
        <f t="shared" si="0"/>
        <v>Ludesch</v>
      </c>
      <c r="O68" s="414">
        <f t="shared" si="1"/>
        <v>555</v>
      </c>
      <c r="P68" s="414">
        <f t="shared" si="2"/>
        <v>3.34</v>
      </c>
      <c r="Q68" s="145">
        <f t="shared" si="5"/>
        <v>-15</v>
      </c>
      <c r="R68" s="414">
        <f t="shared" si="3"/>
        <v>3815</v>
      </c>
      <c r="S68" s="414">
        <f t="shared" si="4"/>
        <v>-15</v>
      </c>
      <c r="T68" s="19"/>
      <c r="U68" s="5"/>
      <c r="V68" s="5"/>
      <c r="W68" s="5">
        <v>46</v>
      </c>
      <c r="X68" s="144" t="s">
        <v>2240</v>
      </c>
      <c r="Y68" s="145">
        <v>555</v>
      </c>
      <c r="Z68" s="916">
        <v>3.34</v>
      </c>
      <c r="AA68" s="145">
        <v>3815</v>
      </c>
      <c r="AB68" s="145">
        <v>-15</v>
      </c>
      <c r="AD68" s="5">
        <v>46</v>
      </c>
      <c r="AE68" s="413" t="s">
        <v>2241</v>
      </c>
      <c r="AF68" s="145">
        <v>280</v>
      </c>
      <c r="AG68" s="916">
        <v>3.41</v>
      </c>
      <c r="AH68" s="145">
        <v>3417</v>
      </c>
      <c r="AI68" s="145">
        <v>-12</v>
      </c>
      <c r="AK68" s="5">
        <v>46</v>
      </c>
      <c r="AL68" s="413" t="s">
        <v>2242</v>
      </c>
      <c r="AM68" s="145">
        <v>437</v>
      </c>
      <c r="AN68" s="916">
        <v>1.99</v>
      </c>
      <c r="AO68" s="145">
        <v>4052</v>
      </c>
      <c r="AP68" s="145">
        <v>-16</v>
      </c>
      <c r="AR68" s="5">
        <v>46</v>
      </c>
      <c r="AS68" s="413" t="s">
        <v>2243</v>
      </c>
      <c r="AT68" s="145">
        <v>343</v>
      </c>
      <c r="AU68" s="916">
        <v>3.28</v>
      </c>
      <c r="AV68" s="145">
        <v>3695</v>
      </c>
      <c r="AW68" s="145">
        <v>-14</v>
      </c>
      <c r="AY68" s="5">
        <v>46</v>
      </c>
      <c r="AZ68" s="413" t="s">
        <v>2244</v>
      </c>
      <c r="BA68" s="145">
        <v>680</v>
      </c>
      <c r="BB68" s="916">
        <v>2.63</v>
      </c>
      <c r="BC68" s="145">
        <v>4325</v>
      </c>
      <c r="BD68" s="145">
        <v>-16</v>
      </c>
      <c r="BF68" s="5">
        <v>46</v>
      </c>
      <c r="BG68" s="413" t="s">
        <v>2245</v>
      </c>
      <c r="BH68" s="145">
        <v>561</v>
      </c>
      <c r="BI68" s="916">
        <v>2.91</v>
      </c>
      <c r="BJ68" s="145">
        <v>4203</v>
      </c>
      <c r="BK68" s="145">
        <v>-16</v>
      </c>
      <c r="BM68" s="5">
        <v>46</v>
      </c>
      <c r="BN68" s="413" t="s">
        <v>2246</v>
      </c>
      <c r="BO68" s="145">
        <v>275</v>
      </c>
      <c r="BP68" s="916">
        <v>3.14</v>
      </c>
      <c r="BQ68" s="145">
        <v>3541</v>
      </c>
      <c r="BR68" s="145">
        <v>-13</v>
      </c>
      <c r="BS68" s="5"/>
      <c r="BT68" s="5">
        <v>46</v>
      </c>
      <c r="BU68" s="413" t="s">
        <v>2247</v>
      </c>
      <c r="BV68" s="145">
        <v>1006</v>
      </c>
      <c r="BW68" s="916">
        <v>2.83</v>
      </c>
      <c r="BX68" s="145">
        <v>4430</v>
      </c>
      <c r="BY68" s="145">
        <v>-15</v>
      </c>
      <c r="BZ68" s="5"/>
      <c r="CA68" s="5">
        <v>46</v>
      </c>
      <c r="CB68" s="413" t="s">
        <v>718</v>
      </c>
      <c r="CC68" s="145"/>
      <c r="CD68" s="916"/>
      <c r="CE68" s="145"/>
      <c r="CF68" s="145"/>
      <c r="CG68" s="5"/>
      <c r="CH68" s="5"/>
      <c r="CI68" s="5"/>
    </row>
    <row r="69" spans="2:87" ht="15.6" hidden="1" customHeight="1" x14ac:dyDescent="0.2">
      <c r="B69" s="902">
        <v>1</v>
      </c>
      <c r="C69" s="990"/>
      <c r="F69" s="21"/>
      <c r="M69" s="5">
        <v>47</v>
      </c>
      <c r="N69" s="413" t="str">
        <f t="shared" si="0"/>
        <v>Lustenau</v>
      </c>
      <c r="O69" s="414">
        <f t="shared" si="1"/>
        <v>404</v>
      </c>
      <c r="P69" s="414">
        <f t="shared" si="2"/>
        <v>3.72</v>
      </c>
      <c r="Q69" s="145">
        <f t="shared" si="5"/>
        <v>-12</v>
      </c>
      <c r="R69" s="414">
        <f t="shared" si="3"/>
        <v>3647</v>
      </c>
      <c r="S69" s="414">
        <f t="shared" si="4"/>
        <v>-12</v>
      </c>
      <c r="T69" s="19"/>
      <c r="U69" s="5"/>
      <c r="V69" s="5"/>
      <c r="W69" s="5">
        <v>47</v>
      </c>
      <c r="X69" s="144" t="s">
        <v>2248</v>
      </c>
      <c r="Y69" s="145">
        <v>404</v>
      </c>
      <c r="Z69" s="916">
        <v>3.72</v>
      </c>
      <c r="AA69" s="145">
        <v>3647</v>
      </c>
      <c r="AB69" s="145">
        <v>-12</v>
      </c>
      <c r="AD69" s="5">
        <v>47</v>
      </c>
      <c r="AE69" s="413" t="s">
        <v>2249</v>
      </c>
      <c r="AF69" s="145">
        <v>340</v>
      </c>
      <c r="AG69" s="916">
        <v>3.21</v>
      </c>
      <c r="AH69" s="145">
        <v>3761</v>
      </c>
      <c r="AI69" s="145">
        <v>-13</v>
      </c>
      <c r="AK69" s="5">
        <v>47</v>
      </c>
      <c r="AL69" s="413" t="s">
        <v>2250</v>
      </c>
      <c r="AM69" s="145">
        <v>490</v>
      </c>
      <c r="AN69" s="916">
        <v>2.2999999999999998</v>
      </c>
      <c r="AO69" s="145">
        <v>3983</v>
      </c>
      <c r="AP69" s="145">
        <v>-16</v>
      </c>
      <c r="AR69" s="5">
        <v>47</v>
      </c>
      <c r="AS69" s="413" t="s">
        <v>2251</v>
      </c>
      <c r="AT69" s="145">
        <v>402</v>
      </c>
      <c r="AU69" s="916">
        <v>3.13</v>
      </c>
      <c r="AV69" s="145">
        <v>3879</v>
      </c>
      <c r="AW69" s="145">
        <v>-14</v>
      </c>
      <c r="AY69" s="5">
        <v>47</v>
      </c>
      <c r="AZ69" s="413" t="s">
        <v>2252</v>
      </c>
      <c r="BA69" s="145">
        <v>395</v>
      </c>
      <c r="BB69" s="916">
        <v>3.13</v>
      </c>
      <c r="BC69" s="145">
        <v>3863</v>
      </c>
      <c r="BD69" s="145">
        <v>-15</v>
      </c>
      <c r="BF69" s="5">
        <v>47</v>
      </c>
      <c r="BG69" s="413" t="s">
        <v>2253</v>
      </c>
      <c r="BH69" s="145">
        <v>1159</v>
      </c>
      <c r="BI69" s="916">
        <v>2.65</v>
      </c>
      <c r="BJ69" s="145">
        <v>4807</v>
      </c>
      <c r="BK69" s="145">
        <v>-16</v>
      </c>
      <c r="BM69" s="5">
        <v>47</v>
      </c>
      <c r="BN69" s="413" t="s">
        <v>2254</v>
      </c>
      <c r="BO69" s="145">
        <v>284</v>
      </c>
      <c r="BP69" s="916">
        <v>3.19</v>
      </c>
      <c r="BQ69" s="145">
        <v>3530</v>
      </c>
      <c r="BR69" s="145">
        <v>-13</v>
      </c>
      <c r="BS69" s="5"/>
      <c r="BT69" s="5">
        <v>47</v>
      </c>
      <c r="BU69" s="413" t="s">
        <v>2255</v>
      </c>
      <c r="BV69" s="145">
        <v>670</v>
      </c>
      <c r="BW69" s="916">
        <v>2.4900000000000002</v>
      </c>
      <c r="BX69" s="145">
        <v>4168</v>
      </c>
      <c r="BY69" s="145">
        <v>-16</v>
      </c>
      <c r="BZ69" s="5"/>
      <c r="CA69" s="5">
        <v>47</v>
      </c>
      <c r="CB69" s="413" t="s">
        <v>718</v>
      </c>
      <c r="CC69" s="145"/>
      <c r="CD69" s="916"/>
      <c r="CE69" s="145"/>
      <c r="CF69" s="145"/>
      <c r="CG69" s="5"/>
      <c r="CH69" s="5"/>
      <c r="CI69" s="5"/>
    </row>
    <row r="70" spans="2:87" ht="15.6" hidden="1" customHeight="1" x14ac:dyDescent="0.2">
      <c r="B70" s="902">
        <v>2</v>
      </c>
      <c r="C70" s="991" t="str">
        <f>'WP1'!T134</f>
        <v>Pompe à chaleur air/eau une vitesse</v>
      </c>
      <c r="F70" s="21"/>
      <c r="M70" s="5">
        <v>48</v>
      </c>
      <c r="N70" s="413" t="str">
        <f t="shared" si="0"/>
        <v>Mäder</v>
      </c>
      <c r="O70" s="414">
        <f t="shared" si="1"/>
        <v>414</v>
      </c>
      <c r="P70" s="414">
        <f t="shared" si="2"/>
        <v>3.85</v>
      </c>
      <c r="Q70" s="145">
        <f t="shared" si="5"/>
        <v>-13</v>
      </c>
      <c r="R70" s="414">
        <f t="shared" si="3"/>
        <v>3537</v>
      </c>
      <c r="S70" s="414">
        <f t="shared" si="4"/>
        <v>-13</v>
      </c>
      <c r="T70" s="19"/>
      <c r="U70" s="5"/>
      <c r="V70" s="5"/>
      <c r="W70" s="5">
        <v>48</v>
      </c>
      <c r="X70" s="144" t="s">
        <v>2256</v>
      </c>
      <c r="Y70" s="145">
        <v>414</v>
      </c>
      <c r="Z70" s="916">
        <v>3.85</v>
      </c>
      <c r="AA70" s="145">
        <v>3537</v>
      </c>
      <c r="AB70" s="145">
        <v>-13</v>
      </c>
      <c r="AD70" s="5">
        <v>48</v>
      </c>
      <c r="AE70" s="413" t="s">
        <v>2257</v>
      </c>
      <c r="AF70" s="145">
        <v>206</v>
      </c>
      <c r="AG70" s="916">
        <v>3.47</v>
      </c>
      <c r="AH70" s="145">
        <v>3439</v>
      </c>
      <c r="AI70" s="145">
        <v>-13</v>
      </c>
      <c r="AK70" s="5">
        <v>48</v>
      </c>
      <c r="AL70" s="413" t="s">
        <v>2258</v>
      </c>
      <c r="AM70" s="145">
        <v>545</v>
      </c>
      <c r="AN70" s="916">
        <v>2.38</v>
      </c>
      <c r="AO70" s="145">
        <v>4105</v>
      </c>
      <c r="AP70" s="145">
        <v>-16</v>
      </c>
      <c r="AR70" s="5">
        <v>48</v>
      </c>
      <c r="AS70" s="413" t="s">
        <v>2259</v>
      </c>
      <c r="AT70" s="145">
        <v>800</v>
      </c>
      <c r="AU70" s="916">
        <v>2.89</v>
      </c>
      <c r="AV70" s="145">
        <v>4448</v>
      </c>
      <c r="AW70" s="145">
        <v>-16</v>
      </c>
      <c r="AY70" s="5">
        <v>48</v>
      </c>
      <c r="AZ70" s="413" t="s">
        <v>2260</v>
      </c>
      <c r="BA70" s="145">
        <v>430</v>
      </c>
      <c r="BB70" s="916">
        <v>3.39</v>
      </c>
      <c r="BC70" s="145">
        <v>3821</v>
      </c>
      <c r="BD70" s="145">
        <v>-13</v>
      </c>
      <c r="BF70" s="5">
        <v>48</v>
      </c>
      <c r="BG70" s="413" t="s">
        <v>2261</v>
      </c>
      <c r="BH70" s="145">
        <v>469</v>
      </c>
      <c r="BI70" s="916">
        <v>3.82</v>
      </c>
      <c r="BJ70" s="145">
        <v>3754</v>
      </c>
      <c r="BK70" s="145">
        <v>-14</v>
      </c>
      <c r="BM70" s="5">
        <v>48</v>
      </c>
      <c r="BN70" s="413" t="s">
        <v>2262</v>
      </c>
      <c r="BO70" s="145">
        <v>342</v>
      </c>
      <c r="BP70" s="916">
        <v>2.65</v>
      </c>
      <c r="BQ70" s="145">
        <v>3799</v>
      </c>
      <c r="BR70" s="145">
        <v>-15</v>
      </c>
      <c r="BS70" s="5"/>
      <c r="BT70" s="5">
        <v>48</v>
      </c>
      <c r="BU70" s="413" t="s">
        <v>2263</v>
      </c>
      <c r="BV70" s="145">
        <v>560</v>
      </c>
      <c r="BW70" s="916">
        <v>3.09</v>
      </c>
      <c r="BX70" s="145">
        <v>3737</v>
      </c>
      <c r="BY70" s="145">
        <v>-14</v>
      </c>
      <c r="BZ70" s="5"/>
      <c r="CA70" s="5">
        <v>48</v>
      </c>
      <c r="CB70" s="413" t="s">
        <v>718</v>
      </c>
      <c r="CC70" s="145"/>
      <c r="CD70" s="916"/>
      <c r="CE70" s="145"/>
      <c r="CF70" s="145"/>
      <c r="CG70" s="5"/>
      <c r="CH70" s="5"/>
      <c r="CI70" s="5"/>
    </row>
    <row r="71" spans="2:87" ht="15.6" hidden="1" customHeight="1" x14ac:dyDescent="0.2">
      <c r="B71" s="902">
        <v>2</v>
      </c>
      <c r="C71" s="991" t="str">
        <f>'WP1'!T135</f>
        <v>Pompe à chaleur air/eau 2 vitesses</v>
      </c>
      <c r="F71" s="21"/>
      <c r="M71" s="5">
        <v>49</v>
      </c>
      <c r="N71" s="413" t="str">
        <f t="shared" si="0"/>
        <v>Meiningen</v>
      </c>
      <c r="O71" s="414">
        <f t="shared" si="1"/>
        <v>425</v>
      </c>
      <c r="P71" s="414">
        <f t="shared" si="2"/>
        <v>3.84</v>
      </c>
      <c r="Q71" s="145">
        <f t="shared" si="5"/>
        <v>-13</v>
      </c>
      <c r="R71" s="414">
        <f t="shared" si="3"/>
        <v>3491</v>
      </c>
      <c r="S71" s="414">
        <f t="shared" si="4"/>
        <v>-13</v>
      </c>
      <c r="T71" s="19"/>
      <c r="U71" s="5"/>
      <c r="V71" s="5"/>
      <c r="W71" s="5">
        <v>49</v>
      </c>
      <c r="X71" s="144" t="s">
        <v>2264</v>
      </c>
      <c r="Y71" s="145">
        <v>425</v>
      </c>
      <c r="Z71" s="916">
        <v>3.84</v>
      </c>
      <c r="AA71" s="145">
        <v>3491</v>
      </c>
      <c r="AB71" s="145">
        <v>-13</v>
      </c>
      <c r="AD71" s="5">
        <v>49</v>
      </c>
      <c r="AE71" s="413" t="s">
        <v>2265</v>
      </c>
      <c r="AF71" s="145">
        <v>245</v>
      </c>
      <c r="AG71" s="916">
        <v>3.39</v>
      </c>
      <c r="AH71" s="145">
        <v>3522</v>
      </c>
      <c r="AI71" s="145">
        <v>-13</v>
      </c>
      <c r="AK71" s="5">
        <v>49</v>
      </c>
      <c r="AL71" s="413" t="s">
        <v>2266</v>
      </c>
      <c r="AM71" s="145">
        <v>748</v>
      </c>
      <c r="AN71" s="916">
        <v>2.06</v>
      </c>
      <c r="AO71" s="145">
        <v>4611</v>
      </c>
      <c r="AP71" s="145">
        <v>-17</v>
      </c>
      <c r="AR71" s="5">
        <v>49</v>
      </c>
      <c r="AS71" s="413" t="s">
        <v>2267</v>
      </c>
      <c r="AT71" s="145">
        <v>218</v>
      </c>
      <c r="AU71" s="916">
        <v>3.37</v>
      </c>
      <c r="AV71" s="145">
        <v>3592</v>
      </c>
      <c r="AW71" s="145">
        <v>-14</v>
      </c>
      <c r="AY71" s="5">
        <v>49</v>
      </c>
      <c r="AZ71" s="413" t="s">
        <v>2268</v>
      </c>
      <c r="BA71" s="145">
        <v>529</v>
      </c>
      <c r="BB71" s="916">
        <v>3.05</v>
      </c>
      <c r="BC71" s="145">
        <v>3984</v>
      </c>
      <c r="BD71" s="145">
        <v>-16</v>
      </c>
      <c r="BF71" s="5">
        <v>49</v>
      </c>
      <c r="BG71" s="413" t="s">
        <v>2269</v>
      </c>
      <c r="BH71" s="145">
        <v>458</v>
      </c>
      <c r="BI71" s="916">
        <v>3.23</v>
      </c>
      <c r="BJ71" s="145">
        <v>3823</v>
      </c>
      <c r="BK71" s="145">
        <v>-15</v>
      </c>
      <c r="BM71" s="5">
        <v>49</v>
      </c>
      <c r="BN71" s="413" t="s">
        <v>2270</v>
      </c>
      <c r="BO71" s="145">
        <v>318</v>
      </c>
      <c r="BP71" s="916">
        <v>2.82</v>
      </c>
      <c r="BQ71" s="145">
        <v>3693</v>
      </c>
      <c r="BR71" s="145">
        <v>-14</v>
      </c>
      <c r="BS71" s="5"/>
      <c r="BT71" s="5">
        <v>49</v>
      </c>
      <c r="BU71" s="413" t="s">
        <v>2271</v>
      </c>
      <c r="BV71" s="145">
        <v>1003</v>
      </c>
      <c r="BW71" s="916">
        <v>2.5499999999999998</v>
      </c>
      <c r="BX71" s="145">
        <v>4747</v>
      </c>
      <c r="BY71" s="145">
        <v>-17</v>
      </c>
      <c r="BZ71" s="5"/>
      <c r="CA71" s="5">
        <v>49</v>
      </c>
      <c r="CB71" s="413" t="s">
        <v>718</v>
      </c>
      <c r="CC71" s="145"/>
      <c r="CD71" s="916"/>
      <c r="CE71" s="145"/>
      <c r="CF71" s="145"/>
      <c r="CG71" s="5"/>
      <c r="CH71" s="5"/>
      <c r="CI71" s="5"/>
    </row>
    <row r="72" spans="2:87" ht="15.6" hidden="1" customHeight="1" x14ac:dyDescent="0.2">
      <c r="B72" s="902">
        <v>2</v>
      </c>
      <c r="C72" s="991" t="str">
        <f>'WP1'!T136</f>
        <v>Pompe à chaleur air/eau Plusieurs vitesses</v>
      </c>
      <c r="F72" s="21"/>
      <c r="M72" s="5">
        <v>50</v>
      </c>
      <c r="N72" s="413" t="str">
        <f t="shared" si="0"/>
        <v>Mellau</v>
      </c>
      <c r="O72" s="414">
        <f t="shared" si="1"/>
        <v>688</v>
      </c>
      <c r="P72" s="414">
        <f t="shared" si="2"/>
        <v>2.74</v>
      </c>
      <c r="Q72" s="145">
        <f t="shared" si="5"/>
        <v>-17</v>
      </c>
      <c r="R72" s="414">
        <f t="shared" si="3"/>
        <v>4366</v>
      </c>
      <c r="S72" s="414">
        <f t="shared" si="4"/>
        <v>-17</v>
      </c>
      <c r="T72" s="19"/>
      <c r="U72" s="5"/>
      <c r="V72" s="5"/>
      <c r="W72" s="5">
        <v>50</v>
      </c>
      <c r="X72" s="144" t="s">
        <v>2272</v>
      </c>
      <c r="Y72" s="145">
        <v>688</v>
      </c>
      <c r="Z72" s="916">
        <v>2.74</v>
      </c>
      <c r="AA72" s="145">
        <v>4366</v>
      </c>
      <c r="AB72" s="145">
        <v>-17</v>
      </c>
      <c r="AD72" s="5">
        <v>50</v>
      </c>
      <c r="AE72" s="413" t="s">
        <v>2273</v>
      </c>
      <c r="AF72" s="145">
        <v>400</v>
      </c>
      <c r="AG72" s="916">
        <v>3.02</v>
      </c>
      <c r="AH72" s="145">
        <v>3753</v>
      </c>
      <c r="AI72" s="145">
        <v>-13</v>
      </c>
      <c r="AK72" s="5">
        <v>50</v>
      </c>
      <c r="AL72" s="413" t="s">
        <v>2274</v>
      </c>
      <c r="AM72" s="145">
        <v>732</v>
      </c>
      <c r="AN72" s="916">
        <v>2.94</v>
      </c>
      <c r="AO72" s="145">
        <v>4145</v>
      </c>
      <c r="AP72" s="145">
        <v>-15</v>
      </c>
      <c r="AR72" s="5">
        <v>50</v>
      </c>
      <c r="AS72" s="413" t="s">
        <v>2275</v>
      </c>
      <c r="AT72" s="145">
        <v>435</v>
      </c>
      <c r="AU72" s="916">
        <v>3.07</v>
      </c>
      <c r="AV72" s="145">
        <v>3928</v>
      </c>
      <c r="AW72" s="145">
        <v>-14</v>
      </c>
      <c r="AY72" s="5">
        <v>50</v>
      </c>
      <c r="AZ72" s="413" t="s">
        <v>2276</v>
      </c>
      <c r="BA72" s="145">
        <v>400</v>
      </c>
      <c r="BB72" s="916">
        <v>3.12</v>
      </c>
      <c r="BC72" s="145">
        <v>3865</v>
      </c>
      <c r="BD72" s="145">
        <v>-14</v>
      </c>
      <c r="BF72" s="5">
        <v>50</v>
      </c>
      <c r="BG72" s="413" t="s">
        <v>2277</v>
      </c>
      <c r="BH72" s="145">
        <v>639</v>
      </c>
      <c r="BI72" s="916">
        <v>2.15</v>
      </c>
      <c r="BJ72" s="145">
        <v>4427</v>
      </c>
      <c r="BK72" s="145">
        <v>-17</v>
      </c>
      <c r="BM72" s="5">
        <v>50</v>
      </c>
      <c r="BN72" s="413" t="s">
        <v>2278</v>
      </c>
      <c r="BO72" s="145">
        <v>1010</v>
      </c>
      <c r="BP72" s="916">
        <v>2.56</v>
      </c>
      <c r="BQ72" s="145">
        <v>4588</v>
      </c>
      <c r="BR72" s="145">
        <v>-16</v>
      </c>
      <c r="BS72" s="5"/>
      <c r="BT72" s="5">
        <v>50</v>
      </c>
      <c r="BU72" s="413" t="s">
        <v>2279</v>
      </c>
      <c r="BV72" s="145">
        <v>992</v>
      </c>
      <c r="BW72" s="916">
        <v>2.64</v>
      </c>
      <c r="BX72" s="145">
        <v>4862</v>
      </c>
      <c r="BY72" s="145">
        <v>-19</v>
      </c>
      <c r="BZ72" s="5"/>
      <c r="CA72" s="5">
        <v>50</v>
      </c>
      <c r="CB72" s="413" t="s">
        <v>718</v>
      </c>
      <c r="CC72" s="145"/>
      <c r="CD72" s="916"/>
      <c r="CE72" s="145"/>
      <c r="CF72" s="145"/>
      <c r="CG72" s="5"/>
      <c r="CH72" s="5"/>
      <c r="CI72" s="5"/>
    </row>
    <row r="73" spans="2:87" ht="15.6" hidden="1" customHeight="1" x14ac:dyDescent="0.2">
      <c r="B73" s="902">
        <v>2</v>
      </c>
      <c r="C73" s="991" t="str">
        <f>'WP1'!T137</f>
        <v>Pompe à chaleur air/eau vitesse variable</v>
      </c>
      <c r="F73" s="21"/>
      <c r="M73" s="5">
        <v>51</v>
      </c>
      <c r="N73" s="413" t="str">
        <f t="shared" si="0"/>
        <v>Mittelberg</v>
      </c>
      <c r="O73" s="414">
        <f t="shared" si="1"/>
        <v>1218</v>
      </c>
      <c r="P73" s="414">
        <f t="shared" si="2"/>
        <v>2.5099999999999998</v>
      </c>
      <c r="Q73" s="145">
        <f t="shared" si="5"/>
        <v>-17</v>
      </c>
      <c r="R73" s="414">
        <f t="shared" si="3"/>
        <v>5124</v>
      </c>
      <c r="S73" s="414">
        <f t="shared" si="4"/>
        <v>-17</v>
      </c>
      <c r="T73" s="19"/>
      <c r="U73" s="5"/>
      <c r="V73" s="5"/>
      <c r="W73" s="5">
        <v>51</v>
      </c>
      <c r="X73" s="144" t="s">
        <v>2280</v>
      </c>
      <c r="Y73" s="145">
        <v>1218</v>
      </c>
      <c r="Z73" s="916">
        <v>2.5099999999999998</v>
      </c>
      <c r="AA73" s="145">
        <v>5124</v>
      </c>
      <c r="AB73" s="145">
        <v>-17</v>
      </c>
      <c r="AD73" s="5">
        <v>51</v>
      </c>
      <c r="AE73" s="413" t="s">
        <v>2281</v>
      </c>
      <c r="AF73" s="145">
        <v>346</v>
      </c>
      <c r="AG73" s="916">
        <v>3.39</v>
      </c>
      <c r="AH73" s="145">
        <v>3488</v>
      </c>
      <c r="AI73" s="145">
        <v>-12</v>
      </c>
      <c r="AK73" s="5">
        <v>51</v>
      </c>
      <c r="AL73" s="413" t="s">
        <v>2282</v>
      </c>
      <c r="AM73" s="145">
        <v>973</v>
      </c>
      <c r="AN73" s="916">
        <v>2.59</v>
      </c>
      <c r="AO73" s="145">
        <v>4630</v>
      </c>
      <c r="AP73" s="145">
        <v>-16</v>
      </c>
      <c r="AR73" s="5">
        <v>51</v>
      </c>
      <c r="AS73" s="413" t="s">
        <v>2283</v>
      </c>
      <c r="AT73" s="145">
        <v>158</v>
      </c>
      <c r="AU73" s="916">
        <v>3.35</v>
      </c>
      <c r="AV73" s="145">
        <v>3446</v>
      </c>
      <c r="AW73" s="145">
        <v>-14</v>
      </c>
      <c r="AY73" s="5">
        <v>51</v>
      </c>
      <c r="AZ73" s="413" t="s">
        <v>2284</v>
      </c>
      <c r="BA73" s="145">
        <v>270</v>
      </c>
      <c r="BB73" s="916">
        <v>3.24</v>
      </c>
      <c r="BC73" s="145">
        <v>3720</v>
      </c>
      <c r="BD73" s="145">
        <v>-15</v>
      </c>
      <c r="BF73" s="5">
        <v>51</v>
      </c>
      <c r="BG73" s="413" t="s">
        <v>2285</v>
      </c>
      <c r="BH73" s="145">
        <v>797</v>
      </c>
      <c r="BI73" s="916">
        <v>2.21</v>
      </c>
      <c r="BJ73" s="145">
        <v>4554</v>
      </c>
      <c r="BK73" s="145">
        <v>-17</v>
      </c>
      <c r="BM73" s="5">
        <v>51</v>
      </c>
      <c r="BN73" s="413" t="s">
        <v>2286</v>
      </c>
      <c r="BO73" s="145">
        <v>692</v>
      </c>
      <c r="BP73" s="916">
        <v>2.85</v>
      </c>
      <c r="BQ73" s="145">
        <v>4150</v>
      </c>
      <c r="BR73" s="145">
        <v>-15</v>
      </c>
      <c r="BS73" s="5"/>
      <c r="BT73" s="5">
        <v>51</v>
      </c>
      <c r="BU73" s="413" t="s">
        <v>2287</v>
      </c>
      <c r="BV73" s="145">
        <v>1493</v>
      </c>
      <c r="BW73" s="916">
        <v>1.78</v>
      </c>
      <c r="BX73" s="145">
        <v>5685</v>
      </c>
      <c r="BY73" s="145">
        <v>-17</v>
      </c>
      <c r="BZ73" s="5"/>
      <c r="CA73" s="5">
        <v>51</v>
      </c>
      <c r="CB73" s="413" t="s">
        <v>718</v>
      </c>
      <c r="CC73" s="145"/>
      <c r="CD73" s="916"/>
      <c r="CE73" s="145"/>
      <c r="CF73" s="145"/>
      <c r="CG73" s="5"/>
      <c r="CH73" s="5"/>
      <c r="CI73" s="5"/>
    </row>
    <row r="74" spans="2:87" ht="15.6" hidden="1" customHeight="1" x14ac:dyDescent="0.2">
      <c r="B74" s="902">
        <v>3</v>
      </c>
      <c r="C74" s="991" t="str">
        <f>'WP1'!T138</f>
        <v>Pompe à chaleur sol/eau une vitesse</v>
      </c>
      <c r="F74" s="21"/>
      <c r="M74" s="5">
        <v>52</v>
      </c>
      <c r="N74" s="413" t="str">
        <f t="shared" si="0"/>
        <v>Nenzing</v>
      </c>
      <c r="O74" s="414">
        <f t="shared" si="1"/>
        <v>530</v>
      </c>
      <c r="P74" s="414">
        <f t="shared" si="2"/>
        <v>3.15</v>
      </c>
      <c r="Q74" s="145">
        <f t="shared" si="5"/>
        <v>-15</v>
      </c>
      <c r="R74" s="414">
        <f t="shared" si="3"/>
        <v>3942</v>
      </c>
      <c r="S74" s="414">
        <f t="shared" si="4"/>
        <v>-15</v>
      </c>
      <c r="T74" s="19"/>
      <c r="U74" s="5"/>
      <c r="V74" s="5"/>
      <c r="W74" s="5">
        <v>52</v>
      </c>
      <c r="X74" s="144" t="s">
        <v>2288</v>
      </c>
      <c r="Y74" s="145">
        <v>530</v>
      </c>
      <c r="Z74" s="916">
        <v>3.15</v>
      </c>
      <c r="AA74" s="145">
        <v>3942</v>
      </c>
      <c r="AB74" s="145">
        <v>-15</v>
      </c>
      <c r="AD74" s="5">
        <v>52</v>
      </c>
      <c r="AE74" s="413" t="s">
        <v>2289</v>
      </c>
      <c r="AF74" s="145">
        <v>312</v>
      </c>
      <c r="AG74" s="916">
        <v>3.38</v>
      </c>
      <c r="AH74" s="145">
        <v>3456</v>
      </c>
      <c r="AI74" s="145">
        <v>-13</v>
      </c>
      <c r="AK74" s="5">
        <v>52</v>
      </c>
      <c r="AL74" s="413" t="s">
        <v>2290</v>
      </c>
      <c r="AM74" s="145">
        <v>543</v>
      </c>
      <c r="AN74" s="916">
        <v>2.4500000000000002</v>
      </c>
      <c r="AO74" s="145">
        <v>4037</v>
      </c>
      <c r="AP74" s="145">
        <v>-16</v>
      </c>
      <c r="AR74" s="5">
        <v>52</v>
      </c>
      <c r="AS74" s="413" t="s">
        <v>3305</v>
      </c>
      <c r="AT74" s="145">
        <v>229</v>
      </c>
      <c r="AU74" s="916">
        <v>3.63</v>
      </c>
      <c r="AV74" s="145">
        <v>3404</v>
      </c>
      <c r="AW74" s="145">
        <v>-13</v>
      </c>
      <c r="AY74" s="5">
        <v>52</v>
      </c>
      <c r="AZ74" s="413" t="s">
        <v>3306</v>
      </c>
      <c r="BA74" s="145">
        <v>518</v>
      </c>
      <c r="BB74" s="916">
        <v>3.09</v>
      </c>
      <c r="BC74" s="145">
        <v>3991</v>
      </c>
      <c r="BD74" s="145">
        <v>-15</v>
      </c>
      <c r="BF74" s="5">
        <v>52</v>
      </c>
      <c r="BG74" s="413" t="s">
        <v>3307</v>
      </c>
      <c r="BH74" s="145">
        <v>610</v>
      </c>
      <c r="BI74" s="916">
        <v>3</v>
      </c>
      <c r="BJ74" s="145">
        <v>4268</v>
      </c>
      <c r="BK74" s="145">
        <v>-15</v>
      </c>
      <c r="BM74" s="5">
        <v>52</v>
      </c>
      <c r="BN74" s="413" t="s">
        <v>3308</v>
      </c>
      <c r="BO74" s="145">
        <v>455</v>
      </c>
      <c r="BP74" s="916">
        <v>3.16</v>
      </c>
      <c r="BQ74" s="145">
        <v>3721</v>
      </c>
      <c r="BR74" s="145">
        <v>-13</v>
      </c>
      <c r="BS74" s="5"/>
      <c r="BT74" s="5">
        <v>52</v>
      </c>
      <c r="BU74" s="413" t="s">
        <v>3309</v>
      </c>
      <c r="BV74" s="145">
        <v>602</v>
      </c>
      <c r="BW74" s="916">
        <v>2.74</v>
      </c>
      <c r="BX74" s="145">
        <v>4074</v>
      </c>
      <c r="BY74" s="145">
        <v>-14</v>
      </c>
      <c r="BZ74" s="5"/>
      <c r="CA74" s="5">
        <v>52</v>
      </c>
      <c r="CB74" s="413" t="s">
        <v>718</v>
      </c>
      <c r="CC74" s="145"/>
      <c r="CD74" s="916"/>
      <c r="CE74" s="145"/>
      <c r="CF74" s="145"/>
      <c r="CG74" s="5"/>
      <c r="CH74" s="5"/>
      <c r="CI74" s="5"/>
    </row>
    <row r="75" spans="2:87" ht="15.6" hidden="1" customHeight="1" x14ac:dyDescent="0.2">
      <c r="B75" s="902">
        <v>3</v>
      </c>
      <c r="C75" s="991" t="str">
        <f>'WP1'!T139</f>
        <v>Pompe à chaleur sol/eau 2 vitesses</v>
      </c>
      <c r="F75" s="21"/>
      <c r="M75" s="5">
        <v>53</v>
      </c>
      <c r="N75" s="413" t="str">
        <f t="shared" si="0"/>
        <v>Nüziders</v>
      </c>
      <c r="O75" s="414">
        <f t="shared" si="1"/>
        <v>570</v>
      </c>
      <c r="P75" s="414">
        <f t="shared" si="2"/>
        <v>3.28</v>
      </c>
      <c r="Q75" s="145">
        <f t="shared" si="5"/>
        <v>-15</v>
      </c>
      <c r="R75" s="414">
        <f t="shared" si="3"/>
        <v>3863</v>
      </c>
      <c r="S75" s="414">
        <f t="shared" si="4"/>
        <v>-15</v>
      </c>
      <c r="T75" s="19"/>
      <c r="U75" s="5"/>
      <c r="V75" s="5"/>
      <c r="W75" s="5">
        <v>53</v>
      </c>
      <c r="X75" s="144" t="s">
        <v>3310</v>
      </c>
      <c r="Y75" s="145">
        <v>570</v>
      </c>
      <c r="Z75" s="916">
        <v>3.28</v>
      </c>
      <c r="AA75" s="145">
        <v>3863</v>
      </c>
      <c r="AB75" s="145">
        <v>-15</v>
      </c>
      <c r="AD75" s="5">
        <v>53</v>
      </c>
      <c r="AE75" s="413" t="s">
        <v>3311</v>
      </c>
      <c r="AF75" s="145">
        <v>250</v>
      </c>
      <c r="AG75" s="916">
        <v>3.41</v>
      </c>
      <c r="AH75" s="145">
        <v>3484</v>
      </c>
      <c r="AI75" s="145">
        <v>-13</v>
      </c>
      <c r="AK75" s="5">
        <v>53</v>
      </c>
      <c r="AL75" s="413" t="s">
        <v>3312</v>
      </c>
      <c r="AM75" s="145">
        <v>605</v>
      </c>
      <c r="AN75" s="916">
        <v>2.66</v>
      </c>
      <c r="AO75" s="145">
        <v>4057</v>
      </c>
      <c r="AP75" s="145">
        <v>-15</v>
      </c>
      <c r="AR75" s="5">
        <v>53</v>
      </c>
      <c r="AS75" s="413" t="s">
        <v>3313</v>
      </c>
      <c r="AT75" s="145">
        <v>450</v>
      </c>
      <c r="AU75" s="916">
        <v>2.54</v>
      </c>
      <c r="AV75" s="145">
        <v>4190</v>
      </c>
      <c r="AW75" s="145">
        <v>-16</v>
      </c>
      <c r="AY75" s="5">
        <v>53</v>
      </c>
      <c r="AZ75" s="413" t="s">
        <v>3314</v>
      </c>
      <c r="BA75" s="145">
        <v>364</v>
      </c>
      <c r="BB75" s="916">
        <v>3.26</v>
      </c>
      <c r="BC75" s="145">
        <v>3750</v>
      </c>
      <c r="BD75" s="145">
        <v>-14</v>
      </c>
      <c r="BF75" s="5">
        <v>53</v>
      </c>
      <c r="BG75" s="413" t="s">
        <v>3855</v>
      </c>
      <c r="BH75" s="145">
        <v>840</v>
      </c>
      <c r="BI75" s="916">
        <v>1.92</v>
      </c>
      <c r="BJ75" s="145">
        <v>4720</v>
      </c>
      <c r="BK75" s="145">
        <v>-16</v>
      </c>
      <c r="BM75" s="5">
        <v>53</v>
      </c>
      <c r="BN75" s="413" t="s">
        <v>3856</v>
      </c>
      <c r="BO75" s="145">
        <v>736</v>
      </c>
      <c r="BP75" s="916">
        <v>2.2599999999999998</v>
      </c>
      <c r="BQ75" s="145">
        <v>4434</v>
      </c>
      <c r="BR75" s="145">
        <v>-16</v>
      </c>
      <c r="BS75" s="5"/>
      <c r="BT75" s="5">
        <v>53</v>
      </c>
      <c r="BU75" s="413" t="s">
        <v>3857</v>
      </c>
      <c r="BV75" s="145">
        <v>959</v>
      </c>
      <c r="BW75" s="916">
        <v>1.78</v>
      </c>
      <c r="BX75" s="145">
        <v>5047</v>
      </c>
      <c r="BY75" s="145">
        <v>-18</v>
      </c>
      <c r="BZ75" s="5"/>
      <c r="CA75" s="5">
        <v>53</v>
      </c>
      <c r="CB75" s="413" t="s">
        <v>718</v>
      </c>
      <c r="CC75" s="145"/>
      <c r="CD75" s="916"/>
      <c r="CE75" s="145"/>
      <c r="CF75" s="145"/>
      <c r="CG75" s="5"/>
      <c r="CH75" s="5"/>
      <c r="CI75" s="5"/>
    </row>
    <row r="76" spans="2:87" ht="14.45" hidden="1" customHeight="1" x14ac:dyDescent="0.2">
      <c r="B76" s="902">
        <v>3</v>
      </c>
      <c r="C76" s="991" t="str">
        <f>'WP1'!T140</f>
        <v>Pompe à chaleur sol/eau Plusieurs vitesses</v>
      </c>
      <c r="F76" s="21"/>
      <c r="M76" s="5">
        <v>54</v>
      </c>
      <c r="N76" s="413" t="str">
        <f t="shared" si="0"/>
        <v>Partenen</v>
      </c>
      <c r="O76" s="414">
        <f t="shared" si="1"/>
        <v>1051</v>
      </c>
      <c r="P76" s="414">
        <f t="shared" si="2"/>
        <v>2.59</v>
      </c>
      <c r="Q76" s="145">
        <f t="shared" si="5"/>
        <v>-17</v>
      </c>
      <c r="R76" s="414">
        <f t="shared" si="3"/>
        <v>4788</v>
      </c>
      <c r="S76" s="414">
        <f t="shared" si="4"/>
        <v>-17</v>
      </c>
      <c r="T76" s="19"/>
      <c r="U76" s="5"/>
      <c r="V76" s="5"/>
      <c r="W76" s="5">
        <v>54</v>
      </c>
      <c r="X76" s="144" t="s">
        <v>3858</v>
      </c>
      <c r="Y76" s="145">
        <v>1051</v>
      </c>
      <c r="Z76" s="916">
        <v>2.59</v>
      </c>
      <c r="AA76" s="145">
        <v>4788</v>
      </c>
      <c r="AB76" s="145">
        <v>-17</v>
      </c>
      <c r="AD76" s="5">
        <v>54</v>
      </c>
      <c r="AE76" s="413" t="s">
        <v>3859</v>
      </c>
      <c r="AF76" s="145">
        <v>240</v>
      </c>
      <c r="AG76" s="916">
        <v>3.43</v>
      </c>
      <c r="AH76" s="145">
        <v>3463</v>
      </c>
      <c r="AI76" s="145">
        <v>-13</v>
      </c>
      <c r="AK76" s="5">
        <v>54</v>
      </c>
      <c r="AL76" s="413" t="s">
        <v>3860</v>
      </c>
      <c r="AM76" s="145">
        <v>870</v>
      </c>
      <c r="AN76" s="916">
        <v>2.4</v>
      </c>
      <c r="AO76" s="145">
        <v>4646</v>
      </c>
      <c r="AP76" s="145">
        <v>-15</v>
      </c>
      <c r="AR76" s="5">
        <v>54</v>
      </c>
      <c r="AS76" s="413" t="s">
        <v>3861</v>
      </c>
      <c r="AT76" s="145">
        <v>197</v>
      </c>
      <c r="AU76" s="916">
        <v>3.44</v>
      </c>
      <c r="AV76" s="145">
        <v>3445</v>
      </c>
      <c r="AW76" s="145">
        <v>-13</v>
      </c>
      <c r="AY76" s="5">
        <v>54</v>
      </c>
      <c r="AZ76" s="413" t="s">
        <v>1119</v>
      </c>
      <c r="BA76" s="145">
        <v>376</v>
      </c>
      <c r="BB76" s="916">
        <v>3.07</v>
      </c>
      <c r="BC76" s="145">
        <v>3878</v>
      </c>
      <c r="BD76" s="145">
        <v>-15</v>
      </c>
      <c r="BF76" s="5">
        <v>54</v>
      </c>
      <c r="BG76" s="413" t="s">
        <v>1120</v>
      </c>
      <c r="BH76" s="145">
        <v>767</v>
      </c>
      <c r="BI76" s="916">
        <v>2.2400000000000002</v>
      </c>
      <c r="BJ76" s="145">
        <v>4476</v>
      </c>
      <c r="BK76" s="145">
        <v>-17</v>
      </c>
      <c r="BM76" s="5">
        <v>54</v>
      </c>
      <c r="BN76" s="413" t="s">
        <v>1121</v>
      </c>
      <c r="BO76" s="145">
        <v>332</v>
      </c>
      <c r="BP76" s="916">
        <v>3.22</v>
      </c>
      <c r="BQ76" s="145">
        <v>3558</v>
      </c>
      <c r="BR76" s="145">
        <v>-13</v>
      </c>
      <c r="BS76" s="5"/>
      <c r="BT76" s="5">
        <v>54</v>
      </c>
      <c r="BU76" s="413" t="s">
        <v>3863</v>
      </c>
      <c r="BV76" s="145">
        <v>2090</v>
      </c>
      <c r="BW76" s="916">
        <v>0.42</v>
      </c>
      <c r="BX76" s="145">
        <v>6794</v>
      </c>
      <c r="BY76" s="145">
        <v>-20</v>
      </c>
      <c r="BZ76" s="5"/>
      <c r="CA76" s="5">
        <v>54</v>
      </c>
      <c r="CB76" s="413" t="s">
        <v>718</v>
      </c>
      <c r="CC76" s="145"/>
      <c r="CD76" s="916"/>
      <c r="CE76" s="145"/>
      <c r="CF76" s="145"/>
      <c r="CG76" s="5"/>
      <c r="CH76" s="5"/>
      <c r="CI76" s="5"/>
    </row>
    <row r="77" spans="2:87" ht="15.6" hidden="1" customHeight="1" x14ac:dyDescent="0.2">
      <c r="B77" s="902">
        <v>3</v>
      </c>
      <c r="C77" s="991" t="str">
        <f>'WP1'!T141</f>
        <v>Pompe à chaleur sol/eau vitesse variable</v>
      </c>
      <c r="F77" s="21"/>
      <c r="M77" s="5">
        <v>55</v>
      </c>
      <c r="N77" s="413" t="str">
        <f t="shared" si="0"/>
        <v>Raggal</v>
      </c>
      <c r="O77" s="414">
        <f t="shared" si="1"/>
        <v>1015</v>
      </c>
      <c r="P77" s="414">
        <f t="shared" si="2"/>
        <v>2.4900000000000002</v>
      </c>
      <c r="Q77" s="145">
        <f t="shared" si="5"/>
        <v>-17</v>
      </c>
      <c r="R77" s="414">
        <f t="shared" si="3"/>
        <v>4780</v>
      </c>
      <c r="S77" s="414">
        <f t="shared" si="4"/>
        <v>-17</v>
      </c>
      <c r="T77" s="19"/>
      <c r="U77" s="5"/>
      <c r="V77" s="5"/>
      <c r="W77" s="5">
        <v>55</v>
      </c>
      <c r="X77" s="144" t="s">
        <v>3864</v>
      </c>
      <c r="Y77" s="145">
        <v>1015</v>
      </c>
      <c r="Z77" s="916">
        <v>2.4900000000000002</v>
      </c>
      <c r="AA77" s="145">
        <v>4780</v>
      </c>
      <c r="AB77" s="145">
        <v>-17</v>
      </c>
      <c r="AD77" s="5">
        <v>55</v>
      </c>
      <c r="AE77" s="413" t="s">
        <v>3865</v>
      </c>
      <c r="AF77" s="145">
        <v>278</v>
      </c>
      <c r="AG77" s="916">
        <v>3.15</v>
      </c>
      <c r="AH77" s="145">
        <v>3539</v>
      </c>
      <c r="AI77" s="145">
        <v>-13</v>
      </c>
      <c r="AK77" s="5">
        <v>55</v>
      </c>
      <c r="AL77" s="413" t="s">
        <v>3866</v>
      </c>
      <c r="AM77" s="145">
        <v>415</v>
      </c>
      <c r="AN77" s="916">
        <v>2.13</v>
      </c>
      <c r="AO77" s="145">
        <v>3967</v>
      </c>
      <c r="AP77" s="145">
        <v>-16</v>
      </c>
      <c r="AR77" s="5">
        <v>55</v>
      </c>
      <c r="AS77" s="413" t="s">
        <v>3867</v>
      </c>
      <c r="AT77" s="145">
        <v>160</v>
      </c>
      <c r="AU77" s="916">
        <v>3.32</v>
      </c>
      <c r="AV77" s="145">
        <v>3536</v>
      </c>
      <c r="AW77" s="145">
        <v>-14</v>
      </c>
      <c r="AY77" s="5">
        <v>55</v>
      </c>
      <c r="AZ77" s="413" t="s">
        <v>3868</v>
      </c>
      <c r="BA77" s="145">
        <v>293</v>
      </c>
      <c r="BB77" s="916">
        <v>3.17</v>
      </c>
      <c r="BC77" s="145">
        <v>3770</v>
      </c>
      <c r="BD77" s="145">
        <v>-15</v>
      </c>
      <c r="BF77" s="5">
        <v>55</v>
      </c>
      <c r="BG77" s="413" t="s">
        <v>809</v>
      </c>
      <c r="BH77" s="145">
        <v>809</v>
      </c>
      <c r="BI77" s="916">
        <v>2.0299999999999998</v>
      </c>
      <c r="BJ77" s="145">
        <v>4707</v>
      </c>
      <c r="BK77" s="145">
        <v>-16</v>
      </c>
      <c r="BM77" s="5">
        <v>55</v>
      </c>
      <c r="BN77" s="413" t="s">
        <v>810</v>
      </c>
      <c r="BO77" s="145">
        <v>864</v>
      </c>
      <c r="BP77" s="916">
        <v>2.84</v>
      </c>
      <c r="BQ77" s="145">
        <v>4634</v>
      </c>
      <c r="BR77" s="145">
        <v>-16</v>
      </c>
      <c r="BS77" s="5"/>
      <c r="BT77" s="5">
        <v>55</v>
      </c>
      <c r="BU77" s="413" t="s">
        <v>811</v>
      </c>
      <c r="BV77" s="145">
        <v>1103</v>
      </c>
      <c r="BW77" s="916">
        <v>2.35</v>
      </c>
      <c r="BX77" s="145">
        <v>4978</v>
      </c>
      <c r="BY77" s="145">
        <v>-17</v>
      </c>
      <c r="BZ77" s="5"/>
      <c r="CA77" s="5">
        <v>55</v>
      </c>
      <c r="CB77" s="413" t="s">
        <v>718</v>
      </c>
      <c r="CC77" s="145"/>
      <c r="CD77" s="916"/>
      <c r="CE77" s="145"/>
      <c r="CF77" s="145"/>
      <c r="CG77" s="5"/>
      <c r="CH77" s="5"/>
      <c r="CI77" s="5"/>
    </row>
    <row r="78" spans="2:87" ht="15.6" hidden="1" customHeight="1" x14ac:dyDescent="0.2">
      <c r="B78" s="902">
        <v>4</v>
      </c>
      <c r="C78" s="991" t="str">
        <f>'WP1'!T142</f>
        <v>Pompe à chaleur eau/eau une vitesse</v>
      </c>
      <c r="F78" s="21"/>
      <c r="M78" s="5">
        <v>56</v>
      </c>
      <c r="N78" s="413" t="str">
        <f t="shared" si="0"/>
        <v>Rankweil</v>
      </c>
      <c r="O78" s="414">
        <f t="shared" si="1"/>
        <v>502</v>
      </c>
      <c r="P78" s="414">
        <f t="shared" si="2"/>
        <v>3.55</v>
      </c>
      <c r="Q78" s="145">
        <f t="shared" si="5"/>
        <v>-14</v>
      </c>
      <c r="R78" s="414">
        <f t="shared" si="3"/>
        <v>3701</v>
      </c>
      <c r="S78" s="414">
        <f t="shared" si="4"/>
        <v>-14</v>
      </c>
      <c r="T78" s="19"/>
      <c r="U78" s="5"/>
      <c r="V78" s="5"/>
      <c r="W78" s="5">
        <v>56</v>
      </c>
      <c r="X78" s="144" t="s">
        <v>812</v>
      </c>
      <c r="Y78" s="145">
        <v>502</v>
      </c>
      <c r="Z78" s="916">
        <v>3.55</v>
      </c>
      <c r="AA78" s="145">
        <v>3701</v>
      </c>
      <c r="AB78" s="145">
        <v>-14</v>
      </c>
      <c r="AD78" s="5">
        <v>56</v>
      </c>
      <c r="AE78" s="413" t="s">
        <v>813</v>
      </c>
      <c r="AF78" s="145">
        <v>265</v>
      </c>
      <c r="AG78" s="916">
        <v>3.28</v>
      </c>
      <c r="AH78" s="145">
        <v>3528</v>
      </c>
      <c r="AI78" s="145">
        <v>-13</v>
      </c>
      <c r="AK78" s="5">
        <v>56</v>
      </c>
      <c r="AL78" s="413" t="s">
        <v>814</v>
      </c>
      <c r="AM78" s="145">
        <v>638</v>
      </c>
      <c r="AN78" s="916">
        <v>2.4300000000000002</v>
      </c>
      <c r="AO78" s="145">
        <v>4200</v>
      </c>
      <c r="AP78" s="145">
        <v>-15</v>
      </c>
      <c r="AR78" s="5">
        <v>56</v>
      </c>
      <c r="AS78" s="413" t="s">
        <v>815</v>
      </c>
      <c r="AT78" s="145">
        <v>610</v>
      </c>
      <c r="AU78" s="916">
        <v>2.35</v>
      </c>
      <c r="AV78" s="145">
        <v>4465</v>
      </c>
      <c r="AW78" s="145">
        <v>-17</v>
      </c>
      <c r="AY78" s="5">
        <v>56</v>
      </c>
      <c r="AZ78" s="413" t="s">
        <v>1901</v>
      </c>
      <c r="BA78" s="145">
        <v>280</v>
      </c>
      <c r="BB78" s="916">
        <v>3.22</v>
      </c>
      <c r="BC78" s="145">
        <v>3641</v>
      </c>
      <c r="BD78" s="145">
        <v>-13</v>
      </c>
      <c r="BF78" s="5">
        <v>56</v>
      </c>
      <c r="BG78" s="413" t="s">
        <v>1902</v>
      </c>
      <c r="BH78" s="145">
        <v>896</v>
      </c>
      <c r="BI78" s="916">
        <v>2.2599999999999998</v>
      </c>
      <c r="BJ78" s="145">
        <v>4560</v>
      </c>
      <c r="BK78" s="145">
        <v>-17</v>
      </c>
      <c r="BM78" s="5">
        <v>56</v>
      </c>
      <c r="BN78" s="413" t="s">
        <v>1903</v>
      </c>
      <c r="BO78" s="145">
        <v>287</v>
      </c>
      <c r="BP78" s="916">
        <v>3.02</v>
      </c>
      <c r="BQ78" s="145">
        <v>3583</v>
      </c>
      <c r="BR78" s="145">
        <v>-14</v>
      </c>
      <c r="BS78" s="5"/>
      <c r="BT78" s="5">
        <v>56</v>
      </c>
      <c r="BU78" s="413" t="s">
        <v>1904</v>
      </c>
      <c r="BV78" s="145">
        <v>621</v>
      </c>
      <c r="BW78" s="916">
        <v>2.4</v>
      </c>
      <c r="BX78" s="145">
        <v>4330</v>
      </c>
      <c r="BY78" s="145">
        <v>-17</v>
      </c>
      <c r="BZ78" s="5"/>
      <c r="CA78" s="5">
        <v>56</v>
      </c>
      <c r="CB78" s="413" t="s">
        <v>718</v>
      </c>
      <c r="CC78" s="145"/>
      <c r="CD78" s="916"/>
      <c r="CE78" s="145"/>
      <c r="CF78" s="145"/>
      <c r="CG78" s="5"/>
      <c r="CH78" s="5"/>
      <c r="CI78" s="5"/>
    </row>
    <row r="79" spans="2:87" ht="15.6" hidden="1" customHeight="1" x14ac:dyDescent="0.2">
      <c r="B79" s="902">
        <v>4</v>
      </c>
      <c r="C79" s="991" t="str">
        <f>'WP1'!T143</f>
        <v>Pompe à chaleur eau/eau 2 vitesses</v>
      </c>
      <c r="F79" s="21"/>
      <c r="M79" s="5">
        <v>57</v>
      </c>
      <c r="N79" s="413" t="str">
        <f t="shared" si="0"/>
        <v>Riefensberg</v>
      </c>
      <c r="O79" s="414">
        <f t="shared" si="1"/>
        <v>781</v>
      </c>
      <c r="P79" s="414">
        <f t="shared" si="2"/>
        <v>2.62</v>
      </c>
      <c r="Q79" s="145">
        <f t="shared" si="5"/>
        <v>-16</v>
      </c>
      <c r="R79" s="414">
        <f t="shared" si="3"/>
        <v>4570</v>
      </c>
      <c r="S79" s="414">
        <f t="shared" si="4"/>
        <v>-16</v>
      </c>
      <c r="T79" s="19"/>
      <c r="U79" s="5"/>
      <c r="V79" s="5"/>
      <c r="W79" s="5">
        <v>57</v>
      </c>
      <c r="X79" s="144" t="s">
        <v>1905</v>
      </c>
      <c r="Y79" s="145">
        <v>781</v>
      </c>
      <c r="Z79" s="916">
        <v>2.62</v>
      </c>
      <c r="AA79" s="145">
        <v>4570</v>
      </c>
      <c r="AB79" s="145">
        <v>-16</v>
      </c>
      <c r="AD79" s="5">
        <v>57</v>
      </c>
      <c r="AE79" s="413" t="s">
        <v>1906</v>
      </c>
      <c r="AF79" s="145">
        <v>228</v>
      </c>
      <c r="AG79" s="916">
        <v>3.17</v>
      </c>
      <c r="AH79" s="145">
        <v>3568</v>
      </c>
      <c r="AI79" s="145">
        <v>-14</v>
      </c>
      <c r="AK79" s="5">
        <v>57</v>
      </c>
      <c r="AL79" s="413" t="s">
        <v>1907</v>
      </c>
      <c r="AM79" s="145">
        <v>484</v>
      </c>
      <c r="AN79" s="916">
        <v>2.5099999999999998</v>
      </c>
      <c r="AO79" s="145">
        <v>4041</v>
      </c>
      <c r="AP79" s="145">
        <v>-16</v>
      </c>
      <c r="AR79" s="5">
        <v>57</v>
      </c>
      <c r="AS79" s="413" t="s">
        <v>1908</v>
      </c>
      <c r="AT79" s="145">
        <v>162</v>
      </c>
      <c r="AU79" s="916">
        <v>3.29</v>
      </c>
      <c r="AV79" s="145">
        <v>3593</v>
      </c>
      <c r="AW79" s="145">
        <v>-14</v>
      </c>
      <c r="AY79" s="5">
        <v>57</v>
      </c>
      <c r="AZ79" s="413" t="s">
        <v>1909</v>
      </c>
      <c r="BA79" s="145">
        <v>371</v>
      </c>
      <c r="BB79" s="916">
        <v>3.04</v>
      </c>
      <c r="BC79" s="145">
        <v>3884</v>
      </c>
      <c r="BD79" s="145">
        <v>-15</v>
      </c>
      <c r="BF79" s="5">
        <v>57</v>
      </c>
      <c r="BG79" s="413" t="s">
        <v>1910</v>
      </c>
      <c r="BH79" s="145">
        <v>1120</v>
      </c>
      <c r="BI79" s="916">
        <v>1.93</v>
      </c>
      <c r="BJ79" s="145">
        <v>5185</v>
      </c>
      <c r="BK79" s="145">
        <v>-20</v>
      </c>
      <c r="BM79" s="5">
        <v>57</v>
      </c>
      <c r="BN79" s="413" t="s">
        <v>1911</v>
      </c>
      <c r="BO79" s="145">
        <v>600</v>
      </c>
      <c r="BP79" s="916">
        <v>2.97</v>
      </c>
      <c r="BQ79" s="145">
        <v>4019</v>
      </c>
      <c r="BR79" s="145">
        <v>-14</v>
      </c>
      <c r="BS79" s="5"/>
      <c r="BT79" s="5">
        <v>57</v>
      </c>
      <c r="BU79" s="413" t="s">
        <v>1912</v>
      </c>
      <c r="BV79" s="145">
        <v>1107</v>
      </c>
      <c r="BW79" s="916">
        <v>2.33</v>
      </c>
      <c r="BX79" s="145">
        <v>4912</v>
      </c>
      <c r="BY79" s="145">
        <v>-16</v>
      </c>
      <c r="BZ79" s="5"/>
      <c r="CA79" s="5">
        <v>57</v>
      </c>
      <c r="CB79" s="413" t="s">
        <v>718</v>
      </c>
      <c r="CC79" s="145"/>
      <c r="CD79" s="916"/>
      <c r="CE79" s="145"/>
      <c r="CF79" s="145"/>
      <c r="CG79" s="5"/>
      <c r="CH79" s="5"/>
      <c r="CI79" s="5"/>
    </row>
    <row r="80" spans="2:87" ht="15.6" hidden="1" customHeight="1" x14ac:dyDescent="0.2">
      <c r="B80" s="902">
        <v>4</v>
      </c>
      <c r="C80" s="991" t="str">
        <f>'WP1'!T144</f>
        <v>Pompe à chaleur eau/eau Plusieurs vitesses</v>
      </c>
      <c r="F80" s="21"/>
      <c r="M80" s="5">
        <v>58</v>
      </c>
      <c r="N80" s="413" t="str">
        <f t="shared" si="0"/>
        <v>Riezlern</v>
      </c>
      <c r="O80" s="414">
        <f t="shared" si="1"/>
        <v>1088</v>
      </c>
      <c r="P80" s="414">
        <f t="shared" si="2"/>
        <v>2.37</v>
      </c>
      <c r="Q80" s="145">
        <f t="shared" si="5"/>
        <v>-18</v>
      </c>
      <c r="R80" s="414">
        <f t="shared" si="3"/>
        <v>5041</v>
      </c>
      <c r="S80" s="414">
        <f t="shared" si="4"/>
        <v>-18</v>
      </c>
      <c r="T80" s="19"/>
      <c r="U80" s="5"/>
      <c r="V80" s="5"/>
      <c r="W80" s="5">
        <v>58</v>
      </c>
      <c r="X80" s="144" t="s">
        <v>1913</v>
      </c>
      <c r="Y80" s="145">
        <v>1088</v>
      </c>
      <c r="Z80" s="916">
        <v>2.37</v>
      </c>
      <c r="AA80" s="145">
        <v>5041</v>
      </c>
      <c r="AB80" s="145">
        <v>-18</v>
      </c>
      <c r="AD80" s="5">
        <v>58</v>
      </c>
      <c r="AE80" s="413" t="s">
        <v>1914</v>
      </c>
      <c r="AF80" s="145">
        <v>129</v>
      </c>
      <c r="AG80" s="916">
        <v>3.48</v>
      </c>
      <c r="AH80" s="145">
        <v>3370</v>
      </c>
      <c r="AI80" s="145">
        <v>-14</v>
      </c>
      <c r="AK80" s="5">
        <v>58</v>
      </c>
      <c r="AL80" s="413" t="s">
        <v>1915</v>
      </c>
      <c r="AM80" s="145">
        <v>511</v>
      </c>
      <c r="AN80" s="916">
        <v>2.46</v>
      </c>
      <c r="AO80" s="145">
        <v>3982</v>
      </c>
      <c r="AP80" s="145">
        <v>-16</v>
      </c>
      <c r="AR80" s="5">
        <v>58</v>
      </c>
      <c r="AS80" s="413" t="s">
        <v>1916</v>
      </c>
      <c r="AT80" s="145">
        <v>468</v>
      </c>
      <c r="AU80" s="916">
        <v>2.67</v>
      </c>
      <c r="AV80" s="145">
        <v>4195</v>
      </c>
      <c r="AW80" s="145">
        <v>-16</v>
      </c>
      <c r="AY80" s="5">
        <v>58</v>
      </c>
      <c r="AZ80" s="413" t="s">
        <v>1917</v>
      </c>
      <c r="BA80" s="145">
        <v>510</v>
      </c>
      <c r="BB80" s="916">
        <v>2.83</v>
      </c>
      <c r="BC80" s="145">
        <v>4086</v>
      </c>
      <c r="BD80" s="145">
        <v>-15</v>
      </c>
      <c r="BF80" s="5">
        <v>58</v>
      </c>
      <c r="BG80" s="413" t="s">
        <v>1918</v>
      </c>
      <c r="BH80" s="145">
        <v>503</v>
      </c>
      <c r="BI80" s="916">
        <v>3.23</v>
      </c>
      <c r="BJ80" s="145">
        <v>3841</v>
      </c>
      <c r="BK80" s="145">
        <v>-15</v>
      </c>
      <c r="BM80" s="5">
        <v>58</v>
      </c>
      <c r="BN80" s="413" t="s">
        <v>1919</v>
      </c>
      <c r="BO80" s="145">
        <v>438</v>
      </c>
      <c r="BP80" s="916">
        <v>3</v>
      </c>
      <c r="BQ80" s="145">
        <v>3807</v>
      </c>
      <c r="BR80" s="145">
        <v>-14</v>
      </c>
      <c r="BS80" s="5"/>
      <c r="BT80" s="5">
        <v>58</v>
      </c>
      <c r="BU80" s="413" t="s">
        <v>1920</v>
      </c>
      <c r="BV80" s="145">
        <v>810</v>
      </c>
      <c r="BW80" s="916">
        <v>2.27</v>
      </c>
      <c r="BX80" s="145">
        <v>4469</v>
      </c>
      <c r="BY80" s="145">
        <v>-16</v>
      </c>
      <c r="BZ80" s="5"/>
      <c r="CA80" s="5">
        <v>58</v>
      </c>
      <c r="CB80" s="413" t="s">
        <v>718</v>
      </c>
      <c r="CC80" s="145"/>
      <c r="CD80" s="916"/>
      <c r="CE80" s="145"/>
      <c r="CF80" s="145"/>
      <c r="CG80" s="5"/>
      <c r="CH80" s="5"/>
      <c r="CI80" s="5"/>
    </row>
    <row r="81" spans="2:87" ht="15.6" hidden="1" customHeight="1" x14ac:dyDescent="0.2">
      <c r="B81" s="902">
        <v>4</v>
      </c>
      <c r="C81" s="991" t="str">
        <f>'WP1'!T145</f>
        <v>Pompe à chaleur eau/eau vitesse variable</v>
      </c>
      <c r="F81" s="21"/>
      <c r="M81" s="5">
        <v>59</v>
      </c>
      <c r="N81" s="413" t="str">
        <f t="shared" si="0"/>
        <v>Röthis</v>
      </c>
      <c r="O81" s="414">
        <f t="shared" si="1"/>
        <v>500</v>
      </c>
      <c r="P81" s="414">
        <f t="shared" si="2"/>
        <v>3.55</v>
      </c>
      <c r="Q81" s="145">
        <f t="shared" si="5"/>
        <v>-14</v>
      </c>
      <c r="R81" s="414">
        <f t="shared" si="3"/>
        <v>3701</v>
      </c>
      <c r="S81" s="414">
        <f t="shared" si="4"/>
        <v>-14</v>
      </c>
      <c r="T81" s="19"/>
      <c r="U81" s="5"/>
      <c r="V81" s="5"/>
      <c r="W81" s="5">
        <v>59</v>
      </c>
      <c r="X81" s="144" t="s">
        <v>1921</v>
      </c>
      <c r="Y81" s="145">
        <v>500</v>
      </c>
      <c r="Z81" s="916">
        <v>3.55</v>
      </c>
      <c r="AA81" s="145">
        <v>3701</v>
      </c>
      <c r="AB81" s="145">
        <v>-14</v>
      </c>
      <c r="AD81" s="5">
        <v>59</v>
      </c>
      <c r="AE81" s="413" t="s">
        <v>1922</v>
      </c>
      <c r="AF81" s="145">
        <v>122</v>
      </c>
      <c r="AG81" s="916">
        <v>3.41</v>
      </c>
      <c r="AH81" s="145">
        <v>3352</v>
      </c>
      <c r="AI81" s="145">
        <v>-13</v>
      </c>
      <c r="AK81" s="5">
        <v>59</v>
      </c>
      <c r="AL81" s="413" t="s">
        <v>3593</v>
      </c>
      <c r="AM81" s="145">
        <v>645</v>
      </c>
      <c r="AN81" s="916">
        <v>2.44</v>
      </c>
      <c r="AO81" s="145">
        <v>4266</v>
      </c>
      <c r="AP81" s="145">
        <v>-15</v>
      </c>
      <c r="AR81" s="5">
        <v>59</v>
      </c>
      <c r="AS81" s="413" t="s">
        <v>399</v>
      </c>
      <c r="AT81" s="145">
        <v>740</v>
      </c>
      <c r="AU81" s="916">
        <v>2.27</v>
      </c>
      <c r="AV81" s="145">
        <v>4627</v>
      </c>
      <c r="AW81" s="145">
        <v>-17</v>
      </c>
      <c r="AY81" s="5">
        <v>59</v>
      </c>
      <c r="AZ81" s="413" t="s">
        <v>400</v>
      </c>
      <c r="BA81" s="145">
        <v>268</v>
      </c>
      <c r="BB81" s="916">
        <v>3.29</v>
      </c>
      <c r="BC81" s="145">
        <v>3693</v>
      </c>
      <c r="BD81" s="145">
        <v>-14</v>
      </c>
      <c r="BF81" s="5">
        <v>59</v>
      </c>
      <c r="BG81" s="413" t="s">
        <v>401</v>
      </c>
      <c r="BH81" s="145">
        <v>1121</v>
      </c>
      <c r="BI81" s="916">
        <v>2.04</v>
      </c>
      <c r="BJ81" s="145">
        <v>5191</v>
      </c>
      <c r="BK81" s="145">
        <v>-20</v>
      </c>
      <c r="BM81" s="5">
        <v>59</v>
      </c>
      <c r="BN81" s="413" t="s">
        <v>402</v>
      </c>
      <c r="BO81" s="145">
        <v>760</v>
      </c>
      <c r="BP81" s="916">
        <v>2.69</v>
      </c>
      <c r="BQ81" s="145">
        <v>4397</v>
      </c>
      <c r="BR81" s="145">
        <v>-15</v>
      </c>
      <c r="BS81" s="5"/>
      <c r="BT81" s="5">
        <v>59</v>
      </c>
      <c r="BU81" s="413" t="s">
        <v>403</v>
      </c>
      <c r="BV81" s="145">
        <v>870</v>
      </c>
      <c r="BW81" s="916">
        <v>3</v>
      </c>
      <c r="BX81" s="145">
        <v>4351</v>
      </c>
      <c r="BY81" s="145">
        <v>-15</v>
      </c>
      <c r="BZ81" s="5"/>
      <c r="CA81" s="5">
        <v>59</v>
      </c>
      <c r="CB81" s="413" t="s">
        <v>718</v>
      </c>
      <c r="CC81" s="145"/>
      <c r="CD81" s="916"/>
      <c r="CE81" s="145"/>
      <c r="CF81" s="145"/>
      <c r="CG81" s="5"/>
      <c r="CH81" s="5"/>
      <c r="CI81" s="5"/>
    </row>
    <row r="82" spans="2:87" ht="15.6" hidden="1" customHeight="1" x14ac:dyDescent="0.2">
      <c r="B82" s="902">
        <v>5</v>
      </c>
      <c r="C82" s="991" t="str">
        <f>'WP1'!T146</f>
        <v>PAC avec collecteur terrestre une vitesse</v>
      </c>
      <c r="F82" s="21"/>
      <c r="M82" s="5">
        <v>60</v>
      </c>
      <c r="N82" s="413" t="str">
        <f t="shared" si="0"/>
        <v>Sankt Anton im Montafon</v>
      </c>
      <c r="O82" s="414">
        <f t="shared" si="1"/>
        <v>640</v>
      </c>
      <c r="P82" s="414">
        <f t="shared" si="2"/>
        <v>3.06</v>
      </c>
      <c r="Q82" s="145">
        <f t="shared" si="5"/>
        <v>-16</v>
      </c>
      <c r="R82" s="414">
        <f t="shared" si="3"/>
        <v>4031</v>
      </c>
      <c r="S82" s="414">
        <f t="shared" si="4"/>
        <v>-16</v>
      </c>
      <c r="T82" s="19"/>
      <c r="U82" s="5"/>
      <c r="V82" s="5"/>
      <c r="W82" s="5">
        <v>60</v>
      </c>
      <c r="X82" s="144" t="s">
        <v>404</v>
      </c>
      <c r="Y82" s="145">
        <v>640</v>
      </c>
      <c r="Z82" s="916">
        <v>3.06</v>
      </c>
      <c r="AA82" s="145">
        <v>4031</v>
      </c>
      <c r="AB82" s="145">
        <v>-16</v>
      </c>
      <c r="AD82" s="5">
        <v>60</v>
      </c>
      <c r="AE82" s="413" t="s">
        <v>3420</v>
      </c>
      <c r="AF82" s="145">
        <v>220</v>
      </c>
      <c r="AG82" s="916">
        <v>3.65</v>
      </c>
      <c r="AH82" s="145">
        <v>3320</v>
      </c>
      <c r="AI82" s="145">
        <v>-13</v>
      </c>
      <c r="AK82" s="5">
        <v>60</v>
      </c>
      <c r="AL82" s="413" t="s">
        <v>3421</v>
      </c>
      <c r="AM82" s="145">
        <v>664</v>
      </c>
      <c r="AN82" s="916">
        <v>2.23</v>
      </c>
      <c r="AO82" s="145">
        <v>4566</v>
      </c>
      <c r="AP82" s="145">
        <v>-16</v>
      </c>
      <c r="AR82" s="5">
        <v>60</v>
      </c>
      <c r="AS82" s="413" t="s">
        <v>3422</v>
      </c>
      <c r="AT82" s="145">
        <v>198</v>
      </c>
      <c r="AU82" s="916">
        <v>3.08</v>
      </c>
      <c r="AV82" s="145">
        <v>3706</v>
      </c>
      <c r="AW82" s="145">
        <v>-14</v>
      </c>
      <c r="AY82" s="5">
        <v>60</v>
      </c>
      <c r="AZ82" s="413" t="s">
        <v>3423</v>
      </c>
      <c r="BA82" s="145">
        <v>510</v>
      </c>
      <c r="BB82" s="916">
        <v>3.11</v>
      </c>
      <c r="BC82" s="145">
        <v>3935</v>
      </c>
      <c r="BD82" s="145">
        <v>-15</v>
      </c>
      <c r="BF82" s="5">
        <v>60</v>
      </c>
      <c r="BG82" s="413" t="s">
        <v>3424</v>
      </c>
      <c r="BH82" s="145">
        <v>471</v>
      </c>
      <c r="BI82" s="916">
        <v>3.27</v>
      </c>
      <c r="BJ82" s="145">
        <v>3815</v>
      </c>
      <c r="BK82" s="145">
        <v>-15</v>
      </c>
      <c r="BM82" s="5">
        <v>60</v>
      </c>
      <c r="BN82" s="413" t="s">
        <v>3425</v>
      </c>
      <c r="BO82" s="145">
        <v>276</v>
      </c>
      <c r="BP82" s="916">
        <v>3.09</v>
      </c>
      <c r="BQ82" s="145">
        <v>3585</v>
      </c>
      <c r="BR82" s="145">
        <v>-13</v>
      </c>
      <c r="BS82" s="5"/>
      <c r="BT82" s="5">
        <v>60</v>
      </c>
      <c r="BU82" s="413" t="s">
        <v>3426</v>
      </c>
      <c r="BV82" s="145">
        <v>828</v>
      </c>
      <c r="BW82" s="916">
        <v>2.4500000000000002</v>
      </c>
      <c r="BX82" s="145">
        <v>4318</v>
      </c>
      <c r="BY82" s="145">
        <v>-16</v>
      </c>
      <c r="BZ82" s="5"/>
      <c r="CA82" s="5">
        <v>60</v>
      </c>
      <c r="CB82" s="413" t="s">
        <v>718</v>
      </c>
      <c r="CC82" s="145"/>
      <c r="CD82" s="916"/>
      <c r="CE82" s="145"/>
      <c r="CF82" s="145"/>
      <c r="CG82" s="5"/>
      <c r="CH82" s="5"/>
      <c r="CI82" s="5"/>
    </row>
    <row r="83" spans="2:87" ht="15.75" hidden="1" customHeight="1" x14ac:dyDescent="0.2">
      <c r="B83" s="902">
        <v>5</v>
      </c>
      <c r="C83" s="991" t="str">
        <f>'WP1'!T147</f>
        <v>PAC avec collecteur terrestre 2 vitesses</v>
      </c>
      <c r="F83" s="21"/>
      <c r="M83" s="5">
        <v>61</v>
      </c>
      <c r="N83" s="413" t="str">
        <f t="shared" si="0"/>
        <v>Sankt Gallenkirch</v>
      </c>
      <c r="O83" s="414">
        <f t="shared" si="1"/>
        <v>878</v>
      </c>
      <c r="P83" s="414">
        <f t="shared" si="2"/>
        <v>2.69</v>
      </c>
      <c r="Q83" s="145">
        <f t="shared" si="5"/>
        <v>-17</v>
      </c>
      <c r="R83" s="414">
        <f t="shared" si="3"/>
        <v>4569</v>
      </c>
      <c r="S83" s="414">
        <f t="shared" si="4"/>
        <v>-17</v>
      </c>
      <c r="T83" s="19"/>
      <c r="U83" s="5"/>
      <c r="V83" s="5"/>
      <c r="W83" s="5">
        <v>61</v>
      </c>
      <c r="X83" s="144" t="s">
        <v>3427</v>
      </c>
      <c r="Y83" s="145">
        <v>878</v>
      </c>
      <c r="Z83" s="916">
        <v>2.69</v>
      </c>
      <c r="AA83" s="145">
        <v>4569</v>
      </c>
      <c r="AB83" s="145">
        <v>-17</v>
      </c>
      <c r="AD83" s="5">
        <v>61</v>
      </c>
      <c r="AE83" s="413" t="s">
        <v>3428</v>
      </c>
      <c r="AF83" s="145">
        <v>225</v>
      </c>
      <c r="AG83" s="916">
        <v>3.42</v>
      </c>
      <c r="AH83" s="145">
        <v>3466</v>
      </c>
      <c r="AI83" s="145">
        <v>-13</v>
      </c>
      <c r="AK83" s="5">
        <v>61</v>
      </c>
      <c r="AL83" s="413" t="s">
        <v>3429</v>
      </c>
      <c r="AM83" s="145">
        <v>638</v>
      </c>
      <c r="AN83" s="916">
        <v>2.4500000000000002</v>
      </c>
      <c r="AO83" s="145">
        <v>4090</v>
      </c>
      <c r="AP83" s="145">
        <v>-15</v>
      </c>
      <c r="AR83" s="5">
        <v>61</v>
      </c>
      <c r="AS83" s="413" t="s">
        <v>3430</v>
      </c>
      <c r="AT83" s="145">
        <v>421</v>
      </c>
      <c r="AU83" s="916">
        <v>2.61</v>
      </c>
      <c r="AV83" s="145">
        <v>4103</v>
      </c>
      <c r="AW83" s="145">
        <v>-16</v>
      </c>
      <c r="AY83" s="5">
        <v>61</v>
      </c>
      <c r="AZ83" s="413" t="s">
        <v>3431</v>
      </c>
      <c r="BA83" s="145">
        <v>565</v>
      </c>
      <c r="BB83" s="916">
        <v>2.64</v>
      </c>
      <c r="BC83" s="145">
        <v>4462</v>
      </c>
      <c r="BD83" s="145">
        <v>-18</v>
      </c>
      <c r="BF83" s="5">
        <v>61</v>
      </c>
      <c r="BG83" s="413" t="s">
        <v>3432</v>
      </c>
      <c r="BH83" s="145">
        <v>555</v>
      </c>
      <c r="BI83" s="916">
        <v>2.4500000000000002</v>
      </c>
      <c r="BJ83" s="145">
        <v>4265</v>
      </c>
      <c r="BK83" s="145">
        <v>-16</v>
      </c>
      <c r="BM83" s="5">
        <v>61</v>
      </c>
      <c r="BN83" s="413" t="s">
        <v>3433</v>
      </c>
      <c r="BO83" s="145">
        <v>273</v>
      </c>
      <c r="BP83" s="916">
        <v>3.07</v>
      </c>
      <c r="BQ83" s="145">
        <v>3573</v>
      </c>
      <c r="BR83" s="145">
        <v>-14</v>
      </c>
      <c r="BS83" s="5"/>
      <c r="BT83" s="5">
        <v>61</v>
      </c>
      <c r="BU83" s="413" t="s">
        <v>3434</v>
      </c>
      <c r="BV83" s="145">
        <v>1402</v>
      </c>
      <c r="BW83" s="916">
        <v>1.78</v>
      </c>
      <c r="BX83" s="145">
        <v>5576</v>
      </c>
      <c r="BY83" s="145">
        <v>-17</v>
      </c>
      <c r="BZ83" s="5"/>
      <c r="CA83" s="5">
        <v>61</v>
      </c>
      <c r="CB83" s="413" t="s">
        <v>718</v>
      </c>
      <c r="CC83" s="145"/>
      <c r="CD83" s="916"/>
      <c r="CE83" s="145"/>
      <c r="CF83" s="145"/>
      <c r="CG83" s="5"/>
      <c r="CH83" s="5"/>
      <c r="CI83" s="5"/>
    </row>
    <row r="84" spans="2:87" ht="15.75" hidden="1" customHeight="1" x14ac:dyDescent="0.2">
      <c r="B84" s="902">
        <v>5</v>
      </c>
      <c r="C84" s="991" t="str">
        <f>'WP1'!T148</f>
        <v>PAC avec collecteur terrestre Plusieurs vitesses</v>
      </c>
      <c r="F84" s="21"/>
      <c r="M84" s="5">
        <v>62</v>
      </c>
      <c r="N84" s="413" t="str">
        <f t="shared" si="0"/>
        <v>Satteins</v>
      </c>
      <c r="O84" s="414">
        <f t="shared" si="1"/>
        <v>495</v>
      </c>
      <c r="P84" s="414">
        <f t="shared" si="2"/>
        <v>3.37</v>
      </c>
      <c r="Q84" s="145">
        <f t="shared" si="5"/>
        <v>-14</v>
      </c>
      <c r="R84" s="414">
        <f t="shared" si="3"/>
        <v>3808</v>
      </c>
      <c r="S84" s="414">
        <f t="shared" si="4"/>
        <v>-14</v>
      </c>
      <c r="T84" s="19"/>
      <c r="U84" s="5"/>
      <c r="V84" s="5"/>
      <c r="W84" s="5">
        <v>62</v>
      </c>
      <c r="X84" s="144" t="s">
        <v>3435</v>
      </c>
      <c r="Y84" s="145">
        <v>495</v>
      </c>
      <c r="Z84" s="916">
        <v>3.37</v>
      </c>
      <c r="AA84" s="145">
        <v>3808</v>
      </c>
      <c r="AB84" s="145">
        <v>-14</v>
      </c>
      <c r="AD84" s="5">
        <v>62</v>
      </c>
      <c r="AE84" s="413" t="s">
        <v>3436</v>
      </c>
      <c r="AF84" s="145">
        <v>172</v>
      </c>
      <c r="AG84" s="916">
        <v>3.38</v>
      </c>
      <c r="AH84" s="145">
        <v>3457</v>
      </c>
      <c r="AI84" s="145">
        <v>-14</v>
      </c>
      <c r="AK84" s="5">
        <v>62</v>
      </c>
      <c r="AL84" s="413" t="s">
        <v>3437</v>
      </c>
      <c r="AM84" s="145">
        <v>503</v>
      </c>
      <c r="AN84" s="916">
        <v>2.38</v>
      </c>
      <c r="AO84" s="145">
        <v>4070</v>
      </c>
      <c r="AP84" s="145">
        <v>-16</v>
      </c>
      <c r="AR84" s="5">
        <v>62</v>
      </c>
      <c r="AS84" s="413" t="s">
        <v>3438</v>
      </c>
      <c r="AT84" s="145">
        <v>157</v>
      </c>
      <c r="AU84" s="916">
        <v>3.31</v>
      </c>
      <c r="AV84" s="145">
        <v>3588</v>
      </c>
      <c r="AW84" s="145">
        <v>-14</v>
      </c>
      <c r="AY84" s="5">
        <v>62</v>
      </c>
      <c r="AZ84" s="413" t="s">
        <v>3439</v>
      </c>
      <c r="BA84" s="145">
        <v>519</v>
      </c>
      <c r="BB84" s="916">
        <v>2.87</v>
      </c>
      <c r="BC84" s="145">
        <v>4198</v>
      </c>
      <c r="BD84" s="145">
        <v>-17</v>
      </c>
      <c r="BF84" s="5">
        <v>62</v>
      </c>
      <c r="BG84" s="413" t="s">
        <v>3440</v>
      </c>
      <c r="BH84" s="145">
        <v>788</v>
      </c>
      <c r="BI84" s="916">
        <v>1.85</v>
      </c>
      <c r="BJ84" s="145">
        <v>4774</v>
      </c>
      <c r="BK84" s="145">
        <v>-18</v>
      </c>
      <c r="BM84" s="5">
        <v>62</v>
      </c>
      <c r="BN84" s="413" t="s">
        <v>3441</v>
      </c>
      <c r="BO84" s="145">
        <v>725</v>
      </c>
      <c r="BP84" s="916">
        <v>2.56</v>
      </c>
      <c r="BQ84" s="145">
        <v>4377</v>
      </c>
      <c r="BR84" s="145">
        <v>-15</v>
      </c>
      <c r="BS84" s="5"/>
      <c r="BT84" s="5">
        <v>62</v>
      </c>
      <c r="BU84" s="413" t="s">
        <v>3442</v>
      </c>
      <c r="BV84" s="145">
        <v>574</v>
      </c>
      <c r="BW84" s="916">
        <v>3.16</v>
      </c>
      <c r="BX84" s="145">
        <v>3704</v>
      </c>
      <c r="BY84" s="145">
        <v>-14</v>
      </c>
      <c r="BZ84" s="5"/>
      <c r="CA84" s="5">
        <v>62</v>
      </c>
      <c r="CB84" s="413" t="s">
        <v>718</v>
      </c>
      <c r="CC84" s="145"/>
      <c r="CD84" s="916"/>
      <c r="CE84" s="145"/>
      <c r="CF84" s="145"/>
      <c r="CG84" s="5"/>
      <c r="CH84" s="5"/>
      <c r="CI84" s="5"/>
    </row>
    <row r="85" spans="2:87" ht="15.75" hidden="1" customHeight="1" x14ac:dyDescent="0.2">
      <c r="B85" s="902">
        <v>5</v>
      </c>
      <c r="C85" s="991" t="str">
        <f>'WP1'!T149</f>
        <v>PAC avec collecteur terrestre vitesse variable</v>
      </c>
      <c r="F85" s="21"/>
      <c r="M85" s="5">
        <v>63</v>
      </c>
      <c r="N85" s="413" t="str">
        <f t="shared" si="0"/>
        <v>Schlins</v>
      </c>
      <c r="O85" s="414">
        <f t="shared" si="1"/>
        <v>498</v>
      </c>
      <c r="P85" s="414">
        <f t="shared" si="2"/>
        <v>3.26</v>
      </c>
      <c r="Q85" s="145">
        <f t="shared" si="5"/>
        <v>-15</v>
      </c>
      <c r="R85" s="414">
        <f t="shared" si="3"/>
        <v>3850</v>
      </c>
      <c r="S85" s="414">
        <f t="shared" si="4"/>
        <v>-15</v>
      </c>
      <c r="T85" s="19"/>
      <c r="U85" s="5"/>
      <c r="V85" s="5"/>
      <c r="W85" s="5">
        <v>63</v>
      </c>
      <c r="X85" s="144" t="s">
        <v>3443</v>
      </c>
      <c r="Y85" s="145">
        <v>498</v>
      </c>
      <c r="Z85" s="916">
        <v>3.26</v>
      </c>
      <c r="AA85" s="145">
        <v>3850</v>
      </c>
      <c r="AB85" s="145">
        <v>-15</v>
      </c>
      <c r="AD85" s="5">
        <v>63</v>
      </c>
      <c r="AE85" s="413" t="s">
        <v>3444</v>
      </c>
      <c r="AF85" s="145">
        <v>270</v>
      </c>
      <c r="AG85" s="916">
        <v>3.36</v>
      </c>
      <c r="AH85" s="145">
        <v>3510</v>
      </c>
      <c r="AI85" s="145">
        <v>-13</v>
      </c>
      <c r="AK85" s="5">
        <v>63</v>
      </c>
      <c r="AL85" s="413" t="s">
        <v>3445</v>
      </c>
      <c r="AM85" s="145">
        <v>1317</v>
      </c>
      <c r="AN85" s="916">
        <v>2.89</v>
      </c>
      <c r="AO85" s="145">
        <v>4739</v>
      </c>
      <c r="AP85" s="145">
        <v>-14</v>
      </c>
      <c r="AR85" s="5">
        <v>63</v>
      </c>
      <c r="AS85" s="413" t="s">
        <v>3446</v>
      </c>
      <c r="AT85" s="145">
        <v>155</v>
      </c>
      <c r="AU85" s="916">
        <v>3.34</v>
      </c>
      <c r="AV85" s="145">
        <v>3548</v>
      </c>
      <c r="AW85" s="145">
        <v>-14</v>
      </c>
      <c r="AY85" s="5">
        <v>63</v>
      </c>
      <c r="AZ85" s="413" t="s">
        <v>3447</v>
      </c>
      <c r="BA85" s="145">
        <v>536</v>
      </c>
      <c r="BB85" s="916">
        <v>2.63</v>
      </c>
      <c r="BC85" s="145">
        <v>4464</v>
      </c>
      <c r="BD85" s="145">
        <v>-18</v>
      </c>
      <c r="BF85" s="5">
        <v>63</v>
      </c>
      <c r="BG85" s="413" t="s">
        <v>3448</v>
      </c>
      <c r="BH85" s="145">
        <v>832</v>
      </c>
      <c r="BI85" s="916">
        <v>1.91</v>
      </c>
      <c r="BJ85" s="145">
        <v>4776</v>
      </c>
      <c r="BK85" s="145">
        <v>-18</v>
      </c>
      <c r="BM85" s="5">
        <v>63</v>
      </c>
      <c r="BN85" s="413" t="s">
        <v>3449</v>
      </c>
      <c r="BO85" s="145">
        <v>278</v>
      </c>
      <c r="BP85" s="916">
        <v>3.05</v>
      </c>
      <c r="BQ85" s="145">
        <v>3577</v>
      </c>
      <c r="BR85" s="145">
        <v>-14</v>
      </c>
      <c r="BS85" s="5"/>
      <c r="BT85" s="5">
        <v>63</v>
      </c>
      <c r="BU85" s="413" t="s">
        <v>3450</v>
      </c>
      <c r="BV85" s="145">
        <v>870</v>
      </c>
      <c r="BW85" s="916">
        <v>3</v>
      </c>
      <c r="BX85" s="145">
        <v>4351</v>
      </c>
      <c r="BY85" s="145">
        <v>-15</v>
      </c>
      <c r="BZ85" s="5"/>
      <c r="CA85" s="5">
        <v>63</v>
      </c>
      <c r="CB85" s="413" t="s">
        <v>718</v>
      </c>
      <c r="CC85" s="145"/>
      <c r="CD85" s="916"/>
      <c r="CE85" s="145"/>
      <c r="CF85" s="145"/>
      <c r="CG85" s="5"/>
      <c r="CH85" s="5"/>
      <c r="CI85" s="5"/>
    </row>
    <row r="86" spans="2:87" ht="15.75" hidden="1" customHeight="1" x14ac:dyDescent="0.2">
      <c r="B86" s="902">
        <v>6</v>
      </c>
      <c r="C86" s="991" t="str">
        <f>'WP1'!T150</f>
        <v>PAC sur air extrait sur installation de ventilation sans récupération de chaleur</v>
      </c>
      <c r="F86" s="21"/>
      <c r="M86" s="5">
        <v>64</v>
      </c>
      <c r="N86" s="413" t="str">
        <f t="shared" si="0"/>
        <v>Schnepfau</v>
      </c>
      <c r="O86" s="414">
        <f t="shared" si="1"/>
        <v>734</v>
      </c>
      <c r="P86" s="414">
        <f t="shared" si="2"/>
        <v>2.56</v>
      </c>
      <c r="Q86" s="145">
        <f t="shared" si="5"/>
        <v>-18</v>
      </c>
      <c r="R86" s="414">
        <f t="shared" si="3"/>
        <v>4518</v>
      </c>
      <c r="S86" s="414">
        <f t="shared" si="4"/>
        <v>-18</v>
      </c>
      <c r="T86" s="19"/>
      <c r="U86" s="5"/>
      <c r="V86" s="5"/>
      <c r="W86" s="5">
        <v>64</v>
      </c>
      <c r="X86" s="144" t="s">
        <v>3451</v>
      </c>
      <c r="Y86" s="145">
        <v>734</v>
      </c>
      <c r="Z86" s="916">
        <v>2.56</v>
      </c>
      <c r="AA86" s="145">
        <v>4518</v>
      </c>
      <c r="AB86" s="145">
        <v>-18</v>
      </c>
      <c r="AD86" s="5">
        <v>64</v>
      </c>
      <c r="AE86" s="413" t="s">
        <v>3452</v>
      </c>
      <c r="AF86" s="145">
        <v>230</v>
      </c>
      <c r="AG86" s="916">
        <v>3.55</v>
      </c>
      <c r="AH86" s="145">
        <v>3405</v>
      </c>
      <c r="AI86" s="145">
        <v>-13</v>
      </c>
      <c r="AK86" s="5">
        <v>64</v>
      </c>
      <c r="AL86" s="413" t="s">
        <v>3453</v>
      </c>
      <c r="AM86" s="145">
        <v>598</v>
      </c>
      <c r="AN86" s="916">
        <v>2.77</v>
      </c>
      <c r="AO86" s="145">
        <v>4049</v>
      </c>
      <c r="AP86" s="145">
        <v>-15</v>
      </c>
      <c r="AR86" s="5">
        <v>64</v>
      </c>
      <c r="AS86" s="413" t="s">
        <v>3454</v>
      </c>
      <c r="AT86" s="145">
        <v>210</v>
      </c>
      <c r="AU86" s="916">
        <v>3.63</v>
      </c>
      <c r="AV86" s="145">
        <v>3437</v>
      </c>
      <c r="AW86" s="145">
        <v>-12</v>
      </c>
      <c r="AY86" s="5">
        <v>64</v>
      </c>
      <c r="AZ86" s="413" t="s">
        <v>3455</v>
      </c>
      <c r="BA86" s="145">
        <v>452</v>
      </c>
      <c r="BB86" s="916">
        <v>3.15</v>
      </c>
      <c r="BC86" s="145">
        <v>3875</v>
      </c>
      <c r="BD86" s="145">
        <v>-15</v>
      </c>
      <c r="BF86" s="5">
        <v>64</v>
      </c>
      <c r="BG86" s="413" t="s">
        <v>3456</v>
      </c>
      <c r="BH86" s="145">
        <v>859</v>
      </c>
      <c r="BI86" s="916">
        <v>2.4900000000000002</v>
      </c>
      <c r="BJ86" s="145">
        <v>4535</v>
      </c>
      <c r="BK86" s="145">
        <v>-16</v>
      </c>
      <c r="BM86" s="5">
        <v>64</v>
      </c>
      <c r="BN86" s="413" t="s">
        <v>3457</v>
      </c>
      <c r="BO86" s="145">
        <v>550</v>
      </c>
      <c r="BP86" s="916">
        <v>2.82</v>
      </c>
      <c r="BQ86" s="145">
        <v>4260</v>
      </c>
      <c r="BR86" s="145">
        <v>-15</v>
      </c>
      <c r="BS86" s="5"/>
      <c r="BT86" s="5">
        <v>64</v>
      </c>
      <c r="BU86" s="413" t="s">
        <v>3458</v>
      </c>
      <c r="BV86" s="145">
        <v>619</v>
      </c>
      <c r="BW86" s="916">
        <v>3.15</v>
      </c>
      <c r="BX86" s="145">
        <v>3807</v>
      </c>
      <c r="BY86" s="145">
        <v>-14</v>
      </c>
      <c r="BZ86" s="5"/>
      <c r="CA86" s="5">
        <v>64</v>
      </c>
      <c r="CB86" s="413" t="s">
        <v>718</v>
      </c>
      <c r="CC86" s="145"/>
      <c r="CD86" s="916"/>
      <c r="CE86" s="145"/>
      <c r="CF86" s="145"/>
      <c r="CG86" s="5"/>
      <c r="CH86" s="5"/>
      <c r="CI86" s="5"/>
    </row>
    <row r="87" spans="2:87" ht="15.75" hidden="1" customHeight="1" x14ac:dyDescent="0.2">
      <c r="B87" s="902">
        <v>6</v>
      </c>
      <c r="C87" s="991" t="str">
        <f>'WP1'!T151</f>
        <v/>
      </c>
      <c r="F87" s="21"/>
      <c r="M87" s="5">
        <v>65</v>
      </c>
      <c r="N87" s="413" t="str">
        <f t="shared" ref="N87:N150" si="6">INDEX(X$23:CG$723,$M87,(Bundesland-1)*7+1)</f>
        <v>Schoppernau</v>
      </c>
      <c r="O87" s="414">
        <f t="shared" ref="O87:O150" si="7">INDEX(Y$23:CH$723,$M87,(Bundesland-1)*7+1)</f>
        <v>850</v>
      </c>
      <c r="P87" s="414">
        <f t="shared" ref="P87:P150" si="8">INDEX(Z$23:CI$723,$M87,(Bundesland-1)*7+1)</f>
        <v>2.29</v>
      </c>
      <c r="Q87" s="145">
        <f t="shared" si="5"/>
        <v>-19</v>
      </c>
      <c r="R87" s="414">
        <f t="shared" ref="R87:R150" si="9">INDEX(AA$23:CK$723,$M87,(Bundesland-1)*7+1)</f>
        <v>4834</v>
      </c>
      <c r="S87" s="414">
        <f t="shared" ref="S87:S150" si="10">INDEX(AB$23:CL$723,$M87,(Bundesland-1)*7+1)</f>
        <v>-19</v>
      </c>
      <c r="T87" s="19"/>
      <c r="U87" s="5"/>
      <c r="V87" s="5"/>
      <c r="W87" s="5">
        <v>65</v>
      </c>
      <c r="X87" s="144" t="s">
        <v>3459</v>
      </c>
      <c r="Y87" s="145">
        <v>850</v>
      </c>
      <c r="Z87" s="916">
        <v>2.29</v>
      </c>
      <c r="AA87" s="145">
        <v>4834</v>
      </c>
      <c r="AB87" s="145">
        <v>-19</v>
      </c>
      <c r="AD87" s="5">
        <v>65</v>
      </c>
      <c r="AE87" s="413" t="s">
        <v>3460</v>
      </c>
      <c r="AF87" s="145">
        <v>290</v>
      </c>
      <c r="AG87" s="916">
        <v>3.15</v>
      </c>
      <c r="AH87" s="145">
        <v>3539</v>
      </c>
      <c r="AI87" s="145">
        <v>-13</v>
      </c>
      <c r="AK87" s="5">
        <v>65</v>
      </c>
      <c r="AL87" s="413" t="s">
        <v>3461</v>
      </c>
      <c r="AM87" s="145">
        <v>662</v>
      </c>
      <c r="AN87" s="916">
        <v>2.5099999999999998</v>
      </c>
      <c r="AO87" s="145">
        <v>4214</v>
      </c>
      <c r="AP87" s="145">
        <v>-16</v>
      </c>
      <c r="AR87" s="5">
        <v>65</v>
      </c>
      <c r="AS87" s="413" t="s">
        <v>3462</v>
      </c>
      <c r="AT87" s="145">
        <v>229</v>
      </c>
      <c r="AU87" s="916">
        <v>3.55</v>
      </c>
      <c r="AV87" s="145">
        <v>3422</v>
      </c>
      <c r="AW87" s="145">
        <v>-13</v>
      </c>
      <c r="AY87" s="5">
        <v>65</v>
      </c>
      <c r="AZ87" s="413" t="s">
        <v>3463</v>
      </c>
      <c r="BA87" s="145">
        <v>560</v>
      </c>
      <c r="BB87" s="916">
        <v>2.5299999999999998</v>
      </c>
      <c r="BC87" s="145">
        <v>4297</v>
      </c>
      <c r="BD87" s="145">
        <v>-15</v>
      </c>
      <c r="BF87" s="5">
        <v>65</v>
      </c>
      <c r="BG87" s="413" t="s">
        <v>3464</v>
      </c>
      <c r="BH87" s="145">
        <v>1115</v>
      </c>
      <c r="BI87" s="916">
        <v>2.08</v>
      </c>
      <c r="BJ87" s="145">
        <v>5088</v>
      </c>
      <c r="BK87" s="145">
        <v>-18</v>
      </c>
      <c r="BM87" s="5">
        <v>65</v>
      </c>
      <c r="BN87" s="413" t="s">
        <v>3465</v>
      </c>
      <c r="BO87" s="145">
        <v>830</v>
      </c>
      <c r="BP87" s="916">
        <v>2.54</v>
      </c>
      <c r="BQ87" s="145">
        <v>4452</v>
      </c>
      <c r="BR87" s="145">
        <v>-15</v>
      </c>
      <c r="BS87" s="5"/>
      <c r="BT87" s="5">
        <v>65</v>
      </c>
      <c r="BU87" s="413" t="s">
        <v>3466</v>
      </c>
      <c r="BV87" s="145">
        <v>642</v>
      </c>
      <c r="BW87" s="916">
        <v>3.12</v>
      </c>
      <c r="BX87" s="145">
        <v>3866</v>
      </c>
      <c r="BY87" s="145">
        <v>-14</v>
      </c>
      <c r="BZ87" s="5"/>
      <c r="CA87" s="5">
        <v>65</v>
      </c>
      <c r="CB87" s="413" t="s">
        <v>718</v>
      </c>
      <c r="CC87" s="145"/>
      <c r="CD87" s="916"/>
      <c r="CE87" s="145"/>
      <c r="CF87" s="145"/>
      <c r="CG87" s="5"/>
      <c r="CH87" s="5"/>
      <c r="CI87" s="5"/>
    </row>
    <row r="88" spans="2:87" ht="15.75" hidden="1" customHeight="1" x14ac:dyDescent="0.2">
      <c r="B88" s="902">
        <v>6</v>
      </c>
      <c r="C88" s="991" t="str">
        <f>'WP1'!T152</f>
        <v/>
      </c>
      <c r="F88" s="21"/>
      <c r="M88" s="5">
        <v>66</v>
      </c>
      <c r="N88" s="413" t="str">
        <f t="shared" si="6"/>
        <v>Schröcken</v>
      </c>
      <c r="O88" s="414">
        <f t="shared" si="7"/>
        <v>1269</v>
      </c>
      <c r="P88" s="414">
        <f t="shared" si="8"/>
        <v>2.65</v>
      </c>
      <c r="Q88" s="145">
        <f t="shared" ref="Q88:Q151" si="11">MIN(S88+Zuschlag_A,-8)</f>
        <v>-16</v>
      </c>
      <c r="R88" s="414">
        <f t="shared" si="9"/>
        <v>5136</v>
      </c>
      <c r="S88" s="414">
        <f t="shared" si="10"/>
        <v>-16</v>
      </c>
      <c r="T88" s="19"/>
      <c r="U88" s="5"/>
      <c r="V88" s="5"/>
      <c r="W88" s="5">
        <v>66</v>
      </c>
      <c r="X88" s="144" t="s">
        <v>3467</v>
      </c>
      <c r="Y88" s="145">
        <v>1269</v>
      </c>
      <c r="Z88" s="916">
        <v>2.65</v>
      </c>
      <c r="AA88" s="145">
        <v>5136</v>
      </c>
      <c r="AB88" s="145">
        <v>-16</v>
      </c>
      <c r="AD88" s="5">
        <v>66</v>
      </c>
      <c r="AE88" s="413" t="s">
        <v>3468</v>
      </c>
      <c r="AF88" s="145">
        <v>127</v>
      </c>
      <c r="AG88" s="916">
        <v>3.58</v>
      </c>
      <c r="AH88" s="145">
        <v>3334</v>
      </c>
      <c r="AI88" s="145">
        <v>-13</v>
      </c>
      <c r="AK88" s="5">
        <v>66</v>
      </c>
      <c r="AL88" s="413" t="s">
        <v>3469</v>
      </c>
      <c r="AM88" s="145">
        <v>786</v>
      </c>
      <c r="AN88" s="916">
        <v>2.61</v>
      </c>
      <c r="AO88" s="145">
        <v>4242</v>
      </c>
      <c r="AP88" s="145">
        <v>-14</v>
      </c>
      <c r="AR88" s="5">
        <v>66</v>
      </c>
      <c r="AS88" s="413" t="s">
        <v>3611</v>
      </c>
      <c r="AT88" s="145">
        <v>168</v>
      </c>
      <c r="AU88" s="916">
        <v>3.31</v>
      </c>
      <c r="AV88" s="145">
        <v>3539</v>
      </c>
      <c r="AW88" s="145">
        <v>-14</v>
      </c>
      <c r="AY88" s="5">
        <v>66</v>
      </c>
      <c r="AZ88" s="413" t="s">
        <v>3612</v>
      </c>
      <c r="BA88" s="145">
        <v>530</v>
      </c>
      <c r="BB88" s="916">
        <v>2.87</v>
      </c>
      <c r="BC88" s="145">
        <v>4197</v>
      </c>
      <c r="BD88" s="145">
        <v>-16</v>
      </c>
      <c r="BF88" s="5">
        <v>66</v>
      </c>
      <c r="BG88" s="413" t="s">
        <v>3613</v>
      </c>
      <c r="BH88" s="145">
        <v>855</v>
      </c>
      <c r="BI88" s="916">
        <v>2.13</v>
      </c>
      <c r="BJ88" s="145">
        <v>4663</v>
      </c>
      <c r="BK88" s="145">
        <v>-17</v>
      </c>
      <c r="BM88" s="5">
        <v>66</v>
      </c>
      <c r="BN88" s="413" t="s">
        <v>3614</v>
      </c>
      <c r="BO88" s="145">
        <v>582</v>
      </c>
      <c r="BP88" s="916">
        <v>2.92</v>
      </c>
      <c r="BQ88" s="145">
        <v>4013</v>
      </c>
      <c r="BR88" s="145">
        <v>-14</v>
      </c>
      <c r="BS88" s="5"/>
      <c r="BT88" s="5">
        <v>66</v>
      </c>
      <c r="BU88" s="413" t="s">
        <v>3615</v>
      </c>
      <c r="BV88" s="145">
        <v>621</v>
      </c>
      <c r="BW88" s="916">
        <v>2.97</v>
      </c>
      <c r="BX88" s="145">
        <v>3952</v>
      </c>
      <c r="BY88" s="145">
        <v>-15</v>
      </c>
      <c r="BZ88" s="5"/>
      <c r="CA88" s="5">
        <v>66</v>
      </c>
      <c r="CB88" s="413" t="s">
        <v>718</v>
      </c>
      <c r="CC88" s="145"/>
      <c r="CD88" s="916"/>
      <c r="CE88" s="145"/>
      <c r="CF88" s="145"/>
      <c r="CG88" s="5"/>
      <c r="CH88" s="5"/>
      <c r="CI88" s="5"/>
    </row>
    <row r="89" spans="2:87" ht="15.75" hidden="1" customHeight="1" x14ac:dyDescent="0.2">
      <c r="B89" s="909">
        <v>6</v>
      </c>
      <c r="C89" s="992" t="str">
        <f>'WP1'!T153</f>
        <v/>
      </c>
      <c r="D89" s="27"/>
      <c r="E89" s="27"/>
      <c r="F89" s="44"/>
      <c r="M89" s="5">
        <v>67</v>
      </c>
      <c r="N89" s="413" t="str">
        <f t="shared" si="6"/>
        <v>Schruns</v>
      </c>
      <c r="O89" s="414">
        <f t="shared" si="7"/>
        <v>690</v>
      </c>
      <c r="P89" s="414">
        <f t="shared" si="8"/>
        <v>2.97</v>
      </c>
      <c r="Q89" s="145">
        <f t="shared" si="11"/>
        <v>-16</v>
      </c>
      <c r="R89" s="414">
        <f t="shared" si="9"/>
        <v>4190</v>
      </c>
      <c r="S89" s="414">
        <f t="shared" si="10"/>
        <v>-16</v>
      </c>
      <c r="T89" s="19"/>
      <c r="U89" s="5"/>
      <c r="V89" s="5"/>
      <c r="W89" s="5">
        <v>67</v>
      </c>
      <c r="X89" s="144" t="s">
        <v>3616</v>
      </c>
      <c r="Y89" s="145">
        <v>690</v>
      </c>
      <c r="Z89" s="916">
        <v>2.97</v>
      </c>
      <c r="AA89" s="145">
        <v>4190</v>
      </c>
      <c r="AB89" s="145">
        <v>-16</v>
      </c>
      <c r="AD89" s="5">
        <v>67</v>
      </c>
      <c r="AE89" s="413" t="s">
        <v>3617</v>
      </c>
      <c r="AF89" s="145">
        <v>274</v>
      </c>
      <c r="AG89" s="916">
        <v>3.36</v>
      </c>
      <c r="AH89" s="145">
        <v>3544</v>
      </c>
      <c r="AI89" s="145">
        <v>-13</v>
      </c>
      <c r="AK89" s="5">
        <v>67</v>
      </c>
      <c r="AL89" s="413" t="s">
        <v>3618</v>
      </c>
      <c r="AM89" s="145">
        <v>800</v>
      </c>
      <c r="AN89" s="916">
        <v>2.58</v>
      </c>
      <c r="AO89" s="145">
        <v>4285</v>
      </c>
      <c r="AP89" s="145">
        <v>-15</v>
      </c>
      <c r="AR89" s="5">
        <v>67</v>
      </c>
      <c r="AS89" s="413" t="s">
        <v>3619</v>
      </c>
      <c r="AT89" s="145">
        <v>180</v>
      </c>
      <c r="AU89" s="916">
        <v>3.47</v>
      </c>
      <c r="AV89" s="145">
        <v>3422</v>
      </c>
      <c r="AW89" s="145">
        <v>-13</v>
      </c>
      <c r="AY89" s="5">
        <v>67</v>
      </c>
      <c r="AZ89" s="413" t="s">
        <v>3620</v>
      </c>
      <c r="BA89" s="145">
        <v>475</v>
      </c>
      <c r="BB89" s="916">
        <v>3.33</v>
      </c>
      <c r="BC89" s="145">
        <v>4034</v>
      </c>
      <c r="BD89" s="145">
        <v>-14</v>
      </c>
      <c r="BF89" s="5">
        <v>67</v>
      </c>
      <c r="BG89" s="413" t="s">
        <v>3621</v>
      </c>
      <c r="BH89" s="145">
        <v>551</v>
      </c>
      <c r="BI89" s="916">
        <v>2.85</v>
      </c>
      <c r="BJ89" s="145">
        <v>4236</v>
      </c>
      <c r="BK89" s="145">
        <v>-16</v>
      </c>
      <c r="BM89" s="5">
        <v>67</v>
      </c>
      <c r="BN89" s="413" t="s">
        <v>1423</v>
      </c>
      <c r="BO89" s="145">
        <v>304</v>
      </c>
      <c r="BP89" s="916">
        <v>3.13</v>
      </c>
      <c r="BQ89" s="145">
        <v>3576</v>
      </c>
      <c r="BR89" s="145">
        <v>-14</v>
      </c>
      <c r="BS89" s="5"/>
      <c r="BT89" s="5">
        <v>67</v>
      </c>
      <c r="BU89" s="413" t="s">
        <v>1424</v>
      </c>
      <c r="BV89" s="145">
        <v>1376</v>
      </c>
      <c r="BW89" s="916">
        <v>1.84</v>
      </c>
      <c r="BX89" s="145">
        <v>5466</v>
      </c>
      <c r="BY89" s="145">
        <v>-19</v>
      </c>
      <c r="BZ89" s="5"/>
      <c r="CA89" s="5">
        <v>67</v>
      </c>
      <c r="CB89" s="413" t="s">
        <v>718</v>
      </c>
      <c r="CC89" s="145"/>
      <c r="CD89" s="916"/>
      <c r="CE89" s="145"/>
      <c r="CF89" s="145"/>
      <c r="CG89" s="5"/>
      <c r="CH89" s="5"/>
      <c r="CI89" s="5"/>
    </row>
    <row r="90" spans="2:87" ht="15.75" hidden="1" customHeight="1" x14ac:dyDescent="0.2">
      <c r="F90" s="5"/>
      <c r="M90" s="5">
        <v>68</v>
      </c>
      <c r="N90" s="413" t="str">
        <f t="shared" si="6"/>
        <v>Schwarzach</v>
      </c>
      <c r="O90" s="414">
        <f t="shared" si="7"/>
        <v>433</v>
      </c>
      <c r="P90" s="414">
        <f t="shared" si="8"/>
        <v>3.92</v>
      </c>
      <c r="Q90" s="145">
        <f t="shared" si="11"/>
        <v>-12</v>
      </c>
      <c r="R90" s="414">
        <f t="shared" si="9"/>
        <v>3585</v>
      </c>
      <c r="S90" s="414">
        <f t="shared" si="10"/>
        <v>-12</v>
      </c>
      <c r="T90" s="19"/>
      <c r="U90" s="5"/>
      <c r="V90" s="5"/>
      <c r="W90" s="5">
        <v>68</v>
      </c>
      <c r="X90" s="144" t="s">
        <v>1425</v>
      </c>
      <c r="Y90" s="145">
        <v>433</v>
      </c>
      <c r="Z90" s="916">
        <v>3.92</v>
      </c>
      <c r="AA90" s="145">
        <v>3585</v>
      </c>
      <c r="AB90" s="145">
        <v>-12</v>
      </c>
      <c r="AD90" s="5">
        <v>68</v>
      </c>
      <c r="AE90" s="413" t="s">
        <v>1426</v>
      </c>
      <c r="AF90" s="145">
        <v>135</v>
      </c>
      <c r="AG90" s="916">
        <v>3.47</v>
      </c>
      <c r="AH90" s="145">
        <v>3372</v>
      </c>
      <c r="AI90" s="145">
        <v>-14</v>
      </c>
      <c r="AK90" s="5">
        <v>68</v>
      </c>
      <c r="AL90" s="413" t="s">
        <v>1427</v>
      </c>
      <c r="AM90" s="145">
        <v>594</v>
      </c>
      <c r="AN90" s="916">
        <v>2.19</v>
      </c>
      <c r="AO90" s="145">
        <v>4274</v>
      </c>
      <c r="AP90" s="145">
        <v>-16</v>
      </c>
      <c r="AR90" s="5">
        <v>68</v>
      </c>
      <c r="AS90" s="413" t="s">
        <v>1428</v>
      </c>
      <c r="AT90" s="145">
        <v>201</v>
      </c>
      <c r="AU90" s="916">
        <v>3.56</v>
      </c>
      <c r="AV90" s="145">
        <v>3419</v>
      </c>
      <c r="AW90" s="145">
        <v>-13</v>
      </c>
      <c r="AY90" s="5">
        <v>68</v>
      </c>
      <c r="AZ90" s="413" t="s">
        <v>1429</v>
      </c>
      <c r="BA90" s="145">
        <v>337</v>
      </c>
      <c r="BB90" s="916">
        <v>3.31</v>
      </c>
      <c r="BC90" s="145">
        <v>3672</v>
      </c>
      <c r="BD90" s="145">
        <v>-13</v>
      </c>
      <c r="BF90" s="5">
        <v>68</v>
      </c>
      <c r="BG90" s="413" t="s">
        <v>1430</v>
      </c>
      <c r="BH90" s="145">
        <v>750</v>
      </c>
      <c r="BI90" s="916">
        <v>2.11</v>
      </c>
      <c r="BJ90" s="145">
        <v>4616</v>
      </c>
      <c r="BK90" s="145">
        <v>-17</v>
      </c>
      <c r="BM90" s="5">
        <v>68</v>
      </c>
      <c r="BN90" s="413" t="s">
        <v>1431</v>
      </c>
      <c r="BO90" s="145">
        <v>365</v>
      </c>
      <c r="BP90" s="916">
        <v>2.8</v>
      </c>
      <c r="BQ90" s="145">
        <v>3853</v>
      </c>
      <c r="BR90" s="145">
        <v>-14</v>
      </c>
      <c r="BS90" s="5"/>
      <c r="BT90" s="5">
        <v>68</v>
      </c>
      <c r="BU90" s="413" t="s">
        <v>1432</v>
      </c>
      <c r="BV90" s="145">
        <v>568</v>
      </c>
      <c r="BW90" s="916">
        <v>2.96</v>
      </c>
      <c r="BX90" s="145">
        <v>3885</v>
      </c>
      <c r="BY90" s="145">
        <v>-15</v>
      </c>
      <c r="BZ90" s="5"/>
      <c r="CA90" s="5">
        <v>68</v>
      </c>
      <c r="CB90" s="413" t="s">
        <v>718</v>
      </c>
      <c r="CC90" s="145"/>
      <c r="CD90" s="916"/>
      <c r="CE90" s="145"/>
      <c r="CF90" s="145"/>
      <c r="CG90" s="5"/>
      <c r="CH90" s="5"/>
      <c r="CI90" s="5"/>
    </row>
    <row r="91" spans="2:87" ht="15.75" customHeight="1" x14ac:dyDescent="0.2">
      <c r="F91" s="5"/>
      <c r="M91" s="5">
        <v>69</v>
      </c>
      <c r="N91" s="413" t="str">
        <f t="shared" si="6"/>
        <v>Schwarzenberg</v>
      </c>
      <c r="O91" s="414">
        <f t="shared" si="7"/>
        <v>696</v>
      </c>
      <c r="P91" s="414">
        <f t="shared" si="8"/>
        <v>2.85</v>
      </c>
      <c r="Q91" s="145">
        <f t="shared" si="11"/>
        <v>-15</v>
      </c>
      <c r="R91" s="414">
        <f t="shared" si="9"/>
        <v>4357</v>
      </c>
      <c r="S91" s="414">
        <f t="shared" si="10"/>
        <v>-15</v>
      </c>
      <c r="T91" s="19"/>
      <c r="U91" s="5"/>
      <c r="V91" s="5"/>
      <c r="W91" s="5">
        <v>69</v>
      </c>
      <c r="X91" s="144" t="s">
        <v>1433</v>
      </c>
      <c r="Y91" s="145">
        <v>696</v>
      </c>
      <c r="Z91" s="916">
        <v>2.85</v>
      </c>
      <c r="AA91" s="145">
        <v>4357</v>
      </c>
      <c r="AB91" s="145">
        <v>-15</v>
      </c>
      <c r="AD91" s="5">
        <v>69</v>
      </c>
      <c r="AE91" s="413" t="s">
        <v>1434</v>
      </c>
      <c r="AF91" s="145">
        <v>228</v>
      </c>
      <c r="AG91" s="916">
        <v>3.48</v>
      </c>
      <c r="AH91" s="145">
        <v>3470</v>
      </c>
      <c r="AI91" s="145">
        <v>-13</v>
      </c>
      <c r="AK91" s="5">
        <v>69</v>
      </c>
      <c r="AL91" s="413" t="s">
        <v>1435</v>
      </c>
      <c r="AM91" s="145">
        <v>535</v>
      </c>
      <c r="AN91" s="916">
        <v>2.5299999999999998</v>
      </c>
      <c r="AO91" s="145">
        <v>3966</v>
      </c>
      <c r="AP91" s="145">
        <v>-15</v>
      </c>
      <c r="AR91" s="5">
        <v>69</v>
      </c>
      <c r="AS91" s="413" t="s">
        <v>1436</v>
      </c>
      <c r="AT91" s="145">
        <v>560</v>
      </c>
      <c r="AU91" s="916">
        <v>2.42</v>
      </c>
      <c r="AV91" s="145">
        <v>4484</v>
      </c>
      <c r="AW91" s="145">
        <v>-17</v>
      </c>
      <c r="AY91" s="5">
        <v>69</v>
      </c>
      <c r="AZ91" s="413" t="s">
        <v>1437</v>
      </c>
      <c r="BA91" s="145">
        <v>360</v>
      </c>
      <c r="BB91" s="916">
        <v>3.27</v>
      </c>
      <c r="BC91" s="145">
        <v>3697</v>
      </c>
      <c r="BD91" s="145">
        <v>-15</v>
      </c>
      <c r="BF91" s="5">
        <v>69</v>
      </c>
      <c r="BG91" s="413" t="s">
        <v>1438</v>
      </c>
      <c r="BH91" s="145">
        <v>769</v>
      </c>
      <c r="BI91" s="916">
        <v>2.0099999999999998</v>
      </c>
      <c r="BJ91" s="145">
        <v>4659</v>
      </c>
      <c r="BK91" s="145">
        <v>-18</v>
      </c>
      <c r="BM91" s="5">
        <v>69</v>
      </c>
      <c r="BN91" s="413" t="s">
        <v>1439</v>
      </c>
      <c r="BO91" s="145">
        <v>279</v>
      </c>
      <c r="BP91" s="916">
        <v>3.15</v>
      </c>
      <c r="BQ91" s="145">
        <v>3522</v>
      </c>
      <c r="BR91" s="145">
        <v>-13</v>
      </c>
      <c r="BS91" s="5"/>
      <c r="BT91" s="5">
        <v>69</v>
      </c>
      <c r="BU91" s="413" t="s">
        <v>1440</v>
      </c>
      <c r="BV91" s="145">
        <v>923</v>
      </c>
      <c r="BW91" s="916">
        <v>1.9</v>
      </c>
      <c r="BX91" s="145">
        <v>4904</v>
      </c>
      <c r="BY91" s="145">
        <v>-18</v>
      </c>
      <c r="BZ91" s="5"/>
      <c r="CA91" s="5">
        <v>69</v>
      </c>
      <c r="CB91" s="413" t="s">
        <v>718</v>
      </c>
      <c r="CC91" s="145"/>
      <c r="CD91" s="916"/>
      <c r="CE91" s="145"/>
      <c r="CF91" s="145"/>
      <c r="CG91" s="5"/>
      <c r="CH91" s="5"/>
      <c r="CI91" s="5"/>
    </row>
    <row r="92" spans="2:87" ht="15.75" customHeight="1" x14ac:dyDescent="0.2">
      <c r="F92" s="5"/>
      <c r="M92" s="5">
        <v>70</v>
      </c>
      <c r="N92" s="413" t="str">
        <f t="shared" si="6"/>
        <v>Sonntag</v>
      </c>
      <c r="O92" s="414">
        <f t="shared" si="7"/>
        <v>888</v>
      </c>
      <c r="P92" s="414">
        <f t="shared" si="8"/>
        <v>2.38</v>
      </c>
      <c r="Q92" s="145">
        <f t="shared" si="11"/>
        <v>-18</v>
      </c>
      <c r="R92" s="414">
        <f t="shared" si="9"/>
        <v>4740</v>
      </c>
      <c r="S92" s="414">
        <f t="shared" si="10"/>
        <v>-18</v>
      </c>
      <c r="T92" s="19"/>
      <c r="U92" s="5"/>
      <c r="V92" s="5"/>
      <c r="W92" s="5">
        <v>70</v>
      </c>
      <c r="X92" s="144" t="s">
        <v>1441</v>
      </c>
      <c r="Y92" s="145">
        <v>888</v>
      </c>
      <c r="Z92" s="916">
        <v>2.38</v>
      </c>
      <c r="AA92" s="145">
        <v>4740</v>
      </c>
      <c r="AB92" s="145">
        <v>-18</v>
      </c>
      <c r="AD92" s="5">
        <v>70</v>
      </c>
      <c r="AE92" s="413" t="s">
        <v>1442</v>
      </c>
      <c r="AF92" s="145">
        <v>248</v>
      </c>
      <c r="AG92" s="916">
        <v>3.38</v>
      </c>
      <c r="AH92" s="145">
        <v>3540</v>
      </c>
      <c r="AI92" s="145">
        <v>-13</v>
      </c>
      <c r="AK92" s="5">
        <v>70</v>
      </c>
      <c r="AL92" s="413" t="s">
        <v>1443</v>
      </c>
      <c r="AM92" s="145">
        <v>642</v>
      </c>
      <c r="AN92" s="916">
        <v>2.48</v>
      </c>
      <c r="AO92" s="145">
        <v>4257</v>
      </c>
      <c r="AP92" s="145">
        <v>-15</v>
      </c>
      <c r="AR92" s="5">
        <v>70</v>
      </c>
      <c r="AS92" s="413" t="s">
        <v>1444</v>
      </c>
      <c r="AT92" s="145">
        <v>147</v>
      </c>
      <c r="AU92" s="916">
        <v>3.32</v>
      </c>
      <c r="AV92" s="145">
        <v>3486</v>
      </c>
      <c r="AW92" s="145">
        <v>-14</v>
      </c>
      <c r="AY92" s="5">
        <v>70</v>
      </c>
      <c r="AZ92" s="413" t="s">
        <v>1445</v>
      </c>
      <c r="BA92" s="145">
        <v>508</v>
      </c>
      <c r="BB92" s="916">
        <v>2.79</v>
      </c>
      <c r="BC92" s="145">
        <v>4216</v>
      </c>
      <c r="BD92" s="145">
        <v>-16</v>
      </c>
      <c r="BF92" s="5">
        <v>70</v>
      </c>
      <c r="BG92" s="413" t="s">
        <v>1446</v>
      </c>
      <c r="BH92" s="145">
        <v>441</v>
      </c>
      <c r="BI92" s="916">
        <v>3.34</v>
      </c>
      <c r="BJ92" s="145">
        <v>3766</v>
      </c>
      <c r="BK92" s="145">
        <v>-15</v>
      </c>
      <c r="BM92" s="5">
        <v>70</v>
      </c>
      <c r="BN92" s="413" t="s">
        <v>1447</v>
      </c>
      <c r="BO92" s="145">
        <v>960</v>
      </c>
      <c r="BP92" s="916">
        <v>2.4500000000000002</v>
      </c>
      <c r="BQ92" s="145">
        <v>4880</v>
      </c>
      <c r="BR92" s="145">
        <v>-16</v>
      </c>
      <c r="BS92" s="5"/>
      <c r="BT92" s="5">
        <v>70</v>
      </c>
      <c r="BU92" s="413" t="s">
        <v>1448</v>
      </c>
      <c r="BV92" s="145">
        <v>1054</v>
      </c>
      <c r="BW92" s="916">
        <v>2.42</v>
      </c>
      <c r="BX92" s="145">
        <v>4994</v>
      </c>
      <c r="BY92" s="145">
        <v>-19</v>
      </c>
      <c r="BZ92" s="5"/>
      <c r="CA92" s="5">
        <v>70</v>
      </c>
      <c r="CB92" s="413" t="s">
        <v>718</v>
      </c>
      <c r="CC92" s="145"/>
      <c r="CD92" s="916"/>
      <c r="CE92" s="145"/>
      <c r="CF92" s="145"/>
      <c r="CG92" s="5"/>
      <c r="CH92" s="5"/>
      <c r="CI92" s="5"/>
    </row>
    <row r="93" spans="2:87" ht="15.75" customHeight="1" x14ac:dyDescent="0.2">
      <c r="B93" s="222"/>
      <c r="C93" s="222"/>
      <c r="F93" s="5"/>
      <c r="M93" s="5">
        <v>71</v>
      </c>
      <c r="N93" s="413" t="str">
        <f t="shared" si="6"/>
        <v>Stuben</v>
      </c>
      <c r="O93" s="414">
        <f t="shared" si="7"/>
        <v>1407</v>
      </c>
      <c r="P93" s="414">
        <f t="shared" si="8"/>
        <v>2.31</v>
      </c>
      <c r="Q93" s="145">
        <f t="shared" si="11"/>
        <v>-17</v>
      </c>
      <c r="R93" s="414">
        <f t="shared" si="9"/>
        <v>5343</v>
      </c>
      <c r="S93" s="414">
        <f t="shared" si="10"/>
        <v>-17</v>
      </c>
      <c r="T93" s="19"/>
      <c r="U93" s="5"/>
      <c r="V93" s="5"/>
      <c r="W93" s="5">
        <v>71</v>
      </c>
      <c r="X93" s="144" t="s">
        <v>1449</v>
      </c>
      <c r="Y93" s="145">
        <v>1407</v>
      </c>
      <c r="Z93" s="916">
        <v>2.31</v>
      </c>
      <c r="AA93" s="145">
        <v>5343</v>
      </c>
      <c r="AB93" s="145">
        <v>-17</v>
      </c>
      <c r="AD93" s="5">
        <v>71</v>
      </c>
      <c r="AE93" s="413" t="s">
        <v>1450</v>
      </c>
      <c r="AF93" s="145">
        <v>245</v>
      </c>
      <c r="AG93" s="916">
        <v>3.38</v>
      </c>
      <c r="AH93" s="145">
        <v>3507</v>
      </c>
      <c r="AI93" s="145">
        <v>-13</v>
      </c>
      <c r="AK93" s="5">
        <v>71</v>
      </c>
      <c r="AL93" s="413" t="s">
        <v>1451</v>
      </c>
      <c r="AM93" s="145">
        <v>446</v>
      </c>
      <c r="AN93" s="916">
        <v>2.27</v>
      </c>
      <c r="AO93" s="145">
        <v>3935</v>
      </c>
      <c r="AP93" s="145">
        <v>-16</v>
      </c>
      <c r="AR93" s="5">
        <v>71</v>
      </c>
      <c r="AS93" s="413" t="s">
        <v>1452</v>
      </c>
      <c r="AT93" s="145">
        <v>450</v>
      </c>
      <c r="AU93" s="916">
        <v>3.02</v>
      </c>
      <c r="AV93" s="145">
        <v>3990</v>
      </c>
      <c r="AW93" s="145">
        <v>-14</v>
      </c>
      <c r="AY93" s="5">
        <v>71</v>
      </c>
      <c r="AZ93" s="413" t="s">
        <v>3713</v>
      </c>
      <c r="BA93" s="145">
        <v>298</v>
      </c>
      <c r="BB93" s="916">
        <v>3.35</v>
      </c>
      <c r="BC93" s="145">
        <v>3664</v>
      </c>
      <c r="BD93" s="145">
        <v>-14</v>
      </c>
      <c r="BF93" s="5">
        <v>71</v>
      </c>
      <c r="BG93" s="413" t="s">
        <v>3714</v>
      </c>
      <c r="BH93" s="145">
        <v>452</v>
      </c>
      <c r="BI93" s="916">
        <v>3.52</v>
      </c>
      <c r="BJ93" s="145">
        <v>3840</v>
      </c>
      <c r="BK93" s="145">
        <v>-15</v>
      </c>
      <c r="BM93" s="5">
        <v>71</v>
      </c>
      <c r="BN93" s="413" t="s">
        <v>3715</v>
      </c>
      <c r="BO93" s="145">
        <v>234</v>
      </c>
      <c r="BP93" s="916">
        <v>3.19</v>
      </c>
      <c r="BQ93" s="145">
        <v>3513</v>
      </c>
      <c r="BR93" s="145">
        <v>-13</v>
      </c>
      <c r="BS93" s="5"/>
      <c r="BT93" s="5">
        <v>71</v>
      </c>
      <c r="BU93" s="413" t="s">
        <v>3716</v>
      </c>
      <c r="BV93" s="145">
        <v>1325</v>
      </c>
      <c r="BW93" s="916">
        <v>2.3199999999999998</v>
      </c>
      <c r="BX93" s="145">
        <v>5252</v>
      </c>
      <c r="BY93" s="145">
        <v>-16</v>
      </c>
      <c r="BZ93" s="5"/>
      <c r="CA93" s="5">
        <v>71</v>
      </c>
      <c r="CB93" s="413" t="s">
        <v>718</v>
      </c>
      <c r="CC93" s="145"/>
      <c r="CD93" s="916"/>
      <c r="CE93" s="145"/>
      <c r="CF93" s="145"/>
      <c r="CG93" s="5"/>
      <c r="CH93" s="5"/>
      <c r="CI93" s="5"/>
    </row>
    <row r="94" spans="2:87" ht="15.75" customHeight="1" x14ac:dyDescent="0.2">
      <c r="F94" s="5"/>
      <c r="M94" s="5">
        <v>72</v>
      </c>
      <c r="N94" s="413" t="str">
        <f t="shared" si="6"/>
        <v>Sulz</v>
      </c>
      <c r="O94" s="414">
        <f t="shared" si="7"/>
        <v>495</v>
      </c>
      <c r="P94" s="414">
        <f t="shared" si="8"/>
        <v>3.57</v>
      </c>
      <c r="Q94" s="145">
        <f t="shared" si="11"/>
        <v>-13</v>
      </c>
      <c r="R94" s="414">
        <f t="shared" si="9"/>
        <v>3681</v>
      </c>
      <c r="S94" s="414">
        <f t="shared" si="10"/>
        <v>-13</v>
      </c>
      <c r="T94" s="19"/>
      <c r="U94" s="5"/>
      <c r="V94" s="5"/>
      <c r="W94" s="5">
        <v>72</v>
      </c>
      <c r="X94" s="144" t="s">
        <v>3717</v>
      </c>
      <c r="Y94" s="145">
        <v>495</v>
      </c>
      <c r="Z94" s="916">
        <v>3.57</v>
      </c>
      <c r="AA94" s="145">
        <v>3681</v>
      </c>
      <c r="AB94" s="145">
        <v>-13</v>
      </c>
      <c r="AD94" s="5">
        <v>72</v>
      </c>
      <c r="AE94" s="413" t="s">
        <v>3718</v>
      </c>
      <c r="AF94" s="145">
        <v>355</v>
      </c>
      <c r="AG94" s="916">
        <v>3.03</v>
      </c>
      <c r="AH94" s="145">
        <v>3784</v>
      </c>
      <c r="AI94" s="145">
        <v>-13</v>
      </c>
      <c r="AK94" s="5">
        <v>72</v>
      </c>
      <c r="AL94" s="413" t="s">
        <v>3719</v>
      </c>
      <c r="AM94" s="145">
        <v>446</v>
      </c>
      <c r="AN94" s="916">
        <v>2.27</v>
      </c>
      <c r="AO94" s="145">
        <v>3935</v>
      </c>
      <c r="AP94" s="145">
        <v>-16</v>
      </c>
      <c r="AR94" s="5">
        <v>72</v>
      </c>
      <c r="AS94" s="413" t="s">
        <v>3720</v>
      </c>
      <c r="AT94" s="145">
        <v>325</v>
      </c>
      <c r="AU94" s="916">
        <v>2.89</v>
      </c>
      <c r="AV94" s="145">
        <v>3884</v>
      </c>
      <c r="AW94" s="145">
        <v>-15</v>
      </c>
      <c r="AY94" s="5">
        <v>72</v>
      </c>
      <c r="AZ94" s="413" t="s">
        <v>3721</v>
      </c>
      <c r="BA94" s="145">
        <v>455</v>
      </c>
      <c r="BB94" s="916">
        <v>3.14</v>
      </c>
      <c r="BC94" s="145">
        <v>3828</v>
      </c>
      <c r="BD94" s="145">
        <v>-15</v>
      </c>
      <c r="BF94" s="5">
        <v>72</v>
      </c>
      <c r="BG94" s="413" t="s">
        <v>3722</v>
      </c>
      <c r="BH94" s="145">
        <v>400</v>
      </c>
      <c r="BI94" s="916">
        <v>3.33</v>
      </c>
      <c r="BJ94" s="145">
        <v>3750</v>
      </c>
      <c r="BK94" s="145">
        <v>-15</v>
      </c>
      <c r="BM94" s="5">
        <v>72</v>
      </c>
      <c r="BN94" s="413" t="s">
        <v>3723</v>
      </c>
      <c r="BO94" s="145">
        <v>551</v>
      </c>
      <c r="BP94" s="916">
        <v>3.05</v>
      </c>
      <c r="BQ94" s="145">
        <v>3865</v>
      </c>
      <c r="BR94" s="145">
        <v>-14</v>
      </c>
      <c r="BS94" s="5"/>
      <c r="BT94" s="5">
        <v>72</v>
      </c>
      <c r="BU94" s="413" t="s">
        <v>3724</v>
      </c>
      <c r="BV94" s="145">
        <v>558</v>
      </c>
      <c r="BW94" s="916">
        <v>2.59</v>
      </c>
      <c r="BX94" s="145">
        <v>4075</v>
      </c>
      <c r="BY94" s="145">
        <v>-15</v>
      </c>
      <c r="BZ94" s="5"/>
      <c r="CA94" s="5">
        <v>72</v>
      </c>
      <c r="CB94" s="413" t="s">
        <v>718</v>
      </c>
      <c r="CC94" s="145"/>
      <c r="CD94" s="916"/>
      <c r="CE94" s="145"/>
      <c r="CF94" s="145"/>
      <c r="CG94" s="5"/>
      <c r="CH94" s="5"/>
      <c r="CI94" s="5"/>
    </row>
    <row r="95" spans="2:87" ht="15.75" customHeight="1" x14ac:dyDescent="0.2">
      <c r="F95" s="5"/>
      <c r="M95" s="5">
        <v>73</v>
      </c>
      <c r="N95" s="413" t="str">
        <f t="shared" si="6"/>
        <v>Sulzberg</v>
      </c>
      <c r="O95" s="414">
        <f t="shared" si="7"/>
        <v>1013</v>
      </c>
      <c r="P95" s="414">
        <f t="shared" si="8"/>
        <v>2.44</v>
      </c>
      <c r="Q95" s="145">
        <f t="shared" si="11"/>
        <v>-16</v>
      </c>
      <c r="R95" s="414">
        <f t="shared" si="9"/>
        <v>4918</v>
      </c>
      <c r="S95" s="414">
        <f t="shared" si="10"/>
        <v>-16</v>
      </c>
      <c r="T95" s="19"/>
      <c r="U95" s="5"/>
      <c r="V95" s="5"/>
      <c r="W95" s="5">
        <v>73</v>
      </c>
      <c r="X95" s="144" t="s">
        <v>3725</v>
      </c>
      <c r="Y95" s="145">
        <v>1013</v>
      </c>
      <c r="Z95" s="916">
        <v>2.44</v>
      </c>
      <c r="AA95" s="145">
        <v>4918</v>
      </c>
      <c r="AB95" s="145">
        <v>-16</v>
      </c>
      <c r="AD95" s="5">
        <v>73</v>
      </c>
      <c r="AE95" s="413" t="s">
        <v>3726</v>
      </c>
      <c r="AF95" s="145">
        <v>315</v>
      </c>
      <c r="AG95" s="916">
        <v>3.09</v>
      </c>
      <c r="AH95" s="145">
        <v>3704</v>
      </c>
      <c r="AI95" s="145">
        <v>-13</v>
      </c>
      <c r="AK95" s="5">
        <v>73</v>
      </c>
      <c r="AL95" s="413" t="s">
        <v>3727</v>
      </c>
      <c r="AM95" s="145">
        <v>454</v>
      </c>
      <c r="AN95" s="916">
        <v>2.3199999999999998</v>
      </c>
      <c r="AO95" s="145">
        <v>3942</v>
      </c>
      <c r="AP95" s="145">
        <v>-16</v>
      </c>
      <c r="AR95" s="5">
        <v>73</v>
      </c>
      <c r="AS95" s="413" t="s">
        <v>3728</v>
      </c>
      <c r="AT95" s="145">
        <v>243</v>
      </c>
      <c r="AU95" s="916">
        <v>3.44</v>
      </c>
      <c r="AV95" s="145">
        <v>3462</v>
      </c>
      <c r="AW95" s="145">
        <v>-13</v>
      </c>
      <c r="AY95" s="5">
        <v>73</v>
      </c>
      <c r="AZ95" s="413" t="s">
        <v>3729</v>
      </c>
      <c r="BA95" s="145">
        <v>555</v>
      </c>
      <c r="BB95" s="916">
        <v>3.1</v>
      </c>
      <c r="BC95" s="145">
        <v>3921</v>
      </c>
      <c r="BD95" s="145">
        <v>-15</v>
      </c>
      <c r="BF95" s="5">
        <v>73</v>
      </c>
      <c r="BG95" s="413" t="s">
        <v>3730</v>
      </c>
      <c r="BH95" s="145">
        <v>1664</v>
      </c>
      <c r="BI95" s="916">
        <v>1.22</v>
      </c>
      <c r="BJ95" s="145">
        <v>6159</v>
      </c>
      <c r="BK95" s="145">
        <v>-20</v>
      </c>
      <c r="BM95" s="5">
        <v>73</v>
      </c>
      <c r="BN95" s="413" t="s">
        <v>3731</v>
      </c>
      <c r="BO95" s="145">
        <v>709</v>
      </c>
      <c r="BP95" s="916">
        <v>2.77</v>
      </c>
      <c r="BQ95" s="145">
        <v>4203</v>
      </c>
      <c r="BR95" s="145">
        <v>-14</v>
      </c>
      <c r="BS95" s="5"/>
      <c r="BT95" s="5">
        <v>73</v>
      </c>
      <c r="BU95" s="413" t="s">
        <v>3732</v>
      </c>
      <c r="BV95" s="145">
        <v>1256</v>
      </c>
      <c r="BW95" s="916">
        <v>2.09</v>
      </c>
      <c r="BX95" s="145">
        <v>5175</v>
      </c>
      <c r="BY95" s="145">
        <v>-18</v>
      </c>
      <c r="BZ95" s="5"/>
      <c r="CA95" s="5">
        <v>73</v>
      </c>
      <c r="CB95" s="413" t="s">
        <v>718</v>
      </c>
      <c r="CC95" s="145"/>
      <c r="CD95" s="916"/>
      <c r="CE95" s="145"/>
      <c r="CF95" s="145"/>
      <c r="CG95" s="5"/>
      <c r="CH95" s="5"/>
      <c r="CI95" s="5"/>
    </row>
    <row r="96" spans="2:87" ht="15.75" customHeight="1" x14ac:dyDescent="0.2">
      <c r="F96" s="5"/>
      <c r="M96" s="5">
        <v>74</v>
      </c>
      <c r="N96" s="413" t="str">
        <f t="shared" si="6"/>
        <v>Thüringen</v>
      </c>
      <c r="O96" s="414">
        <f t="shared" si="7"/>
        <v>573</v>
      </c>
      <c r="P96" s="414">
        <f t="shared" si="8"/>
        <v>3.17</v>
      </c>
      <c r="Q96" s="145">
        <f t="shared" si="11"/>
        <v>-15</v>
      </c>
      <c r="R96" s="414">
        <f t="shared" si="9"/>
        <v>3939</v>
      </c>
      <c r="S96" s="414">
        <f t="shared" si="10"/>
        <v>-15</v>
      </c>
      <c r="T96" s="19"/>
      <c r="U96" s="5"/>
      <c r="V96" s="5"/>
      <c r="W96" s="5">
        <v>74</v>
      </c>
      <c r="X96" s="144" t="s">
        <v>3733</v>
      </c>
      <c r="Y96" s="145">
        <v>573</v>
      </c>
      <c r="Z96" s="916">
        <v>3.17</v>
      </c>
      <c r="AA96" s="145">
        <v>3939</v>
      </c>
      <c r="AB96" s="145">
        <v>-15</v>
      </c>
      <c r="AD96" s="5">
        <v>74</v>
      </c>
      <c r="AE96" s="413" t="s">
        <v>3734</v>
      </c>
      <c r="AF96" s="145">
        <v>130</v>
      </c>
      <c r="AG96" s="916">
        <v>3.43</v>
      </c>
      <c r="AH96" s="145">
        <v>3364</v>
      </c>
      <c r="AI96" s="145">
        <v>-13</v>
      </c>
      <c r="AK96" s="5">
        <v>74</v>
      </c>
      <c r="AL96" s="413" t="s">
        <v>3735</v>
      </c>
      <c r="AM96" s="145">
        <v>460</v>
      </c>
      <c r="AN96" s="916">
        <v>2.29</v>
      </c>
      <c r="AO96" s="145">
        <v>3950</v>
      </c>
      <c r="AP96" s="145">
        <v>-16</v>
      </c>
      <c r="AR96" s="5">
        <v>74</v>
      </c>
      <c r="AS96" s="413" t="s">
        <v>3736</v>
      </c>
      <c r="AT96" s="145">
        <v>270</v>
      </c>
      <c r="AU96" s="916">
        <v>3.25</v>
      </c>
      <c r="AV96" s="145">
        <v>3686</v>
      </c>
      <c r="AW96" s="145">
        <v>-14</v>
      </c>
      <c r="AY96" s="5">
        <v>74</v>
      </c>
      <c r="AZ96" s="413" t="s">
        <v>3737</v>
      </c>
      <c r="BA96" s="145">
        <v>554</v>
      </c>
      <c r="BB96" s="916">
        <v>3.05</v>
      </c>
      <c r="BC96" s="145">
        <v>4050</v>
      </c>
      <c r="BD96" s="145">
        <v>-15</v>
      </c>
      <c r="BF96" s="5">
        <v>74</v>
      </c>
      <c r="BG96" s="413" t="s">
        <v>3738</v>
      </c>
      <c r="BH96" s="145">
        <v>508</v>
      </c>
      <c r="BI96" s="916">
        <v>3.23</v>
      </c>
      <c r="BJ96" s="145">
        <v>3858</v>
      </c>
      <c r="BK96" s="145">
        <v>-15</v>
      </c>
      <c r="BM96" s="5">
        <v>74</v>
      </c>
      <c r="BN96" s="413" t="s">
        <v>3739</v>
      </c>
      <c r="BO96" s="145">
        <v>384</v>
      </c>
      <c r="BP96" s="916">
        <v>3.27</v>
      </c>
      <c r="BQ96" s="145">
        <v>3597</v>
      </c>
      <c r="BR96" s="145">
        <v>-13</v>
      </c>
      <c r="BS96" s="5"/>
      <c r="BT96" s="5">
        <v>74</v>
      </c>
      <c r="BU96" s="413" t="s">
        <v>3740</v>
      </c>
      <c r="BV96" s="145">
        <v>1358</v>
      </c>
      <c r="BW96" s="916">
        <v>1.74</v>
      </c>
      <c r="BX96" s="145">
        <v>5514</v>
      </c>
      <c r="BY96" s="145">
        <v>-17</v>
      </c>
      <c r="BZ96" s="5"/>
      <c r="CA96" s="5">
        <v>74</v>
      </c>
      <c r="CB96" s="413" t="s">
        <v>718</v>
      </c>
      <c r="CC96" s="145"/>
      <c r="CD96" s="916"/>
      <c r="CE96" s="145"/>
      <c r="CF96" s="145"/>
      <c r="CG96" s="5"/>
      <c r="CH96" s="5"/>
      <c r="CI96" s="5"/>
    </row>
    <row r="97" spans="6:87" ht="15.75" customHeight="1" x14ac:dyDescent="0.2">
      <c r="F97" s="5"/>
      <c r="M97" s="5">
        <v>75</v>
      </c>
      <c r="N97" s="413" t="str">
        <f t="shared" si="6"/>
        <v>Thüringerberg</v>
      </c>
      <c r="O97" s="414">
        <f t="shared" si="7"/>
        <v>880</v>
      </c>
      <c r="P97" s="414">
        <f t="shared" si="8"/>
        <v>2.3199999999999998</v>
      </c>
      <c r="Q97" s="145">
        <f t="shared" si="11"/>
        <v>-18</v>
      </c>
      <c r="R97" s="414">
        <f t="shared" si="9"/>
        <v>4738</v>
      </c>
      <c r="S97" s="414">
        <f t="shared" si="10"/>
        <v>-18</v>
      </c>
      <c r="T97" s="19"/>
      <c r="U97" s="5"/>
      <c r="V97" s="5"/>
      <c r="W97" s="5">
        <v>75</v>
      </c>
      <c r="X97" s="144" t="s">
        <v>3741</v>
      </c>
      <c r="Y97" s="145">
        <v>880</v>
      </c>
      <c r="Z97" s="916">
        <v>2.3199999999999998</v>
      </c>
      <c r="AA97" s="145">
        <v>4738</v>
      </c>
      <c r="AB97" s="145">
        <v>-18</v>
      </c>
      <c r="AD97" s="5">
        <v>75</v>
      </c>
      <c r="AE97" s="413" t="s">
        <v>3742</v>
      </c>
      <c r="AF97" s="145">
        <v>285</v>
      </c>
      <c r="AG97" s="916">
        <v>3.37</v>
      </c>
      <c r="AH97" s="145">
        <v>3476</v>
      </c>
      <c r="AI97" s="145">
        <v>-12</v>
      </c>
      <c r="AK97" s="5">
        <v>75</v>
      </c>
      <c r="AL97" s="413" t="s">
        <v>3743</v>
      </c>
      <c r="AM97" s="145">
        <v>575</v>
      </c>
      <c r="AN97" s="916">
        <v>2.4900000000000002</v>
      </c>
      <c r="AO97" s="145">
        <v>4097</v>
      </c>
      <c r="AP97" s="145">
        <v>-15</v>
      </c>
      <c r="AR97" s="5">
        <v>75</v>
      </c>
      <c r="AS97" s="413" t="s">
        <v>3744</v>
      </c>
      <c r="AT97" s="145">
        <v>576</v>
      </c>
      <c r="AU97" s="916">
        <v>2.46</v>
      </c>
      <c r="AV97" s="145">
        <v>4472</v>
      </c>
      <c r="AW97" s="145">
        <v>-17</v>
      </c>
      <c r="AY97" s="5">
        <v>75</v>
      </c>
      <c r="AZ97" s="413" t="s">
        <v>3745</v>
      </c>
      <c r="BA97" s="145">
        <v>388</v>
      </c>
      <c r="BB97" s="916">
        <v>3.14</v>
      </c>
      <c r="BC97" s="145">
        <v>3861</v>
      </c>
      <c r="BD97" s="145">
        <v>-15</v>
      </c>
      <c r="BF97" s="5">
        <v>75</v>
      </c>
      <c r="BG97" s="413" t="s">
        <v>3746</v>
      </c>
      <c r="BH97" s="145">
        <v>553</v>
      </c>
      <c r="BI97" s="916">
        <v>2.5099999999999998</v>
      </c>
      <c r="BJ97" s="145">
        <v>4233</v>
      </c>
      <c r="BK97" s="145">
        <v>-16</v>
      </c>
      <c r="BM97" s="5">
        <v>75</v>
      </c>
      <c r="BN97" s="413" t="s">
        <v>3747</v>
      </c>
      <c r="BO97" s="145">
        <v>377</v>
      </c>
      <c r="BP97" s="916">
        <v>3.28</v>
      </c>
      <c r="BQ97" s="145">
        <v>3544</v>
      </c>
      <c r="BR97" s="145">
        <v>-13</v>
      </c>
      <c r="BS97" s="5"/>
      <c r="BT97" s="5">
        <v>75</v>
      </c>
      <c r="BU97" s="413" t="s">
        <v>3748</v>
      </c>
      <c r="BV97" s="145">
        <v>610</v>
      </c>
      <c r="BW97" s="916">
        <v>2.92</v>
      </c>
      <c r="BX97" s="145">
        <v>3929</v>
      </c>
      <c r="BY97" s="145">
        <v>-15</v>
      </c>
      <c r="BZ97" s="5"/>
      <c r="CA97" s="5">
        <v>75</v>
      </c>
      <c r="CB97" s="413" t="s">
        <v>718</v>
      </c>
      <c r="CC97" s="145"/>
      <c r="CD97" s="916"/>
      <c r="CE97" s="145"/>
      <c r="CF97" s="145"/>
      <c r="CG97" s="5"/>
      <c r="CH97" s="5"/>
      <c r="CI97" s="5"/>
    </row>
    <row r="98" spans="6:87" ht="15.75" customHeight="1" x14ac:dyDescent="0.2">
      <c r="F98" s="5"/>
      <c r="M98" s="5">
        <v>76</v>
      </c>
      <c r="N98" s="413" t="str">
        <f t="shared" si="6"/>
        <v>Tschagguns</v>
      </c>
      <c r="O98" s="414">
        <f t="shared" si="7"/>
        <v>687</v>
      </c>
      <c r="P98" s="414">
        <f t="shared" si="8"/>
        <v>2.93</v>
      </c>
      <c r="Q98" s="145">
        <f t="shared" si="11"/>
        <v>-16</v>
      </c>
      <c r="R98" s="414">
        <f t="shared" si="9"/>
        <v>4182</v>
      </c>
      <c r="S98" s="414">
        <f t="shared" si="10"/>
        <v>-16</v>
      </c>
      <c r="T98" s="19"/>
      <c r="U98" s="5"/>
      <c r="V98" s="5"/>
      <c r="W98" s="5">
        <v>76</v>
      </c>
      <c r="X98" s="144" t="s">
        <v>3749</v>
      </c>
      <c r="Y98" s="145">
        <v>687</v>
      </c>
      <c r="Z98" s="916">
        <v>2.93</v>
      </c>
      <c r="AA98" s="145">
        <v>4182</v>
      </c>
      <c r="AB98" s="145">
        <v>-16</v>
      </c>
      <c r="AD98" s="5">
        <v>76</v>
      </c>
      <c r="AE98" s="413" t="s">
        <v>3750</v>
      </c>
      <c r="AF98" s="145">
        <v>260</v>
      </c>
      <c r="AG98" s="916">
        <v>3.39</v>
      </c>
      <c r="AH98" s="145">
        <v>3422</v>
      </c>
      <c r="AI98" s="145">
        <v>-12</v>
      </c>
      <c r="AK98" s="5">
        <v>76</v>
      </c>
      <c r="AL98" s="413" t="s">
        <v>3751</v>
      </c>
      <c r="AM98" s="145">
        <v>630</v>
      </c>
      <c r="AN98" s="916">
        <v>2.21</v>
      </c>
      <c r="AO98" s="145">
        <v>4306</v>
      </c>
      <c r="AP98" s="145">
        <v>-16</v>
      </c>
      <c r="AR98" s="5">
        <v>76</v>
      </c>
      <c r="AS98" s="413" t="s">
        <v>3752</v>
      </c>
      <c r="AT98" s="145">
        <v>300</v>
      </c>
      <c r="AU98" s="916">
        <v>3.24</v>
      </c>
      <c r="AV98" s="145">
        <v>3721</v>
      </c>
      <c r="AW98" s="145">
        <v>-14</v>
      </c>
      <c r="AY98" s="5">
        <v>76</v>
      </c>
      <c r="AZ98" s="413" t="s">
        <v>3753</v>
      </c>
      <c r="BA98" s="145">
        <v>495</v>
      </c>
      <c r="BB98" s="916">
        <v>3.05</v>
      </c>
      <c r="BC98" s="145">
        <v>3967</v>
      </c>
      <c r="BD98" s="145">
        <v>-15</v>
      </c>
      <c r="BF98" s="5">
        <v>76</v>
      </c>
      <c r="BG98" s="413" t="s">
        <v>3754</v>
      </c>
      <c r="BH98" s="145">
        <v>780</v>
      </c>
      <c r="BI98" s="916">
        <v>2.15</v>
      </c>
      <c r="BJ98" s="145">
        <v>4534</v>
      </c>
      <c r="BK98" s="145">
        <v>-18</v>
      </c>
      <c r="BM98" s="5">
        <v>76</v>
      </c>
      <c r="BN98" s="413" t="s">
        <v>3755</v>
      </c>
      <c r="BO98" s="145">
        <v>392</v>
      </c>
      <c r="BP98" s="916">
        <v>3.25</v>
      </c>
      <c r="BQ98" s="145">
        <v>3584</v>
      </c>
      <c r="BR98" s="145">
        <v>-13</v>
      </c>
      <c r="BS98" s="5"/>
      <c r="BT98" s="5">
        <v>76</v>
      </c>
      <c r="BU98" s="413" t="s">
        <v>3756</v>
      </c>
      <c r="BV98" s="145">
        <v>825</v>
      </c>
      <c r="BW98" s="916">
        <v>1.88</v>
      </c>
      <c r="BX98" s="145">
        <v>4784</v>
      </c>
      <c r="BY98" s="145">
        <v>-18</v>
      </c>
      <c r="BZ98" s="5"/>
      <c r="CA98" s="5">
        <v>76</v>
      </c>
      <c r="CB98" s="413" t="s">
        <v>718</v>
      </c>
      <c r="CC98" s="145"/>
      <c r="CD98" s="916"/>
      <c r="CE98" s="145"/>
      <c r="CF98" s="145"/>
      <c r="CG98" s="5"/>
      <c r="CH98" s="5"/>
      <c r="CI98" s="5"/>
    </row>
    <row r="99" spans="6:87" ht="15.75" customHeight="1" x14ac:dyDescent="0.2">
      <c r="F99" s="5"/>
      <c r="M99" s="5">
        <v>77</v>
      </c>
      <c r="N99" s="413" t="str">
        <f t="shared" si="6"/>
        <v>Vandans</v>
      </c>
      <c r="O99" s="414">
        <f t="shared" si="7"/>
        <v>648</v>
      </c>
      <c r="P99" s="414">
        <f t="shared" si="8"/>
        <v>3.09</v>
      </c>
      <c r="Q99" s="145">
        <f t="shared" si="11"/>
        <v>-16</v>
      </c>
      <c r="R99" s="414">
        <f t="shared" si="9"/>
        <v>4058</v>
      </c>
      <c r="S99" s="414">
        <f t="shared" si="10"/>
        <v>-16</v>
      </c>
      <c r="T99" s="19"/>
      <c r="U99" s="5"/>
      <c r="V99" s="5"/>
      <c r="W99" s="5">
        <v>77</v>
      </c>
      <c r="X99" s="144" t="s">
        <v>3757</v>
      </c>
      <c r="Y99" s="145">
        <v>648</v>
      </c>
      <c r="Z99" s="916">
        <v>3.09</v>
      </c>
      <c r="AA99" s="145">
        <v>4058</v>
      </c>
      <c r="AB99" s="145">
        <v>-16</v>
      </c>
      <c r="AD99" s="5">
        <v>77</v>
      </c>
      <c r="AE99" s="413" t="s">
        <v>3758</v>
      </c>
      <c r="AF99" s="145">
        <v>137</v>
      </c>
      <c r="AG99" s="916">
        <v>3.43</v>
      </c>
      <c r="AH99" s="145">
        <v>3397</v>
      </c>
      <c r="AI99" s="145">
        <v>-14</v>
      </c>
      <c r="AK99" s="5">
        <v>77</v>
      </c>
      <c r="AL99" s="413" t="s">
        <v>3759</v>
      </c>
      <c r="AM99" s="145">
        <v>729</v>
      </c>
      <c r="AN99" s="916">
        <v>2.0699999999999998</v>
      </c>
      <c r="AO99" s="145">
        <v>4591</v>
      </c>
      <c r="AP99" s="145">
        <v>-17</v>
      </c>
      <c r="AR99" s="5">
        <v>77</v>
      </c>
      <c r="AS99" s="413" t="s">
        <v>3760</v>
      </c>
      <c r="AT99" s="145">
        <v>580</v>
      </c>
      <c r="AU99" s="916">
        <v>2.46</v>
      </c>
      <c r="AV99" s="145">
        <v>4491</v>
      </c>
      <c r="AW99" s="145">
        <v>-17</v>
      </c>
      <c r="AY99" s="5">
        <v>77</v>
      </c>
      <c r="AZ99" s="413" t="s">
        <v>3761</v>
      </c>
      <c r="BA99" s="145">
        <v>469</v>
      </c>
      <c r="BB99" s="916">
        <v>3.03</v>
      </c>
      <c r="BC99" s="145">
        <v>3970</v>
      </c>
      <c r="BD99" s="145">
        <v>-15</v>
      </c>
      <c r="BF99" s="5">
        <v>77</v>
      </c>
      <c r="BG99" s="413" t="s">
        <v>3762</v>
      </c>
      <c r="BH99" s="145">
        <v>450</v>
      </c>
      <c r="BI99" s="916">
        <v>3.56</v>
      </c>
      <c r="BJ99" s="145">
        <v>3814</v>
      </c>
      <c r="BK99" s="145">
        <v>-15</v>
      </c>
      <c r="BM99" s="5">
        <v>77</v>
      </c>
      <c r="BN99" s="413" t="s">
        <v>3763</v>
      </c>
      <c r="BO99" s="145">
        <v>353</v>
      </c>
      <c r="BP99" s="916">
        <v>3.34</v>
      </c>
      <c r="BQ99" s="145">
        <v>3515</v>
      </c>
      <c r="BR99" s="145">
        <v>-12</v>
      </c>
      <c r="BS99" s="5"/>
      <c r="BT99" s="5">
        <v>77</v>
      </c>
      <c r="BU99" s="413" t="s">
        <v>3764</v>
      </c>
      <c r="BV99" s="145">
        <v>515</v>
      </c>
      <c r="BW99" s="916">
        <v>2.67</v>
      </c>
      <c r="BX99" s="145">
        <v>4091</v>
      </c>
      <c r="BY99" s="145">
        <v>-16</v>
      </c>
      <c r="BZ99" s="5"/>
      <c r="CA99" s="5">
        <v>77</v>
      </c>
      <c r="CB99" s="413" t="s">
        <v>718</v>
      </c>
      <c r="CC99" s="145"/>
      <c r="CD99" s="916"/>
      <c r="CE99" s="145"/>
      <c r="CF99" s="145"/>
      <c r="CG99" s="5"/>
      <c r="CH99" s="5"/>
      <c r="CI99" s="5"/>
    </row>
    <row r="100" spans="6:87" ht="15.75" customHeight="1" x14ac:dyDescent="0.2">
      <c r="F100" s="5"/>
      <c r="M100" s="5">
        <v>78</v>
      </c>
      <c r="N100" s="413" t="str">
        <f t="shared" si="6"/>
        <v>Warth</v>
      </c>
      <c r="O100" s="414">
        <f t="shared" si="7"/>
        <v>1499</v>
      </c>
      <c r="P100" s="414">
        <f t="shared" si="8"/>
        <v>2.0699999999999998</v>
      </c>
      <c r="Q100" s="145">
        <f t="shared" si="11"/>
        <v>-17</v>
      </c>
      <c r="R100" s="414">
        <f t="shared" si="9"/>
        <v>5593</v>
      </c>
      <c r="S100" s="414">
        <f t="shared" si="10"/>
        <v>-17</v>
      </c>
      <c r="T100" s="19"/>
      <c r="U100" s="5"/>
      <c r="V100" s="5"/>
      <c r="W100" s="5">
        <v>78</v>
      </c>
      <c r="X100" s="144" t="s">
        <v>3765</v>
      </c>
      <c r="Y100" s="145">
        <v>1499</v>
      </c>
      <c r="Z100" s="916">
        <v>2.0699999999999998</v>
      </c>
      <c r="AA100" s="145">
        <v>5593</v>
      </c>
      <c r="AB100" s="145">
        <v>-17</v>
      </c>
      <c r="AD100" s="5">
        <v>78</v>
      </c>
      <c r="AE100" s="413" t="s">
        <v>3766</v>
      </c>
      <c r="AF100" s="145">
        <v>121</v>
      </c>
      <c r="AG100" s="916">
        <v>3.37</v>
      </c>
      <c r="AH100" s="145">
        <v>3243</v>
      </c>
      <c r="AI100" s="145">
        <v>-14</v>
      </c>
      <c r="AK100" s="5">
        <v>78</v>
      </c>
      <c r="AL100" s="413" t="s">
        <v>3767</v>
      </c>
      <c r="AM100" s="145">
        <v>1064</v>
      </c>
      <c r="AN100" s="916">
        <v>2.58</v>
      </c>
      <c r="AO100" s="145">
        <v>4668</v>
      </c>
      <c r="AP100" s="145">
        <v>-15</v>
      </c>
      <c r="AR100" s="5">
        <v>78</v>
      </c>
      <c r="AS100" s="413" t="s">
        <v>3768</v>
      </c>
      <c r="AT100" s="145">
        <v>215</v>
      </c>
      <c r="AU100" s="916">
        <v>3.46</v>
      </c>
      <c r="AV100" s="145">
        <v>3672</v>
      </c>
      <c r="AW100" s="145">
        <v>-13</v>
      </c>
      <c r="AY100" s="5">
        <v>78</v>
      </c>
      <c r="AZ100" s="413" t="s">
        <v>3769</v>
      </c>
      <c r="BA100" s="145">
        <v>445</v>
      </c>
      <c r="BB100" s="916">
        <v>3.41</v>
      </c>
      <c r="BC100" s="145">
        <v>3766</v>
      </c>
      <c r="BD100" s="145">
        <v>-14</v>
      </c>
      <c r="BF100" s="5">
        <v>78</v>
      </c>
      <c r="BG100" s="413" t="s">
        <v>3770</v>
      </c>
      <c r="BH100" s="145">
        <v>825</v>
      </c>
      <c r="BI100" s="916">
        <v>1.97</v>
      </c>
      <c r="BJ100" s="145">
        <v>4761</v>
      </c>
      <c r="BK100" s="145">
        <v>-17</v>
      </c>
      <c r="BM100" s="5">
        <v>78</v>
      </c>
      <c r="BN100" s="413" t="s">
        <v>3771</v>
      </c>
      <c r="BO100" s="145">
        <v>360</v>
      </c>
      <c r="BP100" s="916">
        <v>3.33</v>
      </c>
      <c r="BQ100" s="145">
        <v>3517</v>
      </c>
      <c r="BR100" s="145">
        <v>-12</v>
      </c>
      <c r="BS100" s="5"/>
      <c r="BT100" s="5">
        <v>78</v>
      </c>
      <c r="BU100" s="413" t="s">
        <v>3772</v>
      </c>
      <c r="BV100" s="145">
        <v>641</v>
      </c>
      <c r="BW100" s="916">
        <v>2.54</v>
      </c>
      <c r="BX100" s="145">
        <v>4330</v>
      </c>
      <c r="BY100" s="145">
        <v>-16</v>
      </c>
      <c r="BZ100" s="5"/>
      <c r="CA100" s="5">
        <v>78</v>
      </c>
      <c r="CB100" s="413" t="s">
        <v>718</v>
      </c>
      <c r="CC100" s="145"/>
      <c r="CD100" s="916"/>
      <c r="CE100" s="145"/>
      <c r="CF100" s="145"/>
      <c r="CG100" s="5"/>
      <c r="CH100" s="5"/>
      <c r="CI100" s="5"/>
    </row>
    <row r="101" spans="6:87" ht="15.75" customHeight="1" x14ac:dyDescent="0.2">
      <c r="F101" s="5"/>
      <c r="M101" s="5">
        <v>79</v>
      </c>
      <c r="N101" s="413" t="str">
        <f t="shared" si="6"/>
        <v>Wolfurt</v>
      </c>
      <c r="O101" s="414">
        <f t="shared" si="7"/>
        <v>420</v>
      </c>
      <c r="P101" s="414">
        <f t="shared" si="8"/>
        <v>4</v>
      </c>
      <c r="Q101" s="145">
        <f t="shared" si="11"/>
        <v>-12</v>
      </c>
      <c r="R101" s="414">
        <f t="shared" si="9"/>
        <v>3536</v>
      </c>
      <c r="S101" s="414">
        <f t="shared" si="10"/>
        <v>-12</v>
      </c>
      <c r="T101" s="19"/>
      <c r="U101" s="5"/>
      <c r="V101" s="5"/>
      <c r="W101" s="5">
        <v>79</v>
      </c>
      <c r="X101" s="144" t="s">
        <v>3773</v>
      </c>
      <c r="Y101" s="145">
        <v>420</v>
      </c>
      <c r="Z101" s="916">
        <v>4</v>
      </c>
      <c r="AA101" s="145">
        <v>3536</v>
      </c>
      <c r="AB101" s="145">
        <v>-12</v>
      </c>
      <c r="AD101" s="5">
        <v>79</v>
      </c>
      <c r="AE101" s="413" t="s">
        <v>3774</v>
      </c>
      <c r="AF101" s="145">
        <v>181</v>
      </c>
      <c r="AG101" s="916">
        <v>3.33</v>
      </c>
      <c r="AH101" s="145">
        <v>3483</v>
      </c>
      <c r="AI101" s="145">
        <v>-14</v>
      </c>
      <c r="AK101" s="5">
        <v>79</v>
      </c>
      <c r="AL101" s="413" t="s">
        <v>3775</v>
      </c>
      <c r="AM101" s="145">
        <v>663</v>
      </c>
      <c r="AN101" s="916">
        <v>2.81</v>
      </c>
      <c r="AO101" s="145">
        <v>4142</v>
      </c>
      <c r="AP101" s="145">
        <v>-15</v>
      </c>
      <c r="AR101" s="5">
        <v>79</v>
      </c>
      <c r="AS101" s="413" t="s">
        <v>3776</v>
      </c>
      <c r="AT101" s="145">
        <v>143</v>
      </c>
      <c r="AU101" s="916">
        <v>3.42</v>
      </c>
      <c r="AV101" s="145">
        <v>3432</v>
      </c>
      <c r="AW101" s="145">
        <v>-14</v>
      </c>
      <c r="AY101" s="5">
        <v>79</v>
      </c>
      <c r="AZ101" s="413" t="s">
        <v>3777</v>
      </c>
      <c r="BA101" s="145">
        <v>779</v>
      </c>
      <c r="BB101" s="916">
        <v>2.16</v>
      </c>
      <c r="BC101" s="145">
        <v>4620</v>
      </c>
      <c r="BD101" s="145">
        <v>-15</v>
      </c>
      <c r="BF101" s="5">
        <v>79</v>
      </c>
      <c r="BG101" s="413" t="s">
        <v>3778</v>
      </c>
      <c r="BH101" s="145">
        <v>975</v>
      </c>
      <c r="BI101" s="916">
        <v>1.74</v>
      </c>
      <c r="BJ101" s="145">
        <v>4986</v>
      </c>
      <c r="BK101" s="145">
        <v>-21</v>
      </c>
      <c r="BM101" s="5">
        <v>79</v>
      </c>
      <c r="BN101" s="413" t="s">
        <v>3779</v>
      </c>
      <c r="BO101" s="145">
        <v>345</v>
      </c>
      <c r="BP101" s="916">
        <v>3.26</v>
      </c>
      <c r="BQ101" s="145">
        <v>3499</v>
      </c>
      <c r="BR101" s="145">
        <v>-13</v>
      </c>
      <c r="BS101" s="5"/>
      <c r="BT101" s="5">
        <v>79</v>
      </c>
      <c r="BU101" s="413" t="s">
        <v>3780</v>
      </c>
      <c r="BV101" s="145">
        <v>760</v>
      </c>
      <c r="BW101" s="916">
        <v>2.0499999999999998</v>
      </c>
      <c r="BX101" s="145">
        <v>4650</v>
      </c>
      <c r="BY101" s="145">
        <v>-18</v>
      </c>
      <c r="BZ101" s="5"/>
      <c r="CA101" s="5">
        <v>79</v>
      </c>
      <c r="CB101" s="413" t="s">
        <v>718</v>
      </c>
      <c r="CC101" s="145"/>
      <c r="CD101" s="916"/>
      <c r="CE101" s="145"/>
      <c r="CF101" s="145"/>
      <c r="CG101" s="5"/>
      <c r="CH101" s="5"/>
      <c r="CI101" s="5"/>
    </row>
    <row r="102" spans="6:87" ht="15.75" customHeight="1" x14ac:dyDescent="0.2">
      <c r="F102" s="5"/>
      <c r="M102" s="5">
        <v>80</v>
      </c>
      <c r="N102" s="413" t="str">
        <f t="shared" si="6"/>
        <v>Zürs</v>
      </c>
      <c r="O102" s="414">
        <f t="shared" si="7"/>
        <v>1717</v>
      </c>
      <c r="P102" s="414">
        <f t="shared" si="8"/>
        <v>1.48</v>
      </c>
      <c r="Q102" s="145">
        <f t="shared" si="11"/>
        <v>-19</v>
      </c>
      <c r="R102" s="414">
        <f t="shared" si="9"/>
        <v>6019</v>
      </c>
      <c r="S102" s="414">
        <f t="shared" si="10"/>
        <v>-19</v>
      </c>
      <c r="T102" s="19"/>
      <c r="U102" s="5"/>
      <c r="V102" s="5"/>
      <c r="W102" s="5">
        <v>80</v>
      </c>
      <c r="X102" s="144" t="s">
        <v>3781</v>
      </c>
      <c r="Y102" s="145">
        <v>1717</v>
      </c>
      <c r="Z102" s="916">
        <v>1.48</v>
      </c>
      <c r="AA102" s="145">
        <v>6019</v>
      </c>
      <c r="AB102" s="145">
        <v>-19</v>
      </c>
      <c r="AD102" s="5">
        <v>80</v>
      </c>
      <c r="AE102" s="413" t="s">
        <v>3782</v>
      </c>
      <c r="AF102" s="145">
        <v>368</v>
      </c>
      <c r="AG102" s="916">
        <v>3.22</v>
      </c>
      <c r="AH102" s="145">
        <v>3709</v>
      </c>
      <c r="AI102" s="145">
        <v>-13</v>
      </c>
      <c r="AK102" s="5">
        <v>80</v>
      </c>
      <c r="AL102" s="413" t="s">
        <v>3783</v>
      </c>
      <c r="AM102" s="145">
        <v>790</v>
      </c>
      <c r="AN102" s="916">
        <v>2.82</v>
      </c>
      <c r="AO102" s="145">
        <v>4157</v>
      </c>
      <c r="AP102" s="145">
        <v>-15</v>
      </c>
      <c r="AR102" s="5">
        <v>80</v>
      </c>
      <c r="AS102" s="413" t="s">
        <v>3784</v>
      </c>
      <c r="AT102" s="145">
        <v>252</v>
      </c>
      <c r="AU102" s="916">
        <v>3.27</v>
      </c>
      <c r="AV102" s="145">
        <v>3598</v>
      </c>
      <c r="AW102" s="145">
        <v>-13</v>
      </c>
      <c r="AY102" s="5">
        <v>80</v>
      </c>
      <c r="AZ102" s="413" t="s">
        <v>3785</v>
      </c>
      <c r="BA102" s="145">
        <v>768</v>
      </c>
      <c r="BB102" s="916">
        <v>2.2599999999999998</v>
      </c>
      <c r="BC102" s="145">
        <v>4541</v>
      </c>
      <c r="BD102" s="145">
        <v>-14</v>
      </c>
      <c r="BF102" s="5">
        <v>80</v>
      </c>
      <c r="BG102" s="413" t="s">
        <v>3786</v>
      </c>
      <c r="BH102" s="145">
        <v>948</v>
      </c>
      <c r="BI102" s="916">
        <v>2.27</v>
      </c>
      <c r="BJ102" s="145">
        <v>4805</v>
      </c>
      <c r="BK102" s="145">
        <v>-17</v>
      </c>
      <c r="BM102" s="5">
        <v>80</v>
      </c>
      <c r="BN102" s="413" t="s">
        <v>3787</v>
      </c>
      <c r="BO102" s="145">
        <v>468</v>
      </c>
      <c r="BP102" s="916">
        <v>3.47</v>
      </c>
      <c r="BQ102" s="145">
        <v>3586</v>
      </c>
      <c r="BR102" s="145">
        <v>-12</v>
      </c>
      <c r="BS102" s="5"/>
      <c r="BT102" s="5">
        <v>80</v>
      </c>
      <c r="BU102" s="413" t="s">
        <v>3788</v>
      </c>
      <c r="BV102" s="145">
        <v>560</v>
      </c>
      <c r="BW102" s="916">
        <v>3</v>
      </c>
      <c r="BX102" s="145">
        <v>3842</v>
      </c>
      <c r="BY102" s="145">
        <v>-15</v>
      </c>
      <c r="BZ102" s="5"/>
      <c r="CA102" s="5">
        <v>80</v>
      </c>
      <c r="CB102" s="413" t="s">
        <v>718</v>
      </c>
      <c r="CC102" s="145"/>
      <c r="CD102" s="916"/>
      <c r="CE102" s="145"/>
      <c r="CF102" s="145"/>
      <c r="CG102" s="5"/>
      <c r="CH102" s="5"/>
      <c r="CI102" s="5"/>
    </row>
    <row r="103" spans="6:87" ht="15.75" customHeight="1" x14ac:dyDescent="0.2">
      <c r="F103" s="5"/>
      <c r="M103" s="5">
        <v>81</v>
      </c>
      <c r="N103" s="413" t="str">
        <f t="shared" si="6"/>
        <v xml:space="preserve"> </v>
      </c>
      <c r="O103" s="414">
        <f t="shared" si="7"/>
        <v>0</v>
      </c>
      <c r="P103" s="414">
        <f t="shared" si="8"/>
        <v>0</v>
      </c>
      <c r="Q103" s="145">
        <f t="shared" si="11"/>
        <v>-8</v>
      </c>
      <c r="R103" s="414">
        <f t="shared" si="9"/>
        <v>0</v>
      </c>
      <c r="S103" s="414">
        <f t="shared" si="10"/>
        <v>0</v>
      </c>
      <c r="T103" s="19"/>
      <c r="U103" s="5"/>
      <c r="V103" s="5"/>
      <c r="W103" s="5">
        <v>81</v>
      </c>
      <c r="X103" s="144" t="s">
        <v>718</v>
      </c>
      <c r="Y103" s="145"/>
      <c r="Z103" s="146"/>
      <c r="AA103" s="145"/>
      <c r="AB103" s="145"/>
      <c r="AD103" s="5">
        <v>81</v>
      </c>
      <c r="AE103" s="413" t="s">
        <v>3789</v>
      </c>
      <c r="AF103" s="145">
        <v>394</v>
      </c>
      <c r="AG103" s="146">
        <v>3.15</v>
      </c>
      <c r="AH103" s="145">
        <v>3707</v>
      </c>
      <c r="AI103" s="145">
        <v>-13</v>
      </c>
      <c r="AK103" s="5">
        <v>81</v>
      </c>
      <c r="AL103" s="413" t="s">
        <v>3790</v>
      </c>
      <c r="AM103" s="145">
        <v>706</v>
      </c>
      <c r="AN103" s="146">
        <v>2.66</v>
      </c>
      <c r="AO103" s="145">
        <v>4144</v>
      </c>
      <c r="AP103" s="145">
        <v>-15</v>
      </c>
      <c r="AR103" s="5">
        <v>81</v>
      </c>
      <c r="AS103" s="413" t="s">
        <v>3791</v>
      </c>
      <c r="AT103" s="145">
        <v>265</v>
      </c>
      <c r="AU103" s="146">
        <v>3.14</v>
      </c>
      <c r="AV103" s="145">
        <v>3710</v>
      </c>
      <c r="AW103" s="145">
        <v>-14</v>
      </c>
      <c r="AY103" s="5">
        <v>81</v>
      </c>
      <c r="AZ103" s="413" t="s">
        <v>3792</v>
      </c>
      <c r="BA103" s="145">
        <v>540</v>
      </c>
      <c r="BB103" s="146">
        <v>2.79</v>
      </c>
      <c r="BC103" s="145">
        <v>4078</v>
      </c>
      <c r="BD103" s="145">
        <v>-14</v>
      </c>
      <c r="BF103" s="5">
        <v>81</v>
      </c>
      <c r="BG103" s="413" t="s">
        <v>3793</v>
      </c>
      <c r="BH103" s="145">
        <v>817</v>
      </c>
      <c r="BI103" s="146">
        <v>2.0099999999999998</v>
      </c>
      <c r="BJ103" s="145">
        <v>4659</v>
      </c>
      <c r="BK103" s="145">
        <v>-15</v>
      </c>
      <c r="BM103" s="5">
        <v>81</v>
      </c>
      <c r="BN103" s="413" t="s">
        <v>3794</v>
      </c>
      <c r="BO103" s="145">
        <v>347</v>
      </c>
      <c r="BP103" s="146">
        <v>2.96</v>
      </c>
      <c r="BQ103" s="145">
        <v>3663</v>
      </c>
      <c r="BR103" s="145">
        <v>-14</v>
      </c>
      <c r="BS103" s="5"/>
      <c r="BT103" s="5">
        <v>81</v>
      </c>
      <c r="BU103" s="413" t="s">
        <v>3795</v>
      </c>
      <c r="BV103" s="145">
        <v>589</v>
      </c>
      <c r="BW103" s="146">
        <v>2.7</v>
      </c>
      <c r="BX103" s="145">
        <v>4220</v>
      </c>
      <c r="BY103" s="145">
        <v>-16</v>
      </c>
      <c r="BZ103" s="5"/>
      <c r="CA103" s="5">
        <v>81</v>
      </c>
      <c r="CB103" s="413" t="s">
        <v>718</v>
      </c>
      <c r="CC103" s="145"/>
      <c r="CD103" s="146"/>
      <c r="CE103" s="145"/>
      <c r="CF103" s="145"/>
      <c r="CG103" s="5"/>
      <c r="CH103" s="5"/>
      <c r="CI103" s="5"/>
    </row>
    <row r="104" spans="6:87" ht="15.75" customHeight="1" x14ac:dyDescent="0.2">
      <c r="F104" s="5"/>
      <c r="M104" s="5">
        <v>82</v>
      </c>
      <c r="N104" s="413" t="str">
        <f t="shared" si="6"/>
        <v xml:space="preserve"> </v>
      </c>
      <c r="O104" s="414">
        <f t="shared" si="7"/>
        <v>0</v>
      </c>
      <c r="P104" s="414">
        <f t="shared" si="8"/>
        <v>0</v>
      </c>
      <c r="Q104" s="145">
        <f t="shared" si="11"/>
        <v>-8</v>
      </c>
      <c r="R104" s="414">
        <f t="shared" si="9"/>
        <v>0</v>
      </c>
      <c r="S104" s="414">
        <f t="shared" si="10"/>
        <v>0</v>
      </c>
      <c r="T104" s="19"/>
      <c r="U104" s="5"/>
      <c r="V104" s="5"/>
      <c r="W104" s="5">
        <v>82</v>
      </c>
      <c r="X104" s="144" t="s">
        <v>718</v>
      </c>
      <c r="Y104" s="145"/>
      <c r="Z104" s="146"/>
      <c r="AA104" s="145"/>
      <c r="AB104" s="145"/>
      <c r="AD104" s="5">
        <v>82</v>
      </c>
      <c r="AE104" s="413" t="s">
        <v>3796</v>
      </c>
      <c r="AF104" s="145">
        <v>121</v>
      </c>
      <c r="AG104" s="146">
        <v>3.45</v>
      </c>
      <c r="AH104" s="145">
        <v>3377</v>
      </c>
      <c r="AI104" s="145">
        <v>-14</v>
      </c>
      <c r="AK104" s="5">
        <v>82</v>
      </c>
      <c r="AL104" s="413" t="s">
        <v>3797</v>
      </c>
      <c r="AM104" s="145">
        <v>540</v>
      </c>
      <c r="AN104" s="146">
        <v>2.39</v>
      </c>
      <c r="AO104" s="145">
        <v>3998</v>
      </c>
      <c r="AP104" s="145">
        <v>-16</v>
      </c>
      <c r="AR104" s="5">
        <v>82</v>
      </c>
      <c r="AS104" s="413" t="s">
        <v>3798</v>
      </c>
      <c r="AT104" s="145">
        <v>180</v>
      </c>
      <c r="AU104" s="146">
        <v>3.35</v>
      </c>
      <c r="AV104" s="145">
        <v>3529</v>
      </c>
      <c r="AW104" s="145">
        <v>-14</v>
      </c>
      <c r="AY104" s="5">
        <v>82</v>
      </c>
      <c r="AZ104" s="413" t="s">
        <v>3799</v>
      </c>
      <c r="BA104" s="145">
        <v>220</v>
      </c>
      <c r="BB104" s="146">
        <v>3.38</v>
      </c>
      <c r="BC104" s="145">
        <v>3573</v>
      </c>
      <c r="BD104" s="145">
        <v>-13</v>
      </c>
      <c r="BF104" s="5">
        <v>82</v>
      </c>
      <c r="BG104" s="413" t="s">
        <v>3800</v>
      </c>
      <c r="BH104" s="145">
        <v>1003</v>
      </c>
      <c r="BI104" s="146">
        <v>1.8</v>
      </c>
      <c r="BJ104" s="145">
        <v>5113</v>
      </c>
      <c r="BK104" s="145">
        <v>-18</v>
      </c>
      <c r="BM104" s="5">
        <v>82</v>
      </c>
      <c r="BN104" s="413" t="s">
        <v>3801</v>
      </c>
      <c r="BO104" s="145">
        <v>380</v>
      </c>
      <c r="BP104" s="146">
        <v>3.4</v>
      </c>
      <c r="BQ104" s="145">
        <v>3519</v>
      </c>
      <c r="BR104" s="145">
        <v>-12</v>
      </c>
      <c r="BS104" s="5"/>
      <c r="BT104" s="5">
        <v>82</v>
      </c>
      <c r="BU104" s="413" t="s">
        <v>3802</v>
      </c>
      <c r="BV104" s="145">
        <v>528</v>
      </c>
      <c r="BW104" s="146">
        <v>2.93</v>
      </c>
      <c r="BX104" s="145">
        <v>3891</v>
      </c>
      <c r="BY104" s="145">
        <v>-15</v>
      </c>
      <c r="BZ104" s="5"/>
      <c r="CA104" s="5">
        <v>82</v>
      </c>
      <c r="CB104" s="413" t="s">
        <v>718</v>
      </c>
      <c r="CC104" s="145"/>
      <c r="CD104" s="146"/>
      <c r="CE104" s="145"/>
      <c r="CF104" s="145"/>
      <c r="CG104" s="5"/>
      <c r="CH104" s="5"/>
      <c r="CI104" s="5"/>
    </row>
    <row r="105" spans="6:87" ht="15.75" customHeight="1" x14ac:dyDescent="0.2">
      <c r="F105" s="5"/>
      <c r="M105" s="5">
        <v>83</v>
      </c>
      <c r="N105" s="413" t="str">
        <f t="shared" si="6"/>
        <v xml:space="preserve"> </v>
      </c>
      <c r="O105" s="414">
        <f t="shared" si="7"/>
        <v>0</v>
      </c>
      <c r="P105" s="414">
        <f t="shared" si="8"/>
        <v>0</v>
      </c>
      <c r="Q105" s="145">
        <f t="shared" si="11"/>
        <v>-8</v>
      </c>
      <c r="R105" s="414">
        <f t="shared" si="9"/>
        <v>0</v>
      </c>
      <c r="S105" s="414">
        <f t="shared" si="10"/>
        <v>0</v>
      </c>
      <c r="T105" s="19"/>
      <c r="U105" s="5"/>
      <c r="V105" s="5"/>
      <c r="W105" s="5">
        <v>83</v>
      </c>
      <c r="X105" s="144" t="s">
        <v>718</v>
      </c>
      <c r="Y105" s="145"/>
      <c r="Z105" s="146"/>
      <c r="AA105" s="145"/>
      <c r="AB105" s="145"/>
      <c r="AD105" s="5">
        <v>83</v>
      </c>
      <c r="AE105" s="413" t="s">
        <v>3803</v>
      </c>
      <c r="AF105" s="145">
        <v>219</v>
      </c>
      <c r="AG105" s="146">
        <v>3.5</v>
      </c>
      <c r="AH105" s="145">
        <v>3416</v>
      </c>
      <c r="AI105" s="145">
        <v>-13</v>
      </c>
      <c r="AK105" s="5">
        <v>83</v>
      </c>
      <c r="AL105" s="413" t="s">
        <v>3804</v>
      </c>
      <c r="AM105" s="145">
        <v>616</v>
      </c>
      <c r="AN105" s="146">
        <v>2.35</v>
      </c>
      <c r="AO105" s="145">
        <v>4253</v>
      </c>
      <c r="AP105" s="145">
        <v>-16</v>
      </c>
      <c r="AR105" s="5">
        <v>83</v>
      </c>
      <c r="AS105" s="413" t="s">
        <v>3805</v>
      </c>
      <c r="AT105" s="145">
        <v>285</v>
      </c>
      <c r="AU105" s="146">
        <v>3.25</v>
      </c>
      <c r="AV105" s="145">
        <v>3619</v>
      </c>
      <c r="AW105" s="145">
        <v>-14</v>
      </c>
      <c r="AY105" s="5">
        <v>83</v>
      </c>
      <c r="AZ105" s="413" t="s">
        <v>3806</v>
      </c>
      <c r="BA105" s="145">
        <v>335</v>
      </c>
      <c r="BB105" s="146">
        <v>3.27</v>
      </c>
      <c r="BC105" s="145">
        <v>3681</v>
      </c>
      <c r="BD105" s="145">
        <v>-15</v>
      </c>
      <c r="BF105" s="5">
        <v>83</v>
      </c>
      <c r="BG105" s="413" t="s">
        <v>3807</v>
      </c>
      <c r="BH105" s="145">
        <v>740</v>
      </c>
      <c r="BI105" s="146">
        <v>2.4700000000000002</v>
      </c>
      <c r="BJ105" s="145">
        <v>4330</v>
      </c>
      <c r="BK105" s="145">
        <v>-17</v>
      </c>
      <c r="BM105" s="5">
        <v>83</v>
      </c>
      <c r="BN105" s="413" t="s">
        <v>3808</v>
      </c>
      <c r="BO105" s="145">
        <v>385</v>
      </c>
      <c r="BP105" s="146">
        <v>2.76</v>
      </c>
      <c r="BQ105" s="145">
        <v>3776</v>
      </c>
      <c r="BR105" s="145">
        <v>-14</v>
      </c>
      <c r="BS105" s="5"/>
      <c r="BT105" s="5">
        <v>83</v>
      </c>
      <c r="BU105" s="413" t="s">
        <v>3809</v>
      </c>
      <c r="BV105" s="145">
        <v>499</v>
      </c>
      <c r="BW105" s="146">
        <v>2.96</v>
      </c>
      <c r="BX105" s="145">
        <v>4005</v>
      </c>
      <c r="BY105" s="145">
        <v>-16</v>
      </c>
      <c r="BZ105" s="5"/>
      <c r="CA105" s="5">
        <v>83</v>
      </c>
      <c r="CB105" s="413" t="s">
        <v>718</v>
      </c>
      <c r="CC105" s="145"/>
      <c r="CD105" s="146"/>
      <c r="CE105" s="145"/>
      <c r="CF105" s="145"/>
      <c r="CG105" s="5"/>
      <c r="CH105" s="5"/>
      <c r="CI105" s="5"/>
    </row>
    <row r="106" spans="6:87" ht="15.75" customHeight="1" x14ac:dyDescent="0.2">
      <c r="F106" s="5"/>
      <c r="M106" s="5">
        <v>84</v>
      </c>
      <c r="N106" s="413" t="str">
        <f t="shared" si="6"/>
        <v xml:space="preserve"> </v>
      </c>
      <c r="O106" s="414">
        <f t="shared" si="7"/>
        <v>0</v>
      </c>
      <c r="P106" s="414">
        <f t="shared" si="8"/>
        <v>0</v>
      </c>
      <c r="Q106" s="145">
        <f t="shared" si="11"/>
        <v>-8</v>
      </c>
      <c r="R106" s="414">
        <f t="shared" si="9"/>
        <v>0</v>
      </c>
      <c r="S106" s="414">
        <f t="shared" si="10"/>
        <v>0</v>
      </c>
      <c r="T106" s="19"/>
      <c r="U106" s="5"/>
      <c r="V106" s="5"/>
      <c r="W106" s="5">
        <v>84</v>
      </c>
      <c r="X106" s="144" t="s">
        <v>718</v>
      </c>
      <c r="Y106" s="145"/>
      <c r="Z106" s="146"/>
      <c r="AA106" s="145"/>
      <c r="AB106" s="145"/>
      <c r="AD106" s="5">
        <v>84</v>
      </c>
      <c r="AE106" s="413" t="s">
        <v>3810</v>
      </c>
      <c r="AF106" s="145">
        <v>155</v>
      </c>
      <c r="AG106" s="146">
        <v>3.38</v>
      </c>
      <c r="AH106" s="145">
        <v>3424</v>
      </c>
      <c r="AI106" s="145">
        <v>-14</v>
      </c>
      <c r="AK106" s="5">
        <v>84</v>
      </c>
      <c r="AL106" s="413" t="s">
        <v>3811</v>
      </c>
      <c r="AM106" s="145">
        <v>952</v>
      </c>
      <c r="AN106" s="146">
        <v>2.41</v>
      </c>
      <c r="AO106" s="145">
        <v>4679</v>
      </c>
      <c r="AP106" s="145">
        <v>-17</v>
      </c>
      <c r="AR106" s="5">
        <v>84</v>
      </c>
      <c r="AS106" s="413" t="s">
        <v>3812</v>
      </c>
      <c r="AT106" s="145">
        <v>312</v>
      </c>
      <c r="AU106" s="146">
        <v>3.36</v>
      </c>
      <c r="AV106" s="145">
        <v>3562</v>
      </c>
      <c r="AW106" s="145">
        <v>-14</v>
      </c>
      <c r="AY106" s="5">
        <v>84</v>
      </c>
      <c r="AZ106" s="413" t="s">
        <v>3813</v>
      </c>
      <c r="BA106" s="145">
        <v>442</v>
      </c>
      <c r="BB106" s="146">
        <v>3.22</v>
      </c>
      <c r="BC106" s="145">
        <v>3993</v>
      </c>
      <c r="BD106" s="145">
        <v>-15</v>
      </c>
      <c r="BF106" s="5">
        <v>84</v>
      </c>
      <c r="BG106" s="413" t="s">
        <v>1524</v>
      </c>
      <c r="BH106" s="145">
        <v>424</v>
      </c>
      <c r="BI106" s="146">
        <v>3.22</v>
      </c>
      <c r="BJ106" s="145">
        <v>3792</v>
      </c>
      <c r="BK106" s="145">
        <v>-15</v>
      </c>
      <c r="BM106" s="5">
        <v>84</v>
      </c>
      <c r="BN106" s="413" t="s">
        <v>3814</v>
      </c>
      <c r="BO106" s="145">
        <v>350</v>
      </c>
      <c r="BP106" s="146">
        <v>2.95</v>
      </c>
      <c r="BQ106" s="145">
        <v>3665</v>
      </c>
      <c r="BR106" s="145">
        <v>-14</v>
      </c>
      <c r="BS106" s="5"/>
      <c r="BT106" s="5">
        <v>84</v>
      </c>
      <c r="BU106" s="413" t="s">
        <v>3815</v>
      </c>
      <c r="BV106" s="145">
        <v>1966</v>
      </c>
      <c r="BW106" s="146">
        <v>0.44</v>
      </c>
      <c r="BX106" s="145">
        <v>6689</v>
      </c>
      <c r="BY106" s="145">
        <v>-20</v>
      </c>
      <c r="BZ106" s="5"/>
      <c r="CA106" s="5">
        <v>84</v>
      </c>
      <c r="CB106" s="413" t="s">
        <v>718</v>
      </c>
      <c r="CC106" s="145"/>
      <c r="CD106" s="146"/>
      <c r="CE106" s="145"/>
      <c r="CF106" s="145"/>
      <c r="CG106" s="5"/>
      <c r="CH106" s="5"/>
      <c r="CI106" s="5"/>
    </row>
    <row r="107" spans="6:87" ht="15.75" customHeight="1" x14ac:dyDescent="0.2">
      <c r="F107" s="5"/>
      <c r="M107" s="5">
        <v>85</v>
      </c>
      <c r="N107" s="413" t="str">
        <f t="shared" si="6"/>
        <v xml:space="preserve"> </v>
      </c>
      <c r="O107" s="414">
        <f t="shared" si="7"/>
        <v>0</v>
      </c>
      <c r="P107" s="414">
        <f t="shared" si="8"/>
        <v>0</v>
      </c>
      <c r="Q107" s="145">
        <f t="shared" si="11"/>
        <v>-8</v>
      </c>
      <c r="R107" s="414">
        <f t="shared" si="9"/>
        <v>0</v>
      </c>
      <c r="S107" s="414">
        <f t="shared" si="10"/>
        <v>0</v>
      </c>
      <c r="T107" s="19"/>
      <c r="U107" s="5"/>
      <c r="V107" s="5"/>
      <c r="W107" s="5">
        <v>85</v>
      </c>
      <c r="X107" s="144" t="s">
        <v>718</v>
      </c>
      <c r="Y107" s="145"/>
      <c r="Z107" s="146"/>
      <c r="AA107" s="145"/>
      <c r="AB107" s="145"/>
      <c r="AD107" s="5">
        <v>85</v>
      </c>
      <c r="AE107" s="413" t="s">
        <v>3816</v>
      </c>
      <c r="AF107" s="145">
        <v>128</v>
      </c>
      <c r="AG107" s="146">
        <v>3.49</v>
      </c>
      <c r="AH107" s="145">
        <v>3352</v>
      </c>
      <c r="AI107" s="145">
        <v>-13</v>
      </c>
      <c r="AK107" s="5">
        <v>85</v>
      </c>
      <c r="AL107" s="413" t="s">
        <v>3817</v>
      </c>
      <c r="AM107" s="145">
        <v>828</v>
      </c>
      <c r="AN107" s="146">
        <v>2.2200000000000002</v>
      </c>
      <c r="AO107" s="145">
        <v>4481</v>
      </c>
      <c r="AP107" s="145">
        <v>-17</v>
      </c>
      <c r="AR107" s="5">
        <v>85</v>
      </c>
      <c r="AS107" s="413" t="s">
        <v>3818</v>
      </c>
      <c r="AT107" s="145">
        <v>230</v>
      </c>
      <c r="AU107" s="146">
        <v>3.3</v>
      </c>
      <c r="AV107" s="145">
        <v>3725</v>
      </c>
      <c r="AW107" s="145">
        <v>-14</v>
      </c>
      <c r="AY107" s="5">
        <v>85</v>
      </c>
      <c r="AZ107" s="413" t="s">
        <v>3819</v>
      </c>
      <c r="BA107" s="145">
        <v>520</v>
      </c>
      <c r="BB107" s="146">
        <v>3.02</v>
      </c>
      <c r="BC107" s="145">
        <v>4211</v>
      </c>
      <c r="BD107" s="145">
        <v>-15</v>
      </c>
      <c r="BF107" s="5">
        <v>85</v>
      </c>
      <c r="BG107" s="413" t="s">
        <v>3820</v>
      </c>
      <c r="BH107" s="145">
        <v>424</v>
      </c>
      <c r="BI107" s="146">
        <v>3.3</v>
      </c>
      <c r="BJ107" s="145">
        <v>3792</v>
      </c>
      <c r="BK107" s="145">
        <v>-15</v>
      </c>
      <c r="BM107" s="5">
        <v>85</v>
      </c>
      <c r="BN107" s="413" t="s">
        <v>3821</v>
      </c>
      <c r="BO107" s="145">
        <v>360</v>
      </c>
      <c r="BP107" s="146">
        <v>3.23</v>
      </c>
      <c r="BQ107" s="145">
        <v>3521</v>
      </c>
      <c r="BR107" s="145">
        <v>-13</v>
      </c>
      <c r="BS107" s="5"/>
      <c r="BT107" s="5">
        <v>85</v>
      </c>
      <c r="BU107" s="413" t="s">
        <v>3822</v>
      </c>
      <c r="BV107" s="145">
        <v>526</v>
      </c>
      <c r="BW107" s="146">
        <v>2.68</v>
      </c>
      <c r="BX107" s="145">
        <v>4088</v>
      </c>
      <c r="BY107" s="145">
        <v>-16</v>
      </c>
      <c r="BZ107" s="5"/>
      <c r="CA107" s="5">
        <v>85</v>
      </c>
      <c r="CB107" s="413" t="s">
        <v>718</v>
      </c>
      <c r="CC107" s="145"/>
      <c r="CD107" s="146"/>
      <c r="CE107" s="145"/>
      <c r="CF107" s="145"/>
      <c r="CG107" s="5"/>
      <c r="CH107" s="5"/>
      <c r="CI107" s="5"/>
    </row>
    <row r="108" spans="6:87" ht="15.75" customHeight="1" x14ac:dyDescent="0.2">
      <c r="F108" s="5"/>
      <c r="M108" s="5">
        <v>86</v>
      </c>
      <c r="N108" s="413" t="str">
        <f t="shared" si="6"/>
        <v xml:space="preserve"> </v>
      </c>
      <c r="O108" s="414">
        <f t="shared" si="7"/>
        <v>0</v>
      </c>
      <c r="P108" s="414">
        <f t="shared" si="8"/>
        <v>0</v>
      </c>
      <c r="Q108" s="145">
        <f t="shared" si="11"/>
        <v>-8</v>
      </c>
      <c r="R108" s="414">
        <f t="shared" si="9"/>
        <v>0</v>
      </c>
      <c r="S108" s="414">
        <f t="shared" si="10"/>
        <v>0</v>
      </c>
      <c r="T108" s="19"/>
      <c r="U108" s="5"/>
      <c r="V108" s="5"/>
      <c r="W108" s="5">
        <v>86</v>
      </c>
      <c r="X108" s="144" t="s">
        <v>718</v>
      </c>
      <c r="Y108" s="145"/>
      <c r="Z108" s="146"/>
      <c r="AA108" s="145"/>
      <c r="AB108" s="145"/>
      <c r="AD108" s="5">
        <v>86</v>
      </c>
      <c r="AE108" s="413" t="s">
        <v>3823</v>
      </c>
      <c r="AF108" s="145">
        <v>295</v>
      </c>
      <c r="AG108" s="146">
        <v>3.27</v>
      </c>
      <c r="AH108" s="145">
        <v>3613</v>
      </c>
      <c r="AI108" s="145">
        <v>-13</v>
      </c>
      <c r="AK108" s="5">
        <v>86</v>
      </c>
      <c r="AL108" s="413" t="s">
        <v>3824</v>
      </c>
      <c r="AM108" s="145">
        <v>458</v>
      </c>
      <c r="AN108" s="146">
        <v>2.33</v>
      </c>
      <c r="AO108" s="145">
        <v>3940</v>
      </c>
      <c r="AP108" s="145">
        <v>-16</v>
      </c>
      <c r="AR108" s="5">
        <v>86</v>
      </c>
      <c r="AS108" s="413" t="s">
        <v>3825</v>
      </c>
      <c r="AT108" s="145">
        <v>293</v>
      </c>
      <c r="AU108" s="146">
        <v>3.01</v>
      </c>
      <c r="AV108" s="145">
        <v>3738</v>
      </c>
      <c r="AW108" s="145">
        <v>-14</v>
      </c>
      <c r="AY108" s="5">
        <v>86</v>
      </c>
      <c r="AZ108" s="413" t="s">
        <v>3826</v>
      </c>
      <c r="BA108" s="145">
        <v>721</v>
      </c>
      <c r="BB108" s="146">
        <v>2.2400000000000002</v>
      </c>
      <c r="BC108" s="145">
        <v>4618</v>
      </c>
      <c r="BD108" s="145">
        <v>-16</v>
      </c>
      <c r="BF108" s="5">
        <v>86</v>
      </c>
      <c r="BG108" s="413" t="s">
        <v>3827</v>
      </c>
      <c r="BH108" s="145">
        <v>433</v>
      </c>
      <c r="BI108" s="146">
        <v>3.25</v>
      </c>
      <c r="BJ108" s="145">
        <v>3803</v>
      </c>
      <c r="BK108" s="145">
        <v>-15</v>
      </c>
      <c r="BM108" s="5">
        <v>86</v>
      </c>
      <c r="BN108" s="413" t="s">
        <v>3828</v>
      </c>
      <c r="BO108" s="145">
        <v>776</v>
      </c>
      <c r="BP108" s="146">
        <v>2.67</v>
      </c>
      <c r="BQ108" s="145">
        <v>4524</v>
      </c>
      <c r="BR108" s="145">
        <v>-15</v>
      </c>
      <c r="BS108" s="5"/>
      <c r="BT108" s="5">
        <v>86</v>
      </c>
      <c r="BU108" s="413" t="s">
        <v>3829</v>
      </c>
      <c r="BV108" s="145">
        <v>805</v>
      </c>
      <c r="BW108" s="146">
        <v>3.24</v>
      </c>
      <c r="BX108" s="145">
        <v>3939</v>
      </c>
      <c r="BY108" s="145">
        <v>-14</v>
      </c>
      <c r="BZ108" s="5"/>
      <c r="CA108" s="5">
        <v>86</v>
      </c>
      <c r="CB108" s="413" t="s">
        <v>718</v>
      </c>
      <c r="CC108" s="145"/>
      <c r="CD108" s="146"/>
      <c r="CE108" s="145"/>
      <c r="CF108" s="145"/>
      <c r="CG108" s="5"/>
      <c r="CH108" s="5"/>
      <c r="CI108" s="5"/>
    </row>
    <row r="109" spans="6:87" ht="15.75" customHeight="1" x14ac:dyDescent="0.2">
      <c r="F109" s="5"/>
      <c r="M109" s="5">
        <v>87</v>
      </c>
      <c r="N109" s="413" t="str">
        <f t="shared" si="6"/>
        <v xml:space="preserve"> </v>
      </c>
      <c r="O109" s="414">
        <f t="shared" si="7"/>
        <v>0</v>
      </c>
      <c r="P109" s="414">
        <f t="shared" si="8"/>
        <v>0</v>
      </c>
      <c r="Q109" s="145">
        <f t="shared" si="11"/>
        <v>-8</v>
      </c>
      <c r="R109" s="414">
        <f t="shared" si="9"/>
        <v>0</v>
      </c>
      <c r="S109" s="414">
        <f t="shared" si="10"/>
        <v>0</v>
      </c>
      <c r="T109" s="19"/>
      <c r="U109" s="5"/>
      <c r="V109" s="5"/>
      <c r="W109" s="5">
        <v>87</v>
      </c>
      <c r="X109" s="144" t="s">
        <v>718</v>
      </c>
      <c r="Y109" s="145"/>
      <c r="Z109" s="146"/>
      <c r="AA109" s="145"/>
      <c r="AB109" s="145"/>
      <c r="AD109" s="5">
        <v>87</v>
      </c>
      <c r="AE109" s="413" t="s">
        <v>3830</v>
      </c>
      <c r="AF109" s="145">
        <v>348</v>
      </c>
      <c r="AG109" s="146">
        <v>3.34</v>
      </c>
      <c r="AH109" s="145">
        <v>3498</v>
      </c>
      <c r="AI109" s="145">
        <v>-13</v>
      </c>
      <c r="AK109" s="5">
        <v>87</v>
      </c>
      <c r="AL109" s="413" t="s">
        <v>3831</v>
      </c>
      <c r="AM109" s="145">
        <v>438</v>
      </c>
      <c r="AN109" s="146">
        <v>2.19</v>
      </c>
      <c r="AO109" s="145">
        <v>4043</v>
      </c>
      <c r="AP109" s="145">
        <v>-16</v>
      </c>
      <c r="AR109" s="5">
        <v>87</v>
      </c>
      <c r="AS109" s="413" t="s">
        <v>3832</v>
      </c>
      <c r="AT109" s="145">
        <v>284</v>
      </c>
      <c r="AU109" s="146">
        <v>3.24</v>
      </c>
      <c r="AV109" s="145">
        <v>3671</v>
      </c>
      <c r="AW109" s="145">
        <v>-14</v>
      </c>
      <c r="AY109" s="5">
        <v>87</v>
      </c>
      <c r="AZ109" s="413" t="s">
        <v>3833</v>
      </c>
      <c r="BA109" s="145">
        <v>370</v>
      </c>
      <c r="BB109" s="146">
        <v>3.49</v>
      </c>
      <c r="BC109" s="145">
        <v>3798</v>
      </c>
      <c r="BD109" s="145">
        <v>-14</v>
      </c>
      <c r="BF109" s="5">
        <v>87</v>
      </c>
      <c r="BG109" s="413" t="s">
        <v>3834</v>
      </c>
      <c r="BH109" s="145">
        <v>450</v>
      </c>
      <c r="BI109" s="146">
        <v>3.22</v>
      </c>
      <c r="BJ109" s="145">
        <v>3826</v>
      </c>
      <c r="BK109" s="145">
        <v>-15</v>
      </c>
      <c r="BM109" s="5">
        <v>87</v>
      </c>
      <c r="BN109" s="413" t="s">
        <v>3835</v>
      </c>
      <c r="BO109" s="145">
        <v>317</v>
      </c>
      <c r="BP109" s="146">
        <v>3.23</v>
      </c>
      <c r="BQ109" s="145">
        <v>3555</v>
      </c>
      <c r="BR109" s="145">
        <v>-13</v>
      </c>
      <c r="BS109" s="5"/>
      <c r="BT109" s="5">
        <v>87</v>
      </c>
      <c r="BU109" s="413" t="s">
        <v>3836</v>
      </c>
      <c r="BV109" s="145">
        <v>1281</v>
      </c>
      <c r="BW109" s="146">
        <v>2.19</v>
      </c>
      <c r="BX109" s="145">
        <v>5218</v>
      </c>
      <c r="BY109" s="145">
        <v>-16</v>
      </c>
      <c r="BZ109" s="5"/>
      <c r="CA109" s="5">
        <v>87</v>
      </c>
      <c r="CB109" s="413" t="s">
        <v>718</v>
      </c>
      <c r="CC109" s="145"/>
      <c r="CD109" s="146"/>
      <c r="CE109" s="145"/>
      <c r="CF109" s="145"/>
      <c r="CG109" s="5"/>
      <c r="CH109" s="5"/>
      <c r="CI109" s="5"/>
    </row>
    <row r="110" spans="6:87" ht="15.75" customHeight="1" x14ac:dyDescent="0.2">
      <c r="F110" s="5"/>
      <c r="M110" s="5">
        <v>88</v>
      </c>
      <c r="N110" s="413" t="str">
        <f t="shared" si="6"/>
        <v xml:space="preserve"> </v>
      </c>
      <c r="O110" s="414">
        <f t="shared" si="7"/>
        <v>0</v>
      </c>
      <c r="P110" s="414">
        <f t="shared" si="8"/>
        <v>0</v>
      </c>
      <c r="Q110" s="145">
        <f t="shared" si="11"/>
        <v>-8</v>
      </c>
      <c r="R110" s="414">
        <f t="shared" si="9"/>
        <v>0</v>
      </c>
      <c r="S110" s="414">
        <f t="shared" si="10"/>
        <v>0</v>
      </c>
      <c r="T110" s="19"/>
      <c r="U110" s="5"/>
      <c r="V110" s="5"/>
      <c r="W110" s="5">
        <v>88</v>
      </c>
      <c r="X110" s="144" t="s">
        <v>718</v>
      </c>
      <c r="Y110" s="145"/>
      <c r="Z110" s="146"/>
      <c r="AA110" s="145"/>
      <c r="AB110" s="145"/>
      <c r="AD110" s="5">
        <v>88</v>
      </c>
      <c r="AE110" s="413" t="s">
        <v>3837</v>
      </c>
      <c r="AF110" s="145">
        <v>365</v>
      </c>
      <c r="AG110" s="146">
        <v>3.12</v>
      </c>
      <c r="AH110" s="145">
        <v>3713</v>
      </c>
      <c r="AI110" s="145">
        <v>-13</v>
      </c>
      <c r="AK110" s="5">
        <v>88</v>
      </c>
      <c r="AL110" s="413" t="s">
        <v>3838</v>
      </c>
      <c r="AM110" s="145">
        <v>502</v>
      </c>
      <c r="AN110" s="146">
        <v>2.44</v>
      </c>
      <c r="AO110" s="145">
        <v>3985</v>
      </c>
      <c r="AP110" s="145">
        <v>-16</v>
      </c>
      <c r="AR110" s="5">
        <v>88</v>
      </c>
      <c r="AS110" s="413" t="s">
        <v>3839</v>
      </c>
      <c r="AT110" s="145">
        <v>395</v>
      </c>
      <c r="AU110" s="146">
        <v>3.37</v>
      </c>
      <c r="AV110" s="145">
        <v>3907</v>
      </c>
      <c r="AW110" s="145">
        <v>-14</v>
      </c>
      <c r="AY110" s="5">
        <v>88</v>
      </c>
      <c r="AZ110" s="413" t="s">
        <v>3840</v>
      </c>
      <c r="BA110" s="145">
        <v>523</v>
      </c>
      <c r="BB110" s="146">
        <v>3.24</v>
      </c>
      <c r="BC110" s="145">
        <v>3922</v>
      </c>
      <c r="BD110" s="145">
        <v>-15</v>
      </c>
      <c r="BF110" s="5">
        <v>88</v>
      </c>
      <c r="BG110" s="413" t="s">
        <v>3841</v>
      </c>
      <c r="BH110" s="145">
        <v>460</v>
      </c>
      <c r="BI110" s="146">
        <v>3.23</v>
      </c>
      <c r="BJ110" s="145">
        <v>3840</v>
      </c>
      <c r="BK110" s="145">
        <v>-15</v>
      </c>
      <c r="BM110" s="5">
        <v>88</v>
      </c>
      <c r="BN110" s="413" t="s">
        <v>3842</v>
      </c>
      <c r="BO110" s="145">
        <v>298</v>
      </c>
      <c r="BP110" s="146">
        <v>3.05</v>
      </c>
      <c r="BQ110" s="145">
        <v>3593</v>
      </c>
      <c r="BR110" s="145">
        <v>-14</v>
      </c>
      <c r="BS110" s="5"/>
      <c r="BT110" s="5">
        <v>88</v>
      </c>
      <c r="BU110" s="413" t="s">
        <v>3843</v>
      </c>
      <c r="BV110" s="145">
        <v>1212</v>
      </c>
      <c r="BW110" s="146">
        <v>1.89</v>
      </c>
      <c r="BX110" s="145">
        <v>5235</v>
      </c>
      <c r="BY110" s="145">
        <v>-18</v>
      </c>
      <c r="BZ110" s="5"/>
      <c r="CA110" s="5">
        <v>88</v>
      </c>
      <c r="CB110" s="413" t="s">
        <v>718</v>
      </c>
      <c r="CC110" s="145"/>
      <c r="CD110" s="146"/>
      <c r="CE110" s="145"/>
      <c r="CF110" s="145"/>
      <c r="CG110" s="5"/>
      <c r="CH110" s="5"/>
      <c r="CI110" s="5"/>
    </row>
    <row r="111" spans="6:87" ht="15.75" customHeight="1" x14ac:dyDescent="0.2">
      <c r="F111" s="5"/>
      <c r="M111" s="5">
        <v>89</v>
      </c>
      <c r="N111" s="413" t="str">
        <f t="shared" si="6"/>
        <v xml:space="preserve"> </v>
      </c>
      <c r="O111" s="414">
        <f t="shared" si="7"/>
        <v>0</v>
      </c>
      <c r="P111" s="414">
        <f t="shared" si="8"/>
        <v>0</v>
      </c>
      <c r="Q111" s="145">
        <f t="shared" si="11"/>
        <v>-8</v>
      </c>
      <c r="R111" s="414">
        <f t="shared" si="9"/>
        <v>0</v>
      </c>
      <c r="S111" s="414">
        <f t="shared" si="10"/>
        <v>0</v>
      </c>
      <c r="T111" s="19"/>
      <c r="U111" s="5"/>
      <c r="V111" s="5"/>
      <c r="W111" s="5">
        <v>89</v>
      </c>
      <c r="X111" s="144" t="s">
        <v>718</v>
      </c>
      <c r="Y111" s="145"/>
      <c r="Z111" s="146"/>
      <c r="AA111" s="145"/>
      <c r="AB111" s="145"/>
      <c r="AD111" s="5">
        <v>89</v>
      </c>
      <c r="AE111" s="413" t="s">
        <v>3844</v>
      </c>
      <c r="AF111" s="145">
        <v>305</v>
      </c>
      <c r="AG111" s="146">
        <v>3.32</v>
      </c>
      <c r="AH111" s="145">
        <v>3586</v>
      </c>
      <c r="AI111" s="145">
        <v>-13</v>
      </c>
      <c r="AK111" s="5">
        <v>89</v>
      </c>
      <c r="AL111" s="413" t="s">
        <v>3845</v>
      </c>
      <c r="AM111" s="145">
        <v>639</v>
      </c>
      <c r="AN111" s="146">
        <v>2.5499999999999998</v>
      </c>
      <c r="AO111" s="145">
        <v>4100</v>
      </c>
      <c r="AP111" s="145">
        <v>-16</v>
      </c>
      <c r="AR111" s="5">
        <v>89</v>
      </c>
      <c r="AS111" s="413" t="s">
        <v>3846</v>
      </c>
      <c r="AT111" s="145">
        <v>198</v>
      </c>
      <c r="AU111" s="146">
        <v>3.21</v>
      </c>
      <c r="AV111" s="145">
        <v>3644</v>
      </c>
      <c r="AW111" s="145">
        <v>-13</v>
      </c>
      <c r="AY111" s="5">
        <v>89</v>
      </c>
      <c r="AZ111" s="413" t="s">
        <v>3847</v>
      </c>
      <c r="BA111" s="145">
        <v>352</v>
      </c>
      <c r="BB111" s="146">
        <v>3.3</v>
      </c>
      <c r="BC111" s="145">
        <v>3774</v>
      </c>
      <c r="BD111" s="145">
        <v>-14</v>
      </c>
      <c r="BF111" s="5">
        <v>89</v>
      </c>
      <c r="BG111" s="413" t="s">
        <v>3848</v>
      </c>
      <c r="BH111" s="145">
        <v>427</v>
      </c>
      <c r="BI111" s="146">
        <v>3.2</v>
      </c>
      <c r="BJ111" s="145">
        <v>3796</v>
      </c>
      <c r="BK111" s="145">
        <v>-15</v>
      </c>
      <c r="BM111" s="5">
        <v>89</v>
      </c>
      <c r="BN111" s="413" t="s">
        <v>3849</v>
      </c>
      <c r="BO111" s="145">
        <v>644</v>
      </c>
      <c r="BP111" s="146">
        <v>2.13</v>
      </c>
      <c r="BQ111" s="145">
        <v>4378</v>
      </c>
      <c r="BR111" s="145">
        <v>-16</v>
      </c>
      <c r="BS111" s="5"/>
      <c r="BT111" s="5">
        <v>89</v>
      </c>
      <c r="BU111" s="413" t="s">
        <v>3850</v>
      </c>
      <c r="BV111" s="145">
        <v>867</v>
      </c>
      <c r="BW111" s="146">
        <v>3</v>
      </c>
      <c r="BX111" s="145">
        <v>4353</v>
      </c>
      <c r="BY111" s="145">
        <v>-15</v>
      </c>
      <c r="BZ111" s="5"/>
      <c r="CA111" s="5">
        <v>89</v>
      </c>
      <c r="CB111" s="413" t="s">
        <v>718</v>
      </c>
      <c r="CC111" s="145"/>
      <c r="CD111" s="146"/>
      <c r="CE111" s="145"/>
      <c r="CF111" s="145"/>
      <c r="CG111" s="5"/>
      <c r="CH111" s="5"/>
      <c r="CI111" s="5"/>
    </row>
    <row r="112" spans="6:87" ht="15.75" customHeight="1" x14ac:dyDescent="0.2">
      <c r="F112" s="5"/>
      <c r="M112" s="5">
        <v>90</v>
      </c>
      <c r="N112" s="413" t="str">
        <f t="shared" si="6"/>
        <v xml:space="preserve"> </v>
      </c>
      <c r="O112" s="414">
        <f t="shared" si="7"/>
        <v>0</v>
      </c>
      <c r="P112" s="414">
        <f t="shared" si="8"/>
        <v>0</v>
      </c>
      <c r="Q112" s="145">
        <f t="shared" si="11"/>
        <v>-8</v>
      </c>
      <c r="R112" s="414">
        <f t="shared" si="9"/>
        <v>0</v>
      </c>
      <c r="S112" s="414">
        <f t="shared" si="10"/>
        <v>0</v>
      </c>
      <c r="T112" s="19"/>
      <c r="U112" s="5"/>
      <c r="V112" s="5"/>
      <c r="W112" s="5">
        <v>90</v>
      </c>
      <c r="X112" s="144" t="s">
        <v>718</v>
      </c>
      <c r="Y112" s="145"/>
      <c r="Z112" s="146"/>
      <c r="AA112" s="145"/>
      <c r="AB112" s="145"/>
      <c r="AD112" s="5">
        <v>90</v>
      </c>
      <c r="AE112" s="413" t="s">
        <v>3851</v>
      </c>
      <c r="AF112" s="145">
        <v>270</v>
      </c>
      <c r="AG112" s="146">
        <v>3.43</v>
      </c>
      <c r="AH112" s="145">
        <v>3512</v>
      </c>
      <c r="AI112" s="145">
        <v>-13</v>
      </c>
      <c r="AK112" s="5">
        <v>90</v>
      </c>
      <c r="AL112" s="413" t="s">
        <v>3852</v>
      </c>
      <c r="AM112" s="145">
        <v>537</v>
      </c>
      <c r="AN112" s="146">
        <v>2.52</v>
      </c>
      <c r="AO112" s="145">
        <v>4055</v>
      </c>
      <c r="AP112" s="145">
        <v>-15</v>
      </c>
      <c r="AR112" s="5">
        <v>90</v>
      </c>
      <c r="AS112" s="413" t="s">
        <v>3853</v>
      </c>
      <c r="AT112" s="145">
        <v>305</v>
      </c>
      <c r="AU112" s="146">
        <v>3.4</v>
      </c>
      <c r="AV112" s="145">
        <v>3752</v>
      </c>
      <c r="AW112" s="145">
        <v>-13</v>
      </c>
      <c r="AY112" s="5">
        <v>90</v>
      </c>
      <c r="AZ112" s="413" t="s">
        <v>3854</v>
      </c>
      <c r="BA112" s="145">
        <v>390</v>
      </c>
      <c r="BB112" s="146">
        <v>3.14</v>
      </c>
      <c r="BC112" s="145">
        <v>3861</v>
      </c>
      <c r="BD112" s="145">
        <v>-15</v>
      </c>
      <c r="BF112" s="5">
        <v>90</v>
      </c>
      <c r="BG112" s="413" t="s">
        <v>2301</v>
      </c>
      <c r="BH112" s="145">
        <v>436</v>
      </c>
      <c r="BI112" s="146">
        <v>3.24</v>
      </c>
      <c r="BJ112" s="145">
        <v>3804</v>
      </c>
      <c r="BK112" s="145">
        <v>-15</v>
      </c>
      <c r="BM112" s="5">
        <v>90</v>
      </c>
      <c r="BN112" s="413" t="s">
        <v>2302</v>
      </c>
      <c r="BO112" s="145">
        <v>350</v>
      </c>
      <c r="BP112" s="146">
        <v>2.87</v>
      </c>
      <c r="BQ112" s="145">
        <v>3819</v>
      </c>
      <c r="BR112" s="145">
        <v>-14</v>
      </c>
      <c r="BS112" s="5"/>
      <c r="BT112" s="5">
        <v>90</v>
      </c>
      <c r="BU112" s="413" t="s">
        <v>2303</v>
      </c>
      <c r="BV112" s="145">
        <v>992</v>
      </c>
      <c r="BW112" s="146">
        <v>2.54</v>
      </c>
      <c r="BX112" s="145">
        <v>4731</v>
      </c>
      <c r="BY112" s="145">
        <v>-18</v>
      </c>
      <c r="BZ112" s="5"/>
      <c r="CA112" s="5">
        <v>90</v>
      </c>
      <c r="CB112" s="413" t="s">
        <v>718</v>
      </c>
      <c r="CC112" s="145"/>
      <c r="CD112" s="146"/>
      <c r="CE112" s="145"/>
      <c r="CF112" s="145"/>
      <c r="CG112" s="5"/>
      <c r="CH112" s="5"/>
      <c r="CI112" s="5"/>
    </row>
    <row r="113" spans="6:87" ht="15.75" customHeight="1" x14ac:dyDescent="0.2">
      <c r="F113" s="5"/>
      <c r="M113" s="5">
        <v>91</v>
      </c>
      <c r="N113" s="413" t="str">
        <f t="shared" si="6"/>
        <v xml:space="preserve"> </v>
      </c>
      <c r="O113" s="414">
        <f t="shared" si="7"/>
        <v>0</v>
      </c>
      <c r="P113" s="414">
        <f t="shared" si="8"/>
        <v>0</v>
      </c>
      <c r="Q113" s="145">
        <f t="shared" si="11"/>
        <v>-8</v>
      </c>
      <c r="R113" s="414">
        <f t="shared" si="9"/>
        <v>0</v>
      </c>
      <c r="S113" s="414">
        <f t="shared" si="10"/>
        <v>0</v>
      </c>
      <c r="T113" s="19"/>
      <c r="U113" s="5"/>
      <c r="V113" s="5"/>
      <c r="W113" s="5">
        <v>91</v>
      </c>
      <c r="X113" s="144" t="s">
        <v>718</v>
      </c>
      <c r="Y113" s="145"/>
      <c r="Z113" s="146"/>
      <c r="AA113" s="145"/>
      <c r="AB113" s="145"/>
      <c r="AD113" s="5">
        <v>91</v>
      </c>
      <c r="AE113" s="413" t="s">
        <v>2304</v>
      </c>
      <c r="AF113" s="145">
        <v>298</v>
      </c>
      <c r="AG113" s="146">
        <v>3.21</v>
      </c>
      <c r="AH113" s="145">
        <v>3609</v>
      </c>
      <c r="AI113" s="145">
        <v>-13</v>
      </c>
      <c r="AK113" s="5">
        <v>91</v>
      </c>
      <c r="AL113" s="413" t="s">
        <v>2305</v>
      </c>
      <c r="AM113" s="145">
        <v>344</v>
      </c>
      <c r="AN113" s="146">
        <v>2.4500000000000002</v>
      </c>
      <c r="AO113" s="145">
        <v>3897</v>
      </c>
      <c r="AP113" s="145">
        <v>-16</v>
      </c>
      <c r="AR113" s="5">
        <v>91</v>
      </c>
      <c r="AS113" s="413" t="s">
        <v>2306</v>
      </c>
      <c r="AT113" s="145">
        <v>290</v>
      </c>
      <c r="AU113" s="146">
        <v>2.82</v>
      </c>
      <c r="AV113" s="145">
        <v>3883</v>
      </c>
      <c r="AW113" s="145">
        <v>-15</v>
      </c>
      <c r="AY113" s="5">
        <v>91</v>
      </c>
      <c r="AZ113" s="413" t="s">
        <v>2307</v>
      </c>
      <c r="BA113" s="145">
        <v>584</v>
      </c>
      <c r="BB113" s="146">
        <v>2.71</v>
      </c>
      <c r="BC113" s="145">
        <v>4185</v>
      </c>
      <c r="BD113" s="145">
        <v>-15</v>
      </c>
      <c r="BF113" s="5">
        <v>91</v>
      </c>
      <c r="BG113" s="413" t="s">
        <v>2992</v>
      </c>
      <c r="BH113" s="145">
        <v>546</v>
      </c>
      <c r="BI113" s="146">
        <v>3.35</v>
      </c>
      <c r="BJ113" s="145">
        <v>3963</v>
      </c>
      <c r="BK113" s="145">
        <v>-14</v>
      </c>
      <c r="BM113" s="5">
        <v>91</v>
      </c>
      <c r="BN113" s="413" t="s">
        <v>2993</v>
      </c>
      <c r="BO113" s="145">
        <v>450</v>
      </c>
      <c r="BP113" s="146">
        <v>3.06</v>
      </c>
      <c r="BQ113" s="145">
        <v>4083</v>
      </c>
      <c r="BR113" s="145">
        <v>-14</v>
      </c>
      <c r="BS113" s="5"/>
      <c r="BT113" s="5">
        <v>91</v>
      </c>
      <c r="BU113" s="413" t="s">
        <v>2994</v>
      </c>
      <c r="BV113" s="145">
        <v>1126</v>
      </c>
      <c r="BW113" s="146">
        <v>2.4</v>
      </c>
      <c r="BX113" s="145">
        <v>4980</v>
      </c>
      <c r="BY113" s="145">
        <v>-17</v>
      </c>
      <c r="BZ113" s="5"/>
      <c r="CA113" s="5">
        <v>91</v>
      </c>
      <c r="CB113" s="413" t="s">
        <v>718</v>
      </c>
      <c r="CC113" s="145"/>
      <c r="CD113" s="146"/>
      <c r="CE113" s="145"/>
      <c r="CF113" s="145"/>
      <c r="CG113" s="5"/>
      <c r="CH113" s="5"/>
      <c r="CI113" s="5"/>
    </row>
    <row r="114" spans="6:87" ht="15.75" customHeight="1" x14ac:dyDescent="0.2">
      <c r="F114" s="5"/>
      <c r="M114" s="5">
        <v>92</v>
      </c>
      <c r="N114" s="413" t="str">
        <f t="shared" si="6"/>
        <v xml:space="preserve"> </v>
      </c>
      <c r="O114" s="414">
        <f t="shared" si="7"/>
        <v>0</v>
      </c>
      <c r="P114" s="414">
        <f t="shared" si="8"/>
        <v>0</v>
      </c>
      <c r="Q114" s="145">
        <f t="shared" si="11"/>
        <v>-8</v>
      </c>
      <c r="R114" s="414">
        <f t="shared" si="9"/>
        <v>0</v>
      </c>
      <c r="S114" s="414">
        <f t="shared" si="10"/>
        <v>0</v>
      </c>
      <c r="T114" s="19"/>
      <c r="U114" s="5"/>
      <c r="V114" s="5"/>
      <c r="W114" s="5">
        <v>92</v>
      </c>
      <c r="X114" s="144" t="s">
        <v>718</v>
      </c>
      <c r="Y114" s="145"/>
      <c r="Z114" s="146"/>
      <c r="AA114" s="145"/>
      <c r="AB114" s="145"/>
      <c r="AD114" s="5">
        <v>92</v>
      </c>
      <c r="AE114" s="413" t="s">
        <v>2995</v>
      </c>
      <c r="AF114" s="145">
        <v>247</v>
      </c>
      <c r="AG114" s="146">
        <v>3.12</v>
      </c>
      <c r="AH114" s="145">
        <v>3561</v>
      </c>
      <c r="AI114" s="145">
        <v>-14</v>
      </c>
      <c r="AK114" s="5">
        <v>92</v>
      </c>
      <c r="AL114" s="413" t="s">
        <v>2996</v>
      </c>
      <c r="AM114" s="145">
        <v>605</v>
      </c>
      <c r="AN114" s="146">
        <v>2.5499999999999998</v>
      </c>
      <c r="AO114" s="145">
        <v>4048</v>
      </c>
      <c r="AP114" s="145">
        <v>-16</v>
      </c>
      <c r="AR114" s="5">
        <v>92</v>
      </c>
      <c r="AS114" s="413" t="s">
        <v>2997</v>
      </c>
      <c r="AT114" s="145">
        <v>487</v>
      </c>
      <c r="AU114" s="146">
        <v>3</v>
      </c>
      <c r="AV114" s="145">
        <v>4012</v>
      </c>
      <c r="AW114" s="145">
        <v>-15</v>
      </c>
      <c r="AY114" s="5">
        <v>92</v>
      </c>
      <c r="AZ114" s="413" t="s">
        <v>2998</v>
      </c>
      <c r="BA114" s="145">
        <v>518</v>
      </c>
      <c r="BB114" s="146">
        <v>3.13</v>
      </c>
      <c r="BC114" s="145">
        <v>3930</v>
      </c>
      <c r="BD114" s="145">
        <v>-15</v>
      </c>
      <c r="BF114" s="5">
        <v>92</v>
      </c>
      <c r="BG114" s="413" t="s">
        <v>2999</v>
      </c>
      <c r="BH114" s="145">
        <v>610</v>
      </c>
      <c r="BI114" s="146">
        <v>3.08</v>
      </c>
      <c r="BJ114" s="145">
        <v>4095</v>
      </c>
      <c r="BK114" s="145">
        <v>-15</v>
      </c>
      <c r="BM114" s="5">
        <v>92</v>
      </c>
      <c r="BN114" s="413" t="s">
        <v>3000</v>
      </c>
      <c r="BO114" s="145">
        <v>331</v>
      </c>
      <c r="BP114" s="146">
        <v>3.1</v>
      </c>
      <c r="BQ114" s="145">
        <v>3651</v>
      </c>
      <c r="BR114" s="145">
        <v>-13</v>
      </c>
      <c r="BS114" s="5"/>
      <c r="BT114" s="5">
        <v>92</v>
      </c>
      <c r="BU114" s="413" t="s">
        <v>3001</v>
      </c>
      <c r="BV114" s="145">
        <v>675</v>
      </c>
      <c r="BW114" s="146">
        <v>2.23</v>
      </c>
      <c r="BX114" s="145">
        <v>4211</v>
      </c>
      <c r="BY114" s="145">
        <v>-16</v>
      </c>
      <c r="BZ114" s="5"/>
      <c r="CA114" s="5">
        <v>92</v>
      </c>
      <c r="CB114" s="413" t="s">
        <v>718</v>
      </c>
      <c r="CC114" s="145"/>
      <c r="CD114" s="146"/>
      <c r="CE114" s="145"/>
      <c r="CF114" s="145"/>
      <c r="CG114" s="5"/>
      <c r="CH114" s="5"/>
      <c r="CI114" s="5"/>
    </row>
    <row r="115" spans="6:87" ht="15.75" customHeight="1" x14ac:dyDescent="0.2">
      <c r="F115" s="5"/>
      <c r="M115" s="5">
        <v>93</v>
      </c>
      <c r="N115" s="413" t="str">
        <f t="shared" si="6"/>
        <v xml:space="preserve"> </v>
      </c>
      <c r="O115" s="414">
        <f t="shared" si="7"/>
        <v>0</v>
      </c>
      <c r="P115" s="414">
        <f t="shared" si="8"/>
        <v>0</v>
      </c>
      <c r="Q115" s="145">
        <f t="shared" si="11"/>
        <v>-8</v>
      </c>
      <c r="R115" s="414">
        <f t="shared" si="9"/>
        <v>0</v>
      </c>
      <c r="S115" s="414">
        <f t="shared" si="10"/>
        <v>0</v>
      </c>
      <c r="T115" s="19"/>
      <c r="U115" s="5"/>
      <c r="V115" s="5"/>
      <c r="W115" s="5">
        <v>93</v>
      </c>
      <c r="X115" s="144" t="s">
        <v>718</v>
      </c>
      <c r="Y115" s="145"/>
      <c r="Z115" s="146"/>
      <c r="AA115" s="145"/>
      <c r="AB115" s="145"/>
      <c r="AD115" s="5">
        <v>93</v>
      </c>
      <c r="AE115" s="413" t="s">
        <v>3002</v>
      </c>
      <c r="AF115" s="145">
        <v>130</v>
      </c>
      <c r="AG115" s="146">
        <v>3.42</v>
      </c>
      <c r="AH115" s="145">
        <v>3366</v>
      </c>
      <c r="AI115" s="145">
        <v>-13</v>
      </c>
      <c r="AK115" s="5">
        <v>93</v>
      </c>
      <c r="AL115" s="413" t="s">
        <v>3003</v>
      </c>
      <c r="AM115" s="145">
        <v>570</v>
      </c>
      <c r="AN115" s="146">
        <v>2.8</v>
      </c>
      <c r="AO115" s="145">
        <v>3974</v>
      </c>
      <c r="AP115" s="145">
        <v>-14</v>
      </c>
      <c r="AR115" s="5">
        <v>93</v>
      </c>
      <c r="AS115" s="413" t="s">
        <v>3004</v>
      </c>
      <c r="AT115" s="145">
        <v>282</v>
      </c>
      <c r="AU115" s="146">
        <v>3.34</v>
      </c>
      <c r="AV115" s="145">
        <v>3548</v>
      </c>
      <c r="AW115" s="145">
        <v>-13</v>
      </c>
      <c r="AY115" s="5">
        <v>93</v>
      </c>
      <c r="AZ115" s="413" t="s">
        <v>3005</v>
      </c>
      <c r="BA115" s="145">
        <v>444</v>
      </c>
      <c r="BB115" s="146">
        <v>3.05</v>
      </c>
      <c r="BC115" s="145">
        <v>3864</v>
      </c>
      <c r="BD115" s="145">
        <v>-14</v>
      </c>
      <c r="BF115" s="5">
        <v>93</v>
      </c>
      <c r="BG115" s="413" t="s">
        <v>3006</v>
      </c>
      <c r="BH115" s="145">
        <v>851</v>
      </c>
      <c r="BI115" s="146">
        <v>3.12</v>
      </c>
      <c r="BJ115" s="145">
        <v>4271</v>
      </c>
      <c r="BK115" s="145">
        <v>-15</v>
      </c>
      <c r="BM115" s="5">
        <v>93</v>
      </c>
      <c r="BN115" s="413" t="s">
        <v>3007</v>
      </c>
      <c r="BO115" s="145">
        <v>708</v>
      </c>
      <c r="BP115" s="146">
        <v>2.78</v>
      </c>
      <c r="BQ115" s="145">
        <v>4444</v>
      </c>
      <c r="BR115" s="145">
        <v>-15</v>
      </c>
      <c r="BS115" s="5"/>
      <c r="BT115" s="5">
        <v>93</v>
      </c>
      <c r="BU115" s="413" t="s">
        <v>3008</v>
      </c>
      <c r="BV115" s="145">
        <v>1454</v>
      </c>
      <c r="BW115" s="146">
        <v>1.58</v>
      </c>
      <c r="BX115" s="145">
        <v>5674</v>
      </c>
      <c r="BY115" s="145">
        <v>-19</v>
      </c>
      <c r="BZ115" s="5"/>
      <c r="CA115" s="5">
        <v>93</v>
      </c>
      <c r="CB115" s="413" t="s">
        <v>718</v>
      </c>
      <c r="CC115" s="145"/>
      <c r="CD115" s="146"/>
      <c r="CE115" s="145"/>
      <c r="CF115" s="145"/>
      <c r="CG115" s="5"/>
      <c r="CH115" s="5"/>
      <c r="CI115" s="5"/>
    </row>
    <row r="116" spans="6:87" ht="15.75" customHeight="1" x14ac:dyDescent="0.2">
      <c r="F116" s="5"/>
      <c r="M116" s="5">
        <v>94</v>
      </c>
      <c r="N116" s="413" t="str">
        <f t="shared" si="6"/>
        <v xml:space="preserve"> </v>
      </c>
      <c r="O116" s="414">
        <f t="shared" si="7"/>
        <v>0</v>
      </c>
      <c r="P116" s="414">
        <f t="shared" si="8"/>
        <v>0</v>
      </c>
      <c r="Q116" s="145">
        <f t="shared" si="11"/>
        <v>-8</v>
      </c>
      <c r="R116" s="414">
        <f t="shared" si="9"/>
        <v>0</v>
      </c>
      <c r="S116" s="414">
        <f t="shared" si="10"/>
        <v>0</v>
      </c>
      <c r="T116" s="19"/>
      <c r="U116" s="5"/>
      <c r="V116" s="5"/>
      <c r="W116" s="5">
        <v>94</v>
      </c>
      <c r="X116" s="144" t="s">
        <v>718</v>
      </c>
      <c r="Y116" s="145"/>
      <c r="Z116" s="146"/>
      <c r="AA116" s="145"/>
      <c r="AB116" s="145"/>
      <c r="AD116" s="5">
        <v>94</v>
      </c>
      <c r="AE116" s="413" t="s">
        <v>3009</v>
      </c>
      <c r="AF116" s="145">
        <v>125</v>
      </c>
      <c r="AG116" s="146">
        <v>3.35</v>
      </c>
      <c r="AH116" s="145">
        <v>3379</v>
      </c>
      <c r="AI116" s="145">
        <v>-14</v>
      </c>
      <c r="AK116" s="5">
        <v>94</v>
      </c>
      <c r="AL116" s="413" t="s">
        <v>3010</v>
      </c>
      <c r="AM116" s="145">
        <v>488</v>
      </c>
      <c r="AN116" s="146">
        <v>2.35</v>
      </c>
      <c r="AO116" s="145">
        <v>3971</v>
      </c>
      <c r="AP116" s="145">
        <v>-16</v>
      </c>
      <c r="AR116" s="5">
        <v>94</v>
      </c>
      <c r="AS116" s="413" t="s">
        <v>3011</v>
      </c>
      <c r="AT116" s="145">
        <v>206</v>
      </c>
      <c r="AU116" s="146">
        <v>3.33</v>
      </c>
      <c r="AV116" s="145">
        <v>3618</v>
      </c>
      <c r="AW116" s="145">
        <v>-13</v>
      </c>
      <c r="AY116" s="5">
        <v>94</v>
      </c>
      <c r="AZ116" s="413" t="s">
        <v>3012</v>
      </c>
      <c r="BA116" s="145">
        <v>305</v>
      </c>
      <c r="BB116" s="146">
        <v>3.19</v>
      </c>
      <c r="BC116" s="145">
        <v>3766</v>
      </c>
      <c r="BD116" s="145">
        <v>-15</v>
      </c>
      <c r="BF116" s="5">
        <v>94</v>
      </c>
      <c r="BG116" s="413" t="s">
        <v>3013</v>
      </c>
      <c r="BH116" s="145">
        <v>950</v>
      </c>
      <c r="BI116" s="146">
        <v>1.86</v>
      </c>
      <c r="BJ116" s="145">
        <v>4915</v>
      </c>
      <c r="BK116" s="145">
        <v>-17</v>
      </c>
      <c r="BM116" s="5">
        <v>94</v>
      </c>
      <c r="BN116" s="413" t="s">
        <v>3014</v>
      </c>
      <c r="BO116" s="145">
        <v>274</v>
      </c>
      <c r="BP116" s="146">
        <v>3.1</v>
      </c>
      <c r="BQ116" s="145">
        <v>3582</v>
      </c>
      <c r="BR116" s="145">
        <v>-13</v>
      </c>
      <c r="BS116" s="5"/>
      <c r="BT116" s="5">
        <v>94</v>
      </c>
      <c r="BU116" s="413" t="s">
        <v>3015</v>
      </c>
      <c r="BV116" s="145">
        <v>992</v>
      </c>
      <c r="BW116" s="146">
        <v>2.84</v>
      </c>
      <c r="BX116" s="145">
        <v>4633</v>
      </c>
      <c r="BY116" s="145">
        <v>-15</v>
      </c>
      <c r="BZ116" s="5"/>
      <c r="CA116" s="5">
        <v>94</v>
      </c>
      <c r="CB116" s="413" t="s">
        <v>718</v>
      </c>
      <c r="CC116" s="145"/>
      <c r="CD116" s="146"/>
      <c r="CE116" s="145"/>
      <c r="CF116" s="145"/>
      <c r="CG116" s="5"/>
      <c r="CH116" s="5"/>
      <c r="CI116" s="5"/>
    </row>
    <row r="117" spans="6:87" ht="15.75" customHeight="1" x14ac:dyDescent="0.2">
      <c r="F117" s="5"/>
      <c r="M117" s="5">
        <v>95</v>
      </c>
      <c r="N117" s="413" t="str">
        <f t="shared" si="6"/>
        <v xml:space="preserve"> </v>
      </c>
      <c r="O117" s="414">
        <f t="shared" si="7"/>
        <v>0</v>
      </c>
      <c r="P117" s="414">
        <f t="shared" si="8"/>
        <v>0</v>
      </c>
      <c r="Q117" s="145">
        <f t="shared" si="11"/>
        <v>-8</v>
      </c>
      <c r="R117" s="414">
        <f t="shared" si="9"/>
        <v>0</v>
      </c>
      <c r="S117" s="414">
        <f t="shared" si="10"/>
        <v>0</v>
      </c>
      <c r="T117" s="19"/>
      <c r="U117" s="5"/>
      <c r="V117" s="5"/>
      <c r="W117" s="5">
        <v>95</v>
      </c>
      <c r="X117" s="144" t="s">
        <v>718</v>
      </c>
      <c r="Y117" s="145"/>
      <c r="Z117" s="146"/>
      <c r="AA117" s="145"/>
      <c r="AB117" s="145"/>
      <c r="AD117" s="5">
        <v>95</v>
      </c>
      <c r="AE117" s="413" t="s">
        <v>3016</v>
      </c>
      <c r="AF117" s="145">
        <v>151</v>
      </c>
      <c r="AG117" s="146">
        <v>3.43</v>
      </c>
      <c r="AH117" s="145">
        <v>3380</v>
      </c>
      <c r="AI117" s="145">
        <v>-13</v>
      </c>
      <c r="AK117" s="5">
        <v>95</v>
      </c>
      <c r="AL117" s="413" t="s">
        <v>3017</v>
      </c>
      <c r="AM117" s="145">
        <v>590</v>
      </c>
      <c r="AN117" s="146">
        <v>2.98</v>
      </c>
      <c r="AO117" s="145">
        <v>3949</v>
      </c>
      <c r="AP117" s="145">
        <v>-14</v>
      </c>
      <c r="AR117" s="5">
        <v>95</v>
      </c>
      <c r="AS117" s="413" t="s">
        <v>3018</v>
      </c>
      <c r="AT117" s="145">
        <v>280</v>
      </c>
      <c r="AU117" s="146">
        <v>3.39</v>
      </c>
      <c r="AV117" s="145">
        <v>3705</v>
      </c>
      <c r="AW117" s="145">
        <v>-13</v>
      </c>
      <c r="AY117" s="5">
        <v>95</v>
      </c>
      <c r="AZ117" s="413" t="s">
        <v>3019</v>
      </c>
      <c r="BA117" s="145">
        <v>528</v>
      </c>
      <c r="BB117" s="146">
        <v>2.85</v>
      </c>
      <c r="BC117" s="145">
        <v>4133</v>
      </c>
      <c r="BD117" s="145">
        <v>-16</v>
      </c>
      <c r="BF117" s="5">
        <v>95</v>
      </c>
      <c r="BG117" s="413" t="s">
        <v>3020</v>
      </c>
      <c r="BH117" s="145">
        <v>634</v>
      </c>
      <c r="BI117" s="146">
        <v>2.86</v>
      </c>
      <c r="BJ117" s="145">
        <v>4319</v>
      </c>
      <c r="BK117" s="145">
        <v>-16</v>
      </c>
      <c r="BM117" s="5">
        <v>95</v>
      </c>
      <c r="BN117" s="413" t="s">
        <v>2792</v>
      </c>
      <c r="BO117" s="145">
        <v>730</v>
      </c>
      <c r="BP117" s="146">
        <v>2.63</v>
      </c>
      <c r="BQ117" s="145">
        <v>4550</v>
      </c>
      <c r="BR117" s="145">
        <v>-15</v>
      </c>
      <c r="BS117" s="5"/>
      <c r="BT117" s="5">
        <v>95</v>
      </c>
      <c r="BU117" s="413" t="s">
        <v>2793</v>
      </c>
      <c r="BV117" s="145">
        <v>977</v>
      </c>
      <c r="BW117" s="146">
        <v>2.33</v>
      </c>
      <c r="BX117" s="145">
        <v>4772</v>
      </c>
      <c r="BY117" s="145">
        <v>-16</v>
      </c>
      <c r="BZ117" s="5"/>
      <c r="CA117" s="5">
        <v>95</v>
      </c>
      <c r="CB117" s="413" t="s">
        <v>718</v>
      </c>
      <c r="CC117" s="145"/>
      <c r="CD117" s="146"/>
      <c r="CE117" s="145"/>
      <c r="CF117" s="145"/>
      <c r="CG117" s="5"/>
      <c r="CH117" s="5"/>
      <c r="CI117" s="5"/>
    </row>
    <row r="118" spans="6:87" ht="15.75" customHeight="1" x14ac:dyDescent="0.2">
      <c r="F118" s="5"/>
      <c r="M118" s="5">
        <v>96</v>
      </c>
      <c r="N118" s="413" t="str">
        <f t="shared" si="6"/>
        <v xml:space="preserve"> </v>
      </c>
      <c r="O118" s="414">
        <f t="shared" si="7"/>
        <v>0</v>
      </c>
      <c r="P118" s="414">
        <f t="shared" si="8"/>
        <v>0</v>
      </c>
      <c r="Q118" s="145">
        <f t="shared" si="11"/>
        <v>-8</v>
      </c>
      <c r="R118" s="414">
        <f t="shared" si="9"/>
        <v>0</v>
      </c>
      <c r="S118" s="414">
        <f t="shared" si="10"/>
        <v>0</v>
      </c>
      <c r="T118" s="19"/>
      <c r="U118" s="5"/>
      <c r="V118" s="5"/>
      <c r="W118" s="5">
        <v>96</v>
      </c>
      <c r="X118" s="144" t="s">
        <v>718</v>
      </c>
      <c r="Y118" s="145"/>
      <c r="Z118" s="146"/>
      <c r="AA118" s="145"/>
      <c r="AB118" s="145"/>
      <c r="AD118" s="5">
        <v>96</v>
      </c>
      <c r="AE118" s="413" t="s">
        <v>2794</v>
      </c>
      <c r="AF118" s="145">
        <v>307</v>
      </c>
      <c r="AG118" s="146">
        <v>3.27</v>
      </c>
      <c r="AH118" s="145">
        <v>3596</v>
      </c>
      <c r="AI118" s="145">
        <v>-13</v>
      </c>
      <c r="AK118" s="5">
        <v>96</v>
      </c>
      <c r="AL118" s="413" t="s">
        <v>2795</v>
      </c>
      <c r="AM118" s="145">
        <v>1043</v>
      </c>
      <c r="AN118" s="146">
        <v>2.89</v>
      </c>
      <c r="AO118" s="145">
        <v>4534</v>
      </c>
      <c r="AP118" s="145">
        <v>-14</v>
      </c>
      <c r="AR118" s="5">
        <v>96</v>
      </c>
      <c r="AS118" s="413" t="s">
        <v>2796</v>
      </c>
      <c r="AT118" s="145">
        <v>216</v>
      </c>
      <c r="AU118" s="146">
        <v>3.22</v>
      </c>
      <c r="AV118" s="145">
        <v>3658</v>
      </c>
      <c r="AW118" s="145">
        <v>-13</v>
      </c>
      <c r="AY118" s="5">
        <v>96</v>
      </c>
      <c r="AZ118" s="413" t="s">
        <v>2797</v>
      </c>
      <c r="BA118" s="145">
        <v>277</v>
      </c>
      <c r="BB118" s="146">
        <v>3.21</v>
      </c>
      <c r="BC118" s="145">
        <v>3643</v>
      </c>
      <c r="BD118" s="145">
        <v>-14</v>
      </c>
      <c r="BF118" s="5">
        <v>96</v>
      </c>
      <c r="BG118" s="413" t="s">
        <v>2798</v>
      </c>
      <c r="BH118" s="145">
        <v>1075</v>
      </c>
      <c r="BI118" s="146">
        <v>2.0699999999999998</v>
      </c>
      <c r="BJ118" s="145">
        <v>5003</v>
      </c>
      <c r="BK118" s="145">
        <v>-20</v>
      </c>
      <c r="BM118" s="5">
        <v>96</v>
      </c>
      <c r="BN118" s="413" t="s">
        <v>2799</v>
      </c>
      <c r="BO118" s="145">
        <v>580</v>
      </c>
      <c r="BP118" s="146">
        <v>2.77</v>
      </c>
      <c r="BQ118" s="145">
        <v>4238</v>
      </c>
      <c r="BR118" s="145">
        <v>-15</v>
      </c>
      <c r="BS118" s="5"/>
      <c r="BT118" s="5">
        <v>96</v>
      </c>
      <c r="BU118" s="413" t="s">
        <v>2800</v>
      </c>
      <c r="BV118" s="145">
        <v>975</v>
      </c>
      <c r="BW118" s="146">
        <v>2.39</v>
      </c>
      <c r="BX118" s="145">
        <v>4879</v>
      </c>
      <c r="BY118" s="145">
        <v>-17</v>
      </c>
      <c r="BZ118" s="5"/>
      <c r="CA118" s="5">
        <v>96</v>
      </c>
      <c r="CB118" s="413" t="s">
        <v>718</v>
      </c>
      <c r="CC118" s="145"/>
      <c r="CD118" s="146"/>
      <c r="CE118" s="145"/>
      <c r="CF118" s="145"/>
      <c r="CG118" s="5"/>
      <c r="CH118" s="5"/>
      <c r="CI118" s="5"/>
    </row>
    <row r="119" spans="6:87" ht="15.75" customHeight="1" x14ac:dyDescent="0.2">
      <c r="F119" s="5"/>
      <c r="M119" s="5">
        <v>97</v>
      </c>
      <c r="N119" s="413" t="str">
        <f t="shared" si="6"/>
        <v xml:space="preserve"> </v>
      </c>
      <c r="O119" s="414">
        <f t="shared" si="7"/>
        <v>0</v>
      </c>
      <c r="P119" s="414">
        <f t="shared" si="8"/>
        <v>0</v>
      </c>
      <c r="Q119" s="145">
        <f t="shared" si="11"/>
        <v>-8</v>
      </c>
      <c r="R119" s="414">
        <f t="shared" si="9"/>
        <v>0</v>
      </c>
      <c r="S119" s="414">
        <f t="shared" si="10"/>
        <v>0</v>
      </c>
      <c r="T119" s="19"/>
      <c r="U119" s="5"/>
      <c r="V119" s="5"/>
      <c r="W119" s="5">
        <v>97</v>
      </c>
      <c r="X119" s="144" t="s">
        <v>718</v>
      </c>
      <c r="Y119" s="145"/>
      <c r="Z119" s="146"/>
      <c r="AA119" s="145"/>
      <c r="AB119" s="145"/>
      <c r="AD119" s="5">
        <v>97</v>
      </c>
      <c r="AE119" s="413" t="s">
        <v>2801</v>
      </c>
      <c r="AF119" s="145">
        <v>248</v>
      </c>
      <c r="AG119" s="146">
        <v>3.19</v>
      </c>
      <c r="AH119" s="145">
        <v>3547</v>
      </c>
      <c r="AI119" s="145">
        <v>-13</v>
      </c>
      <c r="AK119" s="5">
        <v>97</v>
      </c>
      <c r="AL119" s="413" t="s">
        <v>2802</v>
      </c>
      <c r="AM119" s="145">
        <v>580</v>
      </c>
      <c r="AN119" s="146">
        <v>2.54</v>
      </c>
      <c r="AO119" s="145">
        <v>4085</v>
      </c>
      <c r="AP119" s="145">
        <v>-15</v>
      </c>
      <c r="AR119" s="5">
        <v>97</v>
      </c>
      <c r="AS119" s="413" t="s">
        <v>2803</v>
      </c>
      <c r="AT119" s="145">
        <v>154</v>
      </c>
      <c r="AU119" s="146">
        <v>3.5</v>
      </c>
      <c r="AV119" s="145">
        <v>3383</v>
      </c>
      <c r="AW119" s="145">
        <v>-13</v>
      </c>
      <c r="AY119" s="5">
        <v>97</v>
      </c>
      <c r="AZ119" s="413" t="s">
        <v>2804</v>
      </c>
      <c r="BA119" s="145">
        <v>512</v>
      </c>
      <c r="BB119" s="146">
        <v>3.51</v>
      </c>
      <c r="BC119" s="145">
        <v>3810</v>
      </c>
      <c r="BD119" s="145">
        <v>-11</v>
      </c>
      <c r="BF119" s="5">
        <v>97</v>
      </c>
      <c r="BG119" s="413" t="s">
        <v>2805</v>
      </c>
      <c r="BH119" s="145">
        <v>770</v>
      </c>
      <c r="BI119" s="146">
        <v>2.96</v>
      </c>
      <c r="BJ119" s="145">
        <v>4328</v>
      </c>
      <c r="BK119" s="145">
        <v>-15</v>
      </c>
      <c r="BM119" s="5">
        <v>97</v>
      </c>
      <c r="BN119" s="413" t="s">
        <v>2806</v>
      </c>
      <c r="BO119" s="145">
        <v>746</v>
      </c>
      <c r="BP119" s="146">
        <v>2.89</v>
      </c>
      <c r="BQ119" s="145">
        <v>4432</v>
      </c>
      <c r="BR119" s="145">
        <v>-15</v>
      </c>
      <c r="BS119" s="5"/>
      <c r="BT119" s="5">
        <v>97</v>
      </c>
      <c r="BU119" s="413" t="s">
        <v>2807</v>
      </c>
      <c r="BV119" s="145">
        <v>633</v>
      </c>
      <c r="BW119" s="146">
        <v>2.86</v>
      </c>
      <c r="BX119" s="145">
        <v>4062</v>
      </c>
      <c r="BY119" s="145">
        <v>-14</v>
      </c>
      <c r="BZ119" s="5"/>
      <c r="CA119" s="5">
        <v>97</v>
      </c>
      <c r="CB119" s="413" t="s">
        <v>718</v>
      </c>
      <c r="CC119" s="145"/>
      <c r="CD119" s="146"/>
      <c r="CE119" s="145"/>
      <c r="CF119" s="145"/>
      <c r="CG119" s="5"/>
      <c r="CH119" s="5"/>
      <c r="CI119" s="5"/>
    </row>
    <row r="120" spans="6:87" ht="15.75" customHeight="1" x14ac:dyDescent="0.2">
      <c r="F120" s="5"/>
      <c r="M120" s="5">
        <v>98</v>
      </c>
      <c r="N120" s="413" t="str">
        <f t="shared" si="6"/>
        <v xml:space="preserve"> </v>
      </c>
      <c r="O120" s="414">
        <f t="shared" si="7"/>
        <v>0</v>
      </c>
      <c r="P120" s="414">
        <f t="shared" si="8"/>
        <v>0</v>
      </c>
      <c r="Q120" s="145">
        <f t="shared" si="11"/>
        <v>-8</v>
      </c>
      <c r="R120" s="414">
        <f t="shared" si="9"/>
        <v>0</v>
      </c>
      <c r="S120" s="414">
        <f t="shared" si="10"/>
        <v>0</v>
      </c>
      <c r="T120" s="19"/>
      <c r="U120" s="5"/>
      <c r="V120" s="5"/>
      <c r="W120" s="5">
        <v>98</v>
      </c>
      <c r="X120" s="144" t="s">
        <v>718</v>
      </c>
      <c r="Y120" s="145"/>
      <c r="Z120" s="146"/>
      <c r="AA120" s="145"/>
      <c r="AB120" s="145"/>
      <c r="AD120" s="5">
        <v>98</v>
      </c>
      <c r="AE120" s="413" t="s">
        <v>2808</v>
      </c>
      <c r="AF120" s="145">
        <v>253</v>
      </c>
      <c r="AG120" s="146">
        <v>3.18</v>
      </c>
      <c r="AH120" s="145">
        <v>3583</v>
      </c>
      <c r="AI120" s="145">
        <v>-14</v>
      </c>
      <c r="AK120" s="5">
        <v>98</v>
      </c>
      <c r="AL120" s="413" t="s">
        <v>2809</v>
      </c>
      <c r="AM120" s="145">
        <v>890</v>
      </c>
      <c r="AN120" s="146">
        <v>2.57</v>
      </c>
      <c r="AO120" s="145">
        <v>4410</v>
      </c>
      <c r="AP120" s="145">
        <v>-15</v>
      </c>
      <c r="AR120" s="5">
        <v>98</v>
      </c>
      <c r="AS120" s="413" t="s">
        <v>2810</v>
      </c>
      <c r="AT120" s="145">
        <v>465</v>
      </c>
      <c r="AU120" s="146">
        <v>3.35</v>
      </c>
      <c r="AV120" s="145">
        <v>3962</v>
      </c>
      <c r="AW120" s="145">
        <v>-15</v>
      </c>
      <c r="AY120" s="5">
        <v>98</v>
      </c>
      <c r="AZ120" s="413" t="s">
        <v>2811</v>
      </c>
      <c r="BA120" s="145">
        <v>494</v>
      </c>
      <c r="BB120" s="146">
        <v>3.02</v>
      </c>
      <c r="BC120" s="145">
        <v>4007</v>
      </c>
      <c r="BD120" s="145">
        <v>-15</v>
      </c>
      <c r="BF120" s="5">
        <v>98</v>
      </c>
      <c r="BG120" s="413" t="s">
        <v>2812</v>
      </c>
      <c r="BH120" s="145">
        <v>590</v>
      </c>
      <c r="BI120" s="146">
        <v>2.0299999999999998</v>
      </c>
      <c r="BJ120" s="145">
        <v>4420</v>
      </c>
      <c r="BK120" s="145">
        <v>-17</v>
      </c>
      <c r="BM120" s="5">
        <v>98</v>
      </c>
      <c r="BN120" s="413" t="s">
        <v>2813</v>
      </c>
      <c r="BO120" s="145">
        <v>300</v>
      </c>
      <c r="BP120" s="146">
        <v>3.12</v>
      </c>
      <c r="BQ120" s="145">
        <v>3596</v>
      </c>
      <c r="BR120" s="145">
        <v>-13</v>
      </c>
      <c r="BS120" s="5"/>
      <c r="BT120" s="5">
        <v>98</v>
      </c>
      <c r="BU120" s="413" t="s">
        <v>2814</v>
      </c>
      <c r="BV120" s="145">
        <v>952</v>
      </c>
      <c r="BW120" s="146">
        <v>2.91</v>
      </c>
      <c r="BX120" s="145">
        <v>4547</v>
      </c>
      <c r="BY120" s="145">
        <v>-15</v>
      </c>
      <c r="BZ120" s="5"/>
      <c r="CA120" s="5">
        <v>98</v>
      </c>
      <c r="CB120" s="413" t="s">
        <v>718</v>
      </c>
      <c r="CC120" s="145"/>
      <c r="CD120" s="146"/>
      <c r="CE120" s="145"/>
      <c r="CF120" s="145"/>
      <c r="CG120" s="5"/>
      <c r="CH120" s="5"/>
      <c r="CI120" s="5"/>
    </row>
    <row r="121" spans="6:87" ht="15.75" customHeight="1" x14ac:dyDescent="0.2">
      <c r="F121" s="5"/>
      <c r="M121" s="5">
        <v>99</v>
      </c>
      <c r="N121" s="413" t="str">
        <f t="shared" si="6"/>
        <v xml:space="preserve"> </v>
      </c>
      <c r="O121" s="414">
        <f t="shared" si="7"/>
        <v>0</v>
      </c>
      <c r="P121" s="414">
        <f t="shared" si="8"/>
        <v>0</v>
      </c>
      <c r="Q121" s="145">
        <f t="shared" si="11"/>
        <v>-8</v>
      </c>
      <c r="R121" s="414">
        <f t="shared" si="9"/>
        <v>0</v>
      </c>
      <c r="S121" s="414">
        <f t="shared" si="10"/>
        <v>0</v>
      </c>
      <c r="T121" s="19"/>
      <c r="U121" s="5"/>
      <c r="V121" s="5"/>
      <c r="W121" s="5">
        <v>99</v>
      </c>
      <c r="X121" s="144" t="s">
        <v>718</v>
      </c>
      <c r="Y121" s="145"/>
      <c r="Z121" s="146"/>
      <c r="AA121" s="145"/>
      <c r="AB121" s="145"/>
      <c r="AD121" s="5">
        <v>99</v>
      </c>
      <c r="AE121" s="413" t="s">
        <v>2815</v>
      </c>
      <c r="AF121" s="145">
        <v>280</v>
      </c>
      <c r="AG121" s="146">
        <v>3.36</v>
      </c>
      <c r="AH121" s="145">
        <v>3528</v>
      </c>
      <c r="AI121" s="145">
        <v>-13</v>
      </c>
      <c r="AK121" s="5">
        <v>99</v>
      </c>
      <c r="AL121" s="413" t="s">
        <v>2816</v>
      </c>
      <c r="AM121" s="145">
        <v>565</v>
      </c>
      <c r="AN121" s="146">
        <v>2.58</v>
      </c>
      <c r="AO121" s="145">
        <v>4041</v>
      </c>
      <c r="AP121" s="145">
        <v>-16</v>
      </c>
      <c r="AR121" s="5">
        <v>99</v>
      </c>
      <c r="AS121" s="413" t="s">
        <v>2817</v>
      </c>
      <c r="AT121" s="145">
        <v>535</v>
      </c>
      <c r="AU121" s="146">
        <v>2.4300000000000002</v>
      </c>
      <c r="AV121" s="145">
        <v>4393</v>
      </c>
      <c r="AW121" s="145">
        <v>-17</v>
      </c>
      <c r="AY121" s="5">
        <v>99</v>
      </c>
      <c r="AZ121" s="413" t="s">
        <v>2818</v>
      </c>
      <c r="BA121" s="145">
        <v>324</v>
      </c>
      <c r="BB121" s="146">
        <v>3.22</v>
      </c>
      <c r="BC121" s="145">
        <v>3726</v>
      </c>
      <c r="BD121" s="145">
        <v>-14</v>
      </c>
      <c r="BF121" s="5">
        <v>99</v>
      </c>
      <c r="BG121" s="413" t="s">
        <v>2819</v>
      </c>
      <c r="BH121" s="145">
        <v>504</v>
      </c>
      <c r="BI121" s="146">
        <v>3.21</v>
      </c>
      <c r="BJ121" s="145">
        <v>3844</v>
      </c>
      <c r="BK121" s="145">
        <v>-15</v>
      </c>
      <c r="BM121" s="5">
        <v>99</v>
      </c>
      <c r="BN121" s="413" t="s">
        <v>2820</v>
      </c>
      <c r="BO121" s="145">
        <v>221</v>
      </c>
      <c r="BP121" s="146">
        <v>3.19</v>
      </c>
      <c r="BQ121" s="145">
        <v>3513</v>
      </c>
      <c r="BR121" s="145">
        <v>-13</v>
      </c>
      <c r="BS121" s="5"/>
      <c r="BT121" s="5">
        <v>99</v>
      </c>
      <c r="BU121" s="413" t="s">
        <v>2821</v>
      </c>
      <c r="BV121" s="145">
        <v>807</v>
      </c>
      <c r="BW121" s="146">
        <v>2.5299999999999998</v>
      </c>
      <c r="BX121" s="145">
        <v>4403</v>
      </c>
      <c r="BY121" s="145">
        <v>-16</v>
      </c>
      <c r="BZ121" s="5"/>
      <c r="CA121" s="5">
        <v>99</v>
      </c>
      <c r="CB121" s="413" t="s">
        <v>718</v>
      </c>
      <c r="CC121" s="145"/>
      <c r="CD121" s="146"/>
      <c r="CE121" s="145"/>
      <c r="CF121" s="145"/>
      <c r="CG121" s="5"/>
      <c r="CH121" s="5"/>
      <c r="CI121" s="5"/>
    </row>
    <row r="122" spans="6:87" ht="15.75" customHeight="1" x14ac:dyDescent="0.2">
      <c r="F122" s="5"/>
      <c r="M122" s="5">
        <v>100</v>
      </c>
      <c r="N122" s="413" t="str">
        <f t="shared" si="6"/>
        <v xml:space="preserve"> </v>
      </c>
      <c r="O122" s="414">
        <f t="shared" si="7"/>
        <v>0</v>
      </c>
      <c r="P122" s="414">
        <f t="shared" si="8"/>
        <v>0</v>
      </c>
      <c r="Q122" s="145">
        <f t="shared" si="11"/>
        <v>-8</v>
      </c>
      <c r="R122" s="414">
        <f t="shared" si="9"/>
        <v>0</v>
      </c>
      <c r="S122" s="414">
        <f t="shared" si="10"/>
        <v>0</v>
      </c>
      <c r="T122" s="19"/>
      <c r="U122" s="5"/>
      <c r="V122" s="5"/>
      <c r="W122" s="5">
        <v>100</v>
      </c>
      <c r="X122" s="144" t="s">
        <v>718</v>
      </c>
      <c r="Y122" s="145"/>
      <c r="Z122" s="146"/>
      <c r="AA122" s="145"/>
      <c r="AB122" s="145"/>
      <c r="AD122" s="5">
        <v>100</v>
      </c>
      <c r="AE122" s="413" t="s">
        <v>2822</v>
      </c>
      <c r="AF122" s="145">
        <v>277</v>
      </c>
      <c r="AG122" s="146">
        <v>3.45</v>
      </c>
      <c r="AH122" s="145">
        <v>3410</v>
      </c>
      <c r="AI122" s="145">
        <v>-13</v>
      </c>
      <c r="AK122" s="5">
        <v>100</v>
      </c>
      <c r="AL122" s="413" t="s">
        <v>2823</v>
      </c>
      <c r="AM122" s="145">
        <v>1190</v>
      </c>
      <c r="AN122" s="146">
        <v>2.46</v>
      </c>
      <c r="AO122" s="145">
        <v>5069</v>
      </c>
      <c r="AP122" s="145">
        <v>-15</v>
      </c>
      <c r="AR122" s="5">
        <v>100</v>
      </c>
      <c r="AS122" s="413" t="s">
        <v>2824</v>
      </c>
      <c r="AT122" s="145">
        <v>274</v>
      </c>
      <c r="AU122" s="146">
        <v>2.89</v>
      </c>
      <c r="AV122" s="145">
        <v>3782</v>
      </c>
      <c r="AW122" s="145">
        <v>-14</v>
      </c>
      <c r="AY122" s="5">
        <v>100</v>
      </c>
      <c r="AZ122" s="413" t="s">
        <v>2825</v>
      </c>
      <c r="BA122" s="145">
        <v>273</v>
      </c>
      <c r="BB122" s="146">
        <v>3.32</v>
      </c>
      <c r="BC122" s="145">
        <v>3704</v>
      </c>
      <c r="BD122" s="145">
        <v>-15</v>
      </c>
      <c r="BF122" s="5">
        <v>100</v>
      </c>
      <c r="BG122" s="413" t="s">
        <v>2826</v>
      </c>
      <c r="BH122" s="145">
        <v>512</v>
      </c>
      <c r="BI122" s="146">
        <v>3.18</v>
      </c>
      <c r="BJ122" s="145">
        <v>3903</v>
      </c>
      <c r="BK122" s="145">
        <v>-15</v>
      </c>
      <c r="BM122" s="5">
        <v>100</v>
      </c>
      <c r="BN122" s="413" t="s">
        <v>2827</v>
      </c>
      <c r="BO122" s="145">
        <v>360</v>
      </c>
      <c r="BP122" s="146">
        <v>3.29</v>
      </c>
      <c r="BQ122" s="145">
        <v>3560</v>
      </c>
      <c r="BR122" s="145">
        <v>-12</v>
      </c>
      <c r="BS122" s="5"/>
      <c r="BT122" s="5">
        <v>100</v>
      </c>
      <c r="BU122" s="413" t="s">
        <v>2828</v>
      </c>
      <c r="BV122" s="145">
        <v>880</v>
      </c>
      <c r="BW122" s="146">
        <v>2.17</v>
      </c>
      <c r="BX122" s="145">
        <v>4565</v>
      </c>
      <c r="BY122" s="145">
        <v>-16</v>
      </c>
      <c r="BZ122" s="5"/>
      <c r="CA122" s="5">
        <v>100</v>
      </c>
      <c r="CB122" s="413" t="s">
        <v>718</v>
      </c>
      <c r="CC122" s="145"/>
      <c r="CD122" s="146"/>
      <c r="CE122" s="145"/>
      <c r="CF122" s="145"/>
      <c r="CG122" s="5"/>
      <c r="CH122" s="5"/>
      <c r="CI122" s="5"/>
    </row>
    <row r="123" spans="6:87" ht="15.75" customHeight="1" x14ac:dyDescent="0.2">
      <c r="F123" s="5"/>
      <c r="M123" s="5">
        <v>101</v>
      </c>
      <c r="N123" s="413" t="str">
        <f t="shared" si="6"/>
        <v xml:space="preserve"> </v>
      </c>
      <c r="O123" s="414">
        <f t="shared" si="7"/>
        <v>0</v>
      </c>
      <c r="P123" s="414">
        <f t="shared" si="8"/>
        <v>0</v>
      </c>
      <c r="Q123" s="145">
        <f t="shared" si="11"/>
        <v>-8</v>
      </c>
      <c r="R123" s="414">
        <f t="shared" si="9"/>
        <v>0</v>
      </c>
      <c r="S123" s="414">
        <f t="shared" si="10"/>
        <v>0</v>
      </c>
      <c r="T123" s="19"/>
      <c r="U123" s="5"/>
      <c r="V123" s="5"/>
      <c r="W123" s="5">
        <v>101</v>
      </c>
      <c r="X123" s="144" t="s">
        <v>718</v>
      </c>
      <c r="Y123" s="145"/>
      <c r="Z123" s="146"/>
      <c r="AA123" s="145"/>
      <c r="AB123" s="145"/>
      <c r="AD123" s="5">
        <v>101</v>
      </c>
      <c r="AE123" s="413" t="s">
        <v>1066</v>
      </c>
      <c r="AF123" s="145">
        <v>245</v>
      </c>
      <c r="AG123" s="146">
        <v>3.48</v>
      </c>
      <c r="AH123" s="145">
        <v>3469</v>
      </c>
      <c r="AI123" s="145">
        <v>-13</v>
      </c>
      <c r="AK123" s="5">
        <v>101</v>
      </c>
      <c r="AL123" s="413" t="s">
        <v>1067</v>
      </c>
      <c r="AM123" s="145">
        <v>835</v>
      </c>
      <c r="AN123" s="146">
        <v>2.82</v>
      </c>
      <c r="AO123" s="145">
        <v>4329</v>
      </c>
      <c r="AP123" s="145">
        <v>-15</v>
      </c>
      <c r="AR123" s="5">
        <v>101</v>
      </c>
      <c r="AS123" s="413" t="s">
        <v>1068</v>
      </c>
      <c r="AT123" s="145">
        <v>402</v>
      </c>
      <c r="AU123" s="146">
        <v>3.37</v>
      </c>
      <c r="AV123" s="145">
        <v>3907</v>
      </c>
      <c r="AW123" s="145">
        <v>-14</v>
      </c>
      <c r="AY123" s="5">
        <v>101</v>
      </c>
      <c r="AZ123" s="413" t="s">
        <v>1069</v>
      </c>
      <c r="BA123" s="145">
        <v>531</v>
      </c>
      <c r="BB123" s="146">
        <v>2.81</v>
      </c>
      <c r="BC123" s="145">
        <v>4039</v>
      </c>
      <c r="BD123" s="145">
        <v>-14</v>
      </c>
      <c r="BF123" s="5">
        <v>101</v>
      </c>
      <c r="BG123" s="413" t="s">
        <v>1070</v>
      </c>
      <c r="BH123" s="145">
        <v>543</v>
      </c>
      <c r="BI123" s="146">
        <v>2.85</v>
      </c>
      <c r="BJ123" s="145">
        <v>4237</v>
      </c>
      <c r="BK123" s="145">
        <v>-16</v>
      </c>
      <c r="BM123" s="5">
        <v>101</v>
      </c>
      <c r="BN123" s="413" t="s">
        <v>1071</v>
      </c>
      <c r="BO123" s="145">
        <v>270</v>
      </c>
      <c r="BP123" s="146">
        <v>3.09</v>
      </c>
      <c r="BQ123" s="145">
        <v>3568</v>
      </c>
      <c r="BR123" s="145">
        <v>-13</v>
      </c>
      <c r="BS123" s="5"/>
      <c r="BT123" s="5">
        <v>101</v>
      </c>
      <c r="BU123" s="413" t="s">
        <v>1072</v>
      </c>
      <c r="BV123" s="145">
        <v>655</v>
      </c>
      <c r="BW123" s="146">
        <v>2.5</v>
      </c>
      <c r="BX123" s="145">
        <v>4147</v>
      </c>
      <c r="BY123" s="145">
        <v>-16</v>
      </c>
      <c r="BZ123" s="5"/>
      <c r="CA123" s="5">
        <v>101</v>
      </c>
      <c r="CB123" s="413" t="s">
        <v>718</v>
      </c>
      <c r="CC123" s="145"/>
      <c r="CD123" s="146"/>
      <c r="CE123" s="145"/>
      <c r="CF123" s="145"/>
      <c r="CG123" s="5"/>
      <c r="CH123" s="5"/>
      <c r="CI123" s="5"/>
    </row>
    <row r="124" spans="6:87" ht="15.75" customHeight="1" x14ac:dyDescent="0.2">
      <c r="F124" s="5"/>
      <c r="M124" s="5">
        <v>102</v>
      </c>
      <c r="N124" s="413" t="str">
        <f t="shared" si="6"/>
        <v xml:space="preserve"> </v>
      </c>
      <c r="O124" s="414">
        <f t="shared" si="7"/>
        <v>0</v>
      </c>
      <c r="P124" s="414">
        <f t="shared" si="8"/>
        <v>0</v>
      </c>
      <c r="Q124" s="145">
        <f t="shared" si="11"/>
        <v>-8</v>
      </c>
      <c r="R124" s="414">
        <f t="shared" si="9"/>
        <v>0</v>
      </c>
      <c r="S124" s="414">
        <f t="shared" si="10"/>
        <v>0</v>
      </c>
      <c r="T124" s="19"/>
      <c r="U124" s="5"/>
      <c r="V124" s="5"/>
      <c r="W124" s="5">
        <v>102</v>
      </c>
      <c r="X124" s="144" t="s">
        <v>718</v>
      </c>
      <c r="Y124" s="145"/>
      <c r="Z124" s="146"/>
      <c r="AA124" s="145"/>
      <c r="AB124" s="145"/>
      <c r="AD124" s="5">
        <v>102</v>
      </c>
      <c r="AE124" s="413" t="s">
        <v>1073</v>
      </c>
      <c r="AF124" s="145">
        <v>128</v>
      </c>
      <c r="AG124" s="146">
        <v>3.48</v>
      </c>
      <c r="AH124" s="145">
        <v>3321</v>
      </c>
      <c r="AI124" s="145">
        <v>-13</v>
      </c>
      <c r="AK124" s="5">
        <v>102</v>
      </c>
      <c r="AL124" s="413" t="s">
        <v>1074</v>
      </c>
      <c r="AM124" s="145">
        <v>500</v>
      </c>
      <c r="AN124" s="146">
        <v>2.44</v>
      </c>
      <c r="AO124" s="145">
        <v>3969</v>
      </c>
      <c r="AP124" s="145">
        <v>-16</v>
      </c>
      <c r="AR124" s="5">
        <v>102</v>
      </c>
      <c r="AS124" s="413" t="s">
        <v>1075</v>
      </c>
      <c r="AT124" s="145">
        <v>540</v>
      </c>
      <c r="AU124" s="146">
        <v>2.52</v>
      </c>
      <c r="AV124" s="145">
        <v>4510</v>
      </c>
      <c r="AW124" s="145">
        <v>-17</v>
      </c>
      <c r="AY124" s="5">
        <v>102</v>
      </c>
      <c r="AZ124" s="413" t="s">
        <v>1076</v>
      </c>
      <c r="BA124" s="145">
        <v>564</v>
      </c>
      <c r="BB124" s="146">
        <v>2.7</v>
      </c>
      <c r="BC124" s="145">
        <v>4135</v>
      </c>
      <c r="BD124" s="145">
        <v>-14</v>
      </c>
      <c r="BF124" s="5">
        <v>102</v>
      </c>
      <c r="BG124" s="413" t="s">
        <v>1077</v>
      </c>
      <c r="BH124" s="145">
        <v>545</v>
      </c>
      <c r="BI124" s="146">
        <v>3.46</v>
      </c>
      <c r="BJ124" s="145">
        <v>3937</v>
      </c>
      <c r="BK124" s="145">
        <v>-13</v>
      </c>
      <c r="BM124" s="5">
        <v>102</v>
      </c>
      <c r="BN124" s="413" t="s">
        <v>1078</v>
      </c>
      <c r="BO124" s="145">
        <v>772</v>
      </c>
      <c r="BP124" s="146">
        <v>2.3199999999999998</v>
      </c>
      <c r="BQ124" s="145">
        <v>4578</v>
      </c>
      <c r="BR124" s="145">
        <v>-15</v>
      </c>
      <c r="BS124" s="5"/>
      <c r="BT124" s="5">
        <v>102</v>
      </c>
      <c r="BU124" s="413" t="s">
        <v>1079</v>
      </c>
      <c r="BV124" s="145">
        <v>534</v>
      </c>
      <c r="BW124" s="146">
        <v>2.96</v>
      </c>
      <c r="BX124" s="145">
        <v>3835</v>
      </c>
      <c r="BY124" s="145">
        <v>-15</v>
      </c>
      <c r="BZ124" s="5"/>
      <c r="CA124" s="5">
        <v>102</v>
      </c>
      <c r="CB124" s="413" t="s">
        <v>718</v>
      </c>
      <c r="CC124" s="145"/>
      <c r="CD124" s="146"/>
      <c r="CE124" s="145"/>
      <c r="CF124" s="145"/>
      <c r="CG124" s="5"/>
      <c r="CH124" s="5"/>
      <c r="CI124" s="5"/>
    </row>
    <row r="125" spans="6:87" ht="15.75" customHeight="1" x14ac:dyDescent="0.2">
      <c r="F125" s="5"/>
      <c r="M125" s="5">
        <v>103</v>
      </c>
      <c r="N125" s="413" t="str">
        <f t="shared" si="6"/>
        <v xml:space="preserve"> </v>
      </c>
      <c r="O125" s="414">
        <f t="shared" si="7"/>
        <v>0</v>
      </c>
      <c r="P125" s="414">
        <f t="shared" si="8"/>
        <v>0</v>
      </c>
      <c r="Q125" s="145">
        <f t="shared" si="11"/>
        <v>-8</v>
      </c>
      <c r="R125" s="414">
        <f t="shared" si="9"/>
        <v>0</v>
      </c>
      <c r="S125" s="414">
        <f t="shared" si="10"/>
        <v>0</v>
      </c>
      <c r="T125" s="19"/>
      <c r="U125" s="5"/>
      <c r="V125" s="5"/>
      <c r="W125" s="5">
        <v>103</v>
      </c>
      <c r="X125" s="144" t="s">
        <v>718</v>
      </c>
      <c r="Y125" s="145"/>
      <c r="Z125" s="146"/>
      <c r="AA125" s="145"/>
      <c r="AB125" s="145"/>
      <c r="AD125" s="5">
        <v>103</v>
      </c>
      <c r="AE125" s="413" t="s">
        <v>1080</v>
      </c>
      <c r="AF125" s="145">
        <v>166</v>
      </c>
      <c r="AG125" s="146">
        <v>3.64</v>
      </c>
      <c r="AH125" s="145">
        <v>3289</v>
      </c>
      <c r="AI125" s="145">
        <v>-13</v>
      </c>
      <c r="AK125" s="5">
        <v>103</v>
      </c>
      <c r="AL125" s="413" t="s">
        <v>1081</v>
      </c>
      <c r="AM125" s="145">
        <v>1179</v>
      </c>
      <c r="AN125" s="146">
        <v>2.6</v>
      </c>
      <c r="AO125" s="145">
        <v>4871</v>
      </c>
      <c r="AP125" s="145">
        <v>-15</v>
      </c>
      <c r="AR125" s="5">
        <v>103</v>
      </c>
      <c r="AS125" s="413" t="s">
        <v>1082</v>
      </c>
      <c r="AT125" s="145">
        <v>220</v>
      </c>
      <c r="AU125" s="146">
        <v>3.65</v>
      </c>
      <c r="AV125" s="145">
        <v>3434</v>
      </c>
      <c r="AW125" s="145">
        <v>-12</v>
      </c>
      <c r="AY125" s="5">
        <v>103</v>
      </c>
      <c r="AZ125" s="413" t="s">
        <v>1083</v>
      </c>
      <c r="BA125" s="145">
        <v>825</v>
      </c>
      <c r="BB125" s="146">
        <v>2.37</v>
      </c>
      <c r="BC125" s="145">
        <v>4583</v>
      </c>
      <c r="BD125" s="145">
        <v>-16</v>
      </c>
      <c r="BF125" s="5">
        <v>103</v>
      </c>
      <c r="BG125" s="413" t="s">
        <v>1084</v>
      </c>
      <c r="BH125" s="145">
        <v>800</v>
      </c>
      <c r="BI125" s="146">
        <v>1.83</v>
      </c>
      <c r="BJ125" s="145">
        <v>4814</v>
      </c>
      <c r="BK125" s="145">
        <v>-18</v>
      </c>
      <c r="BM125" s="5">
        <v>103</v>
      </c>
      <c r="BN125" s="413" t="s">
        <v>1085</v>
      </c>
      <c r="BO125" s="145">
        <v>335</v>
      </c>
      <c r="BP125" s="146">
        <v>2.98</v>
      </c>
      <c r="BQ125" s="145">
        <v>3626</v>
      </c>
      <c r="BR125" s="145">
        <v>-14</v>
      </c>
      <c r="BS125" s="5"/>
      <c r="BT125" s="5">
        <v>103</v>
      </c>
      <c r="BU125" s="413" t="s">
        <v>1086</v>
      </c>
      <c r="BV125" s="145">
        <v>830</v>
      </c>
      <c r="BW125" s="146">
        <v>2.98</v>
      </c>
      <c r="BX125" s="145">
        <v>4290</v>
      </c>
      <c r="BY125" s="145">
        <v>-15</v>
      </c>
      <c r="BZ125" s="5"/>
      <c r="CA125" s="5">
        <v>103</v>
      </c>
      <c r="CB125" s="413" t="s">
        <v>718</v>
      </c>
      <c r="CC125" s="145"/>
      <c r="CD125" s="146"/>
      <c r="CE125" s="145"/>
      <c r="CF125" s="145"/>
      <c r="CG125" s="5"/>
      <c r="CH125" s="5"/>
      <c r="CI125" s="5"/>
    </row>
    <row r="126" spans="6:87" ht="15.75" customHeight="1" x14ac:dyDescent="0.2">
      <c r="F126" s="5"/>
      <c r="M126" s="5">
        <v>104</v>
      </c>
      <c r="N126" s="413" t="str">
        <f t="shared" si="6"/>
        <v xml:space="preserve"> </v>
      </c>
      <c r="O126" s="414">
        <f t="shared" si="7"/>
        <v>0</v>
      </c>
      <c r="P126" s="414">
        <f t="shared" si="8"/>
        <v>0</v>
      </c>
      <c r="Q126" s="145">
        <f t="shared" si="11"/>
        <v>-8</v>
      </c>
      <c r="R126" s="414">
        <f t="shared" si="9"/>
        <v>0</v>
      </c>
      <c r="S126" s="414">
        <f t="shared" si="10"/>
        <v>0</v>
      </c>
      <c r="T126" s="19"/>
      <c r="U126" s="5"/>
      <c r="V126" s="5"/>
      <c r="W126" s="5">
        <v>104</v>
      </c>
      <c r="X126" s="144" t="s">
        <v>718</v>
      </c>
      <c r="Y126" s="145"/>
      <c r="Z126" s="146"/>
      <c r="AA126" s="145"/>
      <c r="AB126" s="145"/>
      <c r="AD126" s="5">
        <v>104</v>
      </c>
      <c r="AE126" s="413" t="s">
        <v>1087</v>
      </c>
      <c r="AF126" s="145">
        <v>448</v>
      </c>
      <c r="AG126" s="146">
        <v>3.14</v>
      </c>
      <c r="AH126" s="145">
        <v>3844</v>
      </c>
      <c r="AI126" s="145">
        <v>-14</v>
      </c>
      <c r="AK126" s="5">
        <v>104</v>
      </c>
      <c r="AL126" s="413" t="s">
        <v>1088</v>
      </c>
      <c r="AM126" s="145">
        <v>540</v>
      </c>
      <c r="AN126" s="146">
        <v>2.3199999999999998</v>
      </c>
      <c r="AO126" s="145">
        <v>3977</v>
      </c>
      <c r="AP126" s="145">
        <v>-16</v>
      </c>
      <c r="AR126" s="5">
        <v>104</v>
      </c>
      <c r="AS126" s="413" t="s">
        <v>1089</v>
      </c>
      <c r="AT126" s="145">
        <v>322</v>
      </c>
      <c r="AU126" s="146">
        <v>3.48</v>
      </c>
      <c r="AV126" s="145">
        <v>3552</v>
      </c>
      <c r="AW126" s="145">
        <v>-13</v>
      </c>
      <c r="AY126" s="5">
        <v>104</v>
      </c>
      <c r="AZ126" s="413" t="s">
        <v>1090</v>
      </c>
      <c r="BA126" s="145">
        <v>590</v>
      </c>
      <c r="BB126" s="146">
        <v>2.65</v>
      </c>
      <c r="BC126" s="145">
        <v>4215</v>
      </c>
      <c r="BD126" s="145">
        <v>-15</v>
      </c>
      <c r="BF126" s="5">
        <v>104</v>
      </c>
      <c r="BG126" s="413" t="s">
        <v>1091</v>
      </c>
      <c r="BH126" s="145">
        <v>1020</v>
      </c>
      <c r="BI126" s="146">
        <v>1.71</v>
      </c>
      <c r="BJ126" s="145">
        <v>5066</v>
      </c>
      <c r="BK126" s="145">
        <v>-21</v>
      </c>
      <c r="BM126" s="5">
        <v>104</v>
      </c>
      <c r="BN126" s="413" t="s">
        <v>1092</v>
      </c>
      <c r="BO126" s="145">
        <v>1032</v>
      </c>
      <c r="BP126" s="146">
        <v>2.2599999999999998</v>
      </c>
      <c r="BQ126" s="145">
        <v>4861</v>
      </c>
      <c r="BR126" s="145">
        <v>-16</v>
      </c>
      <c r="BS126" s="5"/>
      <c r="BT126" s="5">
        <v>104</v>
      </c>
      <c r="BU126" s="413" t="s">
        <v>1093</v>
      </c>
      <c r="BV126" s="145">
        <v>838</v>
      </c>
      <c r="BW126" s="146">
        <v>2.57</v>
      </c>
      <c r="BX126" s="145">
        <v>4444</v>
      </c>
      <c r="BY126" s="145">
        <v>-17</v>
      </c>
      <c r="BZ126" s="5"/>
      <c r="CA126" s="5">
        <v>104</v>
      </c>
      <c r="CB126" s="413" t="s">
        <v>718</v>
      </c>
      <c r="CC126" s="145"/>
      <c r="CD126" s="146"/>
      <c r="CE126" s="145"/>
      <c r="CF126" s="145"/>
      <c r="CG126" s="5"/>
      <c r="CH126" s="5"/>
      <c r="CI126" s="5"/>
    </row>
    <row r="127" spans="6:87" ht="16.149999999999999" customHeight="1" x14ac:dyDescent="0.2">
      <c r="F127" s="5"/>
      <c r="M127" s="5">
        <v>105</v>
      </c>
      <c r="N127" s="413" t="str">
        <f t="shared" si="6"/>
        <v xml:space="preserve"> </v>
      </c>
      <c r="O127" s="414">
        <f t="shared" si="7"/>
        <v>0</v>
      </c>
      <c r="P127" s="414">
        <f t="shared" si="8"/>
        <v>0</v>
      </c>
      <c r="Q127" s="145">
        <f t="shared" si="11"/>
        <v>-8</v>
      </c>
      <c r="R127" s="414">
        <f t="shared" si="9"/>
        <v>0</v>
      </c>
      <c r="S127" s="414">
        <f t="shared" si="10"/>
        <v>0</v>
      </c>
      <c r="T127" s="19"/>
      <c r="U127" s="5"/>
      <c r="V127" s="5"/>
      <c r="W127" s="5">
        <v>105</v>
      </c>
      <c r="X127" s="144" t="s">
        <v>718</v>
      </c>
      <c r="Y127" s="145"/>
      <c r="Z127" s="146"/>
      <c r="AA127" s="145"/>
      <c r="AB127" s="145"/>
      <c r="AD127" s="5">
        <v>105</v>
      </c>
      <c r="AE127" s="413" t="s">
        <v>1094</v>
      </c>
      <c r="AF127" s="145">
        <v>209</v>
      </c>
      <c r="AG127" s="146">
        <v>3.57</v>
      </c>
      <c r="AH127" s="145">
        <v>3385</v>
      </c>
      <c r="AI127" s="145">
        <v>-13</v>
      </c>
      <c r="AK127" s="5">
        <v>105</v>
      </c>
      <c r="AL127" s="413" t="s">
        <v>1095</v>
      </c>
      <c r="AM127" s="145">
        <v>438</v>
      </c>
      <c r="AN127" s="146">
        <v>2.56</v>
      </c>
      <c r="AO127" s="145">
        <v>3959</v>
      </c>
      <c r="AP127" s="145">
        <v>-15</v>
      </c>
      <c r="AR127" s="5">
        <v>105</v>
      </c>
      <c r="AS127" s="413" t="s">
        <v>1096</v>
      </c>
      <c r="AT127" s="145">
        <v>278</v>
      </c>
      <c r="AU127" s="146">
        <v>3.24</v>
      </c>
      <c r="AV127" s="145">
        <v>3671</v>
      </c>
      <c r="AW127" s="145">
        <v>-14</v>
      </c>
      <c r="AY127" s="5">
        <v>105</v>
      </c>
      <c r="AZ127" s="413" t="s">
        <v>1097</v>
      </c>
      <c r="BA127" s="145">
        <v>585</v>
      </c>
      <c r="BB127" s="146">
        <v>2.93</v>
      </c>
      <c r="BC127" s="145">
        <v>4199</v>
      </c>
      <c r="BD127" s="145">
        <v>-15</v>
      </c>
      <c r="BF127" s="5">
        <v>105</v>
      </c>
      <c r="BG127" s="413" t="s">
        <v>1098</v>
      </c>
      <c r="BH127" s="145">
        <v>779</v>
      </c>
      <c r="BI127" s="146">
        <v>2.1800000000000002</v>
      </c>
      <c r="BJ127" s="145">
        <v>4581</v>
      </c>
      <c r="BK127" s="145">
        <v>-17</v>
      </c>
      <c r="BM127" s="5">
        <v>105</v>
      </c>
      <c r="BN127" s="413" t="s">
        <v>1099</v>
      </c>
      <c r="BO127" s="145">
        <v>328</v>
      </c>
      <c r="BP127" s="146">
        <v>3.3</v>
      </c>
      <c r="BQ127" s="145">
        <v>3456</v>
      </c>
      <c r="BR127" s="145">
        <v>-13</v>
      </c>
      <c r="BS127" s="5"/>
      <c r="BT127" s="5">
        <v>105</v>
      </c>
      <c r="BU127" s="413" t="s">
        <v>1100</v>
      </c>
      <c r="BV127" s="145">
        <v>783</v>
      </c>
      <c r="BW127" s="146">
        <v>2.98</v>
      </c>
      <c r="BX127" s="145">
        <v>4237</v>
      </c>
      <c r="BY127" s="145">
        <v>-15</v>
      </c>
      <c r="BZ127" s="5"/>
      <c r="CA127" s="5">
        <v>105</v>
      </c>
      <c r="CB127" s="413" t="s">
        <v>718</v>
      </c>
      <c r="CC127" s="145"/>
      <c r="CD127" s="146"/>
      <c r="CE127" s="145"/>
      <c r="CF127" s="145"/>
      <c r="CG127" s="5"/>
      <c r="CH127" s="5"/>
      <c r="CI127" s="5"/>
    </row>
    <row r="128" spans="6:87" ht="16.149999999999999" customHeight="1" x14ac:dyDescent="0.2">
      <c r="F128" s="5"/>
      <c r="M128" s="5">
        <v>106</v>
      </c>
      <c r="N128" s="413" t="str">
        <f t="shared" si="6"/>
        <v xml:space="preserve"> </v>
      </c>
      <c r="O128" s="414">
        <f t="shared" si="7"/>
        <v>0</v>
      </c>
      <c r="P128" s="414">
        <f t="shared" si="8"/>
        <v>0</v>
      </c>
      <c r="Q128" s="145">
        <f t="shared" si="11"/>
        <v>-8</v>
      </c>
      <c r="R128" s="414">
        <f t="shared" si="9"/>
        <v>0</v>
      </c>
      <c r="S128" s="414">
        <f t="shared" si="10"/>
        <v>0</v>
      </c>
      <c r="T128" s="19"/>
      <c r="U128" s="5"/>
      <c r="V128" s="5"/>
      <c r="W128" s="5">
        <v>106</v>
      </c>
      <c r="X128" s="144" t="s">
        <v>718</v>
      </c>
      <c r="Y128" s="145"/>
      <c r="Z128" s="146"/>
      <c r="AA128" s="145"/>
      <c r="AB128" s="145"/>
      <c r="AD128" s="5">
        <v>106</v>
      </c>
      <c r="AE128" s="413" t="s">
        <v>1101</v>
      </c>
      <c r="AF128" s="145">
        <v>392</v>
      </c>
      <c r="AG128" s="146">
        <v>3.02</v>
      </c>
      <c r="AH128" s="145">
        <v>3820</v>
      </c>
      <c r="AI128" s="145">
        <v>-13</v>
      </c>
      <c r="AK128" s="5">
        <v>106</v>
      </c>
      <c r="AL128" s="413" t="s">
        <v>1102</v>
      </c>
      <c r="AM128" s="145">
        <v>503</v>
      </c>
      <c r="AN128" s="146">
        <v>2.3199999999999998</v>
      </c>
      <c r="AO128" s="145">
        <v>3995</v>
      </c>
      <c r="AP128" s="145">
        <v>-16</v>
      </c>
      <c r="AR128" s="5">
        <v>106</v>
      </c>
      <c r="AS128" s="413" t="s">
        <v>1103</v>
      </c>
      <c r="AT128" s="145">
        <v>430</v>
      </c>
      <c r="AU128" s="146">
        <v>2.87</v>
      </c>
      <c r="AV128" s="145">
        <v>4093</v>
      </c>
      <c r="AW128" s="145">
        <v>-16</v>
      </c>
      <c r="AY128" s="5">
        <v>106</v>
      </c>
      <c r="AZ128" s="413" t="s">
        <v>1104</v>
      </c>
      <c r="BA128" s="145">
        <v>640</v>
      </c>
      <c r="BB128" s="146">
        <v>2.61</v>
      </c>
      <c r="BC128" s="145">
        <v>4277</v>
      </c>
      <c r="BD128" s="145">
        <v>-15</v>
      </c>
      <c r="BF128" s="5">
        <v>106</v>
      </c>
      <c r="BG128" s="413" t="s">
        <v>1105</v>
      </c>
      <c r="BH128" s="145">
        <v>530</v>
      </c>
      <c r="BI128" s="146">
        <v>2.8</v>
      </c>
      <c r="BJ128" s="145">
        <v>4110</v>
      </c>
      <c r="BK128" s="145">
        <v>-15</v>
      </c>
      <c r="BM128" s="5">
        <v>106</v>
      </c>
      <c r="BN128" s="413" t="s">
        <v>2724</v>
      </c>
      <c r="BO128" s="145">
        <v>280</v>
      </c>
      <c r="BP128" s="146">
        <v>3.04</v>
      </c>
      <c r="BQ128" s="145">
        <v>3578</v>
      </c>
      <c r="BR128" s="145">
        <v>-14</v>
      </c>
      <c r="BS128" s="5"/>
      <c r="BT128" s="5">
        <v>106</v>
      </c>
      <c r="BU128" s="413" t="s">
        <v>2725</v>
      </c>
      <c r="BV128" s="145">
        <v>1394</v>
      </c>
      <c r="BW128" s="146">
        <v>1.84</v>
      </c>
      <c r="BX128" s="145">
        <v>5321</v>
      </c>
      <c r="BY128" s="145">
        <v>-18</v>
      </c>
      <c r="BZ128" s="5"/>
      <c r="CA128" s="5">
        <v>106</v>
      </c>
      <c r="CB128" s="413" t="s">
        <v>718</v>
      </c>
      <c r="CC128" s="145"/>
      <c r="CD128" s="146"/>
      <c r="CE128" s="145"/>
      <c r="CF128" s="145"/>
      <c r="CG128" s="5"/>
      <c r="CH128" s="5"/>
      <c r="CI128" s="5"/>
    </row>
    <row r="129" spans="6:87" ht="16.149999999999999" customHeight="1" x14ac:dyDescent="0.2">
      <c r="F129" s="5"/>
      <c r="M129" s="5">
        <v>107</v>
      </c>
      <c r="N129" s="413" t="str">
        <f t="shared" si="6"/>
        <v xml:space="preserve"> </v>
      </c>
      <c r="O129" s="414">
        <f t="shared" si="7"/>
        <v>0</v>
      </c>
      <c r="P129" s="414">
        <f t="shared" si="8"/>
        <v>0</v>
      </c>
      <c r="Q129" s="145">
        <f t="shared" si="11"/>
        <v>-8</v>
      </c>
      <c r="R129" s="414">
        <f t="shared" si="9"/>
        <v>0</v>
      </c>
      <c r="S129" s="414">
        <f t="shared" si="10"/>
        <v>0</v>
      </c>
      <c r="T129" s="19"/>
      <c r="U129" s="5"/>
      <c r="V129" s="5"/>
      <c r="W129" s="5">
        <v>107</v>
      </c>
      <c r="X129" s="144" t="s">
        <v>718</v>
      </c>
      <c r="Y129" s="145"/>
      <c r="Z129" s="146"/>
      <c r="AA129" s="145"/>
      <c r="AB129" s="145"/>
      <c r="AD129" s="5">
        <v>107</v>
      </c>
      <c r="AE129" s="413" t="s">
        <v>2726</v>
      </c>
      <c r="AF129" s="145">
        <v>264</v>
      </c>
      <c r="AG129" s="146">
        <v>3.32</v>
      </c>
      <c r="AH129" s="145">
        <v>3453</v>
      </c>
      <c r="AI129" s="145">
        <v>-12</v>
      </c>
      <c r="AK129" s="5">
        <v>107</v>
      </c>
      <c r="AL129" s="413" t="s">
        <v>2727</v>
      </c>
      <c r="AM129" s="145">
        <v>458</v>
      </c>
      <c r="AN129" s="146">
        <v>2.46</v>
      </c>
      <c r="AO129" s="145">
        <v>3894</v>
      </c>
      <c r="AP129" s="145">
        <v>-16</v>
      </c>
      <c r="AR129" s="5">
        <v>107</v>
      </c>
      <c r="AS129" s="413" t="s">
        <v>2728</v>
      </c>
      <c r="AT129" s="145">
        <v>479</v>
      </c>
      <c r="AU129" s="146">
        <v>2.9</v>
      </c>
      <c r="AV129" s="145">
        <v>4105</v>
      </c>
      <c r="AW129" s="145">
        <v>-15</v>
      </c>
      <c r="AY129" s="5">
        <v>107</v>
      </c>
      <c r="AZ129" s="413" t="s">
        <v>2729</v>
      </c>
      <c r="BA129" s="145">
        <v>389</v>
      </c>
      <c r="BB129" s="146">
        <v>3.26</v>
      </c>
      <c r="BC129" s="145">
        <v>3734</v>
      </c>
      <c r="BD129" s="145">
        <v>-15</v>
      </c>
      <c r="BF129" s="5">
        <v>107</v>
      </c>
      <c r="BG129" s="413" t="s">
        <v>2730</v>
      </c>
      <c r="BH129" s="145">
        <v>544</v>
      </c>
      <c r="BI129" s="146">
        <v>3.15</v>
      </c>
      <c r="BJ129" s="145">
        <v>4011</v>
      </c>
      <c r="BK129" s="145">
        <v>-15</v>
      </c>
      <c r="BM129" s="5">
        <v>107</v>
      </c>
      <c r="BN129" s="413" t="s">
        <v>2731</v>
      </c>
      <c r="BO129" s="145">
        <v>347</v>
      </c>
      <c r="BP129" s="146">
        <v>3.02</v>
      </c>
      <c r="BQ129" s="145">
        <v>3634</v>
      </c>
      <c r="BR129" s="145">
        <v>-14</v>
      </c>
      <c r="BS129" s="5"/>
      <c r="BT129" s="5">
        <v>107</v>
      </c>
      <c r="BU129" s="413" t="s">
        <v>2732</v>
      </c>
      <c r="BV129" s="145">
        <v>1147</v>
      </c>
      <c r="BW129" s="146">
        <v>2.4500000000000002</v>
      </c>
      <c r="BX129" s="145">
        <v>5038</v>
      </c>
      <c r="BY129" s="145">
        <v>-18</v>
      </c>
      <c r="BZ129" s="5"/>
      <c r="CA129" s="5">
        <v>107</v>
      </c>
      <c r="CB129" s="413" t="s">
        <v>718</v>
      </c>
      <c r="CC129" s="145"/>
      <c r="CD129" s="146"/>
      <c r="CE129" s="145"/>
      <c r="CF129" s="145"/>
      <c r="CG129" s="5"/>
      <c r="CH129" s="5"/>
      <c r="CI129" s="5"/>
    </row>
    <row r="130" spans="6:87" ht="16.149999999999999" customHeight="1" x14ac:dyDescent="0.2">
      <c r="F130" s="5"/>
      <c r="M130" s="5">
        <v>108</v>
      </c>
      <c r="N130" s="413" t="str">
        <f t="shared" si="6"/>
        <v xml:space="preserve"> </v>
      </c>
      <c r="O130" s="414">
        <f t="shared" si="7"/>
        <v>0</v>
      </c>
      <c r="P130" s="414">
        <f t="shared" si="8"/>
        <v>0</v>
      </c>
      <c r="Q130" s="145">
        <f t="shared" si="11"/>
        <v>-8</v>
      </c>
      <c r="R130" s="414">
        <f t="shared" si="9"/>
        <v>0</v>
      </c>
      <c r="S130" s="414">
        <f t="shared" si="10"/>
        <v>0</v>
      </c>
      <c r="T130" s="19"/>
      <c r="U130" s="5"/>
      <c r="V130" s="5"/>
      <c r="W130" s="5">
        <v>108</v>
      </c>
      <c r="X130" s="144" t="s">
        <v>718</v>
      </c>
      <c r="Y130" s="145"/>
      <c r="Z130" s="146"/>
      <c r="AA130" s="145"/>
      <c r="AB130" s="145"/>
      <c r="AD130" s="5">
        <v>108</v>
      </c>
      <c r="AE130" s="413" t="s">
        <v>2733</v>
      </c>
      <c r="AF130" s="145">
        <v>260</v>
      </c>
      <c r="AG130" s="146">
        <v>3.31</v>
      </c>
      <c r="AH130" s="145">
        <v>3554</v>
      </c>
      <c r="AI130" s="145">
        <v>-13</v>
      </c>
      <c r="AK130" s="5">
        <v>108</v>
      </c>
      <c r="AL130" s="413" t="s">
        <v>2734</v>
      </c>
      <c r="AM130" s="145">
        <v>638</v>
      </c>
      <c r="AN130" s="146">
        <v>2.41</v>
      </c>
      <c r="AO130" s="145">
        <v>4170</v>
      </c>
      <c r="AP130" s="145">
        <v>-15</v>
      </c>
      <c r="AR130" s="5">
        <v>108</v>
      </c>
      <c r="AS130" s="413" t="s">
        <v>2735</v>
      </c>
      <c r="AT130" s="145">
        <v>165</v>
      </c>
      <c r="AU130" s="146">
        <v>3.29</v>
      </c>
      <c r="AV130" s="145">
        <v>3525</v>
      </c>
      <c r="AW130" s="145">
        <v>-14</v>
      </c>
      <c r="AY130" s="5">
        <v>108</v>
      </c>
      <c r="AZ130" s="413" t="s">
        <v>2736</v>
      </c>
      <c r="BA130" s="145">
        <v>596</v>
      </c>
      <c r="BB130" s="146">
        <v>2.65</v>
      </c>
      <c r="BC130" s="145">
        <v>4234</v>
      </c>
      <c r="BD130" s="145">
        <v>-16</v>
      </c>
      <c r="BF130" s="5">
        <v>108</v>
      </c>
      <c r="BG130" s="413" t="s">
        <v>2737</v>
      </c>
      <c r="BH130" s="145">
        <v>1233</v>
      </c>
      <c r="BI130" s="146">
        <v>2.0299999999999998</v>
      </c>
      <c r="BJ130" s="145">
        <v>5320</v>
      </c>
      <c r="BK130" s="145">
        <v>-19</v>
      </c>
      <c r="BM130" s="5">
        <v>108</v>
      </c>
      <c r="BN130" s="413" t="s">
        <v>2738</v>
      </c>
      <c r="BO130" s="145">
        <v>517</v>
      </c>
      <c r="BP130" s="146">
        <v>3.02</v>
      </c>
      <c r="BQ130" s="145">
        <v>4092</v>
      </c>
      <c r="BR130" s="145">
        <v>-15</v>
      </c>
      <c r="BS130" s="5"/>
      <c r="BT130" s="5">
        <v>108</v>
      </c>
      <c r="BU130" s="413" t="s">
        <v>2739</v>
      </c>
      <c r="BV130" s="145">
        <v>993</v>
      </c>
      <c r="BW130" s="146">
        <v>2.75</v>
      </c>
      <c r="BX130" s="145">
        <v>4640</v>
      </c>
      <c r="BY130" s="145">
        <v>-15</v>
      </c>
      <c r="BZ130" s="5"/>
      <c r="CA130" s="5">
        <v>108</v>
      </c>
      <c r="CB130" s="413" t="s">
        <v>718</v>
      </c>
      <c r="CC130" s="145"/>
      <c r="CD130" s="146"/>
      <c r="CE130" s="145"/>
      <c r="CF130" s="145"/>
      <c r="CG130" s="5"/>
      <c r="CH130" s="5"/>
      <c r="CI130" s="5"/>
    </row>
    <row r="131" spans="6:87" ht="16.149999999999999" customHeight="1" x14ac:dyDescent="0.2">
      <c r="F131" s="5"/>
      <c r="M131" s="5">
        <v>109</v>
      </c>
      <c r="N131" s="413" t="str">
        <f t="shared" si="6"/>
        <v xml:space="preserve"> </v>
      </c>
      <c r="O131" s="414">
        <f t="shared" si="7"/>
        <v>0</v>
      </c>
      <c r="P131" s="414">
        <f t="shared" si="8"/>
        <v>0</v>
      </c>
      <c r="Q131" s="145">
        <f t="shared" si="11"/>
        <v>-8</v>
      </c>
      <c r="R131" s="414">
        <f t="shared" si="9"/>
        <v>0</v>
      </c>
      <c r="S131" s="414">
        <f t="shared" si="10"/>
        <v>0</v>
      </c>
      <c r="T131" s="19"/>
      <c r="U131" s="5"/>
      <c r="V131" s="5"/>
      <c r="W131" s="5">
        <v>109</v>
      </c>
      <c r="X131" s="144" t="s">
        <v>718</v>
      </c>
      <c r="Y131" s="145"/>
      <c r="Z131" s="146"/>
      <c r="AA131" s="145"/>
      <c r="AB131" s="145"/>
      <c r="AD131" s="5">
        <v>109</v>
      </c>
      <c r="AE131" s="413" t="s">
        <v>2740</v>
      </c>
      <c r="AF131" s="145">
        <v>218</v>
      </c>
      <c r="AG131" s="146">
        <v>3.6</v>
      </c>
      <c r="AH131" s="145">
        <v>3345</v>
      </c>
      <c r="AI131" s="145">
        <v>-13</v>
      </c>
      <c r="AK131" s="5">
        <v>109</v>
      </c>
      <c r="AL131" s="413" t="s">
        <v>2741</v>
      </c>
      <c r="AM131" s="145">
        <v>851</v>
      </c>
      <c r="AN131" s="146">
        <v>2.33</v>
      </c>
      <c r="AO131" s="145">
        <v>4648</v>
      </c>
      <c r="AP131" s="145">
        <v>-15</v>
      </c>
      <c r="AR131" s="5">
        <v>109</v>
      </c>
      <c r="AS131" s="413" t="s">
        <v>2742</v>
      </c>
      <c r="AT131" s="145">
        <v>244</v>
      </c>
      <c r="AU131" s="146">
        <v>3.1</v>
      </c>
      <c r="AV131" s="145">
        <v>3717</v>
      </c>
      <c r="AW131" s="145">
        <v>-14</v>
      </c>
      <c r="AY131" s="5">
        <v>109</v>
      </c>
      <c r="AZ131" s="413" t="s">
        <v>2743</v>
      </c>
      <c r="BA131" s="145">
        <v>342</v>
      </c>
      <c r="BB131" s="146">
        <v>3.16</v>
      </c>
      <c r="BC131" s="145">
        <v>3756</v>
      </c>
      <c r="BD131" s="145">
        <v>-14</v>
      </c>
      <c r="BF131" s="5">
        <v>109</v>
      </c>
      <c r="BG131" s="413" t="s">
        <v>2744</v>
      </c>
      <c r="BH131" s="145">
        <v>560</v>
      </c>
      <c r="BI131" s="146">
        <v>3.22</v>
      </c>
      <c r="BJ131" s="145">
        <v>4161</v>
      </c>
      <c r="BK131" s="145">
        <v>-15</v>
      </c>
      <c r="BM131" s="5">
        <v>109</v>
      </c>
      <c r="BN131" s="413" t="s">
        <v>2745</v>
      </c>
      <c r="BO131" s="145">
        <v>358</v>
      </c>
      <c r="BP131" s="146">
        <v>3.06</v>
      </c>
      <c r="BQ131" s="145">
        <v>3694</v>
      </c>
      <c r="BR131" s="145">
        <v>-13</v>
      </c>
      <c r="BS131" s="5"/>
      <c r="BT131" s="5">
        <v>109</v>
      </c>
      <c r="BU131" s="413" t="s">
        <v>2746</v>
      </c>
      <c r="BV131" s="145">
        <v>826</v>
      </c>
      <c r="BW131" s="146">
        <v>2</v>
      </c>
      <c r="BX131" s="145">
        <v>4751</v>
      </c>
      <c r="BY131" s="145">
        <v>-18</v>
      </c>
      <c r="BZ131" s="5"/>
      <c r="CA131" s="5">
        <v>109</v>
      </c>
      <c r="CB131" s="413" t="s">
        <v>718</v>
      </c>
      <c r="CC131" s="145"/>
      <c r="CD131" s="146"/>
      <c r="CE131" s="145"/>
      <c r="CF131" s="145"/>
      <c r="CG131" s="5"/>
      <c r="CH131" s="5"/>
      <c r="CI131" s="5"/>
    </row>
    <row r="132" spans="6:87" ht="16.149999999999999" customHeight="1" x14ac:dyDescent="0.2">
      <c r="F132" s="5"/>
      <c r="M132" s="5">
        <v>110</v>
      </c>
      <c r="N132" s="413" t="str">
        <f t="shared" si="6"/>
        <v xml:space="preserve"> </v>
      </c>
      <c r="O132" s="414">
        <f t="shared" si="7"/>
        <v>0</v>
      </c>
      <c r="P132" s="414">
        <f t="shared" si="8"/>
        <v>0</v>
      </c>
      <c r="Q132" s="145">
        <f t="shared" si="11"/>
        <v>-8</v>
      </c>
      <c r="R132" s="414">
        <f t="shared" si="9"/>
        <v>0</v>
      </c>
      <c r="S132" s="414">
        <f t="shared" si="10"/>
        <v>0</v>
      </c>
      <c r="T132" s="19"/>
      <c r="U132" s="5"/>
      <c r="V132" s="5"/>
      <c r="W132" s="5">
        <v>110</v>
      </c>
      <c r="X132" s="144" t="s">
        <v>718</v>
      </c>
      <c r="Y132" s="145"/>
      <c r="Z132" s="146"/>
      <c r="AA132" s="145"/>
      <c r="AB132" s="145"/>
      <c r="AD132" s="5">
        <v>110</v>
      </c>
      <c r="AE132" s="413" t="s">
        <v>2747</v>
      </c>
      <c r="AF132" s="145">
        <v>344</v>
      </c>
      <c r="AG132" s="146">
        <v>3.37</v>
      </c>
      <c r="AH132" s="145">
        <v>3476</v>
      </c>
      <c r="AI132" s="145">
        <v>-12</v>
      </c>
      <c r="AK132" s="5">
        <v>110</v>
      </c>
      <c r="AL132" s="413" t="s">
        <v>2748</v>
      </c>
      <c r="AM132" s="145">
        <v>623</v>
      </c>
      <c r="AN132" s="146">
        <v>2.6</v>
      </c>
      <c r="AO132" s="145">
        <v>4159</v>
      </c>
      <c r="AP132" s="145">
        <v>-15</v>
      </c>
      <c r="AR132" s="5">
        <v>110</v>
      </c>
      <c r="AS132" s="413" t="s">
        <v>2749</v>
      </c>
      <c r="AT132" s="145">
        <v>510</v>
      </c>
      <c r="AU132" s="146">
        <v>2.54</v>
      </c>
      <c r="AV132" s="145">
        <v>4295</v>
      </c>
      <c r="AW132" s="145">
        <v>-16</v>
      </c>
      <c r="AY132" s="5">
        <v>110</v>
      </c>
      <c r="AZ132" s="413" t="s">
        <v>2750</v>
      </c>
      <c r="BA132" s="145">
        <v>478</v>
      </c>
      <c r="BB132" s="146">
        <v>3.11</v>
      </c>
      <c r="BC132" s="145">
        <v>3986</v>
      </c>
      <c r="BD132" s="145">
        <v>-15</v>
      </c>
      <c r="BF132" s="5">
        <v>110</v>
      </c>
      <c r="BG132" s="413" t="s">
        <v>2751</v>
      </c>
      <c r="BH132" s="145">
        <v>1008</v>
      </c>
      <c r="BI132" s="146">
        <v>1.87</v>
      </c>
      <c r="BJ132" s="145">
        <v>5004</v>
      </c>
      <c r="BK132" s="145">
        <v>-18</v>
      </c>
      <c r="BM132" s="5">
        <v>110</v>
      </c>
      <c r="BN132" s="413" t="s">
        <v>2752</v>
      </c>
      <c r="BO132" s="145">
        <v>896</v>
      </c>
      <c r="BP132" s="146">
        <v>2.78</v>
      </c>
      <c r="BQ132" s="145">
        <v>4390</v>
      </c>
      <c r="BR132" s="145">
        <v>-14</v>
      </c>
      <c r="BS132" s="5"/>
      <c r="BT132" s="5">
        <v>110</v>
      </c>
      <c r="BU132" s="413" t="s">
        <v>2753</v>
      </c>
      <c r="BV132" s="145">
        <v>500</v>
      </c>
      <c r="BW132" s="146">
        <v>2.94</v>
      </c>
      <c r="BX132" s="145">
        <v>4009</v>
      </c>
      <c r="BY132" s="145">
        <v>-16</v>
      </c>
      <c r="BZ132" s="5"/>
      <c r="CA132" s="5">
        <v>110</v>
      </c>
      <c r="CB132" s="413" t="s">
        <v>718</v>
      </c>
      <c r="CC132" s="145"/>
      <c r="CD132" s="146"/>
      <c r="CE132" s="145"/>
      <c r="CF132" s="145"/>
      <c r="CG132" s="5"/>
      <c r="CH132" s="5"/>
      <c r="CI132" s="5"/>
    </row>
    <row r="133" spans="6:87" ht="16.149999999999999" customHeight="1" x14ac:dyDescent="0.2">
      <c r="F133" s="5"/>
      <c r="M133" s="5">
        <v>111</v>
      </c>
      <c r="N133" s="413" t="str">
        <f t="shared" si="6"/>
        <v xml:space="preserve"> </v>
      </c>
      <c r="O133" s="414">
        <f t="shared" si="7"/>
        <v>0</v>
      </c>
      <c r="P133" s="414">
        <f t="shared" si="8"/>
        <v>0</v>
      </c>
      <c r="Q133" s="145">
        <f t="shared" si="11"/>
        <v>-8</v>
      </c>
      <c r="R133" s="414">
        <f t="shared" si="9"/>
        <v>0</v>
      </c>
      <c r="S133" s="414">
        <f t="shared" si="10"/>
        <v>0</v>
      </c>
      <c r="T133" s="19"/>
      <c r="U133" s="5"/>
      <c r="V133" s="5"/>
      <c r="W133" s="5">
        <v>111</v>
      </c>
      <c r="X133" s="144" t="s">
        <v>718</v>
      </c>
      <c r="Y133" s="145"/>
      <c r="Z133" s="146"/>
      <c r="AA133" s="145"/>
      <c r="AB133" s="145"/>
      <c r="AD133" s="5">
        <v>111</v>
      </c>
      <c r="AE133" s="413" t="s">
        <v>2754</v>
      </c>
      <c r="AF133" s="145">
        <v>262</v>
      </c>
      <c r="AG133" s="146">
        <v>3.38</v>
      </c>
      <c r="AH133" s="145">
        <v>3524</v>
      </c>
      <c r="AI133" s="145">
        <v>-13</v>
      </c>
      <c r="AK133" s="5">
        <v>111</v>
      </c>
      <c r="AL133" s="413" t="s">
        <v>2755</v>
      </c>
      <c r="AM133" s="145">
        <v>512</v>
      </c>
      <c r="AN133" s="146">
        <v>2.3199999999999998</v>
      </c>
      <c r="AO133" s="145">
        <v>4083</v>
      </c>
      <c r="AP133" s="145">
        <v>-16</v>
      </c>
      <c r="AR133" s="5">
        <v>111</v>
      </c>
      <c r="AS133" s="413" t="s">
        <v>2756</v>
      </c>
      <c r="AT133" s="145">
        <v>190</v>
      </c>
      <c r="AU133" s="146">
        <v>3.26</v>
      </c>
      <c r="AV133" s="145">
        <v>3600</v>
      </c>
      <c r="AW133" s="145">
        <v>-14</v>
      </c>
      <c r="AY133" s="5">
        <v>111</v>
      </c>
      <c r="AZ133" s="413" t="s">
        <v>2757</v>
      </c>
      <c r="BA133" s="145">
        <v>470</v>
      </c>
      <c r="BB133" s="146">
        <v>3.06</v>
      </c>
      <c r="BC133" s="145">
        <v>3931</v>
      </c>
      <c r="BD133" s="145">
        <v>-16</v>
      </c>
      <c r="BF133" s="5">
        <v>111</v>
      </c>
      <c r="BG133" s="413" t="s">
        <v>2758</v>
      </c>
      <c r="BH133" s="145">
        <v>785</v>
      </c>
      <c r="BI133" s="146">
        <v>1.81</v>
      </c>
      <c r="BJ133" s="145">
        <v>4783</v>
      </c>
      <c r="BK133" s="145">
        <v>-18</v>
      </c>
      <c r="BM133" s="5">
        <v>111</v>
      </c>
      <c r="BN133" s="413" t="s">
        <v>2759</v>
      </c>
      <c r="BO133" s="145">
        <v>383</v>
      </c>
      <c r="BP133" s="146">
        <v>3.05</v>
      </c>
      <c r="BQ133" s="145">
        <v>3695</v>
      </c>
      <c r="BR133" s="145">
        <v>-13</v>
      </c>
      <c r="BS133" s="5"/>
      <c r="BT133" s="5">
        <v>111</v>
      </c>
      <c r="BU133" s="413" t="s">
        <v>2760</v>
      </c>
      <c r="BV133" s="145">
        <v>671</v>
      </c>
      <c r="BW133" s="146">
        <v>2.4300000000000002</v>
      </c>
      <c r="BX133" s="145">
        <v>4165</v>
      </c>
      <c r="BY133" s="145">
        <v>-16</v>
      </c>
      <c r="BZ133" s="5"/>
      <c r="CA133" s="5">
        <v>111</v>
      </c>
      <c r="CB133" s="413" t="s">
        <v>718</v>
      </c>
      <c r="CC133" s="145"/>
      <c r="CD133" s="146"/>
      <c r="CE133" s="145"/>
      <c r="CF133" s="145"/>
      <c r="CG133" s="5"/>
      <c r="CH133" s="5"/>
      <c r="CI133" s="5"/>
    </row>
    <row r="134" spans="6:87" ht="16.149999999999999" customHeight="1" x14ac:dyDescent="0.2">
      <c r="F134" s="5"/>
      <c r="M134" s="5">
        <v>112</v>
      </c>
      <c r="N134" s="413" t="str">
        <f t="shared" si="6"/>
        <v xml:space="preserve"> </v>
      </c>
      <c r="O134" s="414">
        <f t="shared" si="7"/>
        <v>0</v>
      </c>
      <c r="P134" s="414">
        <f t="shared" si="8"/>
        <v>0</v>
      </c>
      <c r="Q134" s="145">
        <f t="shared" si="11"/>
        <v>-8</v>
      </c>
      <c r="R134" s="414">
        <f t="shared" si="9"/>
        <v>0</v>
      </c>
      <c r="S134" s="414">
        <f t="shared" si="10"/>
        <v>0</v>
      </c>
      <c r="T134" s="19"/>
      <c r="U134" s="5"/>
      <c r="V134" s="5"/>
      <c r="W134" s="5">
        <v>112</v>
      </c>
      <c r="X134" s="144" t="s">
        <v>718</v>
      </c>
      <c r="Y134" s="145"/>
      <c r="Z134" s="146"/>
      <c r="AA134" s="145"/>
      <c r="AB134" s="145"/>
      <c r="AD134" s="5">
        <v>112</v>
      </c>
      <c r="AE134" s="413" t="s">
        <v>2761</v>
      </c>
      <c r="AF134" s="145">
        <v>207</v>
      </c>
      <c r="AG134" s="146">
        <v>3.24</v>
      </c>
      <c r="AH134" s="145">
        <v>3570</v>
      </c>
      <c r="AI134" s="145">
        <v>-14</v>
      </c>
      <c r="AK134" s="5">
        <v>112</v>
      </c>
      <c r="AL134" s="413" t="s">
        <v>2762</v>
      </c>
      <c r="AM134" s="145">
        <v>587</v>
      </c>
      <c r="AN134" s="146">
        <v>3.35</v>
      </c>
      <c r="AO134" s="145">
        <v>3830</v>
      </c>
      <c r="AP134" s="145">
        <v>-14</v>
      </c>
      <c r="AR134" s="5">
        <v>112</v>
      </c>
      <c r="AS134" s="413" t="s">
        <v>2763</v>
      </c>
      <c r="AT134" s="145">
        <v>197</v>
      </c>
      <c r="AU134" s="146">
        <v>3.3</v>
      </c>
      <c r="AV134" s="145">
        <v>3607</v>
      </c>
      <c r="AW134" s="145">
        <v>-13</v>
      </c>
      <c r="AY134" s="5">
        <v>112</v>
      </c>
      <c r="AZ134" s="413" t="s">
        <v>2764</v>
      </c>
      <c r="BA134" s="145">
        <v>296</v>
      </c>
      <c r="BB134" s="146">
        <v>3.15</v>
      </c>
      <c r="BC134" s="145">
        <v>3690</v>
      </c>
      <c r="BD134" s="145">
        <v>-14</v>
      </c>
      <c r="BF134" s="5">
        <v>112</v>
      </c>
      <c r="BG134" s="413" t="s">
        <v>2765</v>
      </c>
      <c r="BH134" s="145">
        <v>855</v>
      </c>
      <c r="BI134" s="146">
        <v>1.98</v>
      </c>
      <c r="BJ134" s="145">
        <v>4704</v>
      </c>
      <c r="BK134" s="145">
        <v>-18</v>
      </c>
      <c r="BM134" s="5">
        <v>112</v>
      </c>
      <c r="BN134" s="413" t="s">
        <v>2766</v>
      </c>
      <c r="BO134" s="145">
        <v>295</v>
      </c>
      <c r="BP134" s="146">
        <v>3.12</v>
      </c>
      <c r="BQ134" s="145">
        <v>3613</v>
      </c>
      <c r="BR134" s="145">
        <v>-13</v>
      </c>
      <c r="BS134" s="5"/>
      <c r="BT134" s="5">
        <v>112</v>
      </c>
      <c r="BU134" s="413" t="s">
        <v>2767</v>
      </c>
      <c r="BV134" s="145">
        <v>936</v>
      </c>
      <c r="BW134" s="146">
        <v>2.0499999999999998</v>
      </c>
      <c r="BX134" s="145">
        <v>4882</v>
      </c>
      <c r="BY134" s="145">
        <v>-18</v>
      </c>
      <c r="BZ134" s="5"/>
      <c r="CA134" s="5">
        <v>112</v>
      </c>
      <c r="CB134" s="413" t="s">
        <v>718</v>
      </c>
      <c r="CC134" s="145"/>
      <c r="CD134" s="146"/>
      <c r="CE134" s="145"/>
      <c r="CF134" s="145"/>
      <c r="CG134" s="5"/>
      <c r="CH134" s="5"/>
      <c r="CI134" s="5"/>
    </row>
    <row r="135" spans="6:87" ht="16.149999999999999" customHeight="1" x14ac:dyDescent="0.2">
      <c r="F135" s="5"/>
      <c r="M135" s="5">
        <v>113</v>
      </c>
      <c r="N135" s="413" t="str">
        <f t="shared" si="6"/>
        <v xml:space="preserve"> </v>
      </c>
      <c r="O135" s="414">
        <f t="shared" si="7"/>
        <v>0</v>
      </c>
      <c r="P135" s="414">
        <f t="shared" si="8"/>
        <v>0</v>
      </c>
      <c r="Q135" s="145">
        <f t="shared" si="11"/>
        <v>-8</v>
      </c>
      <c r="R135" s="414">
        <f t="shared" si="9"/>
        <v>0</v>
      </c>
      <c r="S135" s="414">
        <f t="shared" si="10"/>
        <v>0</v>
      </c>
      <c r="T135" s="19"/>
      <c r="U135" s="5"/>
      <c r="V135" s="5"/>
      <c r="W135" s="5">
        <v>113</v>
      </c>
      <c r="X135" s="144" t="s">
        <v>718</v>
      </c>
      <c r="Y135" s="145"/>
      <c r="Z135" s="146"/>
      <c r="AA135" s="145"/>
      <c r="AB135" s="145"/>
      <c r="AD135" s="5">
        <v>113</v>
      </c>
      <c r="AE135" s="413" t="s">
        <v>2768</v>
      </c>
      <c r="AF135" s="145">
        <v>122</v>
      </c>
      <c r="AG135" s="146">
        <v>3.4</v>
      </c>
      <c r="AH135" s="145">
        <v>3337</v>
      </c>
      <c r="AI135" s="145">
        <v>-14</v>
      </c>
      <c r="AK135" s="5">
        <v>113</v>
      </c>
      <c r="AL135" s="413" t="s">
        <v>2769</v>
      </c>
      <c r="AM135" s="145">
        <v>520</v>
      </c>
      <c r="AN135" s="146">
        <v>2.39</v>
      </c>
      <c r="AO135" s="145">
        <v>4068</v>
      </c>
      <c r="AP135" s="145">
        <v>-16</v>
      </c>
      <c r="AR135" s="5">
        <v>113</v>
      </c>
      <c r="AS135" s="413" t="s">
        <v>2770</v>
      </c>
      <c r="AT135" s="145">
        <v>465</v>
      </c>
      <c r="AU135" s="146">
        <v>2.48</v>
      </c>
      <c r="AV135" s="145">
        <v>4222</v>
      </c>
      <c r="AW135" s="145">
        <v>-16</v>
      </c>
      <c r="AY135" s="5">
        <v>113</v>
      </c>
      <c r="AZ135" s="413" t="s">
        <v>2771</v>
      </c>
      <c r="BA135" s="145">
        <v>600</v>
      </c>
      <c r="BB135" s="146">
        <v>2.68</v>
      </c>
      <c r="BC135" s="145">
        <v>4209</v>
      </c>
      <c r="BD135" s="145">
        <v>-15</v>
      </c>
      <c r="BF135" s="5">
        <v>113</v>
      </c>
      <c r="BG135" s="413" t="s">
        <v>2772</v>
      </c>
      <c r="BH135" s="145">
        <v>839</v>
      </c>
      <c r="BI135" s="146">
        <v>2.36</v>
      </c>
      <c r="BJ135" s="145">
        <v>4639</v>
      </c>
      <c r="BK135" s="145">
        <v>-17</v>
      </c>
      <c r="BM135" s="5">
        <v>113</v>
      </c>
      <c r="BN135" s="413" t="s">
        <v>2773</v>
      </c>
      <c r="BO135" s="145">
        <v>668</v>
      </c>
      <c r="BP135" s="146">
        <v>2.69</v>
      </c>
      <c r="BQ135" s="145">
        <v>4242</v>
      </c>
      <c r="BR135" s="145">
        <v>-15</v>
      </c>
      <c r="BS135" s="5"/>
      <c r="BT135" s="5">
        <v>113</v>
      </c>
      <c r="BU135" s="413" t="s">
        <v>2774</v>
      </c>
      <c r="BV135" s="145">
        <v>1927</v>
      </c>
      <c r="BW135" s="146">
        <v>1.28</v>
      </c>
      <c r="BX135" s="145">
        <v>6271</v>
      </c>
      <c r="BY135" s="145">
        <v>-19</v>
      </c>
      <c r="BZ135" s="5"/>
      <c r="CA135" s="5">
        <v>113</v>
      </c>
      <c r="CB135" s="413" t="s">
        <v>718</v>
      </c>
      <c r="CC135" s="145"/>
      <c r="CD135" s="146"/>
      <c r="CE135" s="145"/>
      <c r="CF135" s="145"/>
      <c r="CG135" s="5"/>
      <c r="CH135" s="5"/>
      <c r="CI135" s="5"/>
    </row>
    <row r="136" spans="6:87" ht="16.149999999999999" customHeight="1" x14ac:dyDescent="0.2">
      <c r="F136" s="5"/>
      <c r="M136" s="5">
        <v>114</v>
      </c>
      <c r="N136" s="413" t="str">
        <f t="shared" si="6"/>
        <v xml:space="preserve"> </v>
      </c>
      <c r="O136" s="414">
        <f t="shared" si="7"/>
        <v>0</v>
      </c>
      <c r="P136" s="414">
        <f t="shared" si="8"/>
        <v>0</v>
      </c>
      <c r="Q136" s="145">
        <f t="shared" si="11"/>
        <v>-8</v>
      </c>
      <c r="R136" s="414">
        <f t="shared" si="9"/>
        <v>0</v>
      </c>
      <c r="S136" s="414">
        <f t="shared" si="10"/>
        <v>0</v>
      </c>
      <c r="T136" s="19"/>
      <c r="U136" s="5"/>
      <c r="V136" s="5"/>
      <c r="W136" s="5">
        <v>114</v>
      </c>
      <c r="X136" s="144" t="s">
        <v>718</v>
      </c>
      <c r="Y136" s="145"/>
      <c r="Z136" s="146"/>
      <c r="AA136" s="145"/>
      <c r="AB136" s="145"/>
      <c r="AD136" s="5">
        <v>114</v>
      </c>
      <c r="AE136" s="413" t="s">
        <v>2775</v>
      </c>
      <c r="AF136" s="145">
        <v>151</v>
      </c>
      <c r="AG136" s="146">
        <v>3.75</v>
      </c>
      <c r="AH136" s="145">
        <v>3234</v>
      </c>
      <c r="AI136" s="145">
        <v>-12</v>
      </c>
      <c r="AK136" s="5">
        <v>114</v>
      </c>
      <c r="AL136" s="413" t="s">
        <v>2776</v>
      </c>
      <c r="AM136" s="145">
        <v>558</v>
      </c>
      <c r="AN136" s="146">
        <v>2.78</v>
      </c>
      <c r="AO136" s="145">
        <v>3960</v>
      </c>
      <c r="AP136" s="145">
        <v>-14</v>
      </c>
      <c r="AR136" s="5">
        <v>114</v>
      </c>
      <c r="AS136" s="413" t="s">
        <v>2777</v>
      </c>
      <c r="AT136" s="145">
        <v>166</v>
      </c>
      <c r="AU136" s="146">
        <v>3.59</v>
      </c>
      <c r="AV136" s="145">
        <v>3396</v>
      </c>
      <c r="AW136" s="145">
        <v>-13</v>
      </c>
      <c r="AY136" s="5">
        <v>114</v>
      </c>
      <c r="AZ136" s="413" t="s">
        <v>2778</v>
      </c>
      <c r="BA136" s="145">
        <v>303</v>
      </c>
      <c r="BB136" s="146">
        <v>3.25</v>
      </c>
      <c r="BC136" s="145">
        <v>3634</v>
      </c>
      <c r="BD136" s="145">
        <v>-13</v>
      </c>
      <c r="BF136" s="5">
        <v>114</v>
      </c>
      <c r="BG136" s="413" t="s">
        <v>2779</v>
      </c>
      <c r="BH136" s="145">
        <v>1001</v>
      </c>
      <c r="BI136" s="146">
        <v>2.34</v>
      </c>
      <c r="BJ136" s="145">
        <v>4750</v>
      </c>
      <c r="BK136" s="145">
        <v>-17</v>
      </c>
      <c r="BM136" s="5">
        <v>114</v>
      </c>
      <c r="BN136" s="413" t="s">
        <v>2780</v>
      </c>
      <c r="BO136" s="145">
        <v>375</v>
      </c>
      <c r="BP136" s="146">
        <v>3.09</v>
      </c>
      <c r="BQ136" s="145">
        <v>3601</v>
      </c>
      <c r="BR136" s="145">
        <v>-13</v>
      </c>
      <c r="BS136" s="5"/>
      <c r="BT136" s="5">
        <v>114</v>
      </c>
      <c r="BU136" s="413" t="s">
        <v>2781</v>
      </c>
      <c r="BV136" s="145">
        <v>687</v>
      </c>
      <c r="BW136" s="146">
        <v>2.2799999999999998</v>
      </c>
      <c r="BX136" s="145">
        <v>4465</v>
      </c>
      <c r="BY136" s="145">
        <v>-17</v>
      </c>
      <c r="BZ136" s="5"/>
      <c r="CA136" s="5">
        <v>114</v>
      </c>
      <c r="CB136" s="413" t="s">
        <v>718</v>
      </c>
      <c r="CC136" s="145"/>
      <c r="CD136" s="146"/>
      <c r="CE136" s="145"/>
      <c r="CF136" s="145"/>
      <c r="CG136" s="5"/>
      <c r="CH136" s="5"/>
      <c r="CI136" s="5"/>
    </row>
    <row r="137" spans="6:87" ht="16.149999999999999" customHeight="1" x14ac:dyDescent="0.2">
      <c r="F137" s="5"/>
      <c r="M137" s="5">
        <v>115</v>
      </c>
      <c r="N137" s="413" t="str">
        <f t="shared" si="6"/>
        <v xml:space="preserve"> </v>
      </c>
      <c r="O137" s="414">
        <f t="shared" si="7"/>
        <v>0</v>
      </c>
      <c r="P137" s="414">
        <f t="shared" si="8"/>
        <v>0</v>
      </c>
      <c r="Q137" s="145">
        <f t="shared" si="11"/>
        <v>-8</v>
      </c>
      <c r="R137" s="414">
        <f t="shared" si="9"/>
        <v>0</v>
      </c>
      <c r="S137" s="414">
        <f t="shared" si="10"/>
        <v>0</v>
      </c>
      <c r="T137" s="19"/>
      <c r="U137" s="5"/>
      <c r="V137" s="5"/>
      <c r="W137" s="5">
        <v>115</v>
      </c>
      <c r="X137" s="144" t="s">
        <v>718</v>
      </c>
      <c r="Y137" s="145"/>
      <c r="Z137" s="146"/>
      <c r="AA137" s="145"/>
      <c r="AB137" s="145"/>
      <c r="AD137" s="5">
        <v>115</v>
      </c>
      <c r="AE137" s="413" t="s">
        <v>2782</v>
      </c>
      <c r="AF137" s="145">
        <v>503</v>
      </c>
      <c r="AG137" s="146">
        <v>3.07</v>
      </c>
      <c r="AH137" s="145">
        <v>3944</v>
      </c>
      <c r="AI137" s="145">
        <v>-14</v>
      </c>
      <c r="AK137" s="5">
        <v>115</v>
      </c>
      <c r="AL137" s="413" t="s">
        <v>2783</v>
      </c>
      <c r="AM137" s="145">
        <v>503</v>
      </c>
      <c r="AN137" s="146">
        <v>2.39</v>
      </c>
      <c r="AO137" s="145">
        <v>3962</v>
      </c>
      <c r="AP137" s="145">
        <v>-16</v>
      </c>
      <c r="AR137" s="5">
        <v>115</v>
      </c>
      <c r="AS137" s="413" t="s">
        <v>2784</v>
      </c>
      <c r="AT137" s="145">
        <v>226</v>
      </c>
      <c r="AU137" s="146">
        <v>3.47</v>
      </c>
      <c r="AV137" s="145">
        <v>3520</v>
      </c>
      <c r="AW137" s="145">
        <v>-13</v>
      </c>
      <c r="AY137" s="5">
        <v>115</v>
      </c>
      <c r="AZ137" s="413" t="s">
        <v>2785</v>
      </c>
      <c r="BA137" s="145">
        <v>492</v>
      </c>
      <c r="BB137" s="146">
        <v>2.84</v>
      </c>
      <c r="BC137" s="145">
        <v>4085</v>
      </c>
      <c r="BD137" s="145">
        <v>-15</v>
      </c>
      <c r="BF137" s="5">
        <v>115</v>
      </c>
      <c r="BG137" s="413" t="s">
        <v>2786</v>
      </c>
      <c r="BH137" s="145">
        <v>446</v>
      </c>
      <c r="BI137" s="146">
        <v>3.18</v>
      </c>
      <c r="BJ137" s="145">
        <v>3819</v>
      </c>
      <c r="BK137" s="145">
        <v>-15</v>
      </c>
      <c r="BM137" s="5">
        <v>115</v>
      </c>
      <c r="BN137" s="413" t="s">
        <v>2787</v>
      </c>
      <c r="BO137" s="145">
        <v>780</v>
      </c>
      <c r="BP137" s="146">
        <v>2.2799999999999998</v>
      </c>
      <c r="BQ137" s="145">
        <v>4589</v>
      </c>
      <c r="BR137" s="145">
        <v>-16</v>
      </c>
      <c r="BS137" s="5"/>
      <c r="BT137" s="5">
        <v>115</v>
      </c>
      <c r="BU137" s="413" t="s">
        <v>2788</v>
      </c>
      <c r="BV137" s="145">
        <v>814</v>
      </c>
      <c r="BW137" s="146">
        <v>2.84</v>
      </c>
      <c r="BX137" s="145">
        <v>4342</v>
      </c>
      <c r="BY137" s="145">
        <v>-15</v>
      </c>
      <c r="BZ137" s="5"/>
      <c r="CA137" s="5">
        <v>115</v>
      </c>
      <c r="CB137" s="413" t="s">
        <v>718</v>
      </c>
      <c r="CC137" s="145"/>
      <c r="CD137" s="146"/>
      <c r="CE137" s="145"/>
      <c r="CF137" s="145"/>
      <c r="CG137" s="5"/>
      <c r="CH137" s="5"/>
      <c r="CI137" s="5"/>
    </row>
    <row r="138" spans="6:87" ht="16.149999999999999" customHeight="1" x14ac:dyDescent="0.2">
      <c r="F138" s="5"/>
      <c r="M138" s="5">
        <v>116</v>
      </c>
      <c r="N138" s="413" t="str">
        <f t="shared" si="6"/>
        <v xml:space="preserve"> </v>
      </c>
      <c r="O138" s="414">
        <f t="shared" si="7"/>
        <v>0</v>
      </c>
      <c r="P138" s="414">
        <f t="shared" si="8"/>
        <v>0</v>
      </c>
      <c r="Q138" s="145">
        <f t="shared" si="11"/>
        <v>-8</v>
      </c>
      <c r="R138" s="414">
        <f t="shared" si="9"/>
        <v>0</v>
      </c>
      <c r="S138" s="414">
        <f t="shared" si="10"/>
        <v>0</v>
      </c>
      <c r="T138" s="19"/>
      <c r="U138" s="5"/>
      <c r="V138" s="5"/>
      <c r="W138" s="5">
        <v>116</v>
      </c>
      <c r="X138" s="144" t="s">
        <v>718</v>
      </c>
      <c r="Y138" s="145"/>
      <c r="Z138" s="146"/>
      <c r="AA138" s="145"/>
      <c r="AB138" s="145"/>
      <c r="AD138" s="5">
        <v>116</v>
      </c>
      <c r="AE138" s="413" t="s">
        <v>2789</v>
      </c>
      <c r="AF138" s="145">
        <v>230</v>
      </c>
      <c r="AG138" s="146">
        <v>3.4</v>
      </c>
      <c r="AH138" s="145">
        <v>3485</v>
      </c>
      <c r="AI138" s="145">
        <v>-13</v>
      </c>
      <c r="AK138" s="5">
        <v>116</v>
      </c>
      <c r="AL138" s="413" t="s">
        <v>2790</v>
      </c>
      <c r="AM138" s="145">
        <v>950</v>
      </c>
      <c r="AN138" s="146">
        <v>2.37</v>
      </c>
      <c r="AO138" s="145">
        <v>4513</v>
      </c>
      <c r="AP138" s="145">
        <v>-15</v>
      </c>
      <c r="AR138" s="5">
        <v>116</v>
      </c>
      <c r="AS138" s="413" t="s">
        <v>2791</v>
      </c>
      <c r="AT138" s="145">
        <v>570</v>
      </c>
      <c r="AU138" s="146">
        <v>2.42</v>
      </c>
      <c r="AV138" s="145">
        <v>4447</v>
      </c>
      <c r="AW138" s="145">
        <v>-16</v>
      </c>
      <c r="AY138" s="5">
        <v>116</v>
      </c>
      <c r="AZ138" s="413" t="s">
        <v>1302</v>
      </c>
      <c r="BA138" s="145">
        <v>350</v>
      </c>
      <c r="BB138" s="146">
        <v>3.09</v>
      </c>
      <c r="BC138" s="145">
        <v>3822</v>
      </c>
      <c r="BD138" s="145">
        <v>-15</v>
      </c>
      <c r="BF138" s="5">
        <v>116</v>
      </c>
      <c r="BG138" s="413" t="s">
        <v>1303</v>
      </c>
      <c r="BH138" s="145">
        <v>764</v>
      </c>
      <c r="BI138" s="146">
        <v>2.36</v>
      </c>
      <c r="BJ138" s="145">
        <v>4533</v>
      </c>
      <c r="BK138" s="145">
        <v>-17</v>
      </c>
      <c r="BM138" s="5">
        <v>116</v>
      </c>
      <c r="BN138" s="413" t="s">
        <v>1304</v>
      </c>
      <c r="BO138" s="145">
        <v>735</v>
      </c>
      <c r="BP138" s="146">
        <v>2.2599999999999998</v>
      </c>
      <c r="BQ138" s="145">
        <v>4435</v>
      </c>
      <c r="BR138" s="145">
        <v>-15</v>
      </c>
      <c r="BS138" s="5"/>
      <c r="BT138" s="5">
        <v>116</v>
      </c>
      <c r="BU138" s="413" t="s">
        <v>1305</v>
      </c>
      <c r="BV138" s="145">
        <v>1450</v>
      </c>
      <c r="BW138" s="146">
        <v>1.7</v>
      </c>
      <c r="BX138" s="145">
        <v>5673</v>
      </c>
      <c r="BY138" s="145">
        <v>-17</v>
      </c>
      <c r="BZ138" s="5"/>
      <c r="CA138" s="5">
        <v>116</v>
      </c>
      <c r="CB138" s="413" t="s">
        <v>718</v>
      </c>
      <c r="CC138" s="145"/>
      <c r="CD138" s="146"/>
      <c r="CE138" s="145"/>
      <c r="CF138" s="145"/>
      <c r="CG138" s="5"/>
      <c r="CH138" s="5"/>
      <c r="CI138" s="5"/>
    </row>
    <row r="139" spans="6:87" ht="16.149999999999999" customHeight="1" x14ac:dyDescent="0.2">
      <c r="F139" s="5"/>
      <c r="M139" s="5">
        <v>117</v>
      </c>
      <c r="N139" s="413" t="str">
        <f t="shared" si="6"/>
        <v xml:space="preserve"> </v>
      </c>
      <c r="O139" s="414">
        <f t="shared" si="7"/>
        <v>0</v>
      </c>
      <c r="P139" s="414">
        <f t="shared" si="8"/>
        <v>0</v>
      </c>
      <c r="Q139" s="145">
        <f t="shared" si="11"/>
        <v>-8</v>
      </c>
      <c r="R139" s="414">
        <f t="shared" si="9"/>
        <v>0</v>
      </c>
      <c r="S139" s="414">
        <f t="shared" si="10"/>
        <v>0</v>
      </c>
      <c r="T139" s="19"/>
      <c r="U139" s="5"/>
      <c r="V139" s="5"/>
      <c r="W139" s="5">
        <v>117</v>
      </c>
      <c r="X139" s="144" t="s">
        <v>718</v>
      </c>
      <c r="Y139" s="145"/>
      <c r="Z139" s="146"/>
      <c r="AA139" s="145"/>
      <c r="AB139" s="145"/>
      <c r="AD139" s="5">
        <v>117</v>
      </c>
      <c r="AE139" s="413" t="s">
        <v>1306</v>
      </c>
      <c r="AF139" s="145">
        <v>328</v>
      </c>
      <c r="AG139" s="146">
        <v>3.23</v>
      </c>
      <c r="AH139" s="145">
        <v>3673</v>
      </c>
      <c r="AI139" s="145">
        <v>-13</v>
      </c>
      <c r="AK139" s="5">
        <v>117</v>
      </c>
      <c r="AL139" s="413" t="s">
        <v>1307</v>
      </c>
      <c r="AM139" s="145">
        <v>598</v>
      </c>
      <c r="AN139" s="146">
        <v>2.84</v>
      </c>
      <c r="AO139" s="145">
        <v>4032</v>
      </c>
      <c r="AP139" s="145">
        <v>-14</v>
      </c>
      <c r="AR139" s="5">
        <v>117</v>
      </c>
      <c r="AS139" s="413" t="s">
        <v>1308</v>
      </c>
      <c r="AT139" s="145">
        <v>414</v>
      </c>
      <c r="AU139" s="146">
        <v>3.24</v>
      </c>
      <c r="AV139" s="145">
        <v>3772</v>
      </c>
      <c r="AW139" s="145">
        <v>-14</v>
      </c>
      <c r="AY139" s="5">
        <v>117</v>
      </c>
      <c r="AZ139" s="413" t="s">
        <v>1309</v>
      </c>
      <c r="BA139" s="145">
        <v>323</v>
      </c>
      <c r="BB139" s="146">
        <v>3.23</v>
      </c>
      <c r="BC139" s="145">
        <v>3690</v>
      </c>
      <c r="BD139" s="145">
        <v>-14</v>
      </c>
      <c r="BF139" s="5">
        <v>117</v>
      </c>
      <c r="BG139" s="413" t="s">
        <v>1310</v>
      </c>
      <c r="BH139" s="145">
        <v>548</v>
      </c>
      <c r="BI139" s="146">
        <v>2.68</v>
      </c>
      <c r="BJ139" s="145">
        <v>4156</v>
      </c>
      <c r="BK139" s="145">
        <v>-16</v>
      </c>
      <c r="BM139" s="5">
        <v>117</v>
      </c>
      <c r="BN139" s="413" t="s">
        <v>1311</v>
      </c>
      <c r="BO139" s="145">
        <v>385</v>
      </c>
      <c r="BP139" s="146">
        <v>3.34</v>
      </c>
      <c r="BQ139" s="145">
        <v>3499</v>
      </c>
      <c r="BR139" s="145">
        <v>-12</v>
      </c>
      <c r="BS139" s="5"/>
      <c r="BT139" s="5">
        <v>117</v>
      </c>
      <c r="BU139" s="413" t="s">
        <v>1312</v>
      </c>
      <c r="BV139" s="145">
        <v>991</v>
      </c>
      <c r="BW139" s="146">
        <v>2.4700000000000002</v>
      </c>
      <c r="BX139" s="145">
        <v>4732</v>
      </c>
      <c r="BY139" s="145">
        <v>-17</v>
      </c>
      <c r="BZ139" s="5"/>
      <c r="CA139" s="5">
        <v>117</v>
      </c>
      <c r="CB139" s="413" t="s">
        <v>718</v>
      </c>
      <c r="CC139" s="145"/>
      <c r="CD139" s="146"/>
      <c r="CE139" s="145"/>
      <c r="CF139" s="145"/>
      <c r="CG139" s="5"/>
      <c r="CH139" s="5"/>
      <c r="CI139" s="5"/>
    </row>
    <row r="140" spans="6:87" ht="16.149999999999999" customHeight="1" x14ac:dyDescent="0.2">
      <c r="F140" s="5"/>
      <c r="M140" s="5">
        <v>118</v>
      </c>
      <c r="N140" s="413" t="str">
        <f t="shared" si="6"/>
        <v xml:space="preserve"> </v>
      </c>
      <c r="O140" s="414">
        <f t="shared" si="7"/>
        <v>0</v>
      </c>
      <c r="P140" s="414">
        <f t="shared" si="8"/>
        <v>0</v>
      </c>
      <c r="Q140" s="145">
        <f t="shared" si="11"/>
        <v>-8</v>
      </c>
      <c r="R140" s="414">
        <f t="shared" si="9"/>
        <v>0</v>
      </c>
      <c r="S140" s="414">
        <f t="shared" si="10"/>
        <v>0</v>
      </c>
      <c r="T140" s="19"/>
      <c r="U140" s="5"/>
      <c r="V140" s="5"/>
      <c r="W140" s="5">
        <v>118</v>
      </c>
      <c r="X140" s="144" t="s">
        <v>718</v>
      </c>
      <c r="Y140" s="145"/>
      <c r="Z140" s="146"/>
      <c r="AA140" s="145"/>
      <c r="AB140" s="145"/>
      <c r="AD140" s="5">
        <v>118</v>
      </c>
      <c r="AE140" s="413" t="s">
        <v>1313</v>
      </c>
      <c r="AF140" s="145">
        <v>119</v>
      </c>
      <c r="AG140" s="146">
        <v>3.34</v>
      </c>
      <c r="AH140" s="145">
        <v>3233</v>
      </c>
      <c r="AI140" s="145">
        <v>-14</v>
      </c>
      <c r="AK140" s="5">
        <v>118</v>
      </c>
      <c r="AL140" s="413" t="s">
        <v>1314</v>
      </c>
      <c r="AM140" s="145">
        <v>558</v>
      </c>
      <c r="AN140" s="146">
        <v>2.48</v>
      </c>
      <c r="AO140" s="145">
        <v>4030</v>
      </c>
      <c r="AP140" s="145">
        <v>-16</v>
      </c>
      <c r="AR140" s="5">
        <v>118</v>
      </c>
      <c r="AS140" s="413" t="s">
        <v>1315</v>
      </c>
      <c r="AT140" s="145">
        <v>238</v>
      </c>
      <c r="AU140" s="146">
        <v>3.29</v>
      </c>
      <c r="AV140" s="145">
        <v>3609</v>
      </c>
      <c r="AW140" s="145">
        <v>-14</v>
      </c>
      <c r="AY140" s="5">
        <v>118</v>
      </c>
      <c r="AZ140" s="413" t="s">
        <v>1316</v>
      </c>
      <c r="BA140" s="145">
        <v>560</v>
      </c>
      <c r="BB140" s="146">
        <v>3.17</v>
      </c>
      <c r="BC140" s="145">
        <v>3956</v>
      </c>
      <c r="BD140" s="145">
        <v>-16</v>
      </c>
      <c r="BF140" s="5">
        <v>118</v>
      </c>
      <c r="BG140" s="413" t="s">
        <v>1317</v>
      </c>
      <c r="BH140" s="145">
        <v>945</v>
      </c>
      <c r="BI140" s="146">
        <v>2.0499999999999998</v>
      </c>
      <c r="BJ140" s="145">
        <v>4828</v>
      </c>
      <c r="BK140" s="145">
        <v>-17</v>
      </c>
      <c r="BM140" s="5">
        <v>118</v>
      </c>
      <c r="BN140" s="413" t="s">
        <v>1318</v>
      </c>
      <c r="BO140" s="145">
        <v>544</v>
      </c>
      <c r="BP140" s="146">
        <v>2.88</v>
      </c>
      <c r="BQ140" s="145">
        <v>4007</v>
      </c>
      <c r="BR140" s="145">
        <v>-14</v>
      </c>
      <c r="BS140" s="5"/>
      <c r="BT140" s="5">
        <v>118</v>
      </c>
      <c r="BU140" s="413" t="s">
        <v>1319</v>
      </c>
      <c r="BV140" s="145">
        <v>820</v>
      </c>
      <c r="BW140" s="146">
        <v>2.67</v>
      </c>
      <c r="BX140" s="145">
        <v>4297</v>
      </c>
      <c r="BY140" s="145">
        <v>-16</v>
      </c>
      <c r="BZ140" s="5"/>
      <c r="CA140" s="5">
        <v>118</v>
      </c>
      <c r="CB140" s="413" t="s">
        <v>718</v>
      </c>
      <c r="CC140" s="145"/>
      <c r="CD140" s="146"/>
      <c r="CE140" s="145"/>
      <c r="CF140" s="145"/>
      <c r="CG140" s="5"/>
      <c r="CH140" s="5"/>
      <c r="CI140" s="5"/>
    </row>
    <row r="141" spans="6:87" ht="16.149999999999999" customHeight="1" x14ac:dyDescent="0.2">
      <c r="F141" s="5"/>
      <c r="M141" s="5">
        <v>119</v>
      </c>
      <c r="N141" s="413" t="str">
        <f t="shared" si="6"/>
        <v xml:space="preserve"> </v>
      </c>
      <c r="O141" s="414">
        <f t="shared" si="7"/>
        <v>0</v>
      </c>
      <c r="P141" s="414">
        <f t="shared" si="8"/>
        <v>0</v>
      </c>
      <c r="Q141" s="145">
        <f t="shared" si="11"/>
        <v>-8</v>
      </c>
      <c r="R141" s="414">
        <f t="shared" si="9"/>
        <v>0</v>
      </c>
      <c r="S141" s="414">
        <f t="shared" si="10"/>
        <v>0</v>
      </c>
      <c r="T141" s="19"/>
      <c r="U141" s="5"/>
      <c r="V141" s="5"/>
      <c r="W141" s="5">
        <v>119</v>
      </c>
      <c r="X141" s="144" t="s">
        <v>718</v>
      </c>
      <c r="Y141" s="145"/>
      <c r="Z141" s="146"/>
      <c r="AA141" s="145"/>
      <c r="AB141" s="145"/>
      <c r="AD141" s="5">
        <v>119</v>
      </c>
      <c r="AE141" s="413" t="s">
        <v>1320</v>
      </c>
      <c r="AF141" s="145">
        <v>127</v>
      </c>
      <c r="AG141" s="146">
        <v>3.58</v>
      </c>
      <c r="AH141" s="145">
        <v>3334</v>
      </c>
      <c r="AI141" s="145">
        <v>-13</v>
      </c>
      <c r="AK141" s="5">
        <v>119</v>
      </c>
      <c r="AL141" s="413" t="s">
        <v>1321</v>
      </c>
      <c r="AM141" s="145">
        <v>630</v>
      </c>
      <c r="AN141" s="146">
        <v>2.54</v>
      </c>
      <c r="AO141" s="145">
        <v>4103</v>
      </c>
      <c r="AP141" s="145">
        <v>-15</v>
      </c>
      <c r="AR141" s="5">
        <v>119</v>
      </c>
      <c r="AS141" s="413" t="s">
        <v>1322</v>
      </c>
      <c r="AT141" s="145">
        <v>442</v>
      </c>
      <c r="AU141" s="146">
        <v>3.47</v>
      </c>
      <c r="AV141" s="145">
        <v>3603</v>
      </c>
      <c r="AW141" s="145">
        <v>-14</v>
      </c>
      <c r="AY141" s="5">
        <v>119</v>
      </c>
      <c r="AZ141" s="413" t="s">
        <v>1323</v>
      </c>
      <c r="BA141" s="145">
        <v>450</v>
      </c>
      <c r="BB141" s="146">
        <v>3.17</v>
      </c>
      <c r="BC141" s="145">
        <v>3973</v>
      </c>
      <c r="BD141" s="145">
        <v>-14</v>
      </c>
      <c r="BF141" s="5">
        <v>119</v>
      </c>
      <c r="BG141" s="413" t="s">
        <v>1324</v>
      </c>
      <c r="BH141" s="145">
        <v>1200</v>
      </c>
      <c r="BI141" s="146">
        <v>2.04</v>
      </c>
      <c r="BJ141" s="145">
        <v>5244</v>
      </c>
      <c r="BK141" s="145">
        <v>-18</v>
      </c>
      <c r="BM141" s="5">
        <v>119</v>
      </c>
      <c r="BN141" s="413" t="s">
        <v>1325</v>
      </c>
      <c r="BO141" s="145">
        <v>343</v>
      </c>
      <c r="BP141" s="146">
        <v>3.25</v>
      </c>
      <c r="BQ141" s="145">
        <v>3567</v>
      </c>
      <c r="BR141" s="145">
        <v>-13</v>
      </c>
      <c r="BS141" s="5"/>
      <c r="BT141" s="5">
        <v>119</v>
      </c>
      <c r="BU141" s="413" t="s">
        <v>1326</v>
      </c>
      <c r="BV141" s="145">
        <v>704</v>
      </c>
      <c r="BW141" s="146">
        <v>2.5299999999999998</v>
      </c>
      <c r="BX141" s="145">
        <v>4193</v>
      </c>
      <c r="BY141" s="145">
        <v>-16</v>
      </c>
      <c r="BZ141" s="5"/>
      <c r="CA141" s="5">
        <v>119</v>
      </c>
      <c r="CB141" s="413" t="s">
        <v>718</v>
      </c>
      <c r="CC141" s="145"/>
      <c r="CD141" s="146"/>
      <c r="CE141" s="145"/>
      <c r="CF141" s="145"/>
      <c r="CG141" s="5"/>
      <c r="CH141" s="5"/>
      <c r="CI141" s="5"/>
    </row>
    <row r="142" spans="6:87" ht="16.149999999999999" customHeight="1" x14ac:dyDescent="0.2">
      <c r="F142" s="5"/>
      <c r="M142" s="5">
        <v>120</v>
      </c>
      <c r="N142" s="413" t="str">
        <f t="shared" si="6"/>
        <v xml:space="preserve"> </v>
      </c>
      <c r="O142" s="414">
        <f t="shared" si="7"/>
        <v>0</v>
      </c>
      <c r="P142" s="414">
        <f t="shared" si="8"/>
        <v>0</v>
      </c>
      <c r="Q142" s="145">
        <f t="shared" si="11"/>
        <v>-8</v>
      </c>
      <c r="R142" s="414">
        <f t="shared" si="9"/>
        <v>0</v>
      </c>
      <c r="S142" s="414">
        <f t="shared" si="10"/>
        <v>0</v>
      </c>
      <c r="T142" s="19"/>
      <c r="U142" s="5"/>
      <c r="V142" s="5"/>
      <c r="W142" s="5">
        <v>120</v>
      </c>
      <c r="X142" s="144" t="s">
        <v>718</v>
      </c>
      <c r="Y142" s="145"/>
      <c r="Z142" s="146"/>
      <c r="AA142" s="145"/>
      <c r="AB142" s="145"/>
      <c r="AD142" s="5">
        <v>120</v>
      </c>
      <c r="AE142" s="413" t="s">
        <v>1327</v>
      </c>
      <c r="AF142" s="145">
        <v>333</v>
      </c>
      <c r="AG142" s="146">
        <v>3.27</v>
      </c>
      <c r="AH142" s="145">
        <v>3581</v>
      </c>
      <c r="AI142" s="145">
        <v>-13</v>
      </c>
      <c r="AK142" s="5">
        <v>120</v>
      </c>
      <c r="AL142" s="413" t="s">
        <v>1328</v>
      </c>
      <c r="AM142" s="145">
        <v>685</v>
      </c>
      <c r="AN142" s="146">
        <v>3.67</v>
      </c>
      <c r="AO142" s="145">
        <v>3821</v>
      </c>
      <c r="AP142" s="145">
        <v>-13</v>
      </c>
      <c r="AR142" s="5">
        <v>120</v>
      </c>
      <c r="AS142" s="413" t="s">
        <v>2274</v>
      </c>
      <c r="AT142" s="145">
        <v>492</v>
      </c>
      <c r="AU142" s="146">
        <v>2.77</v>
      </c>
      <c r="AV142" s="145">
        <v>4188</v>
      </c>
      <c r="AW142" s="145">
        <v>-17</v>
      </c>
      <c r="AY142" s="5">
        <v>120</v>
      </c>
      <c r="AZ142" s="413" t="s">
        <v>1329</v>
      </c>
      <c r="BA142" s="145">
        <v>470</v>
      </c>
      <c r="BB142" s="146">
        <v>3.17</v>
      </c>
      <c r="BC142" s="145">
        <v>3922</v>
      </c>
      <c r="BD142" s="145">
        <v>-15</v>
      </c>
      <c r="BF142" s="5">
        <v>120</v>
      </c>
      <c r="BG142" s="413" t="s">
        <v>1330</v>
      </c>
      <c r="BH142" s="145">
        <v>758</v>
      </c>
      <c r="BI142" s="146">
        <v>2</v>
      </c>
      <c r="BJ142" s="145">
        <v>4482</v>
      </c>
      <c r="BK142" s="145">
        <v>-18</v>
      </c>
      <c r="BM142" s="5">
        <v>120</v>
      </c>
      <c r="BN142" s="413" t="s">
        <v>1331</v>
      </c>
      <c r="BO142" s="145">
        <v>770</v>
      </c>
      <c r="BP142" s="146">
        <v>2.39</v>
      </c>
      <c r="BQ142" s="145">
        <v>4595</v>
      </c>
      <c r="BR142" s="145">
        <v>-15</v>
      </c>
      <c r="BS142" s="5"/>
      <c r="BT142" s="5">
        <v>120</v>
      </c>
      <c r="BU142" s="413" t="s">
        <v>1332</v>
      </c>
      <c r="BV142" s="145">
        <v>998</v>
      </c>
      <c r="BW142" s="146">
        <v>2.83</v>
      </c>
      <c r="BX142" s="145">
        <v>4620</v>
      </c>
      <c r="BY142" s="145">
        <v>-16</v>
      </c>
      <c r="BZ142" s="5"/>
      <c r="CA142" s="5">
        <v>120</v>
      </c>
      <c r="CB142" s="413" t="s">
        <v>718</v>
      </c>
      <c r="CC142" s="145"/>
      <c r="CD142" s="146"/>
      <c r="CE142" s="145"/>
      <c r="CF142" s="145"/>
      <c r="CG142" s="5"/>
      <c r="CH142" s="5"/>
      <c r="CI142" s="5"/>
    </row>
    <row r="143" spans="6:87" ht="16.149999999999999" customHeight="1" x14ac:dyDescent="0.2">
      <c r="F143" s="5"/>
      <c r="M143" s="5">
        <v>121</v>
      </c>
      <c r="N143" s="413" t="str">
        <f t="shared" si="6"/>
        <v xml:space="preserve"> </v>
      </c>
      <c r="O143" s="414">
        <f t="shared" si="7"/>
        <v>0</v>
      </c>
      <c r="P143" s="414">
        <f t="shared" si="8"/>
        <v>0</v>
      </c>
      <c r="Q143" s="145">
        <f t="shared" si="11"/>
        <v>-8</v>
      </c>
      <c r="R143" s="414">
        <f t="shared" si="9"/>
        <v>0</v>
      </c>
      <c r="S143" s="414">
        <f t="shared" si="10"/>
        <v>0</v>
      </c>
      <c r="T143" s="19"/>
      <c r="U143" s="5"/>
      <c r="V143" s="5"/>
      <c r="W143" s="5">
        <v>121</v>
      </c>
      <c r="X143" s="144" t="s">
        <v>718</v>
      </c>
      <c r="Y143" s="145"/>
      <c r="Z143" s="146"/>
      <c r="AA143" s="145"/>
      <c r="AB143" s="145"/>
      <c r="AD143" s="5">
        <v>121</v>
      </c>
      <c r="AE143" s="413" t="s">
        <v>1333</v>
      </c>
      <c r="AF143" s="145">
        <v>303</v>
      </c>
      <c r="AG143" s="146">
        <v>3.3</v>
      </c>
      <c r="AH143" s="145">
        <v>3590</v>
      </c>
      <c r="AI143" s="145">
        <v>-13</v>
      </c>
      <c r="AK143" s="5">
        <v>121</v>
      </c>
      <c r="AL143" s="413" t="s">
        <v>1290</v>
      </c>
      <c r="AM143" s="145">
        <v>508</v>
      </c>
      <c r="AN143" s="146">
        <v>2.5499999999999998</v>
      </c>
      <c r="AO143" s="145">
        <v>3909</v>
      </c>
      <c r="AP143" s="145">
        <v>-15</v>
      </c>
      <c r="AR143" s="5">
        <v>121</v>
      </c>
      <c r="AS143" s="413" t="s">
        <v>1291</v>
      </c>
      <c r="AT143" s="145">
        <v>268</v>
      </c>
      <c r="AU143" s="146">
        <v>3.06</v>
      </c>
      <c r="AV143" s="145">
        <v>3693</v>
      </c>
      <c r="AW143" s="145">
        <v>-14</v>
      </c>
      <c r="AY143" s="5">
        <v>121</v>
      </c>
      <c r="AZ143" s="413" t="s">
        <v>1292</v>
      </c>
      <c r="BA143" s="145">
        <v>433</v>
      </c>
      <c r="BB143" s="146">
        <v>3.13</v>
      </c>
      <c r="BC143" s="145">
        <v>3898</v>
      </c>
      <c r="BD143" s="145">
        <v>-15</v>
      </c>
      <c r="BF143" s="5">
        <v>121</v>
      </c>
      <c r="BG143" s="413" t="s">
        <v>1293</v>
      </c>
      <c r="BH143" s="145">
        <v>567</v>
      </c>
      <c r="BI143" s="146">
        <v>3.39</v>
      </c>
      <c r="BJ143" s="145">
        <v>3970</v>
      </c>
      <c r="BK143" s="145">
        <v>-14</v>
      </c>
      <c r="BM143" s="5">
        <v>121</v>
      </c>
      <c r="BN143" s="413" t="s">
        <v>1294</v>
      </c>
      <c r="BO143" s="145">
        <v>324</v>
      </c>
      <c r="BP143" s="146">
        <v>2.75</v>
      </c>
      <c r="BQ143" s="145">
        <v>3744</v>
      </c>
      <c r="BR143" s="145">
        <v>-15</v>
      </c>
      <c r="BS143" s="5"/>
      <c r="BT143" s="5">
        <v>121</v>
      </c>
      <c r="BU143" s="413" t="s">
        <v>1295</v>
      </c>
      <c r="BV143" s="145">
        <v>950</v>
      </c>
      <c r="BW143" s="146">
        <v>2.35</v>
      </c>
      <c r="BX143" s="145">
        <v>4924</v>
      </c>
      <c r="BY143" s="145">
        <v>-17</v>
      </c>
      <c r="BZ143" s="5"/>
      <c r="CA143" s="5">
        <v>121</v>
      </c>
      <c r="CB143" s="413" t="s">
        <v>718</v>
      </c>
      <c r="CC143" s="145"/>
      <c r="CD143" s="146"/>
      <c r="CE143" s="145"/>
      <c r="CF143" s="145"/>
      <c r="CG143" s="5"/>
      <c r="CH143" s="5"/>
      <c r="CI143" s="5"/>
    </row>
    <row r="144" spans="6:87" ht="16.149999999999999" customHeight="1" x14ac:dyDescent="0.2">
      <c r="F144" s="5"/>
      <c r="M144" s="5">
        <v>122</v>
      </c>
      <c r="N144" s="413" t="str">
        <f t="shared" si="6"/>
        <v xml:space="preserve"> </v>
      </c>
      <c r="O144" s="414">
        <f t="shared" si="7"/>
        <v>0</v>
      </c>
      <c r="P144" s="414">
        <f t="shared" si="8"/>
        <v>0</v>
      </c>
      <c r="Q144" s="145">
        <f t="shared" si="11"/>
        <v>-8</v>
      </c>
      <c r="R144" s="414">
        <f t="shared" si="9"/>
        <v>0</v>
      </c>
      <c r="S144" s="414">
        <f t="shared" si="10"/>
        <v>0</v>
      </c>
      <c r="T144" s="19"/>
      <c r="U144" s="5"/>
      <c r="V144" s="5"/>
      <c r="W144" s="5">
        <v>122</v>
      </c>
      <c r="X144" s="144" t="s">
        <v>718</v>
      </c>
      <c r="Y144" s="145"/>
      <c r="Z144" s="146"/>
      <c r="AA144" s="145"/>
      <c r="AB144" s="145"/>
      <c r="AD144" s="5">
        <v>122</v>
      </c>
      <c r="AE144" s="413" t="s">
        <v>1296</v>
      </c>
      <c r="AF144" s="145">
        <v>320</v>
      </c>
      <c r="AG144" s="146">
        <v>3.3</v>
      </c>
      <c r="AH144" s="145">
        <v>3607</v>
      </c>
      <c r="AI144" s="145">
        <v>-13</v>
      </c>
      <c r="AK144" s="5">
        <v>122</v>
      </c>
      <c r="AL144" s="413" t="s">
        <v>1297</v>
      </c>
      <c r="AM144" s="145">
        <v>1020</v>
      </c>
      <c r="AN144" s="146">
        <v>2.69</v>
      </c>
      <c r="AO144" s="145">
        <v>4657</v>
      </c>
      <c r="AP144" s="145">
        <v>-16</v>
      </c>
      <c r="AR144" s="5">
        <v>122</v>
      </c>
      <c r="AS144" s="413" t="s">
        <v>1298</v>
      </c>
      <c r="AT144" s="145">
        <v>205</v>
      </c>
      <c r="AU144" s="146">
        <v>3.19</v>
      </c>
      <c r="AV144" s="145">
        <v>3732</v>
      </c>
      <c r="AW144" s="145">
        <v>-14</v>
      </c>
      <c r="AY144" s="5">
        <v>122</v>
      </c>
      <c r="AZ144" s="413" t="s">
        <v>1299</v>
      </c>
      <c r="BA144" s="145">
        <v>638</v>
      </c>
      <c r="BB144" s="146">
        <v>2.59</v>
      </c>
      <c r="BC144" s="145">
        <v>4284</v>
      </c>
      <c r="BD144" s="145">
        <v>-15</v>
      </c>
      <c r="BF144" s="5">
        <v>122</v>
      </c>
      <c r="BG144" s="413" t="s">
        <v>718</v>
      </c>
      <c r="BH144" s="145"/>
      <c r="BI144" s="146"/>
      <c r="BJ144" s="145"/>
      <c r="BK144" s="145"/>
      <c r="BM144" s="5">
        <v>122</v>
      </c>
      <c r="BN144" s="413" t="s">
        <v>1300</v>
      </c>
      <c r="BO144" s="145">
        <v>753</v>
      </c>
      <c r="BP144" s="146">
        <v>2.36</v>
      </c>
      <c r="BQ144" s="145">
        <v>4709</v>
      </c>
      <c r="BR144" s="145">
        <v>-16</v>
      </c>
      <c r="BS144" s="5"/>
      <c r="BT144" s="5">
        <v>122</v>
      </c>
      <c r="BU144" s="413" t="s">
        <v>1301</v>
      </c>
      <c r="BV144" s="145">
        <v>1222</v>
      </c>
      <c r="BW144" s="146">
        <v>1.99</v>
      </c>
      <c r="BX144" s="145">
        <v>5170</v>
      </c>
      <c r="BY144" s="145">
        <v>-18</v>
      </c>
      <c r="BZ144" s="5"/>
      <c r="CA144" s="5">
        <v>122</v>
      </c>
      <c r="CB144" s="413" t="s">
        <v>718</v>
      </c>
      <c r="CC144" s="145"/>
      <c r="CD144" s="146"/>
      <c r="CE144" s="145"/>
      <c r="CF144" s="145"/>
      <c r="CG144" s="5"/>
      <c r="CH144" s="5"/>
      <c r="CI144" s="5"/>
    </row>
    <row r="145" spans="6:87" ht="16.149999999999999" customHeight="1" x14ac:dyDescent="0.2">
      <c r="F145" s="5"/>
      <c r="M145" s="5">
        <v>123</v>
      </c>
      <c r="N145" s="413" t="str">
        <f t="shared" si="6"/>
        <v xml:space="preserve"> </v>
      </c>
      <c r="O145" s="414">
        <f t="shared" si="7"/>
        <v>0</v>
      </c>
      <c r="P145" s="414">
        <f t="shared" si="8"/>
        <v>0</v>
      </c>
      <c r="Q145" s="145">
        <f t="shared" si="11"/>
        <v>-8</v>
      </c>
      <c r="R145" s="414">
        <f t="shared" si="9"/>
        <v>0</v>
      </c>
      <c r="S145" s="414">
        <f t="shared" si="10"/>
        <v>0</v>
      </c>
      <c r="T145" s="19"/>
      <c r="U145" s="5"/>
      <c r="V145" s="5"/>
      <c r="W145" s="5">
        <v>123</v>
      </c>
      <c r="X145" s="144" t="s">
        <v>718</v>
      </c>
      <c r="Y145" s="145"/>
      <c r="Z145" s="146"/>
      <c r="AA145" s="145"/>
      <c r="AB145" s="145"/>
      <c r="AD145" s="5">
        <v>123</v>
      </c>
      <c r="AE145" s="413" t="s">
        <v>3021</v>
      </c>
      <c r="AF145" s="145">
        <v>129</v>
      </c>
      <c r="AG145" s="146">
        <v>3.52</v>
      </c>
      <c r="AH145" s="145">
        <v>3362</v>
      </c>
      <c r="AI145" s="145">
        <v>-13</v>
      </c>
      <c r="AK145" s="5">
        <v>123</v>
      </c>
      <c r="AL145" s="413" t="s">
        <v>3022</v>
      </c>
      <c r="AM145" s="145">
        <v>518</v>
      </c>
      <c r="AN145" s="146">
        <v>3.14</v>
      </c>
      <c r="AO145" s="145">
        <v>3810</v>
      </c>
      <c r="AP145" s="145">
        <v>-14</v>
      </c>
      <c r="AR145" s="5">
        <v>123</v>
      </c>
      <c r="AS145" s="413" t="s">
        <v>3023</v>
      </c>
      <c r="AT145" s="145">
        <v>586</v>
      </c>
      <c r="AU145" s="146">
        <v>2.35</v>
      </c>
      <c r="AV145" s="145">
        <v>4395</v>
      </c>
      <c r="AW145" s="145">
        <v>-17</v>
      </c>
      <c r="AY145" s="5">
        <v>123</v>
      </c>
      <c r="AZ145" s="413" t="s">
        <v>3024</v>
      </c>
      <c r="BA145" s="145">
        <v>285</v>
      </c>
      <c r="BB145" s="146">
        <v>3.09</v>
      </c>
      <c r="BC145" s="145">
        <v>3721</v>
      </c>
      <c r="BD145" s="145">
        <v>-14</v>
      </c>
      <c r="BF145" s="5">
        <v>123</v>
      </c>
      <c r="BG145" s="413" t="s">
        <v>718</v>
      </c>
      <c r="BH145" s="145"/>
      <c r="BI145" s="146"/>
      <c r="BJ145" s="145"/>
      <c r="BK145" s="145"/>
      <c r="BM145" s="5">
        <v>123</v>
      </c>
      <c r="BN145" s="413" t="s">
        <v>3025</v>
      </c>
      <c r="BO145" s="145">
        <v>670</v>
      </c>
      <c r="BP145" s="146">
        <v>2.7</v>
      </c>
      <c r="BQ145" s="145">
        <v>4393</v>
      </c>
      <c r="BR145" s="145">
        <v>-15</v>
      </c>
      <c r="BS145" s="5"/>
      <c r="BT145" s="5">
        <v>123</v>
      </c>
      <c r="BU145" s="413" t="s">
        <v>3026</v>
      </c>
      <c r="BV145" s="145">
        <v>646</v>
      </c>
      <c r="BW145" s="146">
        <v>2.74</v>
      </c>
      <c r="BX145" s="145">
        <v>4056</v>
      </c>
      <c r="BY145" s="145">
        <v>-15</v>
      </c>
      <c r="BZ145" s="5"/>
      <c r="CA145" s="5">
        <v>123</v>
      </c>
      <c r="CB145" s="413" t="s">
        <v>718</v>
      </c>
      <c r="CC145" s="145"/>
      <c r="CD145" s="146"/>
      <c r="CE145" s="145"/>
      <c r="CF145" s="145"/>
      <c r="CG145" s="5"/>
      <c r="CH145" s="5"/>
      <c r="CI145" s="5"/>
    </row>
    <row r="146" spans="6:87" ht="16.149999999999999" customHeight="1" x14ac:dyDescent="0.2">
      <c r="F146" s="5"/>
      <c r="M146" s="5">
        <v>124</v>
      </c>
      <c r="N146" s="413" t="str">
        <f t="shared" si="6"/>
        <v xml:space="preserve"> </v>
      </c>
      <c r="O146" s="414">
        <f t="shared" si="7"/>
        <v>0</v>
      </c>
      <c r="P146" s="414">
        <f t="shared" si="8"/>
        <v>0</v>
      </c>
      <c r="Q146" s="145">
        <f t="shared" si="11"/>
        <v>-8</v>
      </c>
      <c r="R146" s="414">
        <f t="shared" si="9"/>
        <v>0</v>
      </c>
      <c r="S146" s="414">
        <f t="shared" si="10"/>
        <v>0</v>
      </c>
      <c r="T146" s="19"/>
      <c r="U146" s="5"/>
      <c r="V146" s="5"/>
      <c r="W146" s="5">
        <v>124</v>
      </c>
      <c r="X146" s="144" t="s">
        <v>718</v>
      </c>
      <c r="Y146" s="145"/>
      <c r="Z146" s="146"/>
      <c r="AA146" s="145"/>
      <c r="AB146" s="145"/>
      <c r="AD146" s="5">
        <v>124</v>
      </c>
      <c r="AE146" s="413" t="s">
        <v>3027</v>
      </c>
      <c r="AF146" s="145">
        <v>330</v>
      </c>
      <c r="AG146" s="146">
        <v>3.41</v>
      </c>
      <c r="AH146" s="145">
        <v>3450</v>
      </c>
      <c r="AI146" s="145">
        <v>-12</v>
      </c>
      <c r="AK146" s="5">
        <v>124</v>
      </c>
      <c r="AL146" s="413" t="s">
        <v>3028</v>
      </c>
      <c r="AM146" s="145">
        <v>660</v>
      </c>
      <c r="AN146" s="146">
        <v>2.98</v>
      </c>
      <c r="AO146" s="145">
        <v>4068</v>
      </c>
      <c r="AP146" s="145">
        <v>-14</v>
      </c>
      <c r="AR146" s="5">
        <v>124</v>
      </c>
      <c r="AS146" s="413" t="s">
        <v>3029</v>
      </c>
      <c r="AT146" s="145">
        <v>320</v>
      </c>
      <c r="AU146" s="146">
        <v>2.93</v>
      </c>
      <c r="AV146" s="145">
        <v>3876</v>
      </c>
      <c r="AW146" s="145">
        <v>-14</v>
      </c>
      <c r="AY146" s="5">
        <v>124</v>
      </c>
      <c r="AZ146" s="413" t="s">
        <v>3030</v>
      </c>
      <c r="BA146" s="145">
        <v>466</v>
      </c>
      <c r="BB146" s="146">
        <v>3.18</v>
      </c>
      <c r="BC146" s="145">
        <v>3969</v>
      </c>
      <c r="BD146" s="145">
        <v>-14</v>
      </c>
      <c r="BF146" s="5">
        <v>124</v>
      </c>
      <c r="BG146" s="413" t="s">
        <v>718</v>
      </c>
      <c r="BH146" s="145"/>
      <c r="BI146" s="146"/>
      <c r="BJ146" s="145"/>
      <c r="BK146" s="145"/>
      <c r="BM146" s="5">
        <v>124</v>
      </c>
      <c r="BN146" s="413" t="s">
        <v>3031</v>
      </c>
      <c r="BO146" s="145">
        <v>705</v>
      </c>
      <c r="BP146" s="146">
        <v>2.56</v>
      </c>
      <c r="BQ146" s="145">
        <v>4569</v>
      </c>
      <c r="BR146" s="145">
        <v>-16</v>
      </c>
      <c r="BS146" s="5"/>
      <c r="BT146" s="5">
        <v>124</v>
      </c>
      <c r="BU146" s="413" t="s">
        <v>3032</v>
      </c>
      <c r="BV146" s="145">
        <v>970</v>
      </c>
      <c r="BW146" s="146">
        <v>2.62</v>
      </c>
      <c r="BX146" s="145">
        <v>4502</v>
      </c>
      <c r="BY146" s="145">
        <v>-16</v>
      </c>
      <c r="BZ146" s="5"/>
      <c r="CA146" s="5">
        <v>124</v>
      </c>
      <c r="CB146" s="413" t="s">
        <v>718</v>
      </c>
      <c r="CC146" s="145"/>
      <c r="CD146" s="146"/>
      <c r="CE146" s="145"/>
      <c r="CF146" s="145"/>
      <c r="CG146" s="5"/>
      <c r="CH146" s="5"/>
      <c r="CI146" s="5"/>
    </row>
    <row r="147" spans="6:87" ht="16.149999999999999" customHeight="1" x14ac:dyDescent="0.2">
      <c r="F147" s="5"/>
      <c r="M147" s="5">
        <v>125</v>
      </c>
      <c r="N147" s="413" t="str">
        <f t="shared" si="6"/>
        <v xml:space="preserve"> </v>
      </c>
      <c r="O147" s="414">
        <f t="shared" si="7"/>
        <v>0</v>
      </c>
      <c r="P147" s="414">
        <f t="shared" si="8"/>
        <v>0</v>
      </c>
      <c r="Q147" s="145">
        <f t="shared" si="11"/>
        <v>-8</v>
      </c>
      <c r="R147" s="414">
        <f t="shared" si="9"/>
        <v>0</v>
      </c>
      <c r="S147" s="414">
        <f t="shared" si="10"/>
        <v>0</v>
      </c>
      <c r="T147" s="19"/>
      <c r="U147" s="5"/>
      <c r="V147" s="5"/>
      <c r="W147" s="5">
        <v>125</v>
      </c>
      <c r="X147" s="144" t="s">
        <v>718</v>
      </c>
      <c r="Y147" s="145"/>
      <c r="Z147" s="146"/>
      <c r="AA147" s="145"/>
      <c r="AB147" s="145"/>
      <c r="AD147" s="5">
        <v>125</v>
      </c>
      <c r="AE147" s="413" t="s">
        <v>3033</v>
      </c>
      <c r="AF147" s="145">
        <v>169</v>
      </c>
      <c r="AG147" s="146">
        <v>3.7</v>
      </c>
      <c r="AH147" s="145">
        <v>3244</v>
      </c>
      <c r="AI147" s="145">
        <v>-12</v>
      </c>
      <c r="AK147" s="5">
        <v>125</v>
      </c>
      <c r="AL147" s="413" t="s">
        <v>3034</v>
      </c>
      <c r="AM147" s="145">
        <v>460</v>
      </c>
      <c r="AN147" s="146">
        <v>2.39</v>
      </c>
      <c r="AO147" s="145">
        <v>3963</v>
      </c>
      <c r="AP147" s="145">
        <v>-16</v>
      </c>
      <c r="AR147" s="5">
        <v>125</v>
      </c>
      <c r="AS147" s="413" t="s">
        <v>3035</v>
      </c>
      <c r="AT147" s="145">
        <v>869</v>
      </c>
      <c r="AU147" s="146">
        <v>3.19</v>
      </c>
      <c r="AV147" s="145">
        <v>4556</v>
      </c>
      <c r="AW147" s="145">
        <v>-16</v>
      </c>
      <c r="AY147" s="5">
        <v>125</v>
      </c>
      <c r="AZ147" s="413" t="s">
        <v>3036</v>
      </c>
      <c r="BA147" s="145">
        <v>356</v>
      </c>
      <c r="BB147" s="146">
        <v>3.27</v>
      </c>
      <c r="BC147" s="145">
        <v>3764</v>
      </c>
      <c r="BD147" s="145">
        <v>-14</v>
      </c>
      <c r="BF147" s="5">
        <v>125</v>
      </c>
      <c r="BG147" s="413" t="s">
        <v>718</v>
      </c>
      <c r="BH147" s="145"/>
      <c r="BI147" s="146"/>
      <c r="BJ147" s="145"/>
      <c r="BK147" s="145"/>
      <c r="BM147" s="5">
        <v>125</v>
      </c>
      <c r="BN147" s="413" t="s">
        <v>3037</v>
      </c>
      <c r="BO147" s="145">
        <v>500</v>
      </c>
      <c r="BP147" s="146">
        <v>2.95</v>
      </c>
      <c r="BQ147" s="145">
        <v>3939</v>
      </c>
      <c r="BR147" s="145">
        <v>-14</v>
      </c>
      <c r="BS147" s="5"/>
      <c r="BT147" s="5">
        <v>125</v>
      </c>
      <c r="BU147" s="413" t="s">
        <v>3038</v>
      </c>
      <c r="BV147" s="145">
        <v>856</v>
      </c>
      <c r="BW147" s="146">
        <v>3.12</v>
      </c>
      <c r="BX147" s="145">
        <v>4068</v>
      </c>
      <c r="BY147" s="145">
        <v>-15</v>
      </c>
      <c r="BZ147" s="5"/>
      <c r="CA147" s="5">
        <v>125</v>
      </c>
      <c r="CB147" s="413" t="s">
        <v>718</v>
      </c>
      <c r="CC147" s="145"/>
      <c r="CD147" s="146"/>
      <c r="CE147" s="145"/>
      <c r="CF147" s="145"/>
      <c r="CG147" s="5"/>
      <c r="CH147" s="5"/>
      <c r="CI147" s="5"/>
    </row>
    <row r="148" spans="6:87" ht="16.149999999999999" customHeight="1" x14ac:dyDescent="0.2">
      <c r="F148" s="5"/>
      <c r="M148" s="5">
        <v>126</v>
      </c>
      <c r="N148" s="413" t="str">
        <f t="shared" si="6"/>
        <v xml:space="preserve"> </v>
      </c>
      <c r="O148" s="414">
        <f t="shared" si="7"/>
        <v>0</v>
      </c>
      <c r="P148" s="414">
        <f t="shared" si="8"/>
        <v>0</v>
      </c>
      <c r="Q148" s="145">
        <f t="shared" si="11"/>
        <v>-8</v>
      </c>
      <c r="R148" s="414">
        <f t="shared" si="9"/>
        <v>0</v>
      </c>
      <c r="S148" s="414">
        <f t="shared" si="10"/>
        <v>0</v>
      </c>
      <c r="T148" s="19"/>
      <c r="U148" s="5"/>
      <c r="V148" s="5"/>
      <c r="W148" s="5">
        <v>126</v>
      </c>
      <c r="X148" s="144" t="s">
        <v>718</v>
      </c>
      <c r="Y148" s="145"/>
      <c r="Z148" s="146"/>
      <c r="AA148" s="145"/>
      <c r="AB148" s="145"/>
      <c r="AD148" s="5">
        <v>126</v>
      </c>
      <c r="AE148" s="413" t="s">
        <v>3039</v>
      </c>
      <c r="AF148" s="145">
        <v>199</v>
      </c>
      <c r="AG148" s="146">
        <v>3.6</v>
      </c>
      <c r="AH148" s="145">
        <v>3345</v>
      </c>
      <c r="AI148" s="145">
        <v>-13</v>
      </c>
      <c r="AK148" s="5">
        <v>126</v>
      </c>
      <c r="AL148" s="413" t="s">
        <v>3040</v>
      </c>
      <c r="AM148" s="145">
        <v>446</v>
      </c>
      <c r="AN148" s="146">
        <v>2.4300000000000002</v>
      </c>
      <c r="AO148" s="145">
        <v>3882</v>
      </c>
      <c r="AP148" s="145">
        <v>-16</v>
      </c>
      <c r="AR148" s="5">
        <v>126</v>
      </c>
      <c r="AS148" s="413" t="s">
        <v>3041</v>
      </c>
      <c r="AT148" s="145">
        <v>532</v>
      </c>
      <c r="AU148" s="146">
        <v>2.85</v>
      </c>
      <c r="AV148" s="145">
        <v>4236</v>
      </c>
      <c r="AW148" s="145">
        <v>-16</v>
      </c>
      <c r="AY148" s="5">
        <v>126</v>
      </c>
      <c r="AZ148" s="413" t="s">
        <v>3042</v>
      </c>
      <c r="BA148" s="145">
        <v>400</v>
      </c>
      <c r="BB148" s="146">
        <v>3.48</v>
      </c>
      <c r="BC148" s="145">
        <v>3899</v>
      </c>
      <c r="BD148" s="145">
        <v>-14</v>
      </c>
      <c r="BF148" s="5">
        <v>126</v>
      </c>
      <c r="BG148" s="413" t="s">
        <v>718</v>
      </c>
      <c r="BH148" s="145"/>
      <c r="BI148" s="146"/>
      <c r="BJ148" s="145"/>
      <c r="BK148" s="145"/>
      <c r="BM148" s="5">
        <v>126</v>
      </c>
      <c r="BN148" s="413" t="s">
        <v>3043</v>
      </c>
      <c r="BO148" s="145">
        <v>300</v>
      </c>
      <c r="BP148" s="146">
        <v>3.14</v>
      </c>
      <c r="BQ148" s="145">
        <v>3540</v>
      </c>
      <c r="BR148" s="145">
        <v>-13</v>
      </c>
      <c r="BS148" s="5"/>
      <c r="BT148" s="5">
        <v>126</v>
      </c>
      <c r="BU148" s="413" t="s">
        <v>3044</v>
      </c>
      <c r="BV148" s="145">
        <v>1330</v>
      </c>
      <c r="BW148" s="146">
        <v>2.08</v>
      </c>
      <c r="BX148" s="145">
        <v>5359</v>
      </c>
      <c r="BY148" s="145">
        <v>-16</v>
      </c>
      <c r="BZ148" s="5"/>
      <c r="CA148" s="5">
        <v>126</v>
      </c>
      <c r="CB148" s="413" t="s">
        <v>718</v>
      </c>
      <c r="CC148" s="145"/>
      <c r="CD148" s="146"/>
      <c r="CE148" s="145"/>
      <c r="CF148" s="145"/>
      <c r="CG148" s="5"/>
      <c r="CH148" s="5"/>
      <c r="CI148" s="5"/>
    </row>
    <row r="149" spans="6:87" ht="16.149999999999999" customHeight="1" x14ac:dyDescent="0.2">
      <c r="F149" s="5"/>
      <c r="M149" s="5">
        <v>127</v>
      </c>
      <c r="N149" s="413" t="str">
        <f t="shared" si="6"/>
        <v xml:space="preserve"> </v>
      </c>
      <c r="O149" s="414">
        <f t="shared" si="7"/>
        <v>0</v>
      </c>
      <c r="P149" s="414">
        <f t="shared" si="8"/>
        <v>0</v>
      </c>
      <c r="Q149" s="145">
        <f t="shared" si="11"/>
        <v>-8</v>
      </c>
      <c r="R149" s="414">
        <f t="shared" si="9"/>
        <v>0</v>
      </c>
      <c r="S149" s="414">
        <f t="shared" si="10"/>
        <v>0</v>
      </c>
      <c r="T149" s="19"/>
      <c r="U149" s="5"/>
      <c r="V149" s="5"/>
      <c r="W149" s="5">
        <v>127</v>
      </c>
      <c r="X149" s="144" t="s">
        <v>718</v>
      </c>
      <c r="Y149" s="145"/>
      <c r="Z149" s="146"/>
      <c r="AA149" s="145"/>
      <c r="AB149" s="145"/>
      <c r="AD149" s="5">
        <v>127</v>
      </c>
      <c r="AE149" s="413" t="s">
        <v>3045</v>
      </c>
      <c r="AF149" s="145">
        <v>231</v>
      </c>
      <c r="AG149" s="146">
        <v>3.58</v>
      </c>
      <c r="AH149" s="145">
        <v>3399</v>
      </c>
      <c r="AI149" s="145">
        <v>-13</v>
      </c>
      <c r="AK149" s="5">
        <v>127</v>
      </c>
      <c r="AL149" s="413" t="s">
        <v>3046</v>
      </c>
      <c r="AM149" s="145">
        <v>918</v>
      </c>
      <c r="AN149" s="146">
        <v>3</v>
      </c>
      <c r="AO149" s="145">
        <v>4438</v>
      </c>
      <c r="AP149" s="145">
        <v>-14</v>
      </c>
      <c r="AR149" s="5">
        <v>127</v>
      </c>
      <c r="AS149" s="413" t="s">
        <v>3047</v>
      </c>
      <c r="AT149" s="145">
        <v>170</v>
      </c>
      <c r="AU149" s="146">
        <v>3.41</v>
      </c>
      <c r="AV149" s="145">
        <v>3450</v>
      </c>
      <c r="AW149" s="145">
        <v>-14</v>
      </c>
      <c r="AY149" s="5">
        <v>127</v>
      </c>
      <c r="AZ149" s="413" t="s">
        <v>3048</v>
      </c>
      <c r="BA149" s="145">
        <v>548</v>
      </c>
      <c r="BB149" s="146">
        <v>2.82</v>
      </c>
      <c r="BC149" s="145">
        <v>4141</v>
      </c>
      <c r="BD149" s="145">
        <v>-15</v>
      </c>
      <c r="BF149" s="5">
        <v>127</v>
      </c>
      <c r="BG149" s="413" t="s">
        <v>718</v>
      </c>
      <c r="BH149" s="145"/>
      <c r="BI149" s="146"/>
      <c r="BJ149" s="145"/>
      <c r="BK149" s="145"/>
      <c r="BM149" s="5">
        <v>127</v>
      </c>
      <c r="BN149" s="413" t="s">
        <v>3049</v>
      </c>
      <c r="BO149" s="145">
        <v>760</v>
      </c>
      <c r="BP149" s="146">
        <v>2.69</v>
      </c>
      <c r="BQ149" s="145">
        <v>4432</v>
      </c>
      <c r="BR149" s="145">
        <v>-15</v>
      </c>
      <c r="BS149" s="5"/>
      <c r="BT149" s="5">
        <v>127</v>
      </c>
      <c r="BU149" s="413" t="s">
        <v>3050</v>
      </c>
      <c r="BV149" s="145">
        <v>866</v>
      </c>
      <c r="BW149" s="146">
        <v>2.57</v>
      </c>
      <c r="BX149" s="145">
        <v>4392</v>
      </c>
      <c r="BY149" s="145">
        <v>-16</v>
      </c>
      <c r="BZ149" s="5"/>
      <c r="CA149" s="5">
        <v>127</v>
      </c>
      <c r="CB149" s="413" t="s">
        <v>718</v>
      </c>
      <c r="CC149" s="145"/>
      <c r="CD149" s="146"/>
      <c r="CE149" s="145"/>
      <c r="CF149" s="145"/>
      <c r="CG149" s="5"/>
      <c r="CH149" s="5"/>
      <c r="CI149" s="5"/>
    </row>
    <row r="150" spans="6:87" ht="16.149999999999999" customHeight="1" x14ac:dyDescent="0.2">
      <c r="F150" s="5"/>
      <c r="M150" s="5">
        <v>128</v>
      </c>
      <c r="N150" s="413" t="str">
        <f t="shared" si="6"/>
        <v xml:space="preserve"> </v>
      </c>
      <c r="O150" s="414">
        <f t="shared" si="7"/>
        <v>0</v>
      </c>
      <c r="P150" s="414">
        <f t="shared" si="8"/>
        <v>0</v>
      </c>
      <c r="Q150" s="145">
        <f t="shared" si="11"/>
        <v>-8</v>
      </c>
      <c r="R150" s="414">
        <f t="shared" si="9"/>
        <v>0</v>
      </c>
      <c r="S150" s="414">
        <f t="shared" si="10"/>
        <v>0</v>
      </c>
      <c r="T150" s="19"/>
      <c r="U150" s="5"/>
      <c r="V150" s="5"/>
      <c r="W150" s="5">
        <v>128</v>
      </c>
      <c r="X150" s="144" t="s">
        <v>718</v>
      </c>
      <c r="Y150" s="145"/>
      <c r="Z150" s="146"/>
      <c r="AA150" s="145"/>
      <c r="AB150" s="145"/>
      <c r="AD150" s="5">
        <v>128</v>
      </c>
      <c r="AE150" s="413" t="s">
        <v>3051</v>
      </c>
      <c r="AF150" s="145">
        <v>137</v>
      </c>
      <c r="AG150" s="146">
        <v>3.44</v>
      </c>
      <c r="AH150" s="145">
        <v>3379</v>
      </c>
      <c r="AI150" s="145">
        <v>-13</v>
      </c>
      <c r="AK150" s="5">
        <v>128</v>
      </c>
      <c r="AL150" s="413" t="s">
        <v>3052</v>
      </c>
      <c r="AM150" s="145">
        <v>1078</v>
      </c>
      <c r="AN150" s="146">
        <v>2.4500000000000002</v>
      </c>
      <c r="AO150" s="145">
        <v>4720</v>
      </c>
      <c r="AP150" s="145">
        <v>-16</v>
      </c>
      <c r="AR150" s="5">
        <v>128</v>
      </c>
      <c r="AS150" s="413" t="s">
        <v>3053</v>
      </c>
      <c r="AT150" s="145">
        <v>164</v>
      </c>
      <c r="AU150" s="146">
        <v>3.25</v>
      </c>
      <c r="AV150" s="145">
        <v>3550</v>
      </c>
      <c r="AW150" s="145">
        <v>-14</v>
      </c>
      <c r="AY150" s="5">
        <v>128</v>
      </c>
      <c r="AZ150" s="413" t="s">
        <v>3054</v>
      </c>
      <c r="BA150" s="145">
        <v>727</v>
      </c>
      <c r="BB150" s="146">
        <v>2.41</v>
      </c>
      <c r="BC150" s="145">
        <v>4469</v>
      </c>
      <c r="BD150" s="145">
        <v>-15</v>
      </c>
      <c r="BF150" s="5">
        <v>128</v>
      </c>
      <c r="BG150" s="413" t="s">
        <v>718</v>
      </c>
      <c r="BH150" s="145"/>
      <c r="BI150" s="146"/>
      <c r="BJ150" s="145"/>
      <c r="BK150" s="145"/>
      <c r="BM150" s="5">
        <v>128</v>
      </c>
      <c r="BN150" s="413" t="s">
        <v>3055</v>
      </c>
      <c r="BO150" s="145">
        <v>565</v>
      </c>
      <c r="BP150" s="146">
        <v>2.95</v>
      </c>
      <c r="BQ150" s="145">
        <v>4143</v>
      </c>
      <c r="BR150" s="145">
        <v>-15</v>
      </c>
      <c r="BS150" s="5"/>
      <c r="BT150" s="5">
        <v>128</v>
      </c>
      <c r="BU150" s="413" t="s">
        <v>3056</v>
      </c>
      <c r="BV150" s="145">
        <v>520</v>
      </c>
      <c r="BW150" s="146">
        <v>2.93</v>
      </c>
      <c r="BX150" s="145">
        <v>3893</v>
      </c>
      <c r="BY150" s="145">
        <v>-15</v>
      </c>
      <c r="BZ150" s="5"/>
      <c r="CA150" s="5">
        <v>128</v>
      </c>
      <c r="CB150" s="413" t="s">
        <v>718</v>
      </c>
      <c r="CC150" s="145"/>
      <c r="CD150" s="146"/>
      <c r="CE150" s="145"/>
      <c r="CF150" s="145"/>
      <c r="CG150" s="5"/>
      <c r="CH150" s="5"/>
      <c r="CI150" s="5"/>
    </row>
    <row r="151" spans="6:87" ht="16.149999999999999" customHeight="1" x14ac:dyDescent="0.2">
      <c r="F151" s="5"/>
      <c r="M151" s="5">
        <v>129</v>
      </c>
      <c r="N151" s="413" t="str">
        <f t="shared" ref="N151:N214" si="12">INDEX(X$23:CG$723,$M151,(Bundesland-1)*7+1)</f>
        <v xml:space="preserve"> </v>
      </c>
      <c r="O151" s="414">
        <f t="shared" ref="O151:O214" si="13">INDEX(Y$23:CH$723,$M151,(Bundesland-1)*7+1)</f>
        <v>0</v>
      </c>
      <c r="P151" s="414">
        <f t="shared" ref="P151:P214" si="14">INDEX(Z$23:CI$723,$M151,(Bundesland-1)*7+1)</f>
        <v>0</v>
      </c>
      <c r="Q151" s="145">
        <f t="shared" si="11"/>
        <v>-8</v>
      </c>
      <c r="R151" s="414">
        <f t="shared" ref="R151:R214" si="15">INDEX(AA$23:CK$723,$M151,(Bundesland-1)*7+1)</f>
        <v>0</v>
      </c>
      <c r="S151" s="414">
        <f t="shared" ref="S151:S214" si="16">INDEX(AB$23:CL$723,$M151,(Bundesland-1)*7+1)</f>
        <v>0</v>
      </c>
      <c r="T151" s="19"/>
      <c r="U151" s="5"/>
      <c r="V151" s="5"/>
      <c r="W151" s="5">
        <v>129</v>
      </c>
      <c r="X151" s="144" t="s">
        <v>718</v>
      </c>
      <c r="Y151" s="145"/>
      <c r="Z151" s="146"/>
      <c r="AA151" s="145"/>
      <c r="AB151" s="145"/>
      <c r="AD151" s="5">
        <v>129</v>
      </c>
      <c r="AE151" s="413" t="s">
        <v>718</v>
      </c>
      <c r="AF151" s="145"/>
      <c r="AG151" s="146"/>
      <c r="AH151" s="145"/>
      <c r="AI151" s="145"/>
      <c r="AK151" s="5">
        <v>129</v>
      </c>
      <c r="AL151" s="413" t="s">
        <v>3057</v>
      </c>
      <c r="AM151" s="145">
        <v>601</v>
      </c>
      <c r="AN151" s="146">
        <v>2.76</v>
      </c>
      <c r="AO151" s="145">
        <v>4016</v>
      </c>
      <c r="AP151" s="145">
        <v>-14</v>
      </c>
      <c r="AR151" s="5">
        <v>129</v>
      </c>
      <c r="AS151" s="413" t="s">
        <v>3058</v>
      </c>
      <c r="AT151" s="145">
        <v>171</v>
      </c>
      <c r="AU151" s="146">
        <v>3.46</v>
      </c>
      <c r="AV151" s="145">
        <v>3440</v>
      </c>
      <c r="AW151" s="145">
        <v>-14</v>
      </c>
      <c r="AY151" s="5">
        <v>129</v>
      </c>
      <c r="AZ151" s="413" t="s">
        <v>3059</v>
      </c>
      <c r="BA151" s="145">
        <v>600</v>
      </c>
      <c r="BB151" s="146">
        <v>2.52</v>
      </c>
      <c r="BC151" s="145">
        <v>4387</v>
      </c>
      <c r="BD151" s="145">
        <v>-16</v>
      </c>
      <c r="BF151" s="5">
        <v>129</v>
      </c>
      <c r="BG151" s="413" t="s">
        <v>718</v>
      </c>
      <c r="BH151" s="145"/>
      <c r="BI151" s="146"/>
      <c r="BJ151" s="145"/>
      <c r="BK151" s="145"/>
      <c r="BM151" s="5">
        <v>129</v>
      </c>
      <c r="BN151" s="413" t="s">
        <v>3060</v>
      </c>
      <c r="BO151" s="145">
        <v>554</v>
      </c>
      <c r="BP151" s="146">
        <v>2.91</v>
      </c>
      <c r="BQ151" s="145">
        <v>4119</v>
      </c>
      <c r="BR151" s="145">
        <v>-14</v>
      </c>
      <c r="BS151" s="5"/>
      <c r="BT151" s="5">
        <v>129</v>
      </c>
      <c r="BU151" s="413" t="s">
        <v>3061</v>
      </c>
      <c r="BV151" s="145">
        <v>637</v>
      </c>
      <c r="BW151" s="146">
        <v>2.72</v>
      </c>
      <c r="BX151" s="145">
        <v>4129</v>
      </c>
      <c r="BY151" s="145">
        <v>-16</v>
      </c>
      <c r="BZ151" s="5"/>
      <c r="CA151" s="5">
        <v>129</v>
      </c>
      <c r="CB151" s="413" t="s">
        <v>718</v>
      </c>
      <c r="CC151" s="145"/>
      <c r="CD151" s="146"/>
      <c r="CE151" s="145"/>
      <c r="CF151" s="145"/>
      <c r="CG151" s="5"/>
      <c r="CH151" s="5"/>
      <c r="CI151" s="5"/>
    </row>
    <row r="152" spans="6:87" ht="16.149999999999999" customHeight="1" x14ac:dyDescent="0.2">
      <c r="F152" s="5"/>
      <c r="M152" s="5">
        <v>130</v>
      </c>
      <c r="N152" s="413" t="str">
        <f t="shared" si="12"/>
        <v xml:space="preserve"> </v>
      </c>
      <c r="O152" s="414">
        <f t="shared" si="13"/>
        <v>0</v>
      </c>
      <c r="P152" s="414">
        <f t="shared" si="14"/>
        <v>0</v>
      </c>
      <c r="Q152" s="145">
        <f t="shared" ref="Q152:Q215" si="17">MIN(S152+Zuschlag_A,-8)</f>
        <v>-8</v>
      </c>
      <c r="R152" s="414">
        <f t="shared" si="15"/>
        <v>0</v>
      </c>
      <c r="S152" s="414">
        <f t="shared" si="16"/>
        <v>0</v>
      </c>
      <c r="T152" s="19"/>
      <c r="U152" s="5"/>
      <c r="V152" s="5"/>
      <c r="W152" s="5">
        <v>130</v>
      </c>
      <c r="X152" s="144" t="s">
        <v>718</v>
      </c>
      <c r="Y152" s="145"/>
      <c r="Z152" s="146"/>
      <c r="AA152" s="145"/>
      <c r="AB152" s="145"/>
      <c r="AD152" s="5">
        <v>130</v>
      </c>
      <c r="AE152" s="413" t="s">
        <v>718</v>
      </c>
      <c r="AF152" s="145"/>
      <c r="AG152" s="146"/>
      <c r="AH152" s="145"/>
      <c r="AI152" s="145"/>
      <c r="AK152" s="5">
        <v>130</v>
      </c>
      <c r="AL152" s="413" t="s">
        <v>3062</v>
      </c>
      <c r="AM152" s="145">
        <v>786</v>
      </c>
      <c r="AN152" s="146">
        <v>2.81</v>
      </c>
      <c r="AO152" s="145">
        <v>4264</v>
      </c>
      <c r="AP152" s="145">
        <v>-15</v>
      </c>
      <c r="AR152" s="5">
        <v>130</v>
      </c>
      <c r="AS152" s="413" t="s">
        <v>3063</v>
      </c>
      <c r="AT152" s="145">
        <v>779</v>
      </c>
      <c r="AU152" s="146">
        <v>2</v>
      </c>
      <c r="AV152" s="145">
        <v>4951</v>
      </c>
      <c r="AW152" s="145">
        <v>-18</v>
      </c>
      <c r="AY152" s="5">
        <v>130</v>
      </c>
      <c r="AZ152" s="413" t="s">
        <v>3064</v>
      </c>
      <c r="BA152" s="145">
        <v>546</v>
      </c>
      <c r="BB152" s="146">
        <v>2.78</v>
      </c>
      <c r="BC152" s="145">
        <v>4150</v>
      </c>
      <c r="BD152" s="145">
        <v>-16</v>
      </c>
      <c r="BF152" s="5">
        <v>130</v>
      </c>
      <c r="BG152" s="413" t="s">
        <v>718</v>
      </c>
      <c r="BH152" s="145"/>
      <c r="BI152" s="146"/>
      <c r="BJ152" s="145"/>
      <c r="BK152" s="145"/>
      <c r="BM152" s="5">
        <v>130</v>
      </c>
      <c r="BN152" s="413" t="s">
        <v>3065</v>
      </c>
      <c r="BO152" s="145">
        <v>334</v>
      </c>
      <c r="BP152" s="146">
        <v>3.31</v>
      </c>
      <c r="BQ152" s="145">
        <v>3454</v>
      </c>
      <c r="BR152" s="145">
        <v>-13</v>
      </c>
      <c r="BS152" s="5"/>
      <c r="BT152" s="5">
        <v>130</v>
      </c>
      <c r="BU152" s="413" t="s">
        <v>3066</v>
      </c>
      <c r="BV152" s="145">
        <v>1130</v>
      </c>
      <c r="BW152" s="146">
        <v>2.41</v>
      </c>
      <c r="BX152" s="145">
        <v>4979</v>
      </c>
      <c r="BY152" s="145">
        <v>-17</v>
      </c>
      <c r="BZ152" s="5"/>
      <c r="CA152" s="5">
        <v>130</v>
      </c>
      <c r="CB152" s="413" t="s">
        <v>718</v>
      </c>
      <c r="CC152" s="145"/>
      <c r="CD152" s="146"/>
      <c r="CE152" s="145"/>
      <c r="CF152" s="145"/>
      <c r="CG152" s="5"/>
      <c r="CH152" s="5"/>
      <c r="CI152" s="5"/>
    </row>
    <row r="153" spans="6:87" ht="16.149999999999999" customHeight="1" x14ac:dyDescent="0.2">
      <c r="F153" s="5"/>
      <c r="M153" s="5">
        <v>131</v>
      </c>
      <c r="N153" s="413" t="str">
        <f t="shared" si="12"/>
        <v xml:space="preserve"> </v>
      </c>
      <c r="O153" s="414">
        <f t="shared" si="13"/>
        <v>0</v>
      </c>
      <c r="P153" s="414">
        <f t="shared" si="14"/>
        <v>0</v>
      </c>
      <c r="Q153" s="145">
        <f t="shared" si="17"/>
        <v>-8</v>
      </c>
      <c r="R153" s="414">
        <f t="shared" si="15"/>
        <v>0</v>
      </c>
      <c r="S153" s="414">
        <f t="shared" si="16"/>
        <v>0</v>
      </c>
      <c r="T153" s="19"/>
      <c r="U153" s="5"/>
      <c r="V153" s="5"/>
      <c r="W153" s="5">
        <v>131</v>
      </c>
      <c r="X153" s="144" t="s">
        <v>718</v>
      </c>
      <c r="Y153" s="145"/>
      <c r="Z153" s="146"/>
      <c r="AA153" s="145"/>
      <c r="AB153" s="145"/>
      <c r="AD153" s="5">
        <v>131</v>
      </c>
      <c r="AE153" s="413" t="s">
        <v>718</v>
      </c>
      <c r="AF153" s="145"/>
      <c r="AG153" s="146"/>
      <c r="AH153" s="145"/>
      <c r="AI153" s="145"/>
      <c r="AK153" s="5">
        <v>131</v>
      </c>
      <c r="AL153" s="413" t="s">
        <v>3067</v>
      </c>
      <c r="AM153" s="145">
        <v>715</v>
      </c>
      <c r="AN153" s="146">
        <v>2.9</v>
      </c>
      <c r="AO153" s="145">
        <v>4104</v>
      </c>
      <c r="AP153" s="145">
        <v>-15</v>
      </c>
      <c r="AR153" s="5">
        <v>131</v>
      </c>
      <c r="AS153" s="413" t="s">
        <v>3068</v>
      </c>
      <c r="AT153" s="145">
        <v>187</v>
      </c>
      <c r="AU153" s="146">
        <v>3.41</v>
      </c>
      <c r="AV153" s="145">
        <v>3551</v>
      </c>
      <c r="AW153" s="145">
        <v>-13</v>
      </c>
      <c r="AY153" s="5">
        <v>131</v>
      </c>
      <c r="AZ153" s="413" t="s">
        <v>3069</v>
      </c>
      <c r="BA153" s="145">
        <v>345</v>
      </c>
      <c r="BB153" s="146">
        <v>3.14</v>
      </c>
      <c r="BC153" s="145">
        <v>3710</v>
      </c>
      <c r="BD153" s="145">
        <v>-14</v>
      </c>
      <c r="BF153" s="5">
        <v>131</v>
      </c>
      <c r="BG153" s="413" t="s">
        <v>718</v>
      </c>
      <c r="BH153" s="145"/>
      <c r="BI153" s="146"/>
      <c r="BJ153" s="145"/>
      <c r="BK153" s="145"/>
      <c r="BM153" s="5">
        <v>131</v>
      </c>
      <c r="BN153" s="413" t="s">
        <v>3070</v>
      </c>
      <c r="BO153" s="145">
        <v>370</v>
      </c>
      <c r="BP153" s="146">
        <v>3.2</v>
      </c>
      <c r="BQ153" s="145">
        <v>3544</v>
      </c>
      <c r="BR153" s="145">
        <v>-13</v>
      </c>
      <c r="BS153" s="5"/>
      <c r="BT153" s="5">
        <v>131</v>
      </c>
      <c r="BU153" s="413" t="s">
        <v>3071</v>
      </c>
      <c r="BV153" s="145">
        <v>854</v>
      </c>
      <c r="BW153" s="146">
        <v>2.73</v>
      </c>
      <c r="BX153" s="145">
        <v>4610</v>
      </c>
      <c r="BY153" s="145">
        <v>-19</v>
      </c>
      <c r="BZ153" s="5"/>
      <c r="CA153" s="5">
        <v>131</v>
      </c>
      <c r="CB153" s="413" t="s">
        <v>718</v>
      </c>
      <c r="CC153" s="145"/>
      <c r="CD153" s="146"/>
      <c r="CE153" s="145"/>
      <c r="CF153" s="145"/>
      <c r="CG153" s="5"/>
      <c r="CH153" s="5"/>
      <c r="CI153" s="5"/>
    </row>
    <row r="154" spans="6:87" ht="16.149999999999999" customHeight="1" x14ac:dyDescent="0.2">
      <c r="F154" s="5"/>
      <c r="M154" s="5">
        <v>132</v>
      </c>
      <c r="N154" s="413" t="str">
        <f t="shared" si="12"/>
        <v xml:space="preserve"> </v>
      </c>
      <c r="O154" s="414">
        <f t="shared" si="13"/>
        <v>0</v>
      </c>
      <c r="P154" s="414">
        <f t="shared" si="14"/>
        <v>0</v>
      </c>
      <c r="Q154" s="145">
        <f t="shared" si="17"/>
        <v>-8</v>
      </c>
      <c r="R154" s="414">
        <f t="shared" si="15"/>
        <v>0</v>
      </c>
      <c r="S154" s="414">
        <f t="shared" si="16"/>
        <v>0</v>
      </c>
      <c r="T154" s="19"/>
      <c r="U154" s="5"/>
      <c r="V154" s="5"/>
      <c r="W154" s="5">
        <v>132</v>
      </c>
      <c r="X154" s="144" t="s">
        <v>718</v>
      </c>
      <c r="Y154" s="145"/>
      <c r="Z154" s="146"/>
      <c r="AA154" s="145"/>
      <c r="AB154" s="145"/>
      <c r="AD154" s="5">
        <v>132</v>
      </c>
      <c r="AE154" s="413" t="s">
        <v>718</v>
      </c>
      <c r="AF154" s="145"/>
      <c r="AG154" s="146"/>
      <c r="AH154" s="145"/>
      <c r="AI154" s="145"/>
      <c r="AK154" s="5">
        <v>132</v>
      </c>
      <c r="AL154" s="413" t="s">
        <v>3072</v>
      </c>
      <c r="AM154" s="145">
        <v>864</v>
      </c>
      <c r="AN154" s="146">
        <v>2.42</v>
      </c>
      <c r="AO154" s="145">
        <v>4396</v>
      </c>
      <c r="AP154" s="145">
        <v>-15</v>
      </c>
      <c r="AR154" s="5">
        <v>132</v>
      </c>
      <c r="AS154" s="413" t="s">
        <v>3073</v>
      </c>
      <c r="AT154" s="145">
        <v>772</v>
      </c>
      <c r="AU154" s="146">
        <v>2.08</v>
      </c>
      <c r="AV154" s="145">
        <v>4911</v>
      </c>
      <c r="AW154" s="145">
        <v>-18</v>
      </c>
      <c r="AY154" s="5">
        <v>132</v>
      </c>
      <c r="AZ154" s="413" t="s">
        <v>3074</v>
      </c>
      <c r="BA154" s="145">
        <v>310</v>
      </c>
      <c r="BB154" s="146">
        <v>2.97</v>
      </c>
      <c r="BC154" s="145">
        <v>3917</v>
      </c>
      <c r="BD154" s="145">
        <v>-15</v>
      </c>
      <c r="BF154" s="5">
        <v>132</v>
      </c>
      <c r="BG154" s="413" t="s">
        <v>718</v>
      </c>
      <c r="BH154" s="145"/>
      <c r="BI154" s="146"/>
      <c r="BJ154" s="145"/>
      <c r="BK154" s="145"/>
      <c r="BM154" s="5">
        <v>132</v>
      </c>
      <c r="BN154" s="413" t="s">
        <v>3075</v>
      </c>
      <c r="BO154" s="145">
        <v>500</v>
      </c>
      <c r="BP154" s="146">
        <v>3.04</v>
      </c>
      <c r="BQ154" s="145">
        <v>3783</v>
      </c>
      <c r="BR154" s="145">
        <v>-14</v>
      </c>
      <c r="BS154" s="5"/>
      <c r="BT154" s="5">
        <v>132</v>
      </c>
      <c r="BU154" s="413" t="s">
        <v>3076</v>
      </c>
      <c r="BV154" s="145">
        <v>877</v>
      </c>
      <c r="BW154" s="146">
        <v>2.5499999999999998</v>
      </c>
      <c r="BX154" s="145">
        <v>4432</v>
      </c>
      <c r="BY154" s="145">
        <v>-16</v>
      </c>
      <c r="BZ154" s="5"/>
      <c r="CA154" s="5">
        <v>132</v>
      </c>
      <c r="CB154" s="413" t="s">
        <v>718</v>
      </c>
      <c r="CC154" s="145"/>
      <c r="CD154" s="146"/>
      <c r="CE154" s="145"/>
      <c r="CF154" s="145"/>
      <c r="CG154" s="5"/>
      <c r="CH154" s="5"/>
      <c r="CI154" s="5"/>
    </row>
    <row r="155" spans="6:87" ht="16.149999999999999" customHeight="1" x14ac:dyDescent="0.2">
      <c r="F155" s="5"/>
      <c r="M155" s="5">
        <v>133</v>
      </c>
      <c r="N155" s="413" t="str">
        <f t="shared" si="12"/>
        <v xml:space="preserve"> </v>
      </c>
      <c r="O155" s="414">
        <f t="shared" si="13"/>
        <v>0</v>
      </c>
      <c r="P155" s="414">
        <f t="shared" si="14"/>
        <v>0</v>
      </c>
      <c r="Q155" s="145">
        <f t="shared" si="17"/>
        <v>-8</v>
      </c>
      <c r="R155" s="414">
        <f t="shared" si="15"/>
        <v>0</v>
      </c>
      <c r="S155" s="414">
        <f t="shared" si="16"/>
        <v>0</v>
      </c>
      <c r="T155" s="19"/>
      <c r="U155" s="5"/>
      <c r="V155" s="5"/>
      <c r="W155" s="5">
        <v>133</v>
      </c>
      <c r="X155" s="144" t="s">
        <v>718</v>
      </c>
      <c r="Y155" s="145"/>
      <c r="Z155" s="146"/>
      <c r="AA155" s="145"/>
      <c r="AB155" s="145"/>
      <c r="AD155" s="5">
        <v>133</v>
      </c>
      <c r="AE155" s="413" t="s">
        <v>718</v>
      </c>
      <c r="AF155" s="145"/>
      <c r="AG155" s="146"/>
      <c r="AH155" s="145"/>
      <c r="AI155" s="145"/>
      <c r="AK155" s="5">
        <v>133</v>
      </c>
      <c r="AL155" s="413" t="s">
        <v>3077</v>
      </c>
      <c r="AM155" s="145">
        <v>604</v>
      </c>
      <c r="AN155" s="146">
        <v>2.72</v>
      </c>
      <c r="AO155" s="145">
        <v>4096</v>
      </c>
      <c r="AP155" s="145">
        <v>-15</v>
      </c>
      <c r="AR155" s="5">
        <v>133</v>
      </c>
      <c r="AS155" s="413" t="s">
        <v>3078</v>
      </c>
      <c r="AT155" s="145">
        <v>179</v>
      </c>
      <c r="AU155" s="146">
        <v>3.46</v>
      </c>
      <c r="AV155" s="145">
        <v>3424</v>
      </c>
      <c r="AW155" s="145">
        <v>-13</v>
      </c>
      <c r="AY155" s="5">
        <v>133</v>
      </c>
      <c r="AZ155" s="413" t="s">
        <v>3079</v>
      </c>
      <c r="BA155" s="145">
        <v>479</v>
      </c>
      <c r="BB155" s="146">
        <v>3</v>
      </c>
      <c r="BC155" s="145">
        <v>3944</v>
      </c>
      <c r="BD155" s="145">
        <v>-14</v>
      </c>
      <c r="BF155" s="5">
        <v>133</v>
      </c>
      <c r="BG155" s="413" t="s">
        <v>718</v>
      </c>
      <c r="BH155" s="145"/>
      <c r="BI155" s="146"/>
      <c r="BJ155" s="145"/>
      <c r="BK155" s="145"/>
      <c r="BM155" s="5">
        <v>133</v>
      </c>
      <c r="BN155" s="413" t="s">
        <v>3080</v>
      </c>
      <c r="BO155" s="145">
        <v>283</v>
      </c>
      <c r="BP155" s="146">
        <v>3.22</v>
      </c>
      <c r="BQ155" s="145">
        <v>3558</v>
      </c>
      <c r="BR155" s="145">
        <v>-13</v>
      </c>
      <c r="BS155" s="5"/>
      <c r="BT155" s="5">
        <v>133</v>
      </c>
      <c r="BU155" s="413" t="s">
        <v>3081</v>
      </c>
      <c r="BV155" s="145">
        <v>667</v>
      </c>
      <c r="BW155" s="146">
        <v>2.56</v>
      </c>
      <c r="BX155" s="145">
        <v>4133</v>
      </c>
      <c r="BY155" s="145">
        <v>-16</v>
      </c>
      <c r="BZ155" s="5"/>
      <c r="CA155" s="5">
        <v>133</v>
      </c>
      <c r="CB155" s="413" t="s">
        <v>718</v>
      </c>
      <c r="CC155" s="145"/>
      <c r="CD155" s="146"/>
      <c r="CE155" s="145"/>
      <c r="CF155" s="145"/>
      <c r="CG155" s="5"/>
      <c r="CH155" s="5"/>
      <c r="CI155" s="5"/>
    </row>
    <row r="156" spans="6:87" ht="16.149999999999999" customHeight="1" x14ac:dyDescent="0.2">
      <c r="F156" s="5"/>
      <c r="M156" s="5">
        <v>134</v>
      </c>
      <c r="N156" s="413" t="str">
        <f t="shared" si="12"/>
        <v xml:space="preserve"> </v>
      </c>
      <c r="O156" s="414">
        <f t="shared" si="13"/>
        <v>0</v>
      </c>
      <c r="P156" s="414">
        <f t="shared" si="14"/>
        <v>0</v>
      </c>
      <c r="Q156" s="145">
        <f t="shared" si="17"/>
        <v>-8</v>
      </c>
      <c r="R156" s="414">
        <f t="shared" si="15"/>
        <v>0</v>
      </c>
      <c r="S156" s="414">
        <f t="shared" si="16"/>
        <v>0</v>
      </c>
      <c r="T156" s="19"/>
      <c r="U156" s="5"/>
      <c r="V156" s="5"/>
      <c r="W156" s="5">
        <v>134</v>
      </c>
      <c r="X156" s="144" t="s">
        <v>718</v>
      </c>
      <c r="Y156" s="145"/>
      <c r="Z156" s="146"/>
      <c r="AA156" s="145"/>
      <c r="AB156" s="145"/>
      <c r="AD156" s="5">
        <v>134</v>
      </c>
      <c r="AE156" s="413" t="s">
        <v>718</v>
      </c>
      <c r="AF156" s="145"/>
      <c r="AG156" s="146"/>
      <c r="AH156" s="145"/>
      <c r="AI156" s="145"/>
      <c r="AK156" s="5">
        <v>134</v>
      </c>
      <c r="AL156" s="413" t="s">
        <v>3082</v>
      </c>
      <c r="AM156" s="145">
        <v>799</v>
      </c>
      <c r="AN156" s="146">
        <v>2.78</v>
      </c>
      <c r="AO156" s="145">
        <v>4322</v>
      </c>
      <c r="AP156" s="145">
        <v>-14</v>
      </c>
      <c r="AR156" s="5">
        <v>134</v>
      </c>
      <c r="AS156" s="413" t="s">
        <v>3083</v>
      </c>
      <c r="AT156" s="145">
        <v>190</v>
      </c>
      <c r="AU156" s="146">
        <v>3.42</v>
      </c>
      <c r="AV156" s="145">
        <v>3482</v>
      </c>
      <c r="AW156" s="145">
        <v>-13</v>
      </c>
      <c r="AY156" s="5">
        <v>134</v>
      </c>
      <c r="AZ156" s="413" t="s">
        <v>3084</v>
      </c>
      <c r="BA156" s="145">
        <v>276</v>
      </c>
      <c r="BB156" s="146">
        <v>3.29</v>
      </c>
      <c r="BC156" s="145">
        <v>3660</v>
      </c>
      <c r="BD156" s="145">
        <v>-14</v>
      </c>
      <c r="BF156" s="5">
        <v>134</v>
      </c>
      <c r="BG156" s="413" t="s">
        <v>718</v>
      </c>
      <c r="BH156" s="145"/>
      <c r="BI156" s="146"/>
      <c r="BJ156" s="145"/>
      <c r="BK156" s="145"/>
      <c r="BM156" s="5">
        <v>134</v>
      </c>
      <c r="BN156" s="413" t="s">
        <v>3085</v>
      </c>
      <c r="BO156" s="145">
        <v>645</v>
      </c>
      <c r="BP156" s="146">
        <v>2.2000000000000002</v>
      </c>
      <c r="BQ156" s="145">
        <v>4342</v>
      </c>
      <c r="BR156" s="145">
        <v>-16</v>
      </c>
      <c r="BS156" s="5"/>
      <c r="BT156" s="5">
        <v>134</v>
      </c>
      <c r="BU156" s="413" t="s">
        <v>3086</v>
      </c>
      <c r="BV156" s="145">
        <v>918</v>
      </c>
      <c r="BW156" s="146">
        <v>2.98</v>
      </c>
      <c r="BX156" s="145">
        <v>4475</v>
      </c>
      <c r="BY156" s="145">
        <v>-15</v>
      </c>
      <c r="BZ156" s="5"/>
      <c r="CA156" s="5">
        <v>134</v>
      </c>
      <c r="CB156" s="413" t="s">
        <v>718</v>
      </c>
      <c r="CC156" s="145"/>
      <c r="CD156" s="146"/>
      <c r="CE156" s="145"/>
      <c r="CF156" s="145"/>
      <c r="CG156" s="5"/>
      <c r="CH156" s="5"/>
      <c r="CI156" s="5"/>
    </row>
    <row r="157" spans="6:87" ht="16.149999999999999" customHeight="1" x14ac:dyDescent="0.2">
      <c r="F157" s="5"/>
      <c r="M157" s="5">
        <v>135</v>
      </c>
      <c r="N157" s="413" t="str">
        <f t="shared" si="12"/>
        <v xml:space="preserve"> </v>
      </c>
      <c r="O157" s="414">
        <f t="shared" si="13"/>
        <v>0</v>
      </c>
      <c r="P157" s="414">
        <f t="shared" si="14"/>
        <v>0</v>
      </c>
      <c r="Q157" s="145">
        <f t="shared" si="17"/>
        <v>-8</v>
      </c>
      <c r="R157" s="414">
        <f t="shared" si="15"/>
        <v>0</v>
      </c>
      <c r="S157" s="414">
        <f t="shared" si="16"/>
        <v>0</v>
      </c>
      <c r="T157" s="19"/>
      <c r="U157" s="5"/>
      <c r="V157" s="5"/>
      <c r="W157" s="5">
        <v>135</v>
      </c>
      <c r="X157" s="144" t="s">
        <v>718</v>
      </c>
      <c r="Y157" s="145"/>
      <c r="Z157" s="146"/>
      <c r="AA157" s="145"/>
      <c r="AB157" s="145"/>
      <c r="AD157" s="5">
        <v>135</v>
      </c>
      <c r="AE157" s="413" t="s">
        <v>718</v>
      </c>
      <c r="AF157" s="145"/>
      <c r="AG157" s="146"/>
      <c r="AH157" s="145"/>
      <c r="AI157" s="145"/>
      <c r="AK157" s="5">
        <v>135</v>
      </c>
      <c r="AL157" s="413" t="s">
        <v>3087</v>
      </c>
      <c r="AM157" s="145">
        <v>460</v>
      </c>
      <c r="AN157" s="146">
        <v>2.46</v>
      </c>
      <c r="AO157" s="145">
        <v>3893</v>
      </c>
      <c r="AP157" s="145">
        <v>-16</v>
      </c>
      <c r="AR157" s="5">
        <v>135</v>
      </c>
      <c r="AS157" s="413" t="s">
        <v>3088</v>
      </c>
      <c r="AT157" s="145">
        <v>407</v>
      </c>
      <c r="AU157" s="146">
        <v>3.07</v>
      </c>
      <c r="AV157" s="145">
        <v>3961</v>
      </c>
      <c r="AW157" s="145">
        <v>-15</v>
      </c>
      <c r="AY157" s="5">
        <v>135</v>
      </c>
      <c r="AZ157" s="413" t="s">
        <v>3089</v>
      </c>
      <c r="BA157" s="145">
        <v>440</v>
      </c>
      <c r="BB157" s="146">
        <v>3.32</v>
      </c>
      <c r="BC157" s="145">
        <v>3819</v>
      </c>
      <c r="BD157" s="145">
        <v>-14</v>
      </c>
      <c r="BF157" s="5">
        <v>135</v>
      </c>
      <c r="BG157" s="413" t="s">
        <v>718</v>
      </c>
      <c r="BH157" s="145"/>
      <c r="BI157" s="146"/>
      <c r="BJ157" s="145"/>
      <c r="BK157" s="145"/>
      <c r="BM157" s="5">
        <v>135</v>
      </c>
      <c r="BN157" s="413" t="s">
        <v>3090</v>
      </c>
      <c r="BO157" s="145">
        <v>450</v>
      </c>
      <c r="BP157" s="146">
        <v>2.95</v>
      </c>
      <c r="BQ157" s="145">
        <v>3904</v>
      </c>
      <c r="BR157" s="145">
        <v>-14</v>
      </c>
      <c r="BS157" s="5"/>
      <c r="BT157" s="5">
        <v>135</v>
      </c>
      <c r="BU157" s="413" t="s">
        <v>3091</v>
      </c>
      <c r="BV157" s="145">
        <v>697</v>
      </c>
      <c r="BW157" s="146">
        <v>2.46</v>
      </c>
      <c r="BX157" s="145">
        <v>4139</v>
      </c>
      <c r="BY157" s="145">
        <v>-16</v>
      </c>
      <c r="BZ157" s="5"/>
      <c r="CA157" s="5">
        <v>135</v>
      </c>
      <c r="CB157" s="413" t="s">
        <v>718</v>
      </c>
      <c r="CC157" s="145"/>
      <c r="CD157" s="146"/>
      <c r="CE157" s="145"/>
      <c r="CF157" s="145"/>
      <c r="CG157" s="5"/>
      <c r="CH157" s="5"/>
      <c r="CI157" s="5"/>
    </row>
    <row r="158" spans="6:87" ht="16.149999999999999" customHeight="1" x14ac:dyDescent="0.2">
      <c r="M158" s="5">
        <v>136</v>
      </c>
      <c r="N158" s="413" t="str">
        <f t="shared" si="12"/>
        <v xml:space="preserve"> </v>
      </c>
      <c r="O158" s="414">
        <f t="shared" si="13"/>
        <v>0</v>
      </c>
      <c r="P158" s="414">
        <f t="shared" si="14"/>
        <v>0</v>
      </c>
      <c r="Q158" s="145">
        <f t="shared" si="17"/>
        <v>-8</v>
      </c>
      <c r="R158" s="414">
        <f t="shared" si="15"/>
        <v>0</v>
      </c>
      <c r="S158" s="414">
        <f t="shared" si="16"/>
        <v>0</v>
      </c>
      <c r="T158" s="19"/>
      <c r="U158" s="5"/>
      <c r="V158" s="5"/>
      <c r="W158" s="5">
        <v>136</v>
      </c>
      <c r="X158" s="144" t="s">
        <v>718</v>
      </c>
      <c r="Y158" s="145"/>
      <c r="Z158" s="146"/>
      <c r="AA158" s="145"/>
      <c r="AB158" s="145"/>
      <c r="AD158" s="5">
        <v>136</v>
      </c>
      <c r="AE158" s="413" t="s">
        <v>718</v>
      </c>
      <c r="AF158" s="145"/>
      <c r="AG158" s="146"/>
      <c r="AH158" s="145"/>
      <c r="AI158" s="145"/>
      <c r="AK158" s="5">
        <v>136</v>
      </c>
      <c r="AL158" s="413" t="s">
        <v>3092</v>
      </c>
      <c r="AM158" s="145">
        <v>660</v>
      </c>
      <c r="AN158" s="146">
        <v>2.4500000000000002</v>
      </c>
      <c r="AO158" s="145">
        <v>4283</v>
      </c>
      <c r="AP158" s="145">
        <v>-15</v>
      </c>
      <c r="AR158" s="5">
        <v>136</v>
      </c>
      <c r="AS158" s="413" t="s">
        <v>3093</v>
      </c>
      <c r="AT158" s="145">
        <v>410</v>
      </c>
      <c r="AU158" s="146">
        <v>3.1</v>
      </c>
      <c r="AV158" s="145">
        <v>3886</v>
      </c>
      <c r="AW158" s="145">
        <v>-14</v>
      </c>
      <c r="AY158" s="5">
        <v>136</v>
      </c>
      <c r="AZ158" s="413" t="s">
        <v>3094</v>
      </c>
      <c r="BA158" s="145">
        <v>367</v>
      </c>
      <c r="BB158" s="146">
        <v>2.96</v>
      </c>
      <c r="BC158" s="145">
        <v>3920</v>
      </c>
      <c r="BD158" s="145">
        <v>-15</v>
      </c>
      <c r="BF158" s="5">
        <v>136</v>
      </c>
      <c r="BG158" s="413" t="s">
        <v>718</v>
      </c>
      <c r="BH158" s="145"/>
      <c r="BI158" s="146"/>
      <c r="BJ158" s="145"/>
      <c r="BK158" s="145"/>
      <c r="BM158" s="5">
        <v>136</v>
      </c>
      <c r="BN158" s="413" t="s">
        <v>3095</v>
      </c>
      <c r="BO158" s="145">
        <v>480</v>
      </c>
      <c r="BP158" s="146">
        <v>2.94</v>
      </c>
      <c r="BQ158" s="145">
        <v>3907</v>
      </c>
      <c r="BR158" s="145">
        <v>-14</v>
      </c>
      <c r="BS158" s="5"/>
      <c r="BT158" s="5">
        <v>136</v>
      </c>
      <c r="BU158" s="413" t="s">
        <v>3096</v>
      </c>
      <c r="BV158" s="145">
        <v>621</v>
      </c>
      <c r="BW158" s="146">
        <v>3.08</v>
      </c>
      <c r="BX158" s="145">
        <v>3841</v>
      </c>
      <c r="BY158" s="145">
        <v>-14</v>
      </c>
      <c r="BZ158" s="5"/>
      <c r="CA158" s="5">
        <v>136</v>
      </c>
      <c r="CB158" s="413" t="s">
        <v>718</v>
      </c>
      <c r="CC158" s="145"/>
      <c r="CD158" s="146"/>
      <c r="CE158" s="145"/>
      <c r="CF158" s="145"/>
      <c r="CG158" s="5"/>
      <c r="CH158" s="5"/>
      <c r="CI158" s="5"/>
    </row>
    <row r="159" spans="6:87" ht="16.149999999999999" customHeight="1" x14ac:dyDescent="0.2">
      <c r="M159" s="5">
        <v>137</v>
      </c>
      <c r="N159" s="413" t="str">
        <f t="shared" si="12"/>
        <v xml:space="preserve"> </v>
      </c>
      <c r="O159" s="414">
        <f t="shared" si="13"/>
        <v>0</v>
      </c>
      <c r="P159" s="414">
        <f t="shared" si="14"/>
        <v>0</v>
      </c>
      <c r="Q159" s="145">
        <f t="shared" si="17"/>
        <v>-8</v>
      </c>
      <c r="R159" s="414">
        <f t="shared" si="15"/>
        <v>0</v>
      </c>
      <c r="S159" s="414">
        <f t="shared" si="16"/>
        <v>0</v>
      </c>
      <c r="T159" s="19"/>
      <c r="U159" s="5"/>
      <c r="V159" s="5"/>
      <c r="W159" s="5">
        <v>137</v>
      </c>
      <c r="X159" s="144" t="s">
        <v>718</v>
      </c>
      <c r="Y159" s="145"/>
      <c r="Z159" s="146"/>
      <c r="AA159" s="145"/>
      <c r="AB159" s="145"/>
      <c r="AD159" s="5">
        <v>137</v>
      </c>
      <c r="AE159" s="413" t="s">
        <v>718</v>
      </c>
      <c r="AF159" s="145"/>
      <c r="AG159" s="146"/>
      <c r="AH159" s="145"/>
      <c r="AI159" s="145"/>
      <c r="AK159" s="5">
        <v>137</v>
      </c>
      <c r="AL159" s="413" t="s">
        <v>3097</v>
      </c>
      <c r="AM159" s="145">
        <v>1140</v>
      </c>
      <c r="AN159" s="146">
        <v>2</v>
      </c>
      <c r="AO159" s="145">
        <v>5148</v>
      </c>
      <c r="AP159" s="145">
        <v>-19</v>
      </c>
      <c r="AR159" s="5">
        <v>137</v>
      </c>
      <c r="AS159" s="413" t="s">
        <v>3098</v>
      </c>
      <c r="AT159" s="145">
        <v>241</v>
      </c>
      <c r="AU159" s="146">
        <v>3.35</v>
      </c>
      <c r="AV159" s="145">
        <v>3697</v>
      </c>
      <c r="AW159" s="145">
        <v>-14</v>
      </c>
      <c r="AY159" s="5">
        <v>137</v>
      </c>
      <c r="AZ159" s="413" t="s">
        <v>3099</v>
      </c>
      <c r="BA159" s="145">
        <v>402</v>
      </c>
      <c r="BB159" s="146">
        <v>3.1</v>
      </c>
      <c r="BC159" s="145">
        <v>3905</v>
      </c>
      <c r="BD159" s="145">
        <v>-15</v>
      </c>
      <c r="BF159" s="5">
        <v>137</v>
      </c>
      <c r="BG159" s="413" t="s">
        <v>718</v>
      </c>
      <c r="BH159" s="145"/>
      <c r="BI159" s="146"/>
      <c r="BJ159" s="145"/>
      <c r="BK159" s="145"/>
      <c r="BM159" s="5">
        <v>137</v>
      </c>
      <c r="BN159" s="413" t="s">
        <v>3100</v>
      </c>
      <c r="BO159" s="145">
        <v>580</v>
      </c>
      <c r="BP159" s="146">
        <v>2.72</v>
      </c>
      <c r="BQ159" s="145">
        <v>4131</v>
      </c>
      <c r="BR159" s="145">
        <v>-15</v>
      </c>
      <c r="BS159" s="5"/>
      <c r="BT159" s="5">
        <v>137</v>
      </c>
      <c r="BU159" s="413" t="s">
        <v>3101</v>
      </c>
      <c r="BV159" s="145">
        <v>1284</v>
      </c>
      <c r="BW159" s="146">
        <v>1.85</v>
      </c>
      <c r="BX159" s="145">
        <v>5299</v>
      </c>
      <c r="BY159" s="145">
        <v>-18</v>
      </c>
      <c r="BZ159" s="5"/>
      <c r="CA159" s="5">
        <v>137</v>
      </c>
      <c r="CB159" s="413" t="s">
        <v>718</v>
      </c>
      <c r="CC159" s="145"/>
      <c r="CD159" s="146"/>
      <c r="CE159" s="145"/>
      <c r="CF159" s="145"/>
      <c r="CG159" s="5"/>
      <c r="CH159" s="5"/>
      <c r="CI159" s="5"/>
    </row>
    <row r="160" spans="6:87" ht="15.6" customHeight="1" x14ac:dyDescent="0.2">
      <c r="M160" s="5">
        <v>138</v>
      </c>
      <c r="N160" s="413" t="str">
        <f t="shared" si="12"/>
        <v xml:space="preserve"> </v>
      </c>
      <c r="O160" s="414">
        <f t="shared" si="13"/>
        <v>0</v>
      </c>
      <c r="P160" s="414">
        <f t="shared" si="14"/>
        <v>0</v>
      </c>
      <c r="Q160" s="145">
        <f t="shared" si="17"/>
        <v>-8</v>
      </c>
      <c r="R160" s="414">
        <f t="shared" si="15"/>
        <v>0</v>
      </c>
      <c r="S160" s="414">
        <f t="shared" si="16"/>
        <v>0</v>
      </c>
      <c r="T160" s="19"/>
      <c r="U160" s="5"/>
      <c r="V160" s="5"/>
      <c r="W160" s="5">
        <v>138</v>
      </c>
      <c r="X160" s="144" t="s">
        <v>718</v>
      </c>
      <c r="Y160" s="145"/>
      <c r="Z160" s="146"/>
      <c r="AA160" s="145"/>
      <c r="AB160" s="145"/>
      <c r="AD160" s="5">
        <v>138</v>
      </c>
      <c r="AE160" s="413" t="s">
        <v>718</v>
      </c>
      <c r="AF160" s="145"/>
      <c r="AG160" s="146"/>
      <c r="AH160" s="145"/>
      <c r="AI160" s="145"/>
      <c r="AK160" s="5">
        <v>138</v>
      </c>
      <c r="AL160" s="413" t="s">
        <v>3102</v>
      </c>
      <c r="AM160" s="145">
        <v>530</v>
      </c>
      <c r="AN160" s="146">
        <v>2.36</v>
      </c>
      <c r="AO160" s="145">
        <v>4040</v>
      </c>
      <c r="AP160" s="145">
        <v>-16</v>
      </c>
      <c r="AR160" s="5">
        <v>138</v>
      </c>
      <c r="AS160" s="413" t="s">
        <v>3103</v>
      </c>
      <c r="AT160" s="145">
        <v>480</v>
      </c>
      <c r="AU160" s="146">
        <v>2.5499999999999998</v>
      </c>
      <c r="AV160" s="145">
        <v>4222</v>
      </c>
      <c r="AW160" s="145">
        <v>-16</v>
      </c>
      <c r="AY160" s="5">
        <v>138</v>
      </c>
      <c r="AZ160" s="413" t="s">
        <v>3104</v>
      </c>
      <c r="BA160" s="145">
        <v>574</v>
      </c>
      <c r="BB160" s="146">
        <v>2.56</v>
      </c>
      <c r="BC160" s="145">
        <v>4308</v>
      </c>
      <c r="BD160" s="145">
        <v>-15</v>
      </c>
      <c r="BF160" s="5">
        <v>138</v>
      </c>
      <c r="BG160" s="413" t="s">
        <v>718</v>
      </c>
      <c r="BH160" s="145"/>
      <c r="BI160" s="146"/>
      <c r="BJ160" s="145"/>
      <c r="BK160" s="145"/>
      <c r="BM160" s="5">
        <v>138</v>
      </c>
      <c r="BN160" s="413" t="s">
        <v>3105</v>
      </c>
      <c r="BO160" s="145">
        <v>1170</v>
      </c>
      <c r="BP160" s="146">
        <v>2.34</v>
      </c>
      <c r="BQ160" s="145">
        <v>5105</v>
      </c>
      <c r="BR160" s="145">
        <v>-17</v>
      </c>
      <c r="BS160" s="5"/>
      <c r="BT160" s="5">
        <v>138</v>
      </c>
      <c r="BU160" s="413" t="s">
        <v>3106</v>
      </c>
      <c r="BV160" s="145">
        <v>1386</v>
      </c>
      <c r="BW160" s="146">
        <v>1.8</v>
      </c>
      <c r="BX160" s="145">
        <v>5533</v>
      </c>
      <c r="BY160" s="145">
        <v>-17</v>
      </c>
      <c r="BZ160" s="5"/>
      <c r="CA160" s="5">
        <v>138</v>
      </c>
      <c r="CB160" s="413" t="s">
        <v>718</v>
      </c>
      <c r="CC160" s="145"/>
      <c r="CD160" s="146"/>
      <c r="CE160" s="145"/>
      <c r="CF160" s="145"/>
      <c r="CG160" s="5"/>
      <c r="CH160" s="5"/>
      <c r="CI160" s="5"/>
    </row>
    <row r="161" spans="13:87" ht="16.149999999999999" customHeight="1" x14ac:dyDescent="0.2">
      <c r="M161" s="5">
        <v>139</v>
      </c>
      <c r="N161" s="413" t="str">
        <f t="shared" si="12"/>
        <v xml:space="preserve"> </v>
      </c>
      <c r="O161" s="414">
        <f t="shared" si="13"/>
        <v>0</v>
      </c>
      <c r="P161" s="414">
        <f t="shared" si="14"/>
        <v>0</v>
      </c>
      <c r="Q161" s="145">
        <f t="shared" si="17"/>
        <v>-8</v>
      </c>
      <c r="R161" s="414">
        <f t="shared" si="15"/>
        <v>0</v>
      </c>
      <c r="S161" s="414">
        <f t="shared" si="16"/>
        <v>0</v>
      </c>
      <c r="T161" s="19"/>
      <c r="U161" s="5"/>
      <c r="V161" s="5"/>
      <c r="W161" s="5">
        <v>139</v>
      </c>
      <c r="X161" s="144" t="s">
        <v>718</v>
      </c>
      <c r="Y161" s="145"/>
      <c r="Z161" s="146"/>
      <c r="AA161" s="145"/>
      <c r="AB161" s="145"/>
      <c r="AD161" s="5">
        <v>139</v>
      </c>
      <c r="AE161" s="413" t="s">
        <v>718</v>
      </c>
      <c r="AF161" s="145"/>
      <c r="AG161" s="146"/>
      <c r="AH161" s="145"/>
      <c r="AI161" s="145"/>
      <c r="AK161" s="5">
        <v>139</v>
      </c>
      <c r="AL161" s="413" t="s">
        <v>3107</v>
      </c>
      <c r="AM161" s="145">
        <v>477</v>
      </c>
      <c r="AN161" s="146">
        <v>2.44</v>
      </c>
      <c r="AO161" s="145">
        <v>3934</v>
      </c>
      <c r="AP161" s="145">
        <v>-16</v>
      </c>
      <c r="AR161" s="5">
        <v>139</v>
      </c>
      <c r="AS161" s="413" t="s">
        <v>3108</v>
      </c>
      <c r="AT161" s="145">
        <v>193</v>
      </c>
      <c r="AU161" s="146">
        <v>3.29</v>
      </c>
      <c r="AV161" s="145">
        <v>3592</v>
      </c>
      <c r="AW161" s="145">
        <v>-14</v>
      </c>
      <c r="AY161" s="5">
        <v>139</v>
      </c>
      <c r="AZ161" s="413" t="s">
        <v>3109</v>
      </c>
      <c r="BA161" s="145">
        <v>485</v>
      </c>
      <c r="BB161" s="146">
        <v>2.79</v>
      </c>
      <c r="BC161" s="145">
        <v>4183</v>
      </c>
      <c r="BD161" s="145">
        <v>-14</v>
      </c>
      <c r="BF161" s="5">
        <v>139</v>
      </c>
      <c r="BG161" s="413" t="s">
        <v>718</v>
      </c>
      <c r="BH161" s="145"/>
      <c r="BI161" s="146"/>
      <c r="BJ161" s="145"/>
      <c r="BK161" s="145"/>
      <c r="BM161" s="5">
        <v>139</v>
      </c>
      <c r="BN161" s="413" t="s">
        <v>3110</v>
      </c>
      <c r="BO161" s="145">
        <v>620</v>
      </c>
      <c r="BP161" s="146">
        <v>2.73</v>
      </c>
      <c r="BQ161" s="145">
        <v>4127</v>
      </c>
      <c r="BR161" s="145">
        <v>-14</v>
      </c>
      <c r="BS161" s="5"/>
      <c r="BT161" s="5">
        <v>139</v>
      </c>
      <c r="BU161" s="413" t="s">
        <v>3111</v>
      </c>
      <c r="BV161" s="145">
        <v>1170</v>
      </c>
      <c r="BW161" s="146">
        <v>2.4</v>
      </c>
      <c r="BX161" s="145">
        <v>4997</v>
      </c>
      <c r="BY161" s="145">
        <v>-15</v>
      </c>
      <c r="BZ161" s="5"/>
      <c r="CA161" s="5">
        <v>139</v>
      </c>
      <c r="CB161" s="413" t="s">
        <v>718</v>
      </c>
      <c r="CC161" s="145"/>
      <c r="CD161" s="146"/>
      <c r="CE161" s="145"/>
      <c r="CF161" s="145"/>
      <c r="CG161" s="5"/>
      <c r="CH161" s="5"/>
      <c r="CI161" s="5"/>
    </row>
    <row r="162" spans="13:87" ht="16.149999999999999" customHeight="1" x14ac:dyDescent="0.2">
      <c r="M162" s="5">
        <v>140</v>
      </c>
      <c r="N162" s="413" t="str">
        <f t="shared" si="12"/>
        <v xml:space="preserve"> </v>
      </c>
      <c r="O162" s="414">
        <f t="shared" si="13"/>
        <v>0</v>
      </c>
      <c r="P162" s="414">
        <f t="shared" si="14"/>
        <v>0</v>
      </c>
      <c r="Q162" s="145">
        <f t="shared" si="17"/>
        <v>-8</v>
      </c>
      <c r="R162" s="414">
        <f t="shared" si="15"/>
        <v>0</v>
      </c>
      <c r="S162" s="414">
        <f t="shared" si="16"/>
        <v>0</v>
      </c>
      <c r="T162" s="19"/>
      <c r="U162" s="5"/>
      <c r="V162" s="5"/>
      <c r="W162" s="5">
        <v>140</v>
      </c>
      <c r="X162" s="144" t="s">
        <v>718</v>
      </c>
      <c r="Y162" s="145"/>
      <c r="Z162" s="146"/>
      <c r="AA162" s="145"/>
      <c r="AB162" s="145"/>
      <c r="AD162" s="5">
        <v>140</v>
      </c>
      <c r="AE162" s="413" t="s">
        <v>718</v>
      </c>
      <c r="AF162" s="145"/>
      <c r="AG162" s="146"/>
      <c r="AH162" s="145"/>
      <c r="AI162" s="145"/>
      <c r="AK162" s="5">
        <v>140</v>
      </c>
      <c r="AL162" s="413" t="s">
        <v>3112</v>
      </c>
      <c r="AM162" s="145">
        <v>601</v>
      </c>
      <c r="AN162" s="146">
        <v>2.5</v>
      </c>
      <c r="AO162" s="145">
        <v>4077</v>
      </c>
      <c r="AP162" s="145">
        <v>-16</v>
      </c>
      <c r="AR162" s="5">
        <v>140</v>
      </c>
      <c r="AS162" s="413" t="s">
        <v>3113</v>
      </c>
      <c r="AT162" s="145">
        <v>160</v>
      </c>
      <c r="AU162" s="146">
        <v>3.32</v>
      </c>
      <c r="AV162" s="145">
        <v>3536</v>
      </c>
      <c r="AW162" s="145">
        <v>-14</v>
      </c>
      <c r="AY162" s="5">
        <v>140</v>
      </c>
      <c r="AZ162" s="413" t="s">
        <v>3114</v>
      </c>
      <c r="BA162" s="145">
        <v>435</v>
      </c>
      <c r="BB162" s="146">
        <v>3.31</v>
      </c>
      <c r="BC162" s="145">
        <v>3922</v>
      </c>
      <c r="BD162" s="145">
        <v>-15</v>
      </c>
      <c r="BF162" s="5">
        <v>140</v>
      </c>
      <c r="BG162" s="413" t="s">
        <v>718</v>
      </c>
      <c r="BH162" s="145"/>
      <c r="BI162" s="146"/>
      <c r="BJ162" s="145"/>
      <c r="BK162" s="145"/>
      <c r="BM162" s="5">
        <v>140</v>
      </c>
      <c r="BN162" s="413" t="s">
        <v>3115</v>
      </c>
      <c r="BO162" s="145">
        <v>610</v>
      </c>
      <c r="BP162" s="146">
        <v>2.8</v>
      </c>
      <c r="BQ162" s="145">
        <v>4301</v>
      </c>
      <c r="BR162" s="145">
        <v>-15</v>
      </c>
      <c r="BS162" s="5"/>
      <c r="BT162" s="5">
        <v>140</v>
      </c>
      <c r="BU162" s="413" t="s">
        <v>3116</v>
      </c>
      <c r="BV162" s="145">
        <v>659</v>
      </c>
      <c r="BW162" s="146">
        <v>2.5</v>
      </c>
      <c r="BX162" s="145">
        <v>4357</v>
      </c>
      <c r="BY162" s="145">
        <v>-16</v>
      </c>
      <c r="BZ162" s="5"/>
      <c r="CA162" s="5">
        <v>140</v>
      </c>
      <c r="CB162" s="413" t="s">
        <v>718</v>
      </c>
      <c r="CC162" s="145"/>
      <c r="CD162" s="146"/>
      <c r="CE162" s="145"/>
      <c r="CF162" s="145"/>
      <c r="CG162" s="5"/>
      <c r="CH162" s="5"/>
      <c r="CI162" s="5"/>
    </row>
    <row r="163" spans="13:87" ht="16.149999999999999" customHeight="1" x14ac:dyDescent="0.2">
      <c r="M163" s="5">
        <v>141</v>
      </c>
      <c r="N163" s="413" t="str">
        <f t="shared" si="12"/>
        <v xml:space="preserve"> </v>
      </c>
      <c r="O163" s="414">
        <f t="shared" si="13"/>
        <v>0</v>
      </c>
      <c r="P163" s="414">
        <f t="shared" si="14"/>
        <v>0</v>
      </c>
      <c r="Q163" s="145">
        <f t="shared" si="17"/>
        <v>-8</v>
      </c>
      <c r="R163" s="414">
        <f t="shared" si="15"/>
        <v>0</v>
      </c>
      <c r="S163" s="414">
        <f t="shared" si="16"/>
        <v>0</v>
      </c>
      <c r="T163" s="19"/>
      <c r="U163" s="5"/>
      <c r="V163" s="5"/>
      <c r="W163" s="5">
        <v>141</v>
      </c>
      <c r="X163" s="144" t="s">
        <v>718</v>
      </c>
      <c r="Y163" s="145"/>
      <c r="Z163" s="146"/>
      <c r="AA163" s="145"/>
      <c r="AB163" s="145"/>
      <c r="AD163" s="5">
        <v>141</v>
      </c>
      <c r="AE163" s="413" t="s">
        <v>718</v>
      </c>
      <c r="AF163" s="145"/>
      <c r="AG163" s="146"/>
      <c r="AH163" s="145"/>
      <c r="AI163" s="145"/>
      <c r="AK163" s="5">
        <v>141</v>
      </c>
      <c r="AL163" s="413" t="s">
        <v>3117</v>
      </c>
      <c r="AM163" s="145">
        <v>530</v>
      </c>
      <c r="AN163" s="146">
        <v>3.35</v>
      </c>
      <c r="AO163" s="145">
        <v>3747</v>
      </c>
      <c r="AP163" s="145">
        <v>-14</v>
      </c>
      <c r="AR163" s="5">
        <v>141</v>
      </c>
      <c r="AS163" s="413" t="s">
        <v>3118</v>
      </c>
      <c r="AT163" s="145">
        <v>156</v>
      </c>
      <c r="AU163" s="146">
        <v>3.49</v>
      </c>
      <c r="AV163" s="145">
        <v>3368</v>
      </c>
      <c r="AW163" s="145">
        <v>-14</v>
      </c>
      <c r="AY163" s="5">
        <v>141</v>
      </c>
      <c r="AZ163" s="413" t="s">
        <v>1248</v>
      </c>
      <c r="BA163" s="145">
        <v>554</v>
      </c>
      <c r="BB163" s="146">
        <v>2.76</v>
      </c>
      <c r="BC163" s="145">
        <v>4138</v>
      </c>
      <c r="BD163" s="145">
        <v>-15</v>
      </c>
      <c r="BF163" s="5">
        <v>141</v>
      </c>
      <c r="BG163" s="413" t="s">
        <v>718</v>
      </c>
      <c r="BH163" s="145"/>
      <c r="BI163" s="146"/>
      <c r="BJ163" s="145"/>
      <c r="BK163" s="145"/>
      <c r="BM163" s="5">
        <v>141</v>
      </c>
      <c r="BN163" s="413" t="s">
        <v>1249</v>
      </c>
      <c r="BO163" s="145">
        <v>360</v>
      </c>
      <c r="BP163" s="146">
        <v>2.92</v>
      </c>
      <c r="BQ163" s="145">
        <v>3859</v>
      </c>
      <c r="BR163" s="145">
        <v>-14</v>
      </c>
      <c r="BS163" s="5"/>
      <c r="BT163" s="5">
        <v>141</v>
      </c>
      <c r="BU163" s="413" t="s">
        <v>1250</v>
      </c>
      <c r="BV163" s="145">
        <v>1371</v>
      </c>
      <c r="BW163" s="146">
        <v>1.1599999999999999</v>
      </c>
      <c r="BX163" s="145">
        <v>5802</v>
      </c>
      <c r="BY163" s="145">
        <v>-20</v>
      </c>
      <c r="BZ163" s="5"/>
      <c r="CA163" s="5">
        <v>141</v>
      </c>
      <c r="CB163" s="413" t="s">
        <v>718</v>
      </c>
      <c r="CC163" s="145"/>
      <c r="CD163" s="146"/>
      <c r="CE163" s="145"/>
      <c r="CF163" s="145"/>
      <c r="CG163" s="5"/>
      <c r="CH163" s="5"/>
      <c r="CI163" s="5"/>
    </row>
    <row r="164" spans="13:87" ht="16.149999999999999" customHeight="1" x14ac:dyDescent="0.2">
      <c r="M164" s="5">
        <v>142</v>
      </c>
      <c r="N164" s="413" t="str">
        <f t="shared" si="12"/>
        <v xml:space="preserve"> </v>
      </c>
      <c r="O164" s="414">
        <f t="shared" si="13"/>
        <v>0</v>
      </c>
      <c r="P164" s="414">
        <f t="shared" si="14"/>
        <v>0</v>
      </c>
      <c r="Q164" s="145">
        <f t="shared" si="17"/>
        <v>-8</v>
      </c>
      <c r="R164" s="414">
        <f t="shared" si="15"/>
        <v>0</v>
      </c>
      <c r="S164" s="414">
        <f t="shared" si="16"/>
        <v>0</v>
      </c>
      <c r="T164" s="19"/>
      <c r="U164" s="5"/>
      <c r="V164" s="5"/>
      <c r="W164" s="5">
        <v>142</v>
      </c>
      <c r="X164" s="144" t="s">
        <v>718</v>
      </c>
      <c r="Y164" s="145"/>
      <c r="Z164" s="146"/>
      <c r="AA164" s="145"/>
      <c r="AB164" s="145"/>
      <c r="AD164" s="5">
        <v>142</v>
      </c>
      <c r="AE164" s="413" t="s">
        <v>718</v>
      </c>
      <c r="AF164" s="145"/>
      <c r="AG164" s="146"/>
      <c r="AH164" s="145"/>
      <c r="AI164" s="145"/>
      <c r="AK164" s="5">
        <v>142</v>
      </c>
      <c r="AL164" s="413" t="s">
        <v>1251</v>
      </c>
      <c r="AM164" s="145">
        <v>465</v>
      </c>
      <c r="AN164" s="146">
        <v>2.52</v>
      </c>
      <c r="AO164" s="145">
        <v>4037</v>
      </c>
      <c r="AP164" s="145">
        <v>-16</v>
      </c>
      <c r="AR164" s="5">
        <v>142</v>
      </c>
      <c r="AS164" s="413" t="s">
        <v>2059</v>
      </c>
      <c r="AT164" s="145">
        <v>692</v>
      </c>
      <c r="AU164" s="146">
        <v>2.34</v>
      </c>
      <c r="AV164" s="145">
        <v>4627</v>
      </c>
      <c r="AW164" s="145">
        <v>-18</v>
      </c>
      <c r="AY164" s="5">
        <v>142</v>
      </c>
      <c r="AZ164" s="413" t="s">
        <v>2060</v>
      </c>
      <c r="BA164" s="145">
        <v>490</v>
      </c>
      <c r="BB164" s="146">
        <v>2.78</v>
      </c>
      <c r="BC164" s="145">
        <v>4220</v>
      </c>
      <c r="BD164" s="145">
        <v>-16</v>
      </c>
      <c r="BF164" s="5">
        <v>142</v>
      </c>
      <c r="BG164" s="413" t="s">
        <v>718</v>
      </c>
      <c r="BH164" s="145"/>
      <c r="BI164" s="146"/>
      <c r="BJ164" s="145"/>
      <c r="BK164" s="145"/>
      <c r="BM164" s="5">
        <v>142</v>
      </c>
      <c r="BN164" s="413" t="s">
        <v>2061</v>
      </c>
      <c r="BO164" s="145">
        <v>525</v>
      </c>
      <c r="BP164" s="146">
        <v>3.31</v>
      </c>
      <c r="BQ164" s="145">
        <v>3689</v>
      </c>
      <c r="BR164" s="145">
        <v>-13</v>
      </c>
      <c r="BS164" s="5"/>
      <c r="BT164" s="5">
        <v>142</v>
      </c>
      <c r="BU164" s="413" t="s">
        <v>2062</v>
      </c>
      <c r="BV164" s="145">
        <v>847</v>
      </c>
      <c r="BW164" s="146">
        <v>2.0299999999999998</v>
      </c>
      <c r="BX164" s="145">
        <v>4781</v>
      </c>
      <c r="BY164" s="145">
        <v>-18</v>
      </c>
      <c r="BZ164" s="5"/>
      <c r="CA164" s="5">
        <v>142</v>
      </c>
      <c r="CB164" s="413" t="s">
        <v>718</v>
      </c>
      <c r="CC164" s="145"/>
      <c r="CD164" s="146"/>
      <c r="CE164" s="145"/>
      <c r="CF164" s="145"/>
      <c r="CG164" s="5"/>
      <c r="CH164" s="5"/>
      <c r="CI164" s="5"/>
    </row>
    <row r="165" spans="13:87" ht="16.149999999999999" customHeight="1" x14ac:dyDescent="0.2">
      <c r="M165" s="5">
        <v>143</v>
      </c>
      <c r="N165" s="413" t="str">
        <f t="shared" si="12"/>
        <v xml:space="preserve"> </v>
      </c>
      <c r="O165" s="414">
        <f t="shared" si="13"/>
        <v>0</v>
      </c>
      <c r="P165" s="414">
        <f t="shared" si="14"/>
        <v>0</v>
      </c>
      <c r="Q165" s="145">
        <f t="shared" si="17"/>
        <v>-8</v>
      </c>
      <c r="R165" s="414">
        <f t="shared" si="15"/>
        <v>0</v>
      </c>
      <c r="S165" s="414">
        <f t="shared" si="16"/>
        <v>0</v>
      </c>
      <c r="T165" s="19"/>
      <c r="U165" s="5"/>
      <c r="V165" s="5"/>
      <c r="W165" s="5">
        <v>143</v>
      </c>
      <c r="X165" s="144" t="s">
        <v>718</v>
      </c>
      <c r="Y165" s="145"/>
      <c r="Z165" s="146"/>
      <c r="AA165" s="145"/>
      <c r="AB165" s="145"/>
      <c r="AD165" s="5">
        <v>143</v>
      </c>
      <c r="AE165" s="413" t="s">
        <v>718</v>
      </c>
      <c r="AF165" s="145"/>
      <c r="AG165" s="146"/>
      <c r="AH165" s="145"/>
      <c r="AI165" s="145"/>
      <c r="AK165" s="5">
        <v>143</v>
      </c>
      <c r="AL165" s="413" t="s">
        <v>2063</v>
      </c>
      <c r="AM165" s="145">
        <v>550</v>
      </c>
      <c r="AN165" s="146">
        <v>2.87</v>
      </c>
      <c r="AO165" s="145">
        <v>3956</v>
      </c>
      <c r="AP165" s="145">
        <v>-14</v>
      </c>
      <c r="AR165" s="5">
        <v>143</v>
      </c>
      <c r="AS165" s="413" t="s">
        <v>3366</v>
      </c>
      <c r="AT165" s="145">
        <v>714</v>
      </c>
      <c r="AU165" s="146">
        <v>2.13</v>
      </c>
      <c r="AV165" s="145">
        <v>4896</v>
      </c>
      <c r="AW165" s="145">
        <v>-18</v>
      </c>
      <c r="AY165" s="5">
        <v>143</v>
      </c>
      <c r="AZ165" s="413" t="s">
        <v>3367</v>
      </c>
      <c r="BA165" s="145">
        <v>287</v>
      </c>
      <c r="BB165" s="146">
        <v>3.57</v>
      </c>
      <c r="BC165" s="145">
        <v>3566</v>
      </c>
      <c r="BD165" s="145">
        <v>-12</v>
      </c>
      <c r="BF165" s="5">
        <v>143</v>
      </c>
      <c r="BG165" s="413" t="s">
        <v>718</v>
      </c>
      <c r="BH165" s="145"/>
      <c r="BI165" s="146"/>
      <c r="BJ165" s="145"/>
      <c r="BK165" s="145"/>
      <c r="BM165" s="5">
        <v>143</v>
      </c>
      <c r="BN165" s="413" t="s">
        <v>3368</v>
      </c>
      <c r="BO165" s="145">
        <v>412</v>
      </c>
      <c r="BP165" s="146">
        <v>3.23</v>
      </c>
      <c r="BQ165" s="145">
        <v>3639</v>
      </c>
      <c r="BR165" s="145">
        <v>-13</v>
      </c>
      <c r="BS165" s="5"/>
      <c r="BT165" s="5">
        <v>143</v>
      </c>
      <c r="BU165" s="413" t="s">
        <v>3369</v>
      </c>
      <c r="BV165" s="145">
        <v>1495</v>
      </c>
      <c r="BW165" s="146">
        <v>1.6</v>
      </c>
      <c r="BX165" s="145">
        <v>5779</v>
      </c>
      <c r="BY165" s="145">
        <v>-17</v>
      </c>
      <c r="BZ165" s="5"/>
      <c r="CA165" s="5">
        <v>143</v>
      </c>
      <c r="CB165" s="413" t="s">
        <v>718</v>
      </c>
      <c r="CC165" s="145"/>
      <c r="CD165" s="146"/>
      <c r="CE165" s="145"/>
      <c r="CF165" s="145"/>
      <c r="CG165" s="5"/>
      <c r="CH165" s="5"/>
      <c r="CI165" s="5"/>
    </row>
    <row r="166" spans="13:87" ht="16.149999999999999" customHeight="1" x14ac:dyDescent="0.2">
      <c r="M166" s="5">
        <v>144</v>
      </c>
      <c r="N166" s="413" t="str">
        <f t="shared" si="12"/>
        <v xml:space="preserve"> </v>
      </c>
      <c r="O166" s="414">
        <f t="shared" si="13"/>
        <v>0</v>
      </c>
      <c r="P166" s="414">
        <f t="shared" si="14"/>
        <v>0</v>
      </c>
      <c r="Q166" s="145">
        <f t="shared" si="17"/>
        <v>-8</v>
      </c>
      <c r="R166" s="414">
        <f t="shared" si="15"/>
        <v>0</v>
      </c>
      <c r="S166" s="414">
        <f t="shared" si="16"/>
        <v>0</v>
      </c>
      <c r="T166" s="19"/>
      <c r="U166" s="5"/>
      <c r="V166" s="5"/>
      <c r="W166" s="5">
        <v>144</v>
      </c>
      <c r="X166" s="144" t="s">
        <v>718</v>
      </c>
      <c r="Y166" s="145"/>
      <c r="Z166" s="146"/>
      <c r="AA166" s="145"/>
      <c r="AB166" s="145"/>
      <c r="AD166" s="5">
        <v>144</v>
      </c>
      <c r="AE166" s="413" t="s">
        <v>718</v>
      </c>
      <c r="AF166" s="145"/>
      <c r="AG166" s="146"/>
      <c r="AH166" s="145"/>
      <c r="AI166" s="145"/>
      <c r="AK166" s="5">
        <v>144</v>
      </c>
      <c r="AL166" s="413" t="s">
        <v>3370</v>
      </c>
      <c r="AM166" s="145">
        <v>433</v>
      </c>
      <c r="AN166" s="146">
        <v>2.65</v>
      </c>
      <c r="AO166" s="145">
        <v>3938</v>
      </c>
      <c r="AP166" s="145">
        <v>-15</v>
      </c>
      <c r="AR166" s="5">
        <v>144</v>
      </c>
      <c r="AS166" s="413" t="s">
        <v>3371</v>
      </c>
      <c r="AT166" s="145">
        <v>198</v>
      </c>
      <c r="AU166" s="146">
        <v>3.24</v>
      </c>
      <c r="AV166" s="145">
        <v>3570</v>
      </c>
      <c r="AW166" s="145">
        <v>-14</v>
      </c>
      <c r="AY166" s="5">
        <v>144</v>
      </c>
      <c r="AZ166" s="413" t="s">
        <v>3372</v>
      </c>
      <c r="BA166" s="145">
        <v>430</v>
      </c>
      <c r="BB166" s="146">
        <v>3.28</v>
      </c>
      <c r="BC166" s="145">
        <v>3896</v>
      </c>
      <c r="BD166" s="145">
        <v>-14</v>
      </c>
      <c r="BF166" s="5">
        <v>144</v>
      </c>
      <c r="BG166" s="413" t="s">
        <v>718</v>
      </c>
      <c r="BH166" s="145"/>
      <c r="BI166" s="146"/>
      <c r="BJ166" s="145"/>
      <c r="BK166" s="145"/>
      <c r="BM166" s="5">
        <v>144</v>
      </c>
      <c r="BN166" s="413" t="s">
        <v>3373</v>
      </c>
      <c r="BO166" s="145">
        <v>491</v>
      </c>
      <c r="BP166" s="146">
        <v>3.08</v>
      </c>
      <c r="BQ166" s="145">
        <v>4078</v>
      </c>
      <c r="BR166" s="145">
        <v>-14</v>
      </c>
      <c r="BS166" s="5"/>
      <c r="BT166" s="5">
        <v>144</v>
      </c>
      <c r="BU166" s="413" t="s">
        <v>3374</v>
      </c>
      <c r="BV166" s="145">
        <v>809</v>
      </c>
      <c r="BW166" s="146">
        <v>2.64</v>
      </c>
      <c r="BX166" s="145">
        <v>4322</v>
      </c>
      <c r="BY166" s="145">
        <v>-16</v>
      </c>
      <c r="BZ166" s="5"/>
      <c r="CA166" s="5">
        <v>144</v>
      </c>
      <c r="CB166" s="413" t="s">
        <v>718</v>
      </c>
      <c r="CC166" s="145"/>
      <c r="CD166" s="146"/>
      <c r="CE166" s="145"/>
      <c r="CF166" s="145"/>
      <c r="CG166" s="5"/>
      <c r="CH166" s="5"/>
      <c r="CI166" s="5"/>
    </row>
    <row r="167" spans="13:87" ht="16.149999999999999" customHeight="1" x14ac:dyDescent="0.2">
      <c r="M167" s="5">
        <v>145</v>
      </c>
      <c r="N167" s="413" t="str">
        <f t="shared" si="12"/>
        <v xml:space="preserve"> </v>
      </c>
      <c r="O167" s="414">
        <f t="shared" si="13"/>
        <v>0</v>
      </c>
      <c r="P167" s="414">
        <f t="shared" si="14"/>
        <v>0</v>
      </c>
      <c r="Q167" s="145">
        <f t="shared" si="17"/>
        <v>-8</v>
      </c>
      <c r="R167" s="414">
        <f t="shared" si="15"/>
        <v>0</v>
      </c>
      <c r="S167" s="414">
        <f t="shared" si="16"/>
        <v>0</v>
      </c>
      <c r="T167" s="19"/>
      <c r="U167" s="5"/>
      <c r="V167" s="5"/>
      <c r="W167" s="5">
        <v>145</v>
      </c>
      <c r="X167" s="144" t="s">
        <v>718</v>
      </c>
      <c r="Y167" s="145"/>
      <c r="Z167" s="146"/>
      <c r="AA167" s="145"/>
      <c r="AB167" s="145"/>
      <c r="AD167" s="5">
        <v>145</v>
      </c>
      <c r="AE167" s="413" t="s">
        <v>718</v>
      </c>
      <c r="AF167" s="145"/>
      <c r="AG167" s="146"/>
      <c r="AH167" s="145"/>
      <c r="AI167" s="145"/>
      <c r="AK167" s="5">
        <v>145</v>
      </c>
      <c r="AL167" s="413" t="s">
        <v>3375</v>
      </c>
      <c r="AM167" s="145">
        <v>510</v>
      </c>
      <c r="AN167" s="146">
        <v>2.2400000000000002</v>
      </c>
      <c r="AO167" s="145">
        <v>4049</v>
      </c>
      <c r="AP167" s="145">
        <v>-16</v>
      </c>
      <c r="AR167" s="5">
        <v>145</v>
      </c>
      <c r="AS167" s="413" t="s">
        <v>3376</v>
      </c>
      <c r="AT167" s="145">
        <v>700</v>
      </c>
      <c r="AU167" s="146">
        <v>2.23</v>
      </c>
      <c r="AV167" s="145">
        <v>4781</v>
      </c>
      <c r="AW167" s="145">
        <v>-17</v>
      </c>
      <c r="AY167" s="5">
        <v>145</v>
      </c>
      <c r="AZ167" s="413" t="s">
        <v>3377</v>
      </c>
      <c r="BA167" s="145">
        <v>626</v>
      </c>
      <c r="BB167" s="146">
        <v>2.52</v>
      </c>
      <c r="BC167" s="145">
        <v>4388</v>
      </c>
      <c r="BD167" s="145">
        <v>-16</v>
      </c>
      <c r="BF167" s="5">
        <v>145</v>
      </c>
      <c r="BG167" s="413" t="s">
        <v>718</v>
      </c>
      <c r="BH167" s="145"/>
      <c r="BI167" s="146"/>
      <c r="BJ167" s="145"/>
      <c r="BK167" s="145"/>
      <c r="BM167" s="5">
        <v>145</v>
      </c>
      <c r="BN167" s="413" t="s">
        <v>3378</v>
      </c>
      <c r="BO167" s="145">
        <v>635</v>
      </c>
      <c r="BP167" s="146">
        <v>2.54</v>
      </c>
      <c r="BQ167" s="145">
        <v>4487</v>
      </c>
      <c r="BR167" s="145">
        <v>-16</v>
      </c>
      <c r="BS167" s="5"/>
      <c r="BT167" s="5">
        <v>145</v>
      </c>
      <c r="BU167" s="413" t="s">
        <v>3379</v>
      </c>
      <c r="BV167" s="145">
        <v>964</v>
      </c>
      <c r="BW167" s="146">
        <v>2.68</v>
      </c>
      <c r="BX167" s="145">
        <v>4693</v>
      </c>
      <c r="BY167" s="145">
        <v>-16</v>
      </c>
      <c r="BZ167" s="5"/>
      <c r="CA167" s="5">
        <v>145</v>
      </c>
      <c r="CB167" s="413" t="s">
        <v>718</v>
      </c>
      <c r="CC167" s="145"/>
      <c r="CD167" s="146"/>
      <c r="CE167" s="145"/>
      <c r="CF167" s="145"/>
      <c r="CG167" s="5"/>
      <c r="CH167" s="5"/>
      <c r="CI167" s="5"/>
    </row>
    <row r="168" spans="13:87" ht="16.149999999999999" customHeight="1" x14ac:dyDescent="0.2">
      <c r="M168" s="5">
        <v>146</v>
      </c>
      <c r="N168" s="413" t="str">
        <f t="shared" si="12"/>
        <v xml:space="preserve"> </v>
      </c>
      <c r="O168" s="414">
        <f t="shared" si="13"/>
        <v>0</v>
      </c>
      <c r="P168" s="414">
        <f t="shared" si="14"/>
        <v>0</v>
      </c>
      <c r="Q168" s="145">
        <f t="shared" si="17"/>
        <v>-8</v>
      </c>
      <c r="R168" s="414">
        <f t="shared" si="15"/>
        <v>0</v>
      </c>
      <c r="S168" s="414">
        <f t="shared" si="16"/>
        <v>0</v>
      </c>
      <c r="T168" s="19"/>
      <c r="U168" s="5"/>
      <c r="V168" s="5"/>
      <c r="W168" s="5">
        <v>146</v>
      </c>
      <c r="X168" s="144" t="s">
        <v>718</v>
      </c>
      <c r="Y168" s="145"/>
      <c r="Z168" s="146"/>
      <c r="AA168" s="145"/>
      <c r="AB168" s="145"/>
      <c r="AD168" s="5">
        <v>146</v>
      </c>
      <c r="AE168" s="413" t="s">
        <v>718</v>
      </c>
      <c r="AF168" s="145"/>
      <c r="AG168" s="146"/>
      <c r="AH168" s="145"/>
      <c r="AI168" s="145"/>
      <c r="AK168" s="5">
        <v>146</v>
      </c>
      <c r="AL168" s="413" t="s">
        <v>3380</v>
      </c>
      <c r="AM168" s="145">
        <v>593</v>
      </c>
      <c r="AN168" s="146">
        <v>2.41</v>
      </c>
      <c r="AO168" s="145">
        <v>4134</v>
      </c>
      <c r="AP168" s="145">
        <v>-16</v>
      </c>
      <c r="AR168" s="5">
        <v>146</v>
      </c>
      <c r="AS168" s="413" t="s">
        <v>3381</v>
      </c>
      <c r="AT168" s="145">
        <v>180</v>
      </c>
      <c r="AU168" s="146">
        <v>3.06</v>
      </c>
      <c r="AV168" s="145">
        <v>3658</v>
      </c>
      <c r="AW168" s="145">
        <v>-14</v>
      </c>
      <c r="AY168" s="5">
        <v>146</v>
      </c>
      <c r="AZ168" s="413" t="s">
        <v>3382</v>
      </c>
      <c r="BA168" s="145">
        <v>967</v>
      </c>
      <c r="BB168" s="146">
        <v>1.9</v>
      </c>
      <c r="BC168" s="145">
        <v>5032</v>
      </c>
      <c r="BD168" s="145">
        <v>-18</v>
      </c>
      <c r="BF168" s="5">
        <v>146</v>
      </c>
      <c r="BG168" s="413" t="s">
        <v>718</v>
      </c>
      <c r="BH168" s="145"/>
      <c r="BI168" s="146"/>
      <c r="BJ168" s="145"/>
      <c r="BK168" s="145"/>
      <c r="BM168" s="5">
        <v>146</v>
      </c>
      <c r="BN168" s="413" t="s">
        <v>3383</v>
      </c>
      <c r="BO168" s="145">
        <v>348</v>
      </c>
      <c r="BP168" s="146">
        <v>2.88</v>
      </c>
      <c r="BQ168" s="145">
        <v>3697</v>
      </c>
      <c r="BR168" s="145">
        <v>-14</v>
      </c>
      <c r="BS168" s="5"/>
      <c r="BT168" s="5">
        <v>146</v>
      </c>
      <c r="BU168" s="413" t="s">
        <v>3384</v>
      </c>
      <c r="BV168" s="145">
        <v>1072</v>
      </c>
      <c r="BW168" s="146">
        <v>2.41</v>
      </c>
      <c r="BX168" s="145">
        <v>5013</v>
      </c>
      <c r="BY168" s="145">
        <v>-19</v>
      </c>
      <c r="BZ168" s="5"/>
      <c r="CA168" s="5">
        <v>146</v>
      </c>
      <c r="CB168" s="413" t="s">
        <v>718</v>
      </c>
      <c r="CC168" s="145"/>
      <c r="CD168" s="146"/>
      <c r="CE168" s="145"/>
      <c r="CF168" s="145"/>
      <c r="CG168" s="5"/>
      <c r="CH168" s="5"/>
      <c r="CI168" s="5"/>
    </row>
    <row r="169" spans="13:87" ht="16.149999999999999" customHeight="1" x14ac:dyDescent="0.2">
      <c r="M169" s="5">
        <v>147</v>
      </c>
      <c r="N169" s="413" t="str">
        <f t="shared" si="12"/>
        <v xml:space="preserve"> </v>
      </c>
      <c r="O169" s="414">
        <f t="shared" si="13"/>
        <v>0</v>
      </c>
      <c r="P169" s="414">
        <f t="shared" si="14"/>
        <v>0</v>
      </c>
      <c r="Q169" s="145">
        <f t="shared" si="17"/>
        <v>-8</v>
      </c>
      <c r="R169" s="414">
        <f t="shared" si="15"/>
        <v>0</v>
      </c>
      <c r="S169" s="414">
        <f t="shared" si="16"/>
        <v>0</v>
      </c>
      <c r="T169" s="19"/>
      <c r="U169" s="5"/>
      <c r="V169" s="5"/>
      <c r="W169" s="5">
        <v>147</v>
      </c>
      <c r="X169" s="144" t="s">
        <v>718</v>
      </c>
      <c r="Y169" s="145"/>
      <c r="Z169" s="146"/>
      <c r="AA169" s="145"/>
      <c r="AB169" s="145"/>
      <c r="AD169" s="5">
        <v>147</v>
      </c>
      <c r="AE169" s="413" t="s">
        <v>718</v>
      </c>
      <c r="AF169" s="145"/>
      <c r="AG169" s="146"/>
      <c r="AH169" s="145"/>
      <c r="AI169" s="145"/>
      <c r="AK169" s="5">
        <v>147</v>
      </c>
      <c r="AL169" s="413" t="s">
        <v>3385</v>
      </c>
      <c r="AM169" s="145">
        <v>720</v>
      </c>
      <c r="AN169" s="146">
        <v>2.2999999999999998</v>
      </c>
      <c r="AO169" s="145">
        <v>4302</v>
      </c>
      <c r="AP169" s="145">
        <v>-16</v>
      </c>
      <c r="AR169" s="5">
        <v>147</v>
      </c>
      <c r="AS169" s="413" t="s">
        <v>3386</v>
      </c>
      <c r="AT169" s="145">
        <v>274</v>
      </c>
      <c r="AU169" s="146">
        <v>3.19</v>
      </c>
      <c r="AV169" s="145">
        <v>3714</v>
      </c>
      <c r="AW169" s="145">
        <v>-14</v>
      </c>
      <c r="AY169" s="5">
        <v>147</v>
      </c>
      <c r="AZ169" s="413" t="s">
        <v>3387</v>
      </c>
      <c r="BA169" s="145">
        <v>266</v>
      </c>
      <c r="BB169" s="146">
        <v>3.52</v>
      </c>
      <c r="BC169" s="145">
        <v>3527</v>
      </c>
      <c r="BD169" s="145">
        <v>-12</v>
      </c>
      <c r="BF169" s="5">
        <v>147</v>
      </c>
      <c r="BG169" s="413" t="s">
        <v>718</v>
      </c>
      <c r="BH169" s="145"/>
      <c r="BI169" s="146"/>
      <c r="BJ169" s="145"/>
      <c r="BK169" s="145"/>
      <c r="BM169" s="5">
        <v>147</v>
      </c>
      <c r="BN169" s="413" t="s">
        <v>3388</v>
      </c>
      <c r="BO169" s="145">
        <v>778</v>
      </c>
      <c r="BP169" s="146">
        <v>2.2000000000000002</v>
      </c>
      <c r="BQ169" s="145">
        <v>4629</v>
      </c>
      <c r="BR169" s="145">
        <v>-16</v>
      </c>
      <c r="BS169" s="5"/>
      <c r="BT169" s="5">
        <v>147</v>
      </c>
      <c r="BU169" s="413" t="s">
        <v>3389</v>
      </c>
      <c r="BV169" s="145">
        <v>744</v>
      </c>
      <c r="BW169" s="146">
        <v>2.09</v>
      </c>
      <c r="BX169" s="145">
        <v>4604</v>
      </c>
      <c r="BY169" s="145">
        <v>-18</v>
      </c>
      <c r="BZ169" s="5"/>
      <c r="CA169" s="5">
        <v>147</v>
      </c>
      <c r="CB169" s="413" t="s">
        <v>718</v>
      </c>
      <c r="CC169" s="145"/>
      <c r="CD169" s="146"/>
      <c r="CE169" s="145"/>
      <c r="CF169" s="145"/>
      <c r="CG169" s="5"/>
      <c r="CH169" s="5"/>
      <c r="CI169" s="5"/>
    </row>
    <row r="170" spans="13:87" ht="16.149999999999999" customHeight="1" x14ac:dyDescent="0.2">
      <c r="M170" s="5">
        <v>148</v>
      </c>
      <c r="N170" s="413" t="str">
        <f t="shared" si="12"/>
        <v xml:space="preserve"> </v>
      </c>
      <c r="O170" s="414">
        <f t="shared" si="13"/>
        <v>0</v>
      </c>
      <c r="P170" s="414">
        <f t="shared" si="14"/>
        <v>0</v>
      </c>
      <c r="Q170" s="145">
        <f t="shared" si="17"/>
        <v>-8</v>
      </c>
      <c r="R170" s="414">
        <f t="shared" si="15"/>
        <v>0</v>
      </c>
      <c r="S170" s="414">
        <f t="shared" si="16"/>
        <v>0</v>
      </c>
      <c r="T170" s="19"/>
      <c r="U170" s="5"/>
      <c r="V170" s="5"/>
      <c r="W170" s="5">
        <v>148</v>
      </c>
      <c r="X170" s="144" t="s">
        <v>718</v>
      </c>
      <c r="Y170" s="145"/>
      <c r="Z170" s="146"/>
      <c r="AA170" s="145"/>
      <c r="AB170" s="145"/>
      <c r="AD170" s="5">
        <v>148</v>
      </c>
      <c r="AE170" s="413" t="s">
        <v>718</v>
      </c>
      <c r="AF170" s="145"/>
      <c r="AG170" s="146"/>
      <c r="AH170" s="145"/>
      <c r="AI170" s="145"/>
      <c r="AK170" s="5">
        <v>148</v>
      </c>
      <c r="AL170" s="413" t="s">
        <v>3390</v>
      </c>
      <c r="AM170" s="145">
        <v>453</v>
      </c>
      <c r="AN170" s="146">
        <v>2.59</v>
      </c>
      <c r="AO170" s="145">
        <v>3970</v>
      </c>
      <c r="AP170" s="145">
        <v>-15</v>
      </c>
      <c r="AR170" s="5">
        <v>148</v>
      </c>
      <c r="AS170" s="413" t="s">
        <v>3391</v>
      </c>
      <c r="AT170" s="145">
        <v>217</v>
      </c>
      <c r="AU170" s="146">
        <v>3.3</v>
      </c>
      <c r="AV170" s="145">
        <v>3690</v>
      </c>
      <c r="AW170" s="145">
        <v>-14</v>
      </c>
      <c r="AY170" s="5">
        <v>148</v>
      </c>
      <c r="AZ170" s="413" t="s">
        <v>3392</v>
      </c>
      <c r="BA170" s="145">
        <v>258</v>
      </c>
      <c r="BB170" s="146">
        <v>3.44</v>
      </c>
      <c r="BC170" s="145">
        <v>3528</v>
      </c>
      <c r="BD170" s="145">
        <v>-12</v>
      </c>
      <c r="BF170" s="5">
        <v>148</v>
      </c>
      <c r="BG170" s="413" t="s">
        <v>718</v>
      </c>
      <c r="BH170" s="145"/>
      <c r="BI170" s="146"/>
      <c r="BJ170" s="145"/>
      <c r="BK170" s="145"/>
      <c r="BM170" s="5">
        <v>148</v>
      </c>
      <c r="BN170" s="413" t="s">
        <v>3393</v>
      </c>
      <c r="BO170" s="145">
        <v>535</v>
      </c>
      <c r="BP170" s="146">
        <v>3.28</v>
      </c>
      <c r="BQ170" s="145">
        <v>3629</v>
      </c>
      <c r="BR170" s="145">
        <v>-13</v>
      </c>
      <c r="BS170" s="5"/>
      <c r="BT170" s="5">
        <v>148</v>
      </c>
      <c r="BU170" s="413" t="s">
        <v>3394</v>
      </c>
      <c r="BV170" s="145">
        <v>547</v>
      </c>
      <c r="BW170" s="146">
        <v>2.98</v>
      </c>
      <c r="BX170" s="145">
        <v>3847</v>
      </c>
      <c r="BY170" s="145">
        <v>-15</v>
      </c>
      <c r="BZ170" s="5"/>
      <c r="CA170" s="5">
        <v>148</v>
      </c>
      <c r="CB170" s="413" t="s">
        <v>718</v>
      </c>
      <c r="CC170" s="145"/>
      <c r="CD170" s="146"/>
      <c r="CE170" s="145"/>
      <c r="CF170" s="145"/>
      <c r="CG170" s="5"/>
      <c r="CH170" s="5"/>
      <c r="CI170" s="5"/>
    </row>
    <row r="171" spans="13:87" ht="16.149999999999999" customHeight="1" x14ac:dyDescent="0.2">
      <c r="M171" s="5">
        <v>149</v>
      </c>
      <c r="N171" s="413" t="str">
        <f t="shared" si="12"/>
        <v xml:space="preserve"> </v>
      </c>
      <c r="O171" s="414">
        <f t="shared" si="13"/>
        <v>0</v>
      </c>
      <c r="P171" s="414">
        <f t="shared" si="14"/>
        <v>0</v>
      </c>
      <c r="Q171" s="145">
        <f t="shared" si="17"/>
        <v>-8</v>
      </c>
      <c r="R171" s="414">
        <f t="shared" si="15"/>
        <v>0</v>
      </c>
      <c r="S171" s="414">
        <f t="shared" si="16"/>
        <v>0</v>
      </c>
      <c r="T171" s="19"/>
      <c r="U171" s="5"/>
      <c r="V171" s="5"/>
      <c r="W171" s="5">
        <v>149</v>
      </c>
      <c r="X171" s="144" t="s">
        <v>718</v>
      </c>
      <c r="Y171" s="145"/>
      <c r="Z171" s="146"/>
      <c r="AA171" s="145"/>
      <c r="AB171" s="145"/>
      <c r="AD171" s="5">
        <v>149</v>
      </c>
      <c r="AE171" s="413" t="s">
        <v>718</v>
      </c>
      <c r="AF171" s="145"/>
      <c r="AG171" s="146"/>
      <c r="AH171" s="145"/>
      <c r="AI171" s="145"/>
      <c r="AK171" s="5">
        <v>149</v>
      </c>
      <c r="AL171" s="413" t="s">
        <v>3395</v>
      </c>
      <c r="AM171" s="145">
        <v>500</v>
      </c>
      <c r="AN171" s="146">
        <v>2.73</v>
      </c>
      <c r="AO171" s="145">
        <v>3955</v>
      </c>
      <c r="AP171" s="145">
        <v>-15</v>
      </c>
      <c r="AR171" s="5">
        <v>149</v>
      </c>
      <c r="AS171" s="413" t="s">
        <v>3396</v>
      </c>
      <c r="AT171" s="145">
        <v>711</v>
      </c>
      <c r="AU171" s="146">
        <v>2.35</v>
      </c>
      <c r="AV171" s="145">
        <v>4623</v>
      </c>
      <c r="AW171" s="145">
        <v>-18</v>
      </c>
      <c r="AY171" s="5">
        <v>149</v>
      </c>
      <c r="AZ171" s="413" t="s">
        <v>3397</v>
      </c>
      <c r="BA171" s="145">
        <v>310</v>
      </c>
      <c r="BB171" s="146">
        <v>3.41</v>
      </c>
      <c r="BC171" s="145">
        <v>3601</v>
      </c>
      <c r="BD171" s="145">
        <v>-13</v>
      </c>
      <c r="BF171" s="5">
        <v>149</v>
      </c>
      <c r="BG171" s="413" t="s">
        <v>718</v>
      </c>
      <c r="BH171" s="145"/>
      <c r="BI171" s="146"/>
      <c r="BJ171" s="145"/>
      <c r="BK171" s="145"/>
      <c r="BM171" s="5">
        <v>149</v>
      </c>
      <c r="BN171" s="413" t="s">
        <v>3398</v>
      </c>
      <c r="BO171" s="145">
        <v>291</v>
      </c>
      <c r="BP171" s="146">
        <v>3.03</v>
      </c>
      <c r="BQ171" s="145">
        <v>3580</v>
      </c>
      <c r="BR171" s="145">
        <v>-14</v>
      </c>
      <c r="BS171" s="5"/>
      <c r="BT171" s="5">
        <v>149</v>
      </c>
      <c r="BU171" s="413" t="s">
        <v>2371</v>
      </c>
      <c r="BV171" s="145">
        <v>1013</v>
      </c>
      <c r="BW171" s="146">
        <v>2.82</v>
      </c>
      <c r="BX171" s="145">
        <v>4656</v>
      </c>
      <c r="BY171" s="145">
        <v>-16</v>
      </c>
      <c r="BZ171" s="5"/>
      <c r="CA171" s="5">
        <v>149</v>
      </c>
      <c r="CB171" s="413" t="s">
        <v>718</v>
      </c>
      <c r="CC171" s="145"/>
      <c r="CD171" s="146"/>
      <c r="CE171" s="145"/>
      <c r="CF171" s="145"/>
      <c r="CG171" s="5"/>
      <c r="CH171" s="5"/>
      <c r="CI171" s="5"/>
    </row>
    <row r="172" spans="13:87" ht="16.149999999999999" customHeight="1" x14ac:dyDescent="0.2">
      <c r="M172" s="5">
        <v>150</v>
      </c>
      <c r="N172" s="413" t="str">
        <f t="shared" si="12"/>
        <v xml:space="preserve"> </v>
      </c>
      <c r="O172" s="414">
        <f t="shared" si="13"/>
        <v>0</v>
      </c>
      <c r="P172" s="414">
        <f t="shared" si="14"/>
        <v>0</v>
      </c>
      <c r="Q172" s="145">
        <f t="shared" si="17"/>
        <v>-8</v>
      </c>
      <c r="R172" s="414">
        <f t="shared" si="15"/>
        <v>0</v>
      </c>
      <c r="S172" s="414">
        <f t="shared" si="16"/>
        <v>0</v>
      </c>
      <c r="T172" s="19"/>
      <c r="U172" s="5"/>
      <c r="V172" s="5"/>
      <c r="W172" s="5">
        <v>150</v>
      </c>
      <c r="X172" s="144" t="s">
        <v>718</v>
      </c>
      <c r="Y172" s="145"/>
      <c r="Z172" s="146"/>
      <c r="AA172" s="145"/>
      <c r="AB172" s="145"/>
      <c r="AD172" s="5">
        <v>150</v>
      </c>
      <c r="AE172" s="413" t="s">
        <v>718</v>
      </c>
      <c r="AF172" s="145"/>
      <c r="AG172" s="146"/>
      <c r="AH172" s="145"/>
      <c r="AI172" s="145"/>
      <c r="AK172" s="5">
        <v>150</v>
      </c>
      <c r="AL172" s="413" t="s">
        <v>2372</v>
      </c>
      <c r="AM172" s="145">
        <v>948</v>
      </c>
      <c r="AN172" s="146">
        <v>2.93</v>
      </c>
      <c r="AO172" s="145">
        <v>4369</v>
      </c>
      <c r="AP172" s="145">
        <v>-14</v>
      </c>
      <c r="AR172" s="5">
        <v>150</v>
      </c>
      <c r="AS172" s="413" t="s">
        <v>2373</v>
      </c>
      <c r="AT172" s="145">
        <v>278</v>
      </c>
      <c r="AU172" s="146">
        <v>3.1</v>
      </c>
      <c r="AV172" s="145">
        <v>3751</v>
      </c>
      <c r="AW172" s="145">
        <v>-14</v>
      </c>
      <c r="AY172" s="5">
        <v>150</v>
      </c>
      <c r="AZ172" s="413" t="s">
        <v>2374</v>
      </c>
      <c r="BA172" s="145">
        <v>260</v>
      </c>
      <c r="BB172" s="146">
        <v>3.5</v>
      </c>
      <c r="BC172" s="145">
        <v>3530</v>
      </c>
      <c r="BD172" s="145">
        <v>-12</v>
      </c>
      <c r="BF172" s="5">
        <v>150</v>
      </c>
      <c r="BG172" s="413" t="s">
        <v>718</v>
      </c>
      <c r="BH172" s="145"/>
      <c r="BI172" s="146"/>
      <c r="BJ172" s="145"/>
      <c r="BK172" s="145"/>
      <c r="BM172" s="5">
        <v>150</v>
      </c>
      <c r="BN172" s="413" t="s">
        <v>2375</v>
      </c>
      <c r="BO172" s="145">
        <v>274</v>
      </c>
      <c r="BP172" s="146">
        <v>3.07</v>
      </c>
      <c r="BQ172" s="145">
        <v>3573</v>
      </c>
      <c r="BR172" s="145">
        <v>-14</v>
      </c>
      <c r="BS172" s="5"/>
      <c r="BT172" s="5">
        <v>150</v>
      </c>
      <c r="BU172" s="413" t="s">
        <v>2376</v>
      </c>
      <c r="BV172" s="145">
        <v>725</v>
      </c>
      <c r="BW172" s="146">
        <v>3.26</v>
      </c>
      <c r="BX172" s="145">
        <v>3917</v>
      </c>
      <c r="BY172" s="145">
        <v>-14</v>
      </c>
      <c r="BZ172" s="5"/>
      <c r="CA172" s="5">
        <v>150</v>
      </c>
      <c r="CB172" s="413" t="s">
        <v>718</v>
      </c>
      <c r="CC172" s="145"/>
      <c r="CD172" s="146"/>
      <c r="CE172" s="145"/>
      <c r="CF172" s="145"/>
      <c r="CG172" s="5"/>
      <c r="CH172" s="5"/>
      <c r="CI172" s="5"/>
    </row>
    <row r="173" spans="13:87" ht="16.149999999999999" customHeight="1" x14ac:dyDescent="0.2">
      <c r="M173" s="5">
        <v>151</v>
      </c>
      <c r="N173" s="413" t="str">
        <f t="shared" si="12"/>
        <v xml:space="preserve"> </v>
      </c>
      <c r="O173" s="414">
        <f t="shared" si="13"/>
        <v>0</v>
      </c>
      <c r="P173" s="414">
        <f t="shared" si="14"/>
        <v>0</v>
      </c>
      <c r="Q173" s="145">
        <f t="shared" si="17"/>
        <v>-8</v>
      </c>
      <c r="R173" s="414">
        <f t="shared" si="15"/>
        <v>0</v>
      </c>
      <c r="S173" s="414">
        <f t="shared" si="16"/>
        <v>0</v>
      </c>
      <c r="T173" s="19"/>
      <c r="U173" s="5"/>
      <c r="V173" s="5"/>
      <c r="W173" s="5">
        <v>151</v>
      </c>
      <c r="X173" s="144" t="s">
        <v>718</v>
      </c>
      <c r="Y173" s="145"/>
      <c r="Z173" s="146"/>
      <c r="AA173" s="145"/>
      <c r="AB173" s="145"/>
      <c r="AD173" s="5">
        <v>151</v>
      </c>
      <c r="AE173" s="413" t="s">
        <v>718</v>
      </c>
      <c r="AF173" s="145"/>
      <c r="AG173" s="146"/>
      <c r="AH173" s="145"/>
      <c r="AI173" s="145"/>
      <c r="AK173" s="5">
        <v>151</v>
      </c>
      <c r="AL173" s="413" t="s">
        <v>2377</v>
      </c>
      <c r="AM173" s="145">
        <v>529</v>
      </c>
      <c r="AN173" s="146">
        <v>2.27</v>
      </c>
      <c r="AO173" s="145">
        <v>4061</v>
      </c>
      <c r="AP173" s="145">
        <v>-16</v>
      </c>
      <c r="AR173" s="5">
        <v>151</v>
      </c>
      <c r="AS173" s="413" t="s">
        <v>2378</v>
      </c>
      <c r="AT173" s="145">
        <v>263</v>
      </c>
      <c r="AU173" s="146">
        <v>3.07</v>
      </c>
      <c r="AV173" s="145">
        <v>3724</v>
      </c>
      <c r="AW173" s="145">
        <v>-14</v>
      </c>
      <c r="AY173" s="5">
        <v>151</v>
      </c>
      <c r="AZ173" s="413" t="s">
        <v>1832</v>
      </c>
      <c r="BA173" s="145">
        <v>260</v>
      </c>
      <c r="BB173" s="146">
        <v>3.47</v>
      </c>
      <c r="BC173" s="145">
        <v>3537</v>
      </c>
      <c r="BD173" s="145">
        <v>-13</v>
      </c>
      <c r="BF173" s="5">
        <v>151</v>
      </c>
      <c r="BG173" s="413" t="s">
        <v>718</v>
      </c>
      <c r="BH173" s="145"/>
      <c r="BI173" s="146"/>
      <c r="BJ173" s="145"/>
      <c r="BK173" s="145"/>
      <c r="BM173" s="5">
        <v>151</v>
      </c>
      <c r="BN173" s="413" t="s">
        <v>1833</v>
      </c>
      <c r="BO173" s="145">
        <v>540</v>
      </c>
      <c r="BP173" s="146">
        <v>3.05</v>
      </c>
      <c r="BQ173" s="145">
        <v>3848</v>
      </c>
      <c r="BR173" s="145">
        <v>-14</v>
      </c>
      <c r="BS173" s="5"/>
      <c r="BT173" s="5">
        <v>151</v>
      </c>
      <c r="BU173" s="413" t="s">
        <v>1834</v>
      </c>
      <c r="BV173" s="145">
        <v>545</v>
      </c>
      <c r="BW173" s="146">
        <v>2.97</v>
      </c>
      <c r="BX173" s="145">
        <v>3832</v>
      </c>
      <c r="BY173" s="145">
        <v>-15</v>
      </c>
      <c r="BZ173" s="5"/>
      <c r="CA173" s="5">
        <v>151</v>
      </c>
      <c r="CB173" s="413" t="s">
        <v>718</v>
      </c>
      <c r="CC173" s="145"/>
      <c r="CD173" s="146"/>
      <c r="CE173" s="145"/>
      <c r="CF173" s="145"/>
      <c r="CG173" s="5"/>
      <c r="CH173" s="5"/>
      <c r="CI173" s="5"/>
    </row>
    <row r="174" spans="13:87" ht="16.149999999999999" customHeight="1" x14ac:dyDescent="0.2">
      <c r="M174" s="5">
        <v>152</v>
      </c>
      <c r="N174" s="413" t="str">
        <f t="shared" si="12"/>
        <v xml:space="preserve"> </v>
      </c>
      <c r="O174" s="414">
        <f t="shared" si="13"/>
        <v>0</v>
      </c>
      <c r="P174" s="414">
        <f t="shared" si="14"/>
        <v>0</v>
      </c>
      <c r="Q174" s="145">
        <f t="shared" si="17"/>
        <v>-8</v>
      </c>
      <c r="R174" s="414">
        <f t="shared" si="15"/>
        <v>0</v>
      </c>
      <c r="S174" s="414">
        <f t="shared" si="16"/>
        <v>0</v>
      </c>
      <c r="T174" s="19"/>
      <c r="U174" s="5"/>
      <c r="V174" s="5"/>
      <c r="W174" s="5">
        <v>152</v>
      </c>
      <c r="X174" s="144" t="s">
        <v>718</v>
      </c>
      <c r="Y174" s="145"/>
      <c r="Z174" s="146"/>
      <c r="AA174" s="145"/>
      <c r="AB174" s="145"/>
      <c r="AD174" s="5">
        <v>152</v>
      </c>
      <c r="AE174" s="413" t="s">
        <v>718</v>
      </c>
      <c r="AF174" s="145"/>
      <c r="AG174" s="146"/>
      <c r="AH174" s="145"/>
      <c r="AI174" s="145"/>
      <c r="AK174" s="5">
        <v>152</v>
      </c>
      <c r="AL174" s="413" t="s">
        <v>1835</v>
      </c>
      <c r="AM174" s="145">
        <v>443</v>
      </c>
      <c r="AN174" s="146">
        <v>1.9</v>
      </c>
      <c r="AO174" s="145">
        <v>4072</v>
      </c>
      <c r="AP174" s="145">
        <v>-16</v>
      </c>
      <c r="AR174" s="5">
        <v>152</v>
      </c>
      <c r="AS174" s="413" t="s">
        <v>1836</v>
      </c>
      <c r="AT174" s="145">
        <v>670</v>
      </c>
      <c r="AU174" s="146">
        <v>2.4500000000000002</v>
      </c>
      <c r="AV174" s="145">
        <v>4545</v>
      </c>
      <c r="AW174" s="145">
        <v>-18</v>
      </c>
      <c r="AY174" s="5">
        <v>152</v>
      </c>
      <c r="AZ174" s="413" t="s">
        <v>1837</v>
      </c>
      <c r="BA174" s="145">
        <v>530</v>
      </c>
      <c r="BB174" s="146">
        <v>3.05</v>
      </c>
      <c r="BC174" s="145">
        <v>3984</v>
      </c>
      <c r="BD174" s="145">
        <v>-14</v>
      </c>
      <c r="BF174" s="5">
        <v>152</v>
      </c>
      <c r="BG174" s="413" t="s">
        <v>718</v>
      </c>
      <c r="BH174" s="145"/>
      <c r="BI174" s="146"/>
      <c r="BJ174" s="145"/>
      <c r="BK174" s="145"/>
      <c r="BM174" s="5">
        <v>152</v>
      </c>
      <c r="BN174" s="413" t="s">
        <v>1838</v>
      </c>
      <c r="BO174" s="145">
        <v>351</v>
      </c>
      <c r="BP174" s="146">
        <v>3.04</v>
      </c>
      <c r="BQ174" s="145">
        <v>3646</v>
      </c>
      <c r="BR174" s="145">
        <v>-14</v>
      </c>
      <c r="BS174" s="5"/>
      <c r="BT174" s="5">
        <v>152</v>
      </c>
      <c r="BU174" s="413" t="s">
        <v>1839</v>
      </c>
      <c r="BV174" s="145">
        <v>1056</v>
      </c>
      <c r="BW174" s="146">
        <v>2.67</v>
      </c>
      <c r="BX174" s="145">
        <v>4627</v>
      </c>
      <c r="BY174" s="145">
        <v>-16</v>
      </c>
      <c r="BZ174" s="5"/>
      <c r="CA174" s="5">
        <v>152</v>
      </c>
      <c r="CB174" s="413" t="s">
        <v>718</v>
      </c>
      <c r="CC174" s="145"/>
      <c r="CD174" s="146"/>
      <c r="CE174" s="145"/>
      <c r="CF174" s="145"/>
      <c r="CG174" s="5"/>
      <c r="CH174" s="5"/>
      <c r="CI174" s="5"/>
    </row>
    <row r="175" spans="13:87" ht="16.149999999999999" customHeight="1" x14ac:dyDescent="0.2">
      <c r="M175" s="5">
        <v>153</v>
      </c>
      <c r="N175" s="413" t="str">
        <f t="shared" si="12"/>
        <v xml:space="preserve"> </v>
      </c>
      <c r="O175" s="414">
        <f t="shared" si="13"/>
        <v>0</v>
      </c>
      <c r="P175" s="414">
        <f t="shared" si="14"/>
        <v>0</v>
      </c>
      <c r="Q175" s="145">
        <f t="shared" si="17"/>
        <v>-8</v>
      </c>
      <c r="R175" s="414">
        <f t="shared" si="15"/>
        <v>0</v>
      </c>
      <c r="S175" s="414">
        <f t="shared" si="16"/>
        <v>0</v>
      </c>
      <c r="T175" s="19"/>
      <c r="U175" s="5"/>
      <c r="V175" s="5"/>
      <c r="W175" s="5">
        <v>153</v>
      </c>
      <c r="X175" s="144" t="s">
        <v>718</v>
      </c>
      <c r="Y175" s="145"/>
      <c r="Z175" s="146"/>
      <c r="AA175" s="145"/>
      <c r="AB175" s="145"/>
      <c r="AD175" s="5">
        <v>153</v>
      </c>
      <c r="AE175" s="413" t="s">
        <v>718</v>
      </c>
      <c r="AF175" s="145"/>
      <c r="AG175" s="146"/>
      <c r="AH175" s="145"/>
      <c r="AI175" s="145"/>
      <c r="AK175" s="5">
        <v>153</v>
      </c>
      <c r="AL175" s="413" t="s">
        <v>1840</v>
      </c>
      <c r="AM175" s="145">
        <v>1128</v>
      </c>
      <c r="AN175" s="146">
        <v>2.77</v>
      </c>
      <c r="AO175" s="145">
        <v>4721</v>
      </c>
      <c r="AP175" s="145">
        <v>-15</v>
      </c>
      <c r="AR175" s="5">
        <v>153</v>
      </c>
      <c r="AS175" s="413" t="s">
        <v>1841</v>
      </c>
      <c r="AT175" s="145">
        <v>168</v>
      </c>
      <c r="AU175" s="146">
        <v>3.32</v>
      </c>
      <c r="AV175" s="145">
        <v>3552</v>
      </c>
      <c r="AW175" s="145">
        <v>-14</v>
      </c>
      <c r="AY175" s="5">
        <v>153</v>
      </c>
      <c r="AZ175" s="413" t="s">
        <v>1842</v>
      </c>
      <c r="BA175" s="145">
        <v>265</v>
      </c>
      <c r="BB175" s="146">
        <v>3.52</v>
      </c>
      <c r="BC175" s="145">
        <v>3526</v>
      </c>
      <c r="BD175" s="145">
        <v>-12</v>
      </c>
      <c r="BF175" s="5">
        <v>153</v>
      </c>
      <c r="BG175" s="413" t="s">
        <v>718</v>
      </c>
      <c r="BH175" s="145"/>
      <c r="BI175" s="146"/>
      <c r="BJ175" s="145"/>
      <c r="BK175" s="145"/>
      <c r="BM175" s="5">
        <v>153</v>
      </c>
      <c r="BN175" s="413" t="s">
        <v>2379</v>
      </c>
      <c r="BO175" s="145">
        <v>333</v>
      </c>
      <c r="BP175" s="146">
        <v>2.88</v>
      </c>
      <c r="BQ175" s="145">
        <v>3681</v>
      </c>
      <c r="BR175" s="145">
        <v>-14</v>
      </c>
      <c r="BS175" s="5"/>
      <c r="BT175" s="5">
        <v>153</v>
      </c>
      <c r="BU175" s="413" t="s">
        <v>2380</v>
      </c>
      <c r="BV175" s="145">
        <v>1182</v>
      </c>
      <c r="BW175" s="146">
        <v>2.2999999999999998</v>
      </c>
      <c r="BX175" s="145">
        <v>5079</v>
      </c>
      <c r="BY175" s="145">
        <v>-17</v>
      </c>
      <c r="BZ175" s="5"/>
      <c r="CA175" s="5">
        <v>153</v>
      </c>
      <c r="CB175" s="413" t="s">
        <v>718</v>
      </c>
      <c r="CC175" s="145"/>
      <c r="CD175" s="146"/>
      <c r="CE175" s="145"/>
      <c r="CF175" s="145"/>
      <c r="CG175" s="5"/>
      <c r="CH175" s="5"/>
      <c r="CI175" s="5"/>
    </row>
    <row r="176" spans="13:87" ht="16.149999999999999" customHeight="1" x14ac:dyDescent="0.2">
      <c r="M176" s="5">
        <v>154</v>
      </c>
      <c r="N176" s="413" t="str">
        <f t="shared" si="12"/>
        <v xml:space="preserve"> </v>
      </c>
      <c r="O176" s="414">
        <f t="shared" si="13"/>
        <v>0</v>
      </c>
      <c r="P176" s="414">
        <f t="shared" si="14"/>
        <v>0</v>
      </c>
      <c r="Q176" s="145">
        <f t="shared" si="17"/>
        <v>-8</v>
      </c>
      <c r="R176" s="414">
        <f t="shared" si="15"/>
        <v>0</v>
      </c>
      <c r="S176" s="414">
        <f t="shared" si="16"/>
        <v>0</v>
      </c>
      <c r="T176" s="19"/>
      <c r="U176" s="5"/>
      <c r="V176" s="5"/>
      <c r="W176" s="5">
        <v>154</v>
      </c>
      <c r="X176" s="144" t="s">
        <v>718</v>
      </c>
      <c r="Y176" s="145"/>
      <c r="Z176" s="146"/>
      <c r="AA176" s="145"/>
      <c r="AB176" s="145"/>
      <c r="AD176" s="5">
        <v>154</v>
      </c>
      <c r="AE176" s="413" t="s">
        <v>718</v>
      </c>
      <c r="AF176" s="145"/>
      <c r="AG176" s="146"/>
      <c r="AH176" s="145"/>
      <c r="AI176" s="145"/>
      <c r="AK176" s="5">
        <v>154</v>
      </c>
      <c r="AL176" s="413" t="s">
        <v>2381</v>
      </c>
      <c r="AM176" s="145">
        <v>605</v>
      </c>
      <c r="AN176" s="146">
        <v>2.44</v>
      </c>
      <c r="AO176" s="145">
        <v>4092</v>
      </c>
      <c r="AP176" s="145">
        <v>-15</v>
      </c>
      <c r="AR176" s="5">
        <v>154</v>
      </c>
      <c r="AS176" s="413" t="s">
        <v>2382</v>
      </c>
      <c r="AT176" s="145">
        <v>535</v>
      </c>
      <c r="AU176" s="146">
        <v>2.4700000000000002</v>
      </c>
      <c r="AV176" s="145">
        <v>4296</v>
      </c>
      <c r="AW176" s="145">
        <v>-16</v>
      </c>
      <c r="AY176" s="5">
        <v>154</v>
      </c>
      <c r="AZ176" s="413" t="s">
        <v>2383</v>
      </c>
      <c r="BA176" s="145">
        <v>510</v>
      </c>
      <c r="BB176" s="146">
        <v>3.06</v>
      </c>
      <c r="BC176" s="145">
        <v>4014</v>
      </c>
      <c r="BD176" s="145">
        <v>-16</v>
      </c>
      <c r="BF176" s="5">
        <v>154</v>
      </c>
      <c r="BG176" s="413" t="s">
        <v>718</v>
      </c>
      <c r="BH176" s="145"/>
      <c r="BI176" s="146"/>
      <c r="BJ176" s="145"/>
      <c r="BK176" s="145"/>
      <c r="BM176" s="5">
        <v>154</v>
      </c>
      <c r="BN176" s="413" t="s">
        <v>2384</v>
      </c>
      <c r="BO176" s="145">
        <v>659</v>
      </c>
      <c r="BP176" s="146">
        <v>2.33</v>
      </c>
      <c r="BQ176" s="145">
        <v>4452</v>
      </c>
      <c r="BR176" s="145">
        <v>-16</v>
      </c>
      <c r="BS176" s="5"/>
      <c r="BT176" s="5">
        <v>154</v>
      </c>
      <c r="BU176" s="413" t="s">
        <v>2385</v>
      </c>
      <c r="BV176" s="145">
        <v>909</v>
      </c>
      <c r="BW176" s="146">
        <v>2.79</v>
      </c>
      <c r="BX176" s="145">
        <v>4510</v>
      </c>
      <c r="BY176" s="145">
        <v>-16</v>
      </c>
      <c r="BZ176" s="5"/>
      <c r="CA176" s="5">
        <v>154</v>
      </c>
      <c r="CB176" s="413" t="s">
        <v>718</v>
      </c>
      <c r="CC176" s="145"/>
      <c r="CD176" s="146"/>
      <c r="CE176" s="145"/>
      <c r="CF176" s="145"/>
      <c r="CG176" s="5"/>
      <c r="CH176" s="5"/>
      <c r="CI176" s="5"/>
    </row>
    <row r="177" spans="13:87" ht="16.149999999999999" customHeight="1" x14ac:dyDescent="0.2">
      <c r="M177" s="5">
        <v>155</v>
      </c>
      <c r="N177" s="413" t="str">
        <f t="shared" si="12"/>
        <v xml:space="preserve"> </v>
      </c>
      <c r="O177" s="414">
        <f t="shared" si="13"/>
        <v>0</v>
      </c>
      <c r="P177" s="414">
        <f t="shared" si="14"/>
        <v>0</v>
      </c>
      <c r="Q177" s="145">
        <f t="shared" si="17"/>
        <v>-8</v>
      </c>
      <c r="R177" s="414">
        <f t="shared" si="15"/>
        <v>0</v>
      </c>
      <c r="S177" s="414">
        <f t="shared" si="16"/>
        <v>0</v>
      </c>
      <c r="T177" s="19"/>
      <c r="U177" s="5"/>
      <c r="V177" s="5"/>
      <c r="W177" s="5">
        <v>155</v>
      </c>
      <c r="X177" s="144" t="s">
        <v>718</v>
      </c>
      <c r="Y177" s="145"/>
      <c r="Z177" s="146"/>
      <c r="AA177" s="145"/>
      <c r="AB177" s="145"/>
      <c r="AD177" s="5">
        <v>155</v>
      </c>
      <c r="AE177" s="413" t="s">
        <v>718</v>
      </c>
      <c r="AF177" s="145"/>
      <c r="AG177" s="146"/>
      <c r="AH177" s="145"/>
      <c r="AI177" s="145"/>
      <c r="AK177" s="5">
        <v>155</v>
      </c>
      <c r="AL177" s="413" t="s">
        <v>2386</v>
      </c>
      <c r="AM177" s="145">
        <v>524</v>
      </c>
      <c r="AN177" s="146">
        <v>2.7</v>
      </c>
      <c r="AO177" s="145">
        <v>3978</v>
      </c>
      <c r="AP177" s="145">
        <v>-15</v>
      </c>
      <c r="AR177" s="5">
        <v>155</v>
      </c>
      <c r="AS177" s="413" t="s">
        <v>2387</v>
      </c>
      <c r="AT177" s="145">
        <v>210</v>
      </c>
      <c r="AU177" s="146">
        <v>3.34</v>
      </c>
      <c r="AV177" s="145">
        <v>3648</v>
      </c>
      <c r="AW177" s="145">
        <v>-14</v>
      </c>
      <c r="AY177" s="5">
        <v>155</v>
      </c>
      <c r="AZ177" s="413" t="s">
        <v>2388</v>
      </c>
      <c r="BA177" s="145">
        <v>523</v>
      </c>
      <c r="BB177" s="146">
        <v>3.02</v>
      </c>
      <c r="BC177" s="145">
        <v>4042</v>
      </c>
      <c r="BD177" s="145">
        <v>-16</v>
      </c>
      <c r="BF177" s="5">
        <v>155</v>
      </c>
      <c r="BG177" s="413" t="s">
        <v>718</v>
      </c>
      <c r="BH177" s="145"/>
      <c r="BI177" s="146"/>
      <c r="BJ177" s="145"/>
      <c r="BK177" s="145"/>
      <c r="BM177" s="5">
        <v>155</v>
      </c>
      <c r="BN177" s="413" t="s">
        <v>2389</v>
      </c>
      <c r="BO177" s="145">
        <v>387</v>
      </c>
      <c r="BP177" s="146">
        <v>2.94</v>
      </c>
      <c r="BQ177" s="145">
        <v>3822</v>
      </c>
      <c r="BR177" s="145">
        <v>-14</v>
      </c>
      <c r="BS177" s="5"/>
      <c r="BT177" s="5">
        <v>155</v>
      </c>
      <c r="BU177" s="413" t="s">
        <v>2390</v>
      </c>
      <c r="BV177" s="145">
        <v>1427</v>
      </c>
      <c r="BW177" s="146">
        <v>2.14</v>
      </c>
      <c r="BX177" s="145">
        <v>5358</v>
      </c>
      <c r="BY177" s="145">
        <v>-17</v>
      </c>
      <c r="BZ177" s="5"/>
      <c r="CA177" s="5">
        <v>155</v>
      </c>
      <c r="CB177" s="413" t="s">
        <v>718</v>
      </c>
      <c r="CC177" s="145"/>
      <c r="CD177" s="146"/>
      <c r="CE177" s="145"/>
      <c r="CF177" s="145"/>
      <c r="CG177" s="5"/>
      <c r="CH177" s="5"/>
      <c r="CI177" s="5"/>
    </row>
    <row r="178" spans="13:87" ht="16.149999999999999" customHeight="1" x14ac:dyDescent="0.2">
      <c r="M178" s="5">
        <v>156</v>
      </c>
      <c r="N178" s="413" t="str">
        <f t="shared" si="12"/>
        <v xml:space="preserve"> </v>
      </c>
      <c r="O178" s="414">
        <f t="shared" si="13"/>
        <v>0</v>
      </c>
      <c r="P178" s="414">
        <f t="shared" si="14"/>
        <v>0</v>
      </c>
      <c r="Q178" s="145">
        <f t="shared" si="17"/>
        <v>-8</v>
      </c>
      <c r="R178" s="414">
        <f t="shared" si="15"/>
        <v>0</v>
      </c>
      <c r="S178" s="414">
        <f t="shared" si="16"/>
        <v>0</v>
      </c>
      <c r="T178" s="19"/>
      <c r="U178" s="5"/>
      <c r="V178" s="5"/>
      <c r="W178" s="5">
        <v>156</v>
      </c>
      <c r="X178" s="144" t="s">
        <v>718</v>
      </c>
      <c r="Y178" s="145"/>
      <c r="Z178" s="146"/>
      <c r="AA178" s="145"/>
      <c r="AB178" s="145"/>
      <c r="AD178" s="5">
        <v>156</v>
      </c>
      <c r="AE178" s="413" t="s">
        <v>718</v>
      </c>
      <c r="AF178" s="145"/>
      <c r="AG178" s="146"/>
      <c r="AH178" s="145"/>
      <c r="AI178" s="145"/>
      <c r="AK178" s="5">
        <v>156</v>
      </c>
      <c r="AL178" s="413" t="s">
        <v>2391</v>
      </c>
      <c r="AM178" s="145">
        <v>505</v>
      </c>
      <c r="AN178" s="146">
        <v>2.2799999999999998</v>
      </c>
      <c r="AO178" s="145">
        <v>4075</v>
      </c>
      <c r="AP178" s="145">
        <v>-16</v>
      </c>
      <c r="AR178" s="5">
        <v>156</v>
      </c>
      <c r="AS178" s="413" t="s">
        <v>2392</v>
      </c>
      <c r="AT178" s="145">
        <v>549</v>
      </c>
      <c r="AU178" s="146">
        <v>3.13</v>
      </c>
      <c r="AV178" s="145">
        <v>4049</v>
      </c>
      <c r="AW178" s="145">
        <v>-15</v>
      </c>
      <c r="AY178" s="5">
        <v>156</v>
      </c>
      <c r="AZ178" s="413" t="s">
        <v>2393</v>
      </c>
      <c r="BA178" s="145">
        <v>490</v>
      </c>
      <c r="BB178" s="146">
        <v>3.25</v>
      </c>
      <c r="BC178" s="145">
        <v>3920</v>
      </c>
      <c r="BD178" s="145">
        <v>-15</v>
      </c>
      <c r="BF178" s="5">
        <v>156</v>
      </c>
      <c r="BG178" s="413" t="s">
        <v>718</v>
      </c>
      <c r="BH178" s="145"/>
      <c r="BI178" s="146"/>
      <c r="BJ178" s="145"/>
      <c r="BK178" s="145"/>
      <c r="BM178" s="5">
        <v>156</v>
      </c>
      <c r="BN178" s="413" t="s">
        <v>2394</v>
      </c>
      <c r="BO178" s="145">
        <v>274</v>
      </c>
      <c r="BP178" s="146">
        <v>3.19</v>
      </c>
      <c r="BQ178" s="145">
        <v>3530</v>
      </c>
      <c r="BR178" s="145">
        <v>-13</v>
      </c>
      <c r="BS178" s="5"/>
      <c r="BT178" s="5">
        <v>156</v>
      </c>
      <c r="BU178" s="413" t="s">
        <v>2395</v>
      </c>
      <c r="BV178" s="145">
        <v>1079</v>
      </c>
      <c r="BW178" s="146">
        <v>1.96</v>
      </c>
      <c r="BX178" s="145">
        <v>4979</v>
      </c>
      <c r="BY178" s="145">
        <v>-17</v>
      </c>
      <c r="BZ178" s="5"/>
      <c r="CA178" s="5">
        <v>156</v>
      </c>
      <c r="CB178" s="413" t="s">
        <v>718</v>
      </c>
      <c r="CC178" s="145"/>
      <c r="CD178" s="146"/>
      <c r="CE178" s="145"/>
      <c r="CF178" s="145"/>
      <c r="CG178" s="5"/>
      <c r="CH178" s="5"/>
      <c r="CI178" s="5"/>
    </row>
    <row r="179" spans="13:87" ht="16.149999999999999" customHeight="1" x14ac:dyDescent="0.2">
      <c r="M179" s="5">
        <v>157</v>
      </c>
      <c r="N179" s="413" t="str">
        <f t="shared" si="12"/>
        <v xml:space="preserve"> </v>
      </c>
      <c r="O179" s="414">
        <f t="shared" si="13"/>
        <v>0</v>
      </c>
      <c r="P179" s="414">
        <f t="shared" si="14"/>
        <v>0</v>
      </c>
      <c r="Q179" s="145">
        <f t="shared" si="17"/>
        <v>-8</v>
      </c>
      <c r="R179" s="414">
        <f t="shared" si="15"/>
        <v>0</v>
      </c>
      <c r="S179" s="414">
        <f t="shared" si="16"/>
        <v>0</v>
      </c>
      <c r="T179" s="19"/>
      <c r="U179" s="5"/>
      <c r="V179" s="5"/>
      <c r="W179" s="5">
        <v>157</v>
      </c>
      <c r="X179" s="144" t="s">
        <v>718</v>
      </c>
      <c r="Y179" s="145"/>
      <c r="Z179" s="146"/>
      <c r="AA179" s="145"/>
      <c r="AB179" s="145"/>
      <c r="AD179" s="5">
        <v>157</v>
      </c>
      <c r="AE179" s="413" t="s">
        <v>718</v>
      </c>
      <c r="AF179" s="145"/>
      <c r="AG179" s="146"/>
      <c r="AH179" s="145"/>
      <c r="AI179" s="145"/>
      <c r="AK179" s="5">
        <v>157</v>
      </c>
      <c r="AL179" s="413" t="s">
        <v>2396</v>
      </c>
      <c r="AM179" s="145">
        <v>515</v>
      </c>
      <c r="AN179" s="146">
        <v>2.67</v>
      </c>
      <c r="AO179" s="145">
        <v>3969</v>
      </c>
      <c r="AP179" s="145">
        <v>-15</v>
      </c>
      <c r="AR179" s="5">
        <v>157</v>
      </c>
      <c r="AS179" s="413" t="s">
        <v>2397</v>
      </c>
      <c r="AT179" s="145">
        <v>240</v>
      </c>
      <c r="AU179" s="146">
        <v>3.66</v>
      </c>
      <c r="AV179" s="145">
        <v>3349</v>
      </c>
      <c r="AW179" s="145">
        <v>-13</v>
      </c>
      <c r="AY179" s="5">
        <v>157</v>
      </c>
      <c r="AZ179" s="413" t="s">
        <v>2398</v>
      </c>
      <c r="BA179" s="145">
        <v>350</v>
      </c>
      <c r="BB179" s="146">
        <v>3.45</v>
      </c>
      <c r="BC179" s="145">
        <v>3773</v>
      </c>
      <c r="BD179" s="145">
        <v>-14</v>
      </c>
      <c r="BF179" s="5">
        <v>157</v>
      </c>
      <c r="BG179" s="413" t="s">
        <v>718</v>
      </c>
      <c r="BH179" s="145"/>
      <c r="BI179" s="146"/>
      <c r="BJ179" s="145"/>
      <c r="BK179" s="145"/>
      <c r="BM179" s="5">
        <v>157</v>
      </c>
      <c r="BN179" s="413" t="s">
        <v>2399</v>
      </c>
      <c r="BO179" s="145">
        <v>260</v>
      </c>
      <c r="BP179" s="146">
        <v>3.16</v>
      </c>
      <c r="BQ179" s="145">
        <v>3571</v>
      </c>
      <c r="BR179" s="145">
        <v>-14</v>
      </c>
      <c r="BS179" s="5"/>
      <c r="BT179" s="5">
        <v>157</v>
      </c>
      <c r="BU179" s="413" t="s">
        <v>2400</v>
      </c>
      <c r="BV179" s="145">
        <v>653</v>
      </c>
      <c r="BW179" s="146">
        <v>2.5099999999999998</v>
      </c>
      <c r="BX179" s="145">
        <v>4145</v>
      </c>
      <c r="BY179" s="145">
        <v>-16</v>
      </c>
      <c r="BZ179" s="5"/>
      <c r="CA179" s="5">
        <v>157</v>
      </c>
      <c r="CB179" s="413" t="s">
        <v>718</v>
      </c>
      <c r="CC179" s="145"/>
      <c r="CD179" s="146"/>
      <c r="CE179" s="145"/>
      <c r="CF179" s="145"/>
      <c r="CG179" s="5"/>
      <c r="CH179" s="5"/>
      <c r="CI179" s="5"/>
    </row>
    <row r="180" spans="13:87" ht="16.149999999999999" customHeight="1" x14ac:dyDescent="0.2">
      <c r="M180" s="5">
        <v>158</v>
      </c>
      <c r="N180" s="413" t="str">
        <f t="shared" si="12"/>
        <v xml:space="preserve"> </v>
      </c>
      <c r="O180" s="414">
        <f t="shared" si="13"/>
        <v>0</v>
      </c>
      <c r="P180" s="414">
        <f t="shared" si="14"/>
        <v>0</v>
      </c>
      <c r="Q180" s="145">
        <f t="shared" si="17"/>
        <v>-8</v>
      </c>
      <c r="R180" s="414">
        <f t="shared" si="15"/>
        <v>0</v>
      </c>
      <c r="S180" s="414">
        <f t="shared" si="16"/>
        <v>0</v>
      </c>
      <c r="T180" s="19"/>
      <c r="U180" s="5"/>
      <c r="V180" s="5"/>
      <c r="W180" s="5">
        <v>158</v>
      </c>
      <c r="X180" s="144" t="s">
        <v>718</v>
      </c>
      <c r="Y180" s="145"/>
      <c r="Z180" s="146"/>
      <c r="AA180" s="145"/>
      <c r="AB180" s="145"/>
      <c r="AD180" s="5">
        <v>158</v>
      </c>
      <c r="AE180" s="413" t="s">
        <v>718</v>
      </c>
      <c r="AF180" s="145"/>
      <c r="AG180" s="146"/>
      <c r="AH180" s="145"/>
      <c r="AI180" s="145"/>
      <c r="AK180" s="5">
        <v>158</v>
      </c>
      <c r="AL180" s="413" t="s">
        <v>2401</v>
      </c>
      <c r="AM180" s="145">
        <v>400</v>
      </c>
      <c r="AN180" s="146">
        <v>2.52</v>
      </c>
      <c r="AO180" s="145">
        <v>3934</v>
      </c>
      <c r="AP180" s="145">
        <v>-15</v>
      </c>
      <c r="AR180" s="5">
        <v>158</v>
      </c>
      <c r="AS180" s="413" t="s">
        <v>2402</v>
      </c>
      <c r="AT180" s="145">
        <v>243</v>
      </c>
      <c r="AU180" s="146">
        <v>3.61</v>
      </c>
      <c r="AV180" s="145">
        <v>3426</v>
      </c>
      <c r="AW180" s="145">
        <v>-13</v>
      </c>
      <c r="AY180" s="5">
        <v>158</v>
      </c>
      <c r="AZ180" s="413" t="s">
        <v>2403</v>
      </c>
      <c r="BA180" s="145">
        <v>304</v>
      </c>
      <c r="BB180" s="146">
        <v>3.22</v>
      </c>
      <c r="BC180" s="145">
        <v>3692</v>
      </c>
      <c r="BD180" s="145">
        <v>-14</v>
      </c>
      <c r="BF180" s="5">
        <v>158</v>
      </c>
      <c r="BG180" s="413" t="s">
        <v>718</v>
      </c>
      <c r="BH180" s="145"/>
      <c r="BI180" s="146"/>
      <c r="BJ180" s="145"/>
      <c r="BK180" s="145"/>
      <c r="BM180" s="5">
        <v>158</v>
      </c>
      <c r="BN180" s="413" t="s">
        <v>2404</v>
      </c>
      <c r="BO180" s="145">
        <v>515</v>
      </c>
      <c r="BP180" s="146">
        <v>2.95</v>
      </c>
      <c r="BQ180" s="145">
        <v>3955</v>
      </c>
      <c r="BR180" s="145">
        <v>-14</v>
      </c>
      <c r="BS180" s="5"/>
      <c r="BT180" s="5">
        <v>158</v>
      </c>
      <c r="BU180" s="413" t="s">
        <v>2405</v>
      </c>
      <c r="BV180" s="145">
        <v>919</v>
      </c>
      <c r="BW180" s="146">
        <v>2.96</v>
      </c>
      <c r="BX180" s="145">
        <v>4464</v>
      </c>
      <c r="BY180" s="145">
        <v>-15</v>
      </c>
      <c r="BZ180" s="5"/>
      <c r="CA180" s="5">
        <v>158</v>
      </c>
      <c r="CB180" s="413" t="s">
        <v>718</v>
      </c>
      <c r="CC180" s="145"/>
      <c r="CD180" s="146"/>
      <c r="CE180" s="145"/>
      <c r="CF180" s="145"/>
      <c r="CG180" s="5"/>
      <c r="CH180" s="5"/>
      <c r="CI180" s="5"/>
    </row>
    <row r="181" spans="13:87" ht="16.149999999999999" customHeight="1" x14ac:dyDescent="0.2">
      <c r="M181" s="5">
        <v>159</v>
      </c>
      <c r="N181" s="413" t="str">
        <f t="shared" si="12"/>
        <v xml:space="preserve"> </v>
      </c>
      <c r="O181" s="414">
        <f t="shared" si="13"/>
        <v>0</v>
      </c>
      <c r="P181" s="414">
        <f t="shared" si="14"/>
        <v>0</v>
      </c>
      <c r="Q181" s="145">
        <f t="shared" si="17"/>
        <v>-8</v>
      </c>
      <c r="R181" s="414">
        <f t="shared" si="15"/>
        <v>0</v>
      </c>
      <c r="S181" s="414">
        <f t="shared" si="16"/>
        <v>0</v>
      </c>
      <c r="T181" s="19"/>
      <c r="U181" s="5"/>
      <c r="V181" s="5"/>
      <c r="W181" s="5">
        <v>159</v>
      </c>
      <c r="X181" s="144" t="s">
        <v>718</v>
      </c>
      <c r="Y181" s="145"/>
      <c r="Z181" s="146"/>
      <c r="AA181" s="145"/>
      <c r="AB181" s="145"/>
      <c r="AD181" s="5">
        <v>159</v>
      </c>
      <c r="AE181" s="413" t="s">
        <v>718</v>
      </c>
      <c r="AF181" s="145"/>
      <c r="AG181" s="146"/>
      <c r="AH181" s="145"/>
      <c r="AI181" s="145"/>
      <c r="AK181" s="5">
        <v>159</v>
      </c>
      <c r="AL181" s="413" t="s">
        <v>2406</v>
      </c>
      <c r="AM181" s="145">
        <v>515</v>
      </c>
      <c r="AN181" s="146">
        <v>1.95</v>
      </c>
      <c r="AO181" s="145">
        <v>4133</v>
      </c>
      <c r="AP181" s="145">
        <v>-16</v>
      </c>
      <c r="AR181" s="5">
        <v>159</v>
      </c>
      <c r="AS181" s="413" t="s">
        <v>2407</v>
      </c>
      <c r="AT181" s="145">
        <v>246</v>
      </c>
      <c r="AU181" s="146">
        <v>3.14</v>
      </c>
      <c r="AV181" s="145">
        <v>3676</v>
      </c>
      <c r="AW181" s="145">
        <v>-14</v>
      </c>
      <c r="AY181" s="5">
        <v>159</v>
      </c>
      <c r="AZ181" s="413" t="s">
        <v>2408</v>
      </c>
      <c r="BA181" s="145">
        <v>607</v>
      </c>
      <c r="BB181" s="146">
        <v>3</v>
      </c>
      <c r="BC181" s="145">
        <v>4283</v>
      </c>
      <c r="BD181" s="145">
        <v>-16</v>
      </c>
      <c r="BF181" s="5">
        <v>159</v>
      </c>
      <c r="BG181" s="413" t="s">
        <v>718</v>
      </c>
      <c r="BH181" s="145"/>
      <c r="BI181" s="146"/>
      <c r="BJ181" s="145"/>
      <c r="BK181" s="145"/>
      <c r="BM181" s="5">
        <v>159</v>
      </c>
      <c r="BN181" s="413" t="s">
        <v>2409</v>
      </c>
      <c r="BO181" s="145">
        <v>960</v>
      </c>
      <c r="BP181" s="146">
        <v>2.5299999999999998</v>
      </c>
      <c r="BQ181" s="145">
        <v>4647</v>
      </c>
      <c r="BR181" s="145">
        <v>-15</v>
      </c>
      <c r="BS181" s="5"/>
      <c r="BT181" s="5">
        <v>159</v>
      </c>
      <c r="BU181" s="413" t="s">
        <v>2410</v>
      </c>
      <c r="BV181" s="145">
        <v>574</v>
      </c>
      <c r="BW181" s="146">
        <v>3.13</v>
      </c>
      <c r="BX181" s="145">
        <v>3762</v>
      </c>
      <c r="BY181" s="145">
        <v>-14</v>
      </c>
      <c r="BZ181" s="5"/>
      <c r="CA181" s="5">
        <v>159</v>
      </c>
      <c r="CB181" s="413" t="s">
        <v>718</v>
      </c>
      <c r="CC181" s="145"/>
      <c r="CD181" s="146"/>
      <c r="CE181" s="145"/>
      <c r="CF181" s="145"/>
      <c r="CG181" s="5"/>
      <c r="CH181" s="5"/>
      <c r="CI181" s="5"/>
    </row>
    <row r="182" spans="13:87" ht="16.149999999999999" customHeight="1" x14ac:dyDescent="0.2">
      <c r="M182" s="5">
        <v>160</v>
      </c>
      <c r="N182" s="413" t="str">
        <f t="shared" si="12"/>
        <v xml:space="preserve"> </v>
      </c>
      <c r="O182" s="414">
        <f t="shared" si="13"/>
        <v>0</v>
      </c>
      <c r="P182" s="414">
        <f t="shared" si="14"/>
        <v>0</v>
      </c>
      <c r="Q182" s="145">
        <f t="shared" si="17"/>
        <v>-8</v>
      </c>
      <c r="R182" s="414">
        <f t="shared" si="15"/>
        <v>0</v>
      </c>
      <c r="S182" s="414">
        <f t="shared" si="16"/>
        <v>0</v>
      </c>
      <c r="T182" s="19"/>
      <c r="U182" s="5"/>
      <c r="V182" s="5"/>
      <c r="W182" s="5">
        <v>160</v>
      </c>
      <c r="X182" s="144" t="s">
        <v>718</v>
      </c>
      <c r="Y182" s="145"/>
      <c r="Z182" s="146"/>
      <c r="AA182" s="145"/>
      <c r="AB182" s="145"/>
      <c r="AD182" s="5">
        <v>160</v>
      </c>
      <c r="AE182" s="413" t="s">
        <v>718</v>
      </c>
      <c r="AF182" s="145"/>
      <c r="AG182" s="146"/>
      <c r="AH182" s="145"/>
      <c r="AI182" s="145"/>
      <c r="AK182" s="5">
        <v>160</v>
      </c>
      <c r="AL182" s="413" t="s">
        <v>2411</v>
      </c>
      <c r="AM182" s="145">
        <v>675</v>
      </c>
      <c r="AN182" s="146">
        <v>2.5499999999999998</v>
      </c>
      <c r="AO182" s="145">
        <v>4293</v>
      </c>
      <c r="AP182" s="145">
        <v>-15</v>
      </c>
      <c r="AR182" s="5">
        <v>160</v>
      </c>
      <c r="AS182" s="413" t="s">
        <v>2412</v>
      </c>
      <c r="AT182" s="145">
        <v>190</v>
      </c>
      <c r="AU182" s="146">
        <v>3.76</v>
      </c>
      <c r="AV182" s="145">
        <v>3280</v>
      </c>
      <c r="AW182" s="145">
        <v>-13</v>
      </c>
      <c r="AY182" s="5">
        <v>160</v>
      </c>
      <c r="AZ182" s="413" t="s">
        <v>2413</v>
      </c>
      <c r="BA182" s="145">
        <v>585</v>
      </c>
      <c r="BB182" s="146">
        <v>2.95</v>
      </c>
      <c r="BC182" s="145">
        <v>4126</v>
      </c>
      <c r="BD182" s="145">
        <v>-16</v>
      </c>
      <c r="BF182" s="5">
        <v>160</v>
      </c>
      <c r="BG182" s="413" t="s">
        <v>718</v>
      </c>
      <c r="BH182" s="145"/>
      <c r="BI182" s="146"/>
      <c r="BJ182" s="145"/>
      <c r="BK182" s="145"/>
      <c r="BM182" s="5">
        <v>160</v>
      </c>
      <c r="BN182" s="413" t="s">
        <v>2414</v>
      </c>
      <c r="BO182" s="145">
        <v>868</v>
      </c>
      <c r="BP182" s="146">
        <v>2.76</v>
      </c>
      <c r="BQ182" s="145">
        <v>4637</v>
      </c>
      <c r="BR182" s="145">
        <v>-16</v>
      </c>
      <c r="BS182" s="5"/>
      <c r="BT182" s="5">
        <v>160</v>
      </c>
      <c r="BU182" s="413" t="s">
        <v>2415</v>
      </c>
      <c r="BV182" s="145">
        <v>1377</v>
      </c>
      <c r="BW182" s="146">
        <v>1.81</v>
      </c>
      <c r="BX182" s="145">
        <v>5513</v>
      </c>
      <c r="BY182" s="145">
        <v>-18</v>
      </c>
      <c r="BZ182" s="5"/>
      <c r="CA182" s="5">
        <v>160</v>
      </c>
      <c r="CB182" s="413" t="s">
        <v>718</v>
      </c>
      <c r="CC182" s="145"/>
      <c r="CD182" s="146"/>
      <c r="CE182" s="145"/>
      <c r="CF182" s="145"/>
      <c r="CG182" s="5"/>
      <c r="CH182" s="5"/>
      <c r="CI182" s="5"/>
    </row>
    <row r="183" spans="13:87" ht="16.149999999999999" customHeight="1" x14ac:dyDescent="0.2">
      <c r="M183" s="5">
        <v>161</v>
      </c>
      <c r="N183" s="413" t="str">
        <f t="shared" si="12"/>
        <v xml:space="preserve"> </v>
      </c>
      <c r="O183" s="414">
        <f t="shared" si="13"/>
        <v>0</v>
      </c>
      <c r="P183" s="414">
        <f t="shared" si="14"/>
        <v>0</v>
      </c>
      <c r="Q183" s="145">
        <f t="shared" si="17"/>
        <v>-8</v>
      </c>
      <c r="R183" s="414">
        <f t="shared" si="15"/>
        <v>0</v>
      </c>
      <c r="S183" s="414">
        <f t="shared" si="16"/>
        <v>0</v>
      </c>
      <c r="T183" s="19"/>
      <c r="U183" s="5"/>
      <c r="V183" s="5"/>
      <c r="W183" s="5">
        <v>161</v>
      </c>
      <c r="X183" s="144" t="s">
        <v>718</v>
      </c>
      <c r="Y183" s="145"/>
      <c r="Z183" s="146"/>
      <c r="AA183" s="145"/>
      <c r="AB183" s="145"/>
      <c r="AD183" s="5">
        <v>161</v>
      </c>
      <c r="AE183" s="413" t="s">
        <v>718</v>
      </c>
      <c r="AF183" s="145"/>
      <c r="AG183" s="146"/>
      <c r="AH183" s="145"/>
      <c r="AI183" s="145"/>
      <c r="AK183" s="5">
        <v>161</v>
      </c>
      <c r="AL183" s="413" t="s">
        <v>1858</v>
      </c>
      <c r="AM183" s="145">
        <v>725</v>
      </c>
      <c r="AN183" s="146">
        <v>2.46</v>
      </c>
      <c r="AO183" s="145">
        <v>4280</v>
      </c>
      <c r="AP183" s="145">
        <v>-16</v>
      </c>
      <c r="AR183" s="5">
        <v>161</v>
      </c>
      <c r="AS183" s="413" t="s">
        <v>1859</v>
      </c>
      <c r="AT183" s="145">
        <v>858</v>
      </c>
      <c r="AU183" s="146">
        <v>2.13</v>
      </c>
      <c r="AV183" s="145">
        <v>4987</v>
      </c>
      <c r="AW183" s="145">
        <v>-17</v>
      </c>
      <c r="AY183" s="5">
        <v>161</v>
      </c>
      <c r="AZ183" s="413" t="s">
        <v>1860</v>
      </c>
      <c r="BA183" s="145">
        <v>455</v>
      </c>
      <c r="BB183" s="146">
        <v>3.06</v>
      </c>
      <c r="BC183" s="145">
        <v>3931</v>
      </c>
      <c r="BD183" s="145">
        <v>-16</v>
      </c>
      <c r="BF183" s="5">
        <v>161</v>
      </c>
      <c r="BG183" s="413" t="s">
        <v>718</v>
      </c>
      <c r="BH183" s="145"/>
      <c r="BI183" s="146"/>
      <c r="BJ183" s="145"/>
      <c r="BK183" s="145"/>
      <c r="BM183" s="5">
        <v>161</v>
      </c>
      <c r="BN183" s="413" t="s">
        <v>1861</v>
      </c>
      <c r="BO183" s="145">
        <v>331</v>
      </c>
      <c r="BP183" s="146">
        <v>3</v>
      </c>
      <c r="BQ183" s="145">
        <v>3671</v>
      </c>
      <c r="BR183" s="145">
        <v>-13</v>
      </c>
      <c r="BS183" s="5"/>
      <c r="BT183" s="5">
        <v>161</v>
      </c>
      <c r="BU183" s="413" t="s">
        <v>1862</v>
      </c>
      <c r="BV183" s="145">
        <v>698</v>
      </c>
      <c r="BW183" s="146">
        <v>2.1800000000000002</v>
      </c>
      <c r="BX183" s="145">
        <v>4509</v>
      </c>
      <c r="BY183" s="145">
        <v>-17</v>
      </c>
      <c r="BZ183" s="5"/>
      <c r="CA183" s="5">
        <v>161</v>
      </c>
      <c r="CB183" s="413" t="s">
        <v>718</v>
      </c>
      <c r="CC183" s="145"/>
      <c r="CD183" s="146"/>
      <c r="CE183" s="145"/>
      <c r="CF183" s="145"/>
      <c r="CG183" s="5"/>
      <c r="CH183" s="5"/>
      <c r="CI183" s="5"/>
    </row>
    <row r="184" spans="13:87" ht="16.149999999999999" customHeight="1" x14ac:dyDescent="0.2">
      <c r="M184" s="5">
        <v>162</v>
      </c>
      <c r="N184" s="413" t="str">
        <f t="shared" si="12"/>
        <v xml:space="preserve"> </v>
      </c>
      <c r="O184" s="414">
        <f t="shared" si="13"/>
        <v>0</v>
      </c>
      <c r="P184" s="414">
        <f t="shared" si="14"/>
        <v>0</v>
      </c>
      <c r="Q184" s="145">
        <f t="shared" si="17"/>
        <v>-8</v>
      </c>
      <c r="R184" s="414">
        <f t="shared" si="15"/>
        <v>0</v>
      </c>
      <c r="S184" s="414">
        <f t="shared" si="16"/>
        <v>0</v>
      </c>
      <c r="T184" s="19"/>
      <c r="U184" s="5"/>
      <c r="V184" s="5"/>
      <c r="W184" s="5">
        <v>162</v>
      </c>
      <c r="X184" s="144" t="s">
        <v>718</v>
      </c>
      <c r="Y184" s="145"/>
      <c r="Z184" s="146"/>
      <c r="AA184" s="145"/>
      <c r="AB184" s="145"/>
      <c r="AD184" s="5">
        <v>162</v>
      </c>
      <c r="AE184" s="413" t="s">
        <v>718</v>
      </c>
      <c r="AF184" s="145"/>
      <c r="AG184" s="146"/>
      <c r="AH184" s="145"/>
      <c r="AI184" s="145"/>
      <c r="AK184" s="5">
        <v>162</v>
      </c>
      <c r="AL184" s="413" t="s">
        <v>1863</v>
      </c>
      <c r="AM184" s="145">
        <v>432</v>
      </c>
      <c r="AN184" s="146">
        <v>2.63</v>
      </c>
      <c r="AO184" s="145">
        <v>3909</v>
      </c>
      <c r="AP184" s="145">
        <v>-15</v>
      </c>
      <c r="AR184" s="5">
        <v>162</v>
      </c>
      <c r="AS184" s="413" t="s">
        <v>1864</v>
      </c>
      <c r="AT184" s="145">
        <v>482</v>
      </c>
      <c r="AU184" s="146">
        <v>3.15</v>
      </c>
      <c r="AV184" s="145">
        <v>3977</v>
      </c>
      <c r="AW184" s="145">
        <v>-15</v>
      </c>
      <c r="AY184" s="5">
        <v>162</v>
      </c>
      <c r="AZ184" s="413" t="s">
        <v>1865</v>
      </c>
      <c r="BA184" s="145">
        <v>407</v>
      </c>
      <c r="BB184" s="146">
        <v>3.1</v>
      </c>
      <c r="BC184" s="145">
        <v>3888</v>
      </c>
      <c r="BD184" s="145">
        <v>-15</v>
      </c>
      <c r="BF184" s="5">
        <v>162</v>
      </c>
      <c r="BG184" s="413" t="s">
        <v>718</v>
      </c>
      <c r="BH184" s="145"/>
      <c r="BI184" s="146"/>
      <c r="BJ184" s="145"/>
      <c r="BK184" s="145"/>
      <c r="BM184" s="5">
        <v>162</v>
      </c>
      <c r="BN184" s="413" t="s">
        <v>1866</v>
      </c>
      <c r="BO184" s="145">
        <v>713</v>
      </c>
      <c r="BP184" s="146">
        <v>2.65</v>
      </c>
      <c r="BQ184" s="145">
        <v>4476</v>
      </c>
      <c r="BR184" s="145">
        <v>-15</v>
      </c>
      <c r="BS184" s="5"/>
      <c r="BT184" s="5">
        <v>162</v>
      </c>
      <c r="BU184" s="413" t="s">
        <v>1867</v>
      </c>
      <c r="BV184" s="145">
        <v>671</v>
      </c>
      <c r="BW184" s="146">
        <v>2.4900000000000002</v>
      </c>
      <c r="BX184" s="145">
        <v>4167</v>
      </c>
      <c r="BY184" s="145">
        <v>-16</v>
      </c>
      <c r="BZ184" s="5"/>
      <c r="CA184" s="5">
        <v>162</v>
      </c>
      <c r="CB184" s="413" t="s">
        <v>718</v>
      </c>
      <c r="CC184" s="145"/>
      <c r="CD184" s="146"/>
      <c r="CE184" s="145"/>
      <c r="CF184" s="145"/>
      <c r="CG184" s="5"/>
      <c r="CH184" s="5"/>
      <c r="CI184" s="5"/>
    </row>
    <row r="185" spans="13:87" ht="16.149999999999999" customHeight="1" x14ac:dyDescent="0.2">
      <c r="M185" s="5">
        <v>163</v>
      </c>
      <c r="N185" s="413" t="str">
        <f t="shared" si="12"/>
        <v xml:space="preserve"> </v>
      </c>
      <c r="O185" s="414">
        <f t="shared" si="13"/>
        <v>0</v>
      </c>
      <c r="P185" s="414">
        <f t="shared" si="14"/>
        <v>0</v>
      </c>
      <c r="Q185" s="145">
        <f t="shared" si="17"/>
        <v>-8</v>
      </c>
      <c r="R185" s="414">
        <f t="shared" si="15"/>
        <v>0</v>
      </c>
      <c r="S185" s="414">
        <f t="shared" si="16"/>
        <v>0</v>
      </c>
      <c r="T185" s="19"/>
      <c r="U185" s="5"/>
      <c r="V185" s="5"/>
      <c r="W185" s="5">
        <v>163</v>
      </c>
      <c r="X185" s="144" t="s">
        <v>718</v>
      </c>
      <c r="Y185" s="145"/>
      <c r="Z185" s="146"/>
      <c r="AA185" s="145"/>
      <c r="AB185" s="145"/>
      <c r="AD185" s="5">
        <v>163</v>
      </c>
      <c r="AE185" s="413" t="s">
        <v>718</v>
      </c>
      <c r="AF185" s="145"/>
      <c r="AG185" s="146"/>
      <c r="AH185" s="145"/>
      <c r="AI185" s="145"/>
      <c r="AK185" s="5">
        <v>163</v>
      </c>
      <c r="AL185" s="413" t="s">
        <v>1868</v>
      </c>
      <c r="AM185" s="145">
        <v>482</v>
      </c>
      <c r="AN185" s="146">
        <v>2.3199999999999998</v>
      </c>
      <c r="AO185" s="145">
        <v>3960</v>
      </c>
      <c r="AP185" s="145">
        <v>-16</v>
      </c>
      <c r="AR185" s="5">
        <v>163</v>
      </c>
      <c r="AS185" s="413" t="s">
        <v>1869</v>
      </c>
      <c r="AT185" s="145">
        <v>346</v>
      </c>
      <c r="AU185" s="146">
        <v>3.08</v>
      </c>
      <c r="AV185" s="145">
        <v>3790</v>
      </c>
      <c r="AW185" s="145">
        <v>-14</v>
      </c>
      <c r="AY185" s="5">
        <v>163</v>
      </c>
      <c r="AZ185" s="413" t="s">
        <v>1870</v>
      </c>
      <c r="BA185" s="145">
        <v>255</v>
      </c>
      <c r="BB185" s="146">
        <v>3.26</v>
      </c>
      <c r="BC185" s="145">
        <v>3600</v>
      </c>
      <c r="BD185" s="145">
        <v>-13</v>
      </c>
      <c r="BF185" s="5">
        <v>163</v>
      </c>
      <c r="BG185" s="413" t="s">
        <v>718</v>
      </c>
      <c r="BH185" s="145"/>
      <c r="BI185" s="146"/>
      <c r="BJ185" s="145"/>
      <c r="BK185" s="145"/>
      <c r="BM185" s="5">
        <v>163</v>
      </c>
      <c r="BN185" s="413" t="s">
        <v>3921</v>
      </c>
      <c r="BO185" s="145">
        <v>278</v>
      </c>
      <c r="BP185" s="146">
        <v>3.09</v>
      </c>
      <c r="BQ185" s="145">
        <v>3551</v>
      </c>
      <c r="BR185" s="145">
        <v>-13</v>
      </c>
      <c r="BS185" s="5"/>
      <c r="BT185" s="5">
        <v>163</v>
      </c>
      <c r="BU185" s="413" t="s">
        <v>3922</v>
      </c>
      <c r="BV185" s="145">
        <v>550</v>
      </c>
      <c r="BW185" s="146">
        <v>3.01</v>
      </c>
      <c r="BX185" s="145">
        <v>3840</v>
      </c>
      <c r="BY185" s="145">
        <v>-15</v>
      </c>
      <c r="BZ185" s="5"/>
      <c r="CA185" s="5">
        <v>163</v>
      </c>
      <c r="CB185" s="413" t="s">
        <v>718</v>
      </c>
      <c r="CC185" s="145"/>
      <c r="CD185" s="146"/>
      <c r="CE185" s="145"/>
      <c r="CF185" s="145"/>
      <c r="CG185" s="5"/>
      <c r="CH185" s="5"/>
      <c r="CI185" s="5"/>
    </row>
    <row r="186" spans="13:87" ht="16.149999999999999" customHeight="1" x14ac:dyDescent="0.2">
      <c r="M186" s="5">
        <v>164</v>
      </c>
      <c r="N186" s="413" t="str">
        <f t="shared" si="12"/>
        <v xml:space="preserve"> </v>
      </c>
      <c r="O186" s="414">
        <f t="shared" si="13"/>
        <v>0</v>
      </c>
      <c r="P186" s="414">
        <f t="shared" si="14"/>
        <v>0</v>
      </c>
      <c r="Q186" s="145">
        <f t="shared" si="17"/>
        <v>-8</v>
      </c>
      <c r="R186" s="414">
        <f t="shared" si="15"/>
        <v>0</v>
      </c>
      <c r="S186" s="414">
        <f t="shared" si="16"/>
        <v>0</v>
      </c>
      <c r="T186" s="19"/>
      <c r="U186" s="5"/>
      <c r="V186" s="5"/>
      <c r="W186" s="5">
        <v>164</v>
      </c>
      <c r="X186" s="144" t="s">
        <v>718</v>
      </c>
      <c r="Y186" s="145"/>
      <c r="Z186" s="146"/>
      <c r="AA186" s="145"/>
      <c r="AB186" s="145"/>
      <c r="AD186" s="5">
        <v>164</v>
      </c>
      <c r="AE186" s="413" t="s">
        <v>718</v>
      </c>
      <c r="AF186" s="145"/>
      <c r="AG186" s="146"/>
      <c r="AH186" s="145"/>
      <c r="AI186" s="145"/>
      <c r="AK186" s="5">
        <v>164</v>
      </c>
      <c r="AL186" s="413" t="s">
        <v>3923</v>
      </c>
      <c r="AM186" s="145">
        <v>540</v>
      </c>
      <c r="AN186" s="146">
        <v>2.64</v>
      </c>
      <c r="AO186" s="145">
        <v>3924</v>
      </c>
      <c r="AP186" s="145">
        <v>-15</v>
      </c>
      <c r="AR186" s="5">
        <v>164</v>
      </c>
      <c r="AS186" s="413" t="s">
        <v>3924</v>
      </c>
      <c r="AT186" s="145">
        <v>202</v>
      </c>
      <c r="AU186" s="146">
        <v>3.22</v>
      </c>
      <c r="AV186" s="145">
        <v>3657</v>
      </c>
      <c r="AW186" s="145">
        <v>-13</v>
      </c>
      <c r="AY186" s="5">
        <v>164</v>
      </c>
      <c r="AZ186" s="413" t="s">
        <v>3925</v>
      </c>
      <c r="BA186" s="145">
        <v>390</v>
      </c>
      <c r="BB186" s="146">
        <v>3.19</v>
      </c>
      <c r="BC186" s="145">
        <v>3731</v>
      </c>
      <c r="BD186" s="145">
        <v>-15</v>
      </c>
      <c r="BF186" s="5">
        <v>164</v>
      </c>
      <c r="BG186" s="413" t="s">
        <v>718</v>
      </c>
      <c r="BH186" s="145"/>
      <c r="BI186" s="146"/>
      <c r="BJ186" s="145"/>
      <c r="BK186" s="145"/>
      <c r="BM186" s="5">
        <v>164</v>
      </c>
      <c r="BN186" s="413" t="s">
        <v>3926</v>
      </c>
      <c r="BO186" s="145">
        <v>585</v>
      </c>
      <c r="BP186" s="146">
        <v>2.91</v>
      </c>
      <c r="BQ186" s="145">
        <v>4204</v>
      </c>
      <c r="BR186" s="145">
        <v>-15</v>
      </c>
      <c r="BS186" s="5"/>
      <c r="BT186" s="5">
        <v>164</v>
      </c>
      <c r="BU186" s="413" t="s">
        <v>121</v>
      </c>
      <c r="BV186" s="145">
        <v>939</v>
      </c>
      <c r="BW186" s="146">
        <v>2.57</v>
      </c>
      <c r="BX186" s="145">
        <v>4723</v>
      </c>
      <c r="BY186" s="145">
        <v>-18</v>
      </c>
      <c r="BZ186" s="5"/>
      <c r="CA186" s="5">
        <v>164</v>
      </c>
      <c r="CB186" s="413" t="s">
        <v>718</v>
      </c>
      <c r="CC186" s="145"/>
      <c r="CD186" s="146"/>
      <c r="CE186" s="145"/>
      <c r="CF186" s="145"/>
      <c r="CG186" s="5"/>
      <c r="CH186" s="5"/>
      <c r="CI186" s="5"/>
    </row>
    <row r="187" spans="13:87" ht="16.149999999999999" customHeight="1" x14ac:dyDescent="0.2">
      <c r="M187" s="5">
        <v>165</v>
      </c>
      <c r="N187" s="413" t="str">
        <f t="shared" si="12"/>
        <v xml:space="preserve"> </v>
      </c>
      <c r="O187" s="414">
        <f t="shared" si="13"/>
        <v>0</v>
      </c>
      <c r="P187" s="414">
        <f t="shared" si="14"/>
        <v>0</v>
      </c>
      <c r="Q187" s="145">
        <f t="shared" si="17"/>
        <v>-8</v>
      </c>
      <c r="R187" s="414">
        <f t="shared" si="15"/>
        <v>0</v>
      </c>
      <c r="S187" s="414">
        <f t="shared" si="16"/>
        <v>0</v>
      </c>
      <c r="T187" s="19"/>
      <c r="U187" s="5"/>
      <c r="V187" s="5"/>
      <c r="W187" s="5">
        <v>165</v>
      </c>
      <c r="X187" s="144" t="s">
        <v>718</v>
      </c>
      <c r="Y187" s="145"/>
      <c r="Z187" s="146"/>
      <c r="AA187" s="145"/>
      <c r="AB187" s="145"/>
      <c r="AD187" s="5">
        <v>165</v>
      </c>
      <c r="AE187" s="413" t="s">
        <v>718</v>
      </c>
      <c r="AF187" s="145"/>
      <c r="AG187" s="146"/>
      <c r="AH187" s="145"/>
      <c r="AI187" s="145"/>
      <c r="AK187" s="5">
        <v>165</v>
      </c>
      <c r="AL187" s="413" t="s">
        <v>122</v>
      </c>
      <c r="AM187" s="145">
        <v>565</v>
      </c>
      <c r="AN187" s="146">
        <v>2.67</v>
      </c>
      <c r="AO187" s="145">
        <v>3933</v>
      </c>
      <c r="AP187" s="145">
        <v>-15</v>
      </c>
      <c r="AR187" s="5">
        <v>165</v>
      </c>
      <c r="AS187" s="413" t="s">
        <v>123</v>
      </c>
      <c r="AT187" s="145">
        <v>191</v>
      </c>
      <c r="AU187" s="146">
        <v>3.27</v>
      </c>
      <c r="AV187" s="145">
        <v>3597</v>
      </c>
      <c r="AW187" s="145">
        <v>-14</v>
      </c>
      <c r="AY187" s="5">
        <v>165</v>
      </c>
      <c r="AZ187" s="413" t="s">
        <v>124</v>
      </c>
      <c r="BA187" s="145">
        <v>444</v>
      </c>
      <c r="BB187" s="146">
        <v>3.11</v>
      </c>
      <c r="BC187" s="145">
        <v>3953</v>
      </c>
      <c r="BD187" s="145">
        <v>-15</v>
      </c>
      <c r="BF187" s="5">
        <v>165</v>
      </c>
      <c r="BG187" s="413" t="s">
        <v>718</v>
      </c>
      <c r="BH187" s="145"/>
      <c r="BI187" s="146"/>
      <c r="BJ187" s="145"/>
      <c r="BK187" s="145"/>
      <c r="BM187" s="5">
        <v>165</v>
      </c>
      <c r="BN187" s="413" t="s">
        <v>125</v>
      </c>
      <c r="BO187" s="145">
        <v>450</v>
      </c>
      <c r="BP187" s="146">
        <v>3.07</v>
      </c>
      <c r="BQ187" s="145">
        <v>3809</v>
      </c>
      <c r="BR187" s="145">
        <v>-14</v>
      </c>
      <c r="BS187" s="5"/>
      <c r="BT187" s="5">
        <v>165</v>
      </c>
      <c r="BU187" s="413" t="s">
        <v>126</v>
      </c>
      <c r="BV187" s="145">
        <v>1114</v>
      </c>
      <c r="BW187" s="146">
        <v>2.36</v>
      </c>
      <c r="BX187" s="145">
        <v>4993</v>
      </c>
      <c r="BY187" s="145">
        <v>-17</v>
      </c>
      <c r="BZ187" s="5"/>
      <c r="CA187" s="5">
        <v>165</v>
      </c>
      <c r="CB187" s="413" t="s">
        <v>718</v>
      </c>
      <c r="CC187" s="145"/>
      <c r="CD187" s="146"/>
      <c r="CE187" s="145"/>
      <c r="CF187" s="145"/>
      <c r="CG187" s="5"/>
      <c r="CH187" s="5"/>
      <c r="CI187" s="5"/>
    </row>
    <row r="188" spans="13:87" ht="16.149999999999999" customHeight="1" x14ac:dyDescent="0.2">
      <c r="M188" s="5">
        <v>166</v>
      </c>
      <c r="N188" s="413" t="str">
        <f t="shared" si="12"/>
        <v xml:space="preserve"> </v>
      </c>
      <c r="O188" s="414">
        <f t="shared" si="13"/>
        <v>0</v>
      </c>
      <c r="P188" s="414">
        <f t="shared" si="14"/>
        <v>0</v>
      </c>
      <c r="Q188" s="145">
        <f t="shared" si="17"/>
        <v>-8</v>
      </c>
      <c r="R188" s="414">
        <f t="shared" si="15"/>
        <v>0</v>
      </c>
      <c r="S188" s="414">
        <f t="shared" si="16"/>
        <v>0</v>
      </c>
      <c r="T188" s="19"/>
      <c r="U188" s="5"/>
      <c r="V188" s="5"/>
      <c r="W188" s="5">
        <v>166</v>
      </c>
      <c r="X188" s="144" t="s">
        <v>718</v>
      </c>
      <c r="Y188" s="145"/>
      <c r="Z188" s="146"/>
      <c r="AA188" s="145"/>
      <c r="AB188" s="145"/>
      <c r="AD188" s="5">
        <v>166</v>
      </c>
      <c r="AE188" s="413" t="s">
        <v>718</v>
      </c>
      <c r="AF188" s="145"/>
      <c r="AG188" s="146"/>
      <c r="AH188" s="145"/>
      <c r="AI188" s="145"/>
      <c r="AK188" s="5">
        <v>166</v>
      </c>
      <c r="AL188" s="413" t="s">
        <v>127</v>
      </c>
      <c r="AM188" s="145">
        <v>618</v>
      </c>
      <c r="AN188" s="146">
        <v>3.15</v>
      </c>
      <c r="AO188" s="145">
        <v>3927</v>
      </c>
      <c r="AP188" s="145">
        <v>-14</v>
      </c>
      <c r="AR188" s="5">
        <v>166</v>
      </c>
      <c r="AS188" s="413" t="s">
        <v>128</v>
      </c>
      <c r="AT188" s="145">
        <v>285</v>
      </c>
      <c r="AU188" s="146">
        <v>3.28</v>
      </c>
      <c r="AV188" s="145">
        <v>3696</v>
      </c>
      <c r="AW188" s="145">
        <v>-14</v>
      </c>
      <c r="AY188" s="5">
        <v>166</v>
      </c>
      <c r="AZ188" s="413" t="s">
        <v>129</v>
      </c>
      <c r="BA188" s="145">
        <v>464</v>
      </c>
      <c r="BB188" s="146">
        <v>3.09</v>
      </c>
      <c r="BC188" s="145">
        <v>3922</v>
      </c>
      <c r="BD188" s="145">
        <v>-16</v>
      </c>
      <c r="BF188" s="5">
        <v>166</v>
      </c>
      <c r="BG188" s="413" t="s">
        <v>718</v>
      </c>
      <c r="BH188" s="145"/>
      <c r="BI188" s="146"/>
      <c r="BJ188" s="145"/>
      <c r="BK188" s="145"/>
      <c r="BM188" s="5">
        <v>166</v>
      </c>
      <c r="BN188" s="413" t="s">
        <v>130</v>
      </c>
      <c r="BO188" s="145">
        <v>915</v>
      </c>
      <c r="BP188" s="146">
        <v>2.48</v>
      </c>
      <c r="BQ188" s="145">
        <v>4659</v>
      </c>
      <c r="BR188" s="145">
        <v>-15</v>
      </c>
      <c r="BS188" s="5"/>
      <c r="BT188" s="5">
        <v>166</v>
      </c>
      <c r="BU188" s="413" t="s">
        <v>131</v>
      </c>
      <c r="BV188" s="145">
        <v>1048</v>
      </c>
      <c r="BW188" s="146">
        <v>2.71</v>
      </c>
      <c r="BX188" s="145">
        <v>4754</v>
      </c>
      <c r="BY188" s="145">
        <v>-15</v>
      </c>
      <c r="BZ188" s="5"/>
      <c r="CA188" s="5">
        <v>166</v>
      </c>
      <c r="CB188" s="413" t="s">
        <v>718</v>
      </c>
      <c r="CC188" s="145"/>
      <c r="CD188" s="146"/>
      <c r="CE188" s="145"/>
      <c r="CF188" s="145"/>
      <c r="CG188" s="5"/>
      <c r="CH188" s="5"/>
      <c r="CI188" s="5"/>
    </row>
    <row r="189" spans="13:87" ht="16.149999999999999" customHeight="1" x14ac:dyDescent="0.2">
      <c r="M189" s="5">
        <v>167</v>
      </c>
      <c r="N189" s="413" t="str">
        <f t="shared" si="12"/>
        <v xml:space="preserve"> </v>
      </c>
      <c r="O189" s="414">
        <f t="shared" si="13"/>
        <v>0</v>
      </c>
      <c r="P189" s="414">
        <f t="shared" si="14"/>
        <v>0</v>
      </c>
      <c r="Q189" s="145">
        <f t="shared" si="17"/>
        <v>-8</v>
      </c>
      <c r="R189" s="414">
        <f t="shared" si="15"/>
        <v>0</v>
      </c>
      <c r="S189" s="414">
        <f t="shared" si="16"/>
        <v>0</v>
      </c>
      <c r="T189" s="19"/>
      <c r="U189" s="5"/>
      <c r="V189" s="5"/>
      <c r="W189" s="5">
        <v>167</v>
      </c>
      <c r="X189" s="144" t="s">
        <v>718</v>
      </c>
      <c r="Y189" s="145"/>
      <c r="Z189" s="146"/>
      <c r="AA189" s="145"/>
      <c r="AB189" s="145"/>
      <c r="AD189" s="5">
        <v>167</v>
      </c>
      <c r="AE189" s="413" t="s">
        <v>718</v>
      </c>
      <c r="AF189" s="145"/>
      <c r="AG189" s="146"/>
      <c r="AH189" s="145"/>
      <c r="AI189" s="145"/>
      <c r="AK189" s="5">
        <v>167</v>
      </c>
      <c r="AL189" s="413" t="s">
        <v>132</v>
      </c>
      <c r="AM189" s="145">
        <v>837</v>
      </c>
      <c r="AN189" s="146">
        <v>2.33</v>
      </c>
      <c r="AO189" s="145">
        <v>4577</v>
      </c>
      <c r="AP189" s="145">
        <v>-16</v>
      </c>
      <c r="AR189" s="5">
        <v>167</v>
      </c>
      <c r="AS189" s="413" t="s">
        <v>133</v>
      </c>
      <c r="AT189" s="145">
        <v>161</v>
      </c>
      <c r="AU189" s="146">
        <v>3.82</v>
      </c>
      <c r="AV189" s="145">
        <v>3316</v>
      </c>
      <c r="AW189" s="145">
        <v>-14</v>
      </c>
      <c r="AY189" s="5">
        <v>167</v>
      </c>
      <c r="AZ189" s="413" t="s">
        <v>134</v>
      </c>
      <c r="BA189" s="145">
        <v>395</v>
      </c>
      <c r="BB189" s="146">
        <v>2.98</v>
      </c>
      <c r="BC189" s="145">
        <v>3948</v>
      </c>
      <c r="BD189" s="145">
        <v>-16</v>
      </c>
      <c r="BF189" s="5">
        <v>167</v>
      </c>
      <c r="BG189" s="413" t="s">
        <v>718</v>
      </c>
      <c r="BH189" s="145"/>
      <c r="BI189" s="146"/>
      <c r="BJ189" s="145"/>
      <c r="BK189" s="145"/>
      <c r="BM189" s="5">
        <v>167</v>
      </c>
      <c r="BN189" s="413" t="s">
        <v>135</v>
      </c>
      <c r="BO189" s="145">
        <v>574</v>
      </c>
      <c r="BP189" s="146">
        <v>3</v>
      </c>
      <c r="BQ189" s="145">
        <v>3994</v>
      </c>
      <c r="BR189" s="145">
        <v>-14</v>
      </c>
      <c r="BS189" s="5"/>
      <c r="BT189" s="5">
        <v>167</v>
      </c>
      <c r="BU189" s="413" t="s">
        <v>136</v>
      </c>
      <c r="BV189" s="145">
        <v>523</v>
      </c>
      <c r="BW189" s="146">
        <v>2.98</v>
      </c>
      <c r="BX189" s="145">
        <v>3795</v>
      </c>
      <c r="BY189" s="145">
        <v>-15</v>
      </c>
      <c r="BZ189" s="5"/>
      <c r="CA189" s="5">
        <v>167</v>
      </c>
      <c r="CB189" s="413" t="s">
        <v>718</v>
      </c>
      <c r="CC189" s="145"/>
      <c r="CD189" s="146"/>
      <c r="CE189" s="145"/>
      <c r="CF189" s="145"/>
      <c r="CG189" s="5"/>
      <c r="CH189" s="5"/>
      <c r="CI189" s="5"/>
    </row>
    <row r="190" spans="13:87" ht="16.149999999999999" customHeight="1" x14ac:dyDescent="0.2">
      <c r="M190" s="5">
        <v>168</v>
      </c>
      <c r="N190" s="413" t="str">
        <f t="shared" si="12"/>
        <v xml:space="preserve"> </v>
      </c>
      <c r="O190" s="414">
        <f t="shared" si="13"/>
        <v>0</v>
      </c>
      <c r="P190" s="414">
        <f t="shared" si="14"/>
        <v>0</v>
      </c>
      <c r="Q190" s="145">
        <f t="shared" si="17"/>
        <v>-8</v>
      </c>
      <c r="R190" s="414">
        <f t="shared" si="15"/>
        <v>0</v>
      </c>
      <c r="S190" s="414">
        <f t="shared" si="16"/>
        <v>0</v>
      </c>
      <c r="T190" s="19"/>
      <c r="U190" s="5"/>
      <c r="V190" s="5"/>
      <c r="W190" s="5">
        <v>168</v>
      </c>
      <c r="X190" s="144" t="s">
        <v>718</v>
      </c>
      <c r="Y190" s="145"/>
      <c r="Z190" s="146"/>
      <c r="AA190" s="145"/>
      <c r="AB190" s="145"/>
      <c r="AD190" s="5">
        <v>168</v>
      </c>
      <c r="AE190" s="413" t="s">
        <v>718</v>
      </c>
      <c r="AF190" s="145"/>
      <c r="AG190" s="146"/>
      <c r="AH190" s="145"/>
      <c r="AI190" s="145"/>
      <c r="AK190" s="5">
        <v>168</v>
      </c>
      <c r="AL190" s="413" t="s">
        <v>137</v>
      </c>
      <c r="AM190" s="145">
        <v>554</v>
      </c>
      <c r="AN190" s="146">
        <v>3.11</v>
      </c>
      <c r="AO190" s="145">
        <v>3868</v>
      </c>
      <c r="AP190" s="145">
        <v>-14</v>
      </c>
      <c r="AR190" s="5">
        <v>168</v>
      </c>
      <c r="AS190" s="413" t="s">
        <v>138</v>
      </c>
      <c r="AT190" s="145">
        <v>430</v>
      </c>
      <c r="AU190" s="146">
        <v>3.2</v>
      </c>
      <c r="AV190" s="145">
        <v>3981</v>
      </c>
      <c r="AW190" s="145">
        <v>-14</v>
      </c>
      <c r="AY190" s="5">
        <v>168</v>
      </c>
      <c r="AZ190" s="413" t="s">
        <v>139</v>
      </c>
      <c r="BA190" s="145">
        <v>463</v>
      </c>
      <c r="BB190" s="146">
        <v>3.14</v>
      </c>
      <c r="BC190" s="145">
        <v>3996</v>
      </c>
      <c r="BD190" s="145">
        <v>-14</v>
      </c>
      <c r="BF190" s="5">
        <v>168</v>
      </c>
      <c r="BG190" s="413" t="s">
        <v>718</v>
      </c>
      <c r="BH190" s="145"/>
      <c r="BI190" s="146"/>
      <c r="BJ190" s="145"/>
      <c r="BK190" s="145"/>
      <c r="BM190" s="5">
        <v>168</v>
      </c>
      <c r="BN190" s="413" t="s">
        <v>140</v>
      </c>
      <c r="BO190" s="145">
        <v>340</v>
      </c>
      <c r="BP190" s="146">
        <v>2.94</v>
      </c>
      <c r="BQ190" s="145">
        <v>3718</v>
      </c>
      <c r="BR190" s="145">
        <v>-14</v>
      </c>
      <c r="BS190" s="5"/>
      <c r="BT190" s="5">
        <v>168</v>
      </c>
      <c r="BU190" s="413" t="s">
        <v>141</v>
      </c>
      <c r="BV190" s="145">
        <v>1012</v>
      </c>
      <c r="BW190" s="146">
        <v>2.78</v>
      </c>
      <c r="BX190" s="145">
        <v>4495</v>
      </c>
      <c r="BY190" s="145">
        <v>-16</v>
      </c>
      <c r="BZ190" s="5"/>
      <c r="CA190" s="5">
        <v>168</v>
      </c>
      <c r="CB190" s="413" t="s">
        <v>718</v>
      </c>
      <c r="CC190" s="145"/>
      <c r="CD190" s="146"/>
      <c r="CE190" s="145"/>
      <c r="CF190" s="145"/>
      <c r="CG190" s="5"/>
      <c r="CH190" s="5"/>
      <c r="CI190" s="5"/>
    </row>
    <row r="191" spans="13:87" ht="16.149999999999999" customHeight="1" x14ac:dyDescent="0.2">
      <c r="M191" s="5">
        <v>169</v>
      </c>
      <c r="N191" s="413" t="str">
        <f t="shared" si="12"/>
        <v xml:space="preserve"> </v>
      </c>
      <c r="O191" s="414">
        <f t="shared" si="13"/>
        <v>0</v>
      </c>
      <c r="P191" s="414">
        <f t="shared" si="14"/>
        <v>0</v>
      </c>
      <c r="Q191" s="145">
        <f t="shared" si="17"/>
        <v>-8</v>
      </c>
      <c r="R191" s="414">
        <f t="shared" si="15"/>
        <v>0</v>
      </c>
      <c r="S191" s="414">
        <f t="shared" si="16"/>
        <v>0</v>
      </c>
      <c r="T191" s="19"/>
      <c r="U191" s="5"/>
      <c r="V191" s="5"/>
      <c r="W191" s="5">
        <v>169</v>
      </c>
      <c r="X191" s="144" t="s">
        <v>718</v>
      </c>
      <c r="Y191" s="145"/>
      <c r="Z191" s="146"/>
      <c r="AA191" s="145"/>
      <c r="AB191" s="145"/>
      <c r="AD191" s="5">
        <v>169</v>
      </c>
      <c r="AE191" s="413" t="s">
        <v>718</v>
      </c>
      <c r="AF191" s="145"/>
      <c r="AG191" s="146"/>
      <c r="AH191" s="145"/>
      <c r="AI191" s="145"/>
      <c r="AK191" s="5">
        <v>169</v>
      </c>
      <c r="AL191" s="413" t="s">
        <v>142</v>
      </c>
      <c r="AM191" s="145">
        <v>828</v>
      </c>
      <c r="AN191" s="146">
        <v>2.62</v>
      </c>
      <c r="AO191" s="145">
        <v>4328</v>
      </c>
      <c r="AP191" s="145">
        <v>-15</v>
      </c>
      <c r="AR191" s="5">
        <v>169</v>
      </c>
      <c r="AS191" s="413" t="s">
        <v>143</v>
      </c>
      <c r="AT191" s="145">
        <v>193</v>
      </c>
      <c r="AU191" s="146">
        <v>3.28</v>
      </c>
      <c r="AV191" s="145">
        <v>3594</v>
      </c>
      <c r="AW191" s="145">
        <v>-13</v>
      </c>
      <c r="AY191" s="5">
        <v>169</v>
      </c>
      <c r="AZ191" s="413" t="s">
        <v>144</v>
      </c>
      <c r="BA191" s="145">
        <v>346</v>
      </c>
      <c r="BB191" s="146">
        <v>3.14</v>
      </c>
      <c r="BC191" s="145">
        <v>3810</v>
      </c>
      <c r="BD191" s="145">
        <v>-15</v>
      </c>
      <c r="BF191" s="5">
        <v>169</v>
      </c>
      <c r="BG191" s="413" t="s">
        <v>718</v>
      </c>
      <c r="BH191" s="145"/>
      <c r="BI191" s="146"/>
      <c r="BJ191" s="145"/>
      <c r="BK191" s="145"/>
      <c r="BM191" s="5">
        <v>169</v>
      </c>
      <c r="BN191" s="413" t="s">
        <v>145</v>
      </c>
      <c r="BO191" s="145">
        <v>960</v>
      </c>
      <c r="BP191" s="146">
        <v>2.5099999999999998</v>
      </c>
      <c r="BQ191" s="145">
        <v>4652</v>
      </c>
      <c r="BR191" s="145">
        <v>-15</v>
      </c>
      <c r="BS191" s="5"/>
      <c r="BT191" s="5">
        <v>169</v>
      </c>
      <c r="BU191" s="413" t="s">
        <v>146</v>
      </c>
      <c r="BV191" s="145">
        <v>1097</v>
      </c>
      <c r="BW191" s="146">
        <v>2.4300000000000002</v>
      </c>
      <c r="BX191" s="145">
        <v>5042</v>
      </c>
      <c r="BY191" s="145">
        <v>-19</v>
      </c>
      <c r="BZ191" s="5"/>
      <c r="CA191" s="5">
        <v>169</v>
      </c>
      <c r="CB191" s="413" t="s">
        <v>718</v>
      </c>
      <c r="CC191" s="145"/>
      <c r="CD191" s="146"/>
      <c r="CE191" s="145"/>
      <c r="CF191" s="145"/>
      <c r="CG191" s="5"/>
      <c r="CH191" s="5"/>
      <c r="CI191" s="5"/>
    </row>
    <row r="192" spans="13:87" ht="16.149999999999999" customHeight="1" x14ac:dyDescent="0.2">
      <c r="M192" s="5">
        <v>170</v>
      </c>
      <c r="N192" s="413" t="str">
        <f t="shared" si="12"/>
        <v xml:space="preserve"> </v>
      </c>
      <c r="O192" s="414">
        <f t="shared" si="13"/>
        <v>0</v>
      </c>
      <c r="P192" s="414">
        <f t="shared" si="14"/>
        <v>0</v>
      </c>
      <c r="Q192" s="145">
        <f t="shared" si="17"/>
        <v>-8</v>
      </c>
      <c r="R192" s="414">
        <f t="shared" si="15"/>
        <v>0</v>
      </c>
      <c r="S192" s="414">
        <f t="shared" si="16"/>
        <v>0</v>
      </c>
      <c r="T192" s="19"/>
      <c r="U192" s="5"/>
      <c r="V192" s="5"/>
      <c r="W192" s="5">
        <v>170</v>
      </c>
      <c r="X192" s="144" t="s">
        <v>718</v>
      </c>
      <c r="Y192" s="145"/>
      <c r="Z192" s="146"/>
      <c r="AA192" s="145"/>
      <c r="AB192" s="145"/>
      <c r="AD192" s="5">
        <v>170</v>
      </c>
      <c r="AE192" s="413" t="s">
        <v>718</v>
      </c>
      <c r="AF192" s="145"/>
      <c r="AG192" s="146"/>
      <c r="AH192" s="145"/>
      <c r="AI192" s="145"/>
      <c r="AK192" s="5">
        <v>170</v>
      </c>
      <c r="AL192" s="413" t="s">
        <v>147</v>
      </c>
      <c r="AM192" s="145">
        <v>520</v>
      </c>
      <c r="AN192" s="146">
        <v>2.5099999999999998</v>
      </c>
      <c r="AO192" s="145">
        <v>3987</v>
      </c>
      <c r="AP192" s="145">
        <v>-15</v>
      </c>
      <c r="AR192" s="5">
        <v>170</v>
      </c>
      <c r="AS192" s="413" t="s">
        <v>148</v>
      </c>
      <c r="AT192" s="145">
        <v>308</v>
      </c>
      <c r="AU192" s="146">
        <v>2.92</v>
      </c>
      <c r="AV192" s="145">
        <v>3825</v>
      </c>
      <c r="AW192" s="145">
        <v>-15</v>
      </c>
      <c r="AY192" s="5">
        <v>170</v>
      </c>
      <c r="AZ192" s="413" t="s">
        <v>149</v>
      </c>
      <c r="BA192" s="145">
        <v>379</v>
      </c>
      <c r="BB192" s="146">
        <v>3.11</v>
      </c>
      <c r="BC192" s="145">
        <v>3835</v>
      </c>
      <c r="BD192" s="145">
        <v>-14</v>
      </c>
      <c r="BF192" s="5">
        <v>170</v>
      </c>
      <c r="BG192" s="413" t="s">
        <v>718</v>
      </c>
      <c r="BH192" s="145"/>
      <c r="BI192" s="146"/>
      <c r="BJ192" s="145"/>
      <c r="BK192" s="145"/>
      <c r="BM192" s="5">
        <v>170</v>
      </c>
      <c r="BN192" s="413" t="s">
        <v>150</v>
      </c>
      <c r="BO192" s="145">
        <v>830</v>
      </c>
      <c r="BP192" s="146">
        <v>2.7</v>
      </c>
      <c r="BQ192" s="145">
        <v>4429</v>
      </c>
      <c r="BR192" s="145">
        <v>-15</v>
      </c>
      <c r="BS192" s="5"/>
      <c r="BT192" s="5">
        <v>170</v>
      </c>
      <c r="BU192" s="413" t="s">
        <v>151</v>
      </c>
      <c r="BV192" s="145">
        <v>838</v>
      </c>
      <c r="BW192" s="146">
        <v>2.4500000000000002</v>
      </c>
      <c r="BX192" s="145">
        <v>4334</v>
      </c>
      <c r="BY192" s="145">
        <v>-17</v>
      </c>
      <c r="BZ192" s="5"/>
      <c r="CA192" s="5">
        <v>170</v>
      </c>
      <c r="CB192" s="413" t="s">
        <v>718</v>
      </c>
      <c r="CC192" s="145"/>
      <c r="CD192" s="146"/>
      <c r="CE192" s="145"/>
      <c r="CF192" s="145"/>
      <c r="CG192" s="5"/>
      <c r="CH192" s="5"/>
      <c r="CI192" s="5"/>
    </row>
    <row r="193" spans="13:87" ht="16.149999999999999" customHeight="1" x14ac:dyDescent="0.2">
      <c r="M193" s="5">
        <v>171</v>
      </c>
      <c r="N193" s="413" t="str">
        <f t="shared" si="12"/>
        <v xml:space="preserve"> </v>
      </c>
      <c r="O193" s="414">
        <f t="shared" si="13"/>
        <v>0</v>
      </c>
      <c r="P193" s="414">
        <f t="shared" si="14"/>
        <v>0</v>
      </c>
      <c r="Q193" s="145">
        <f t="shared" si="17"/>
        <v>-8</v>
      </c>
      <c r="R193" s="414">
        <f t="shared" si="15"/>
        <v>0</v>
      </c>
      <c r="S193" s="414">
        <f t="shared" si="16"/>
        <v>0</v>
      </c>
      <c r="T193" s="19"/>
      <c r="U193" s="5"/>
      <c r="V193" s="5"/>
      <c r="W193" s="5">
        <v>171</v>
      </c>
      <c r="X193" s="144" t="s">
        <v>718</v>
      </c>
      <c r="Y193" s="145"/>
      <c r="Z193" s="146"/>
      <c r="AA193" s="145"/>
      <c r="AB193" s="145"/>
      <c r="AD193" s="5">
        <v>171</v>
      </c>
      <c r="AE193" s="413" t="s">
        <v>718</v>
      </c>
      <c r="AF193" s="145"/>
      <c r="AG193" s="146"/>
      <c r="AH193" s="145"/>
      <c r="AI193" s="145"/>
      <c r="AK193" s="5">
        <v>171</v>
      </c>
      <c r="AL193" s="413" t="s">
        <v>152</v>
      </c>
      <c r="AM193" s="145">
        <v>616</v>
      </c>
      <c r="AN193" s="146">
        <v>2.42</v>
      </c>
      <c r="AO193" s="145">
        <v>4184</v>
      </c>
      <c r="AP193" s="145">
        <v>-15</v>
      </c>
      <c r="AR193" s="5">
        <v>171</v>
      </c>
      <c r="AS193" s="413" t="s">
        <v>153</v>
      </c>
      <c r="AT193" s="145">
        <v>146</v>
      </c>
      <c r="AU193" s="146">
        <v>3.22</v>
      </c>
      <c r="AV193" s="145">
        <v>3507</v>
      </c>
      <c r="AW193" s="145">
        <v>-14</v>
      </c>
      <c r="AY193" s="5">
        <v>171</v>
      </c>
      <c r="AZ193" s="413" t="s">
        <v>154</v>
      </c>
      <c r="BA193" s="145">
        <v>234</v>
      </c>
      <c r="BB193" s="146">
        <v>3.03</v>
      </c>
      <c r="BC193" s="145">
        <v>3699</v>
      </c>
      <c r="BD193" s="145">
        <v>-14</v>
      </c>
      <c r="BF193" s="5">
        <v>171</v>
      </c>
      <c r="BG193" s="413" t="s">
        <v>718</v>
      </c>
      <c r="BH193" s="145"/>
      <c r="BI193" s="146"/>
      <c r="BJ193" s="145"/>
      <c r="BK193" s="145"/>
      <c r="BM193" s="5">
        <v>171</v>
      </c>
      <c r="BN193" s="413" t="s">
        <v>155</v>
      </c>
      <c r="BO193" s="145">
        <v>545</v>
      </c>
      <c r="BP193" s="146">
        <v>2.91</v>
      </c>
      <c r="BQ193" s="145">
        <v>4068</v>
      </c>
      <c r="BR193" s="145">
        <v>-14</v>
      </c>
      <c r="BS193" s="5"/>
      <c r="BT193" s="5">
        <v>171</v>
      </c>
      <c r="BU193" s="413" t="s">
        <v>156</v>
      </c>
      <c r="BV193" s="145">
        <v>994</v>
      </c>
      <c r="BW193" s="146">
        <v>2.77</v>
      </c>
      <c r="BX193" s="145">
        <v>4634</v>
      </c>
      <c r="BY193" s="145">
        <v>-16</v>
      </c>
      <c r="BZ193" s="5"/>
      <c r="CA193" s="5">
        <v>171</v>
      </c>
      <c r="CB193" s="413" t="s">
        <v>718</v>
      </c>
      <c r="CC193" s="145"/>
      <c r="CD193" s="146"/>
      <c r="CE193" s="145"/>
      <c r="CF193" s="145"/>
      <c r="CG193" s="5"/>
      <c r="CH193" s="5"/>
      <c r="CI193" s="5"/>
    </row>
    <row r="194" spans="13:87" ht="16.149999999999999" customHeight="1" x14ac:dyDescent="0.2">
      <c r="M194" s="5">
        <v>172</v>
      </c>
      <c r="N194" s="413" t="str">
        <f t="shared" si="12"/>
        <v xml:space="preserve"> </v>
      </c>
      <c r="O194" s="414">
        <f t="shared" si="13"/>
        <v>0</v>
      </c>
      <c r="P194" s="414">
        <f t="shared" si="14"/>
        <v>0</v>
      </c>
      <c r="Q194" s="145">
        <f t="shared" si="17"/>
        <v>-8</v>
      </c>
      <c r="R194" s="414">
        <f t="shared" si="15"/>
        <v>0</v>
      </c>
      <c r="S194" s="414">
        <f t="shared" si="16"/>
        <v>0</v>
      </c>
      <c r="T194" s="19"/>
      <c r="U194" s="5"/>
      <c r="V194" s="5"/>
      <c r="W194" s="5">
        <v>172</v>
      </c>
      <c r="X194" s="144" t="s">
        <v>718</v>
      </c>
      <c r="Y194" s="145"/>
      <c r="Z194" s="146"/>
      <c r="AA194" s="145"/>
      <c r="AB194" s="145"/>
      <c r="AD194" s="5">
        <v>172</v>
      </c>
      <c r="AE194" s="413" t="s">
        <v>718</v>
      </c>
      <c r="AF194" s="145"/>
      <c r="AG194" s="146"/>
      <c r="AH194" s="145"/>
      <c r="AI194" s="145"/>
      <c r="AK194" s="5">
        <v>172</v>
      </c>
      <c r="AL194" s="413" t="s">
        <v>157</v>
      </c>
      <c r="AM194" s="145">
        <v>775</v>
      </c>
      <c r="AN194" s="146">
        <v>2.99</v>
      </c>
      <c r="AO194" s="145">
        <v>4202</v>
      </c>
      <c r="AP194" s="145">
        <v>-15</v>
      </c>
      <c r="AR194" s="5">
        <v>172</v>
      </c>
      <c r="AS194" s="413" t="s">
        <v>158</v>
      </c>
      <c r="AT194" s="145">
        <v>288</v>
      </c>
      <c r="AU194" s="146">
        <v>3.19</v>
      </c>
      <c r="AV194" s="145">
        <v>3699</v>
      </c>
      <c r="AW194" s="145">
        <v>-14</v>
      </c>
      <c r="AY194" s="5">
        <v>172</v>
      </c>
      <c r="AZ194" s="413" t="s">
        <v>159</v>
      </c>
      <c r="BA194" s="145">
        <v>442</v>
      </c>
      <c r="BB194" s="146">
        <v>3.29</v>
      </c>
      <c r="BC194" s="145">
        <v>3910</v>
      </c>
      <c r="BD194" s="145">
        <v>-14</v>
      </c>
      <c r="BF194" s="5">
        <v>172</v>
      </c>
      <c r="BG194" s="413" t="s">
        <v>718</v>
      </c>
      <c r="BH194" s="145"/>
      <c r="BI194" s="146"/>
      <c r="BJ194" s="145"/>
      <c r="BK194" s="145"/>
      <c r="BM194" s="5">
        <v>172</v>
      </c>
      <c r="BN194" s="413" t="s">
        <v>160</v>
      </c>
      <c r="BO194" s="145">
        <v>790</v>
      </c>
      <c r="BP194" s="146">
        <v>2.68</v>
      </c>
      <c r="BQ194" s="145">
        <v>4589</v>
      </c>
      <c r="BR194" s="145">
        <v>-16</v>
      </c>
      <c r="BS194" s="5"/>
      <c r="BT194" s="5">
        <v>172</v>
      </c>
      <c r="BU194" s="413" t="s">
        <v>161</v>
      </c>
      <c r="BV194" s="145">
        <v>634</v>
      </c>
      <c r="BW194" s="146">
        <v>2.73</v>
      </c>
      <c r="BX194" s="145">
        <v>4041</v>
      </c>
      <c r="BY194" s="145">
        <v>-15</v>
      </c>
      <c r="BZ194" s="5"/>
      <c r="CA194" s="5">
        <v>172</v>
      </c>
      <c r="CB194" s="413" t="s">
        <v>718</v>
      </c>
      <c r="CC194" s="145"/>
      <c r="CD194" s="146"/>
      <c r="CE194" s="145"/>
      <c r="CF194" s="145"/>
      <c r="CG194" s="5"/>
      <c r="CH194" s="5"/>
      <c r="CI194" s="5"/>
    </row>
    <row r="195" spans="13:87" ht="16.149999999999999" customHeight="1" x14ac:dyDescent="0.2">
      <c r="M195" s="5">
        <v>173</v>
      </c>
      <c r="N195" s="413" t="str">
        <f t="shared" si="12"/>
        <v xml:space="preserve"> </v>
      </c>
      <c r="O195" s="414">
        <f t="shared" si="13"/>
        <v>0</v>
      </c>
      <c r="P195" s="414">
        <f t="shared" si="14"/>
        <v>0</v>
      </c>
      <c r="Q195" s="145">
        <f t="shared" si="17"/>
        <v>-8</v>
      </c>
      <c r="R195" s="414">
        <f t="shared" si="15"/>
        <v>0</v>
      </c>
      <c r="S195" s="414">
        <f t="shared" si="16"/>
        <v>0</v>
      </c>
      <c r="T195" s="19"/>
      <c r="U195" s="5"/>
      <c r="V195" s="5"/>
      <c r="W195" s="5">
        <v>173</v>
      </c>
      <c r="X195" s="144" t="s">
        <v>718</v>
      </c>
      <c r="Y195" s="145"/>
      <c r="Z195" s="146"/>
      <c r="AA195" s="145"/>
      <c r="AB195" s="145"/>
      <c r="AD195" s="5">
        <v>173</v>
      </c>
      <c r="AE195" s="413" t="s">
        <v>718</v>
      </c>
      <c r="AF195" s="145"/>
      <c r="AG195" s="146"/>
      <c r="AH195" s="145"/>
      <c r="AI195" s="145"/>
      <c r="AK195" s="5">
        <v>173</v>
      </c>
      <c r="AL195" s="413" t="s">
        <v>162</v>
      </c>
      <c r="AM195" s="145">
        <v>643</v>
      </c>
      <c r="AN195" s="146">
        <v>2.2799999999999998</v>
      </c>
      <c r="AO195" s="145">
        <v>4448</v>
      </c>
      <c r="AP195" s="145">
        <v>-15</v>
      </c>
      <c r="AR195" s="5">
        <v>173</v>
      </c>
      <c r="AS195" s="413" t="s">
        <v>163</v>
      </c>
      <c r="AT195" s="145">
        <v>175</v>
      </c>
      <c r="AU195" s="146">
        <v>3.44</v>
      </c>
      <c r="AV195" s="145">
        <v>3477</v>
      </c>
      <c r="AW195" s="145">
        <v>-13</v>
      </c>
      <c r="AY195" s="5">
        <v>173</v>
      </c>
      <c r="AZ195" s="413" t="s">
        <v>164</v>
      </c>
      <c r="BA195" s="145">
        <v>682</v>
      </c>
      <c r="BB195" s="146">
        <v>2.4900000000000002</v>
      </c>
      <c r="BC195" s="145">
        <v>4430</v>
      </c>
      <c r="BD195" s="145">
        <v>-16</v>
      </c>
      <c r="BF195" s="5">
        <v>173</v>
      </c>
      <c r="BG195" s="413" t="s">
        <v>718</v>
      </c>
      <c r="BH195" s="145"/>
      <c r="BI195" s="146"/>
      <c r="BJ195" s="145"/>
      <c r="BK195" s="145"/>
      <c r="BM195" s="5">
        <v>173</v>
      </c>
      <c r="BN195" s="413" t="s">
        <v>165</v>
      </c>
      <c r="BO195" s="145">
        <v>673</v>
      </c>
      <c r="BP195" s="146">
        <v>2.4500000000000002</v>
      </c>
      <c r="BQ195" s="145">
        <v>4580</v>
      </c>
      <c r="BR195" s="145">
        <v>-16</v>
      </c>
      <c r="BS195" s="5"/>
      <c r="BT195" s="5">
        <v>173</v>
      </c>
      <c r="BU195" s="413" t="s">
        <v>166</v>
      </c>
      <c r="BV195" s="145">
        <v>591</v>
      </c>
      <c r="BW195" s="146">
        <v>2.94</v>
      </c>
      <c r="BX195" s="145">
        <v>3941</v>
      </c>
      <c r="BY195" s="145">
        <v>-15</v>
      </c>
      <c r="BZ195" s="5"/>
      <c r="CA195" s="5">
        <v>173</v>
      </c>
      <c r="CB195" s="413" t="s">
        <v>718</v>
      </c>
      <c r="CC195" s="145"/>
      <c r="CD195" s="146"/>
      <c r="CE195" s="145"/>
      <c r="CF195" s="145"/>
      <c r="CG195" s="5"/>
      <c r="CH195" s="5"/>
      <c r="CI195" s="5"/>
    </row>
    <row r="196" spans="13:87" ht="16.149999999999999" customHeight="1" x14ac:dyDescent="0.2">
      <c r="M196" s="5">
        <v>174</v>
      </c>
      <c r="N196" s="413" t="str">
        <f t="shared" si="12"/>
        <v xml:space="preserve"> </v>
      </c>
      <c r="O196" s="414">
        <f t="shared" si="13"/>
        <v>0</v>
      </c>
      <c r="P196" s="414">
        <f t="shared" si="14"/>
        <v>0</v>
      </c>
      <c r="Q196" s="145">
        <f t="shared" si="17"/>
        <v>-8</v>
      </c>
      <c r="R196" s="414">
        <f t="shared" si="15"/>
        <v>0</v>
      </c>
      <c r="S196" s="414">
        <f t="shared" si="16"/>
        <v>0</v>
      </c>
      <c r="T196" s="19"/>
      <c r="U196" s="5"/>
      <c r="V196" s="5"/>
      <c r="W196" s="5">
        <v>174</v>
      </c>
      <c r="X196" s="144" t="s">
        <v>718</v>
      </c>
      <c r="Y196" s="145"/>
      <c r="Z196" s="146"/>
      <c r="AA196" s="145"/>
      <c r="AB196" s="145"/>
      <c r="AD196" s="5">
        <v>174</v>
      </c>
      <c r="AE196" s="413" t="s">
        <v>718</v>
      </c>
      <c r="AF196" s="145"/>
      <c r="AG196" s="146"/>
      <c r="AH196" s="145"/>
      <c r="AI196" s="145"/>
      <c r="AK196" s="5">
        <v>174</v>
      </c>
      <c r="AL196" s="413" t="s">
        <v>167</v>
      </c>
      <c r="AM196" s="145">
        <v>442</v>
      </c>
      <c r="AN196" s="146">
        <v>2.12</v>
      </c>
      <c r="AO196" s="145">
        <v>4040</v>
      </c>
      <c r="AP196" s="145">
        <v>-16</v>
      </c>
      <c r="AR196" s="5">
        <v>174</v>
      </c>
      <c r="AS196" s="413" t="s">
        <v>163</v>
      </c>
      <c r="AT196" s="145">
        <v>420</v>
      </c>
      <c r="AU196" s="146">
        <v>2.56</v>
      </c>
      <c r="AV196" s="145">
        <v>4133</v>
      </c>
      <c r="AW196" s="145">
        <v>-15</v>
      </c>
      <c r="AY196" s="5">
        <v>174</v>
      </c>
      <c r="AZ196" s="413" t="s">
        <v>168</v>
      </c>
      <c r="BA196" s="145">
        <v>490</v>
      </c>
      <c r="BB196" s="146">
        <v>3.25</v>
      </c>
      <c r="BC196" s="145">
        <v>3902</v>
      </c>
      <c r="BD196" s="145">
        <v>-15</v>
      </c>
      <c r="BF196" s="5">
        <v>174</v>
      </c>
      <c r="BG196" s="413" t="s">
        <v>718</v>
      </c>
      <c r="BH196" s="145"/>
      <c r="BI196" s="146"/>
      <c r="BJ196" s="145"/>
      <c r="BK196" s="145"/>
      <c r="BM196" s="5">
        <v>174</v>
      </c>
      <c r="BN196" s="413" t="s">
        <v>169</v>
      </c>
      <c r="BO196" s="145">
        <v>653</v>
      </c>
      <c r="BP196" s="146">
        <v>2.4900000000000002</v>
      </c>
      <c r="BQ196" s="145">
        <v>4536</v>
      </c>
      <c r="BR196" s="145">
        <v>-16</v>
      </c>
      <c r="BS196" s="5"/>
      <c r="BT196" s="5">
        <v>174</v>
      </c>
      <c r="BU196" s="413" t="s">
        <v>170</v>
      </c>
      <c r="BV196" s="145">
        <v>814</v>
      </c>
      <c r="BW196" s="146">
        <v>2.33</v>
      </c>
      <c r="BX196" s="145">
        <v>4383</v>
      </c>
      <c r="BY196" s="145">
        <v>-16</v>
      </c>
      <c r="BZ196" s="5"/>
      <c r="CA196" s="5">
        <v>174</v>
      </c>
      <c r="CB196" s="413" t="s">
        <v>718</v>
      </c>
      <c r="CC196" s="145"/>
      <c r="CD196" s="146"/>
      <c r="CE196" s="145"/>
      <c r="CF196" s="145"/>
      <c r="CG196" s="5"/>
      <c r="CH196" s="5"/>
      <c r="CI196" s="5"/>
    </row>
    <row r="197" spans="13:87" ht="16.149999999999999" customHeight="1" x14ac:dyDescent="0.2">
      <c r="M197" s="5">
        <v>175</v>
      </c>
      <c r="N197" s="413" t="str">
        <f t="shared" si="12"/>
        <v xml:space="preserve"> </v>
      </c>
      <c r="O197" s="414">
        <f t="shared" si="13"/>
        <v>0</v>
      </c>
      <c r="P197" s="414">
        <f t="shared" si="14"/>
        <v>0</v>
      </c>
      <c r="Q197" s="145">
        <f t="shared" si="17"/>
        <v>-8</v>
      </c>
      <c r="R197" s="414">
        <f t="shared" si="15"/>
        <v>0</v>
      </c>
      <c r="S197" s="414">
        <f t="shared" si="16"/>
        <v>0</v>
      </c>
      <c r="T197" s="19"/>
      <c r="U197" s="5"/>
      <c r="V197" s="5"/>
      <c r="W197" s="5">
        <v>175</v>
      </c>
      <c r="X197" s="144" t="s">
        <v>718</v>
      </c>
      <c r="Y197" s="145"/>
      <c r="Z197" s="146"/>
      <c r="AA197" s="145"/>
      <c r="AB197" s="145"/>
      <c r="AD197" s="5">
        <v>175</v>
      </c>
      <c r="AE197" s="413" t="s">
        <v>718</v>
      </c>
      <c r="AF197" s="145"/>
      <c r="AG197" s="146"/>
      <c r="AH197" s="145"/>
      <c r="AI197" s="145"/>
      <c r="AK197" s="5">
        <v>175</v>
      </c>
      <c r="AL197" s="413" t="s">
        <v>171</v>
      </c>
      <c r="AM197" s="145">
        <v>940</v>
      </c>
      <c r="AN197" s="146">
        <v>1.92</v>
      </c>
      <c r="AO197" s="145">
        <v>4755</v>
      </c>
      <c r="AP197" s="145">
        <v>-17</v>
      </c>
      <c r="AR197" s="5">
        <v>175</v>
      </c>
      <c r="AS197" s="413" t="s">
        <v>172</v>
      </c>
      <c r="AT197" s="145">
        <v>204</v>
      </c>
      <c r="AU197" s="146">
        <v>3.23</v>
      </c>
      <c r="AV197" s="145">
        <v>3622</v>
      </c>
      <c r="AW197" s="145">
        <v>-14</v>
      </c>
      <c r="AY197" s="5">
        <v>175</v>
      </c>
      <c r="AZ197" s="413" t="s">
        <v>173</v>
      </c>
      <c r="BA197" s="145">
        <v>402</v>
      </c>
      <c r="BB197" s="146">
        <v>3.11</v>
      </c>
      <c r="BC197" s="145">
        <v>3867</v>
      </c>
      <c r="BD197" s="145">
        <v>-15</v>
      </c>
      <c r="BF197" s="5">
        <v>175</v>
      </c>
      <c r="BG197" s="413" t="s">
        <v>718</v>
      </c>
      <c r="BH197" s="145"/>
      <c r="BI197" s="146"/>
      <c r="BJ197" s="145"/>
      <c r="BK197" s="145"/>
      <c r="BM197" s="5">
        <v>175</v>
      </c>
      <c r="BN197" s="413" t="s">
        <v>174</v>
      </c>
      <c r="BO197" s="145">
        <v>460</v>
      </c>
      <c r="BP197" s="146">
        <v>3.26</v>
      </c>
      <c r="BQ197" s="145">
        <v>3566</v>
      </c>
      <c r="BR197" s="145">
        <v>-13</v>
      </c>
      <c r="BS197" s="5"/>
      <c r="BT197" s="5">
        <v>175</v>
      </c>
      <c r="BU197" s="413" t="s">
        <v>175</v>
      </c>
      <c r="BV197" s="145">
        <v>633</v>
      </c>
      <c r="BW197" s="146">
        <v>3.07</v>
      </c>
      <c r="BX197" s="145">
        <v>3894</v>
      </c>
      <c r="BY197" s="145">
        <v>-14</v>
      </c>
      <c r="BZ197" s="5"/>
      <c r="CA197" s="5">
        <v>175</v>
      </c>
      <c r="CB197" s="413" t="s">
        <v>718</v>
      </c>
      <c r="CC197" s="145"/>
      <c r="CD197" s="146"/>
      <c r="CE197" s="145"/>
      <c r="CF197" s="145"/>
      <c r="CG197" s="5"/>
      <c r="CH197" s="5"/>
      <c r="CI197" s="5"/>
    </row>
    <row r="198" spans="13:87" ht="16.149999999999999" customHeight="1" x14ac:dyDescent="0.2">
      <c r="M198" s="5">
        <v>176</v>
      </c>
      <c r="N198" s="413" t="str">
        <f t="shared" si="12"/>
        <v xml:space="preserve"> </v>
      </c>
      <c r="O198" s="414">
        <f t="shared" si="13"/>
        <v>0</v>
      </c>
      <c r="P198" s="414">
        <f t="shared" si="14"/>
        <v>0</v>
      </c>
      <c r="Q198" s="145">
        <f t="shared" si="17"/>
        <v>-8</v>
      </c>
      <c r="R198" s="414">
        <f t="shared" si="15"/>
        <v>0</v>
      </c>
      <c r="S198" s="414">
        <f t="shared" si="16"/>
        <v>0</v>
      </c>
      <c r="T198" s="19"/>
      <c r="U198" s="5"/>
      <c r="V198" s="5"/>
      <c r="W198" s="5">
        <v>176</v>
      </c>
      <c r="X198" s="144" t="s">
        <v>718</v>
      </c>
      <c r="Y198" s="145"/>
      <c r="Z198" s="146"/>
      <c r="AA198" s="145"/>
      <c r="AB198" s="145"/>
      <c r="AD198" s="5">
        <v>176</v>
      </c>
      <c r="AE198" s="413" t="s">
        <v>718</v>
      </c>
      <c r="AF198" s="145"/>
      <c r="AG198" s="146"/>
      <c r="AH198" s="145"/>
      <c r="AI198" s="145"/>
      <c r="AK198" s="5">
        <v>176</v>
      </c>
      <c r="AL198" s="413" t="s">
        <v>176</v>
      </c>
      <c r="AM198" s="145">
        <v>646</v>
      </c>
      <c r="AN198" s="146">
        <v>2.35</v>
      </c>
      <c r="AO198" s="145">
        <v>4200</v>
      </c>
      <c r="AP198" s="145">
        <v>-16</v>
      </c>
      <c r="AR198" s="5">
        <v>176</v>
      </c>
      <c r="AS198" s="413" t="s">
        <v>177</v>
      </c>
      <c r="AT198" s="145">
        <v>194</v>
      </c>
      <c r="AU198" s="146">
        <v>3.22</v>
      </c>
      <c r="AV198" s="145">
        <v>3642</v>
      </c>
      <c r="AW198" s="145">
        <v>-14</v>
      </c>
      <c r="AY198" s="5">
        <v>176</v>
      </c>
      <c r="AZ198" s="413" t="s">
        <v>178</v>
      </c>
      <c r="BA198" s="145">
        <v>489</v>
      </c>
      <c r="BB198" s="146">
        <v>3.2</v>
      </c>
      <c r="BC198" s="145">
        <v>3898</v>
      </c>
      <c r="BD198" s="145">
        <v>-15</v>
      </c>
      <c r="BF198" s="5">
        <v>176</v>
      </c>
      <c r="BG198" s="413" t="s">
        <v>718</v>
      </c>
      <c r="BH198" s="145"/>
      <c r="BI198" s="146"/>
      <c r="BJ198" s="145"/>
      <c r="BK198" s="145"/>
      <c r="BM198" s="5">
        <v>176</v>
      </c>
      <c r="BN198" s="413" t="s">
        <v>179</v>
      </c>
      <c r="BO198" s="145">
        <v>727</v>
      </c>
      <c r="BP198" s="146">
        <v>2.69</v>
      </c>
      <c r="BQ198" s="145">
        <v>4535</v>
      </c>
      <c r="BR198" s="145">
        <v>-16</v>
      </c>
      <c r="BS198" s="5"/>
      <c r="BT198" s="5">
        <v>176</v>
      </c>
      <c r="BU198" s="413" t="s">
        <v>180</v>
      </c>
      <c r="BV198" s="145">
        <v>678</v>
      </c>
      <c r="BW198" s="146">
        <v>2.38</v>
      </c>
      <c r="BX198" s="145">
        <v>4422</v>
      </c>
      <c r="BY198" s="145">
        <v>-17</v>
      </c>
      <c r="BZ198" s="5"/>
      <c r="CA198" s="5">
        <v>176</v>
      </c>
      <c r="CB198" s="413" t="s">
        <v>718</v>
      </c>
      <c r="CC198" s="145"/>
      <c r="CD198" s="146"/>
      <c r="CE198" s="145"/>
      <c r="CF198" s="145"/>
      <c r="CG198" s="5"/>
      <c r="CH198" s="5"/>
      <c r="CI198" s="5"/>
    </row>
    <row r="199" spans="13:87" ht="16.149999999999999" customHeight="1" x14ac:dyDescent="0.2">
      <c r="M199" s="5">
        <v>177</v>
      </c>
      <c r="N199" s="413" t="str">
        <f t="shared" si="12"/>
        <v xml:space="preserve"> </v>
      </c>
      <c r="O199" s="414">
        <f t="shared" si="13"/>
        <v>0</v>
      </c>
      <c r="P199" s="414">
        <f t="shared" si="14"/>
        <v>0</v>
      </c>
      <c r="Q199" s="145">
        <f t="shared" si="17"/>
        <v>-8</v>
      </c>
      <c r="R199" s="414">
        <f t="shared" si="15"/>
        <v>0</v>
      </c>
      <c r="S199" s="414">
        <f t="shared" si="16"/>
        <v>0</v>
      </c>
      <c r="T199" s="19"/>
      <c r="U199" s="5"/>
      <c r="V199" s="5"/>
      <c r="W199" s="5">
        <v>177</v>
      </c>
      <c r="X199" s="144" t="s">
        <v>718</v>
      </c>
      <c r="Y199" s="145"/>
      <c r="Z199" s="146"/>
      <c r="AA199" s="145"/>
      <c r="AB199" s="145"/>
      <c r="AD199" s="5">
        <v>177</v>
      </c>
      <c r="AE199" s="413" t="s">
        <v>718</v>
      </c>
      <c r="AF199" s="145"/>
      <c r="AG199" s="146"/>
      <c r="AH199" s="145"/>
      <c r="AI199" s="145"/>
      <c r="AK199" s="5">
        <v>177</v>
      </c>
      <c r="AL199" s="413" t="s">
        <v>181</v>
      </c>
      <c r="AM199" s="145">
        <v>751</v>
      </c>
      <c r="AN199" s="146">
        <v>2.93</v>
      </c>
      <c r="AO199" s="145">
        <v>4183</v>
      </c>
      <c r="AP199" s="145">
        <v>-15</v>
      </c>
      <c r="AR199" s="5">
        <v>177</v>
      </c>
      <c r="AS199" s="413" t="s">
        <v>182</v>
      </c>
      <c r="AT199" s="145">
        <v>182</v>
      </c>
      <c r="AU199" s="146">
        <v>3.19</v>
      </c>
      <c r="AV199" s="145">
        <v>3598</v>
      </c>
      <c r="AW199" s="145">
        <v>-14</v>
      </c>
      <c r="AY199" s="5">
        <v>177</v>
      </c>
      <c r="AZ199" s="413" t="s">
        <v>183</v>
      </c>
      <c r="BA199" s="145">
        <v>338</v>
      </c>
      <c r="BB199" s="146">
        <v>3.2</v>
      </c>
      <c r="BC199" s="145">
        <v>3797</v>
      </c>
      <c r="BD199" s="145">
        <v>-15</v>
      </c>
      <c r="BF199" s="5">
        <v>177</v>
      </c>
      <c r="BG199" s="413" t="s">
        <v>718</v>
      </c>
      <c r="BH199" s="145"/>
      <c r="BI199" s="146"/>
      <c r="BJ199" s="145"/>
      <c r="BK199" s="145"/>
      <c r="BM199" s="5">
        <v>177</v>
      </c>
      <c r="BN199" s="413" t="s">
        <v>184</v>
      </c>
      <c r="BO199" s="145">
        <v>290</v>
      </c>
      <c r="BP199" s="146">
        <v>3.36</v>
      </c>
      <c r="BQ199" s="145">
        <v>3427</v>
      </c>
      <c r="BR199" s="145">
        <v>-12</v>
      </c>
      <c r="BS199" s="5"/>
      <c r="BT199" s="5">
        <v>177</v>
      </c>
      <c r="BU199" s="413" t="s">
        <v>185</v>
      </c>
      <c r="BV199" s="145">
        <v>931</v>
      </c>
      <c r="BW199" s="146">
        <v>2.83</v>
      </c>
      <c r="BX199" s="145">
        <v>4413</v>
      </c>
      <c r="BY199" s="145">
        <v>-15</v>
      </c>
      <c r="BZ199" s="5"/>
      <c r="CA199" s="5">
        <v>177</v>
      </c>
      <c r="CB199" s="413" t="s">
        <v>718</v>
      </c>
      <c r="CC199" s="145"/>
      <c r="CD199" s="146"/>
      <c r="CE199" s="145"/>
      <c r="CF199" s="145"/>
      <c r="CG199" s="5"/>
      <c r="CH199" s="5"/>
      <c r="CI199" s="5"/>
    </row>
    <row r="200" spans="13:87" ht="16.149999999999999" customHeight="1" x14ac:dyDescent="0.2">
      <c r="M200" s="5">
        <v>178</v>
      </c>
      <c r="N200" s="413" t="str">
        <f t="shared" si="12"/>
        <v xml:space="preserve"> </v>
      </c>
      <c r="O200" s="414">
        <f t="shared" si="13"/>
        <v>0</v>
      </c>
      <c r="P200" s="414">
        <f t="shared" si="14"/>
        <v>0</v>
      </c>
      <c r="Q200" s="145">
        <f t="shared" si="17"/>
        <v>-8</v>
      </c>
      <c r="R200" s="414">
        <f t="shared" si="15"/>
        <v>0</v>
      </c>
      <c r="S200" s="414">
        <f t="shared" si="16"/>
        <v>0</v>
      </c>
      <c r="T200" s="19"/>
      <c r="U200" s="5"/>
      <c r="V200" s="5"/>
      <c r="W200" s="5">
        <v>178</v>
      </c>
      <c r="X200" s="144" t="s">
        <v>718</v>
      </c>
      <c r="Y200" s="145"/>
      <c r="Z200" s="146"/>
      <c r="AA200" s="145"/>
      <c r="AB200" s="145"/>
      <c r="AD200" s="5">
        <v>178</v>
      </c>
      <c r="AE200" s="413" t="s">
        <v>718</v>
      </c>
      <c r="AF200" s="145"/>
      <c r="AG200" s="146"/>
      <c r="AH200" s="145"/>
      <c r="AI200" s="145"/>
      <c r="AK200" s="5">
        <v>178</v>
      </c>
      <c r="AL200" s="413" t="s">
        <v>186</v>
      </c>
      <c r="AM200" s="145">
        <v>543</v>
      </c>
      <c r="AN200" s="146">
        <v>2.67</v>
      </c>
      <c r="AO200" s="145">
        <v>3934</v>
      </c>
      <c r="AP200" s="145">
        <v>-15</v>
      </c>
      <c r="AR200" s="5">
        <v>178</v>
      </c>
      <c r="AS200" s="413" t="s">
        <v>187</v>
      </c>
      <c r="AT200" s="145">
        <v>177</v>
      </c>
      <c r="AU200" s="146">
        <v>3.5</v>
      </c>
      <c r="AV200" s="145">
        <v>3580</v>
      </c>
      <c r="AW200" s="145">
        <v>-13</v>
      </c>
      <c r="AY200" s="5">
        <v>178</v>
      </c>
      <c r="AZ200" s="413" t="s">
        <v>2291</v>
      </c>
      <c r="BA200" s="145">
        <v>465</v>
      </c>
      <c r="BB200" s="146">
        <v>3.09</v>
      </c>
      <c r="BC200" s="145">
        <v>3958</v>
      </c>
      <c r="BD200" s="145">
        <v>-16</v>
      </c>
      <c r="BF200" s="5">
        <v>178</v>
      </c>
      <c r="BG200" s="413" t="s">
        <v>718</v>
      </c>
      <c r="BH200" s="145"/>
      <c r="BI200" s="146"/>
      <c r="BJ200" s="145"/>
      <c r="BK200" s="145"/>
      <c r="BM200" s="5">
        <v>178</v>
      </c>
      <c r="BN200" s="413" t="s">
        <v>2292</v>
      </c>
      <c r="BO200" s="145">
        <v>836</v>
      </c>
      <c r="BP200" s="146">
        <v>2.4500000000000002</v>
      </c>
      <c r="BQ200" s="145">
        <v>4492</v>
      </c>
      <c r="BR200" s="145">
        <v>-15</v>
      </c>
      <c r="BS200" s="5"/>
      <c r="BT200" s="5">
        <v>178</v>
      </c>
      <c r="BU200" s="413" t="s">
        <v>2293</v>
      </c>
      <c r="BV200" s="145">
        <v>1225</v>
      </c>
      <c r="BW200" s="146">
        <v>2.29</v>
      </c>
      <c r="BX200" s="145">
        <v>5100</v>
      </c>
      <c r="BY200" s="145">
        <v>-15</v>
      </c>
      <c r="BZ200" s="5"/>
      <c r="CA200" s="5">
        <v>178</v>
      </c>
      <c r="CB200" s="413" t="s">
        <v>718</v>
      </c>
      <c r="CC200" s="145"/>
      <c r="CD200" s="146"/>
      <c r="CE200" s="145"/>
      <c r="CF200" s="145"/>
      <c r="CG200" s="5"/>
      <c r="CH200" s="5"/>
      <c r="CI200" s="5"/>
    </row>
    <row r="201" spans="13:87" ht="16.149999999999999" customHeight="1" x14ac:dyDescent="0.2">
      <c r="M201" s="5">
        <v>179</v>
      </c>
      <c r="N201" s="413" t="str">
        <f t="shared" si="12"/>
        <v xml:space="preserve"> </v>
      </c>
      <c r="O201" s="414">
        <f t="shared" si="13"/>
        <v>0</v>
      </c>
      <c r="P201" s="414">
        <f t="shared" si="14"/>
        <v>0</v>
      </c>
      <c r="Q201" s="145">
        <f t="shared" si="17"/>
        <v>-8</v>
      </c>
      <c r="R201" s="414">
        <f t="shared" si="15"/>
        <v>0</v>
      </c>
      <c r="S201" s="414">
        <f t="shared" si="16"/>
        <v>0</v>
      </c>
      <c r="T201" s="19"/>
      <c r="U201" s="5"/>
      <c r="V201" s="5"/>
      <c r="W201" s="5">
        <v>179</v>
      </c>
      <c r="X201" s="144" t="s">
        <v>718</v>
      </c>
      <c r="Y201" s="145"/>
      <c r="Z201" s="146"/>
      <c r="AA201" s="145"/>
      <c r="AB201" s="145"/>
      <c r="AD201" s="5">
        <v>179</v>
      </c>
      <c r="AE201" s="413" t="s">
        <v>718</v>
      </c>
      <c r="AF201" s="145"/>
      <c r="AG201" s="146"/>
      <c r="AH201" s="145"/>
      <c r="AI201" s="145"/>
      <c r="AK201" s="5">
        <v>179</v>
      </c>
      <c r="AL201" s="413" t="s">
        <v>2294</v>
      </c>
      <c r="AM201" s="145">
        <v>600</v>
      </c>
      <c r="AN201" s="146">
        <v>2.63</v>
      </c>
      <c r="AO201" s="145">
        <v>3909</v>
      </c>
      <c r="AP201" s="145">
        <v>-14</v>
      </c>
      <c r="AR201" s="5">
        <v>179</v>
      </c>
      <c r="AS201" s="413" t="s">
        <v>2295</v>
      </c>
      <c r="AT201" s="145">
        <v>320</v>
      </c>
      <c r="AU201" s="146">
        <v>3.32</v>
      </c>
      <c r="AV201" s="145">
        <v>3720</v>
      </c>
      <c r="AW201" s="145">
        <v>-13</v>
      </c>
      <c r="AY201" s="5">
        <v>179</v>
      </c>
      <c r="AZ201" s="413" t="s">
        <v>2296</v>
      </c>
      <c r="BA201" s="145">
        <v>428</v>
      </c>
      <c r="BB201" s="146">
        <v>3.11</v>
      </c>
      <c r="BC201" s="145">
        <v>3784</v>
      </c>
      <c r="BD201" s="145">
        <v>-14</v>
      </c>
      <c r="BF201" s="5">
        <v>179</v>
      </c>
      <c r="BG201" s="413" t="s">
        <v>718</v>
      </c>
      <c r="BH201" s="145"/>
      <c r="BI201" s="146"/>
      <c r="BJ201" s="145"/>
      <c r="BK201" s="145"/>
      <c r="BM201" s="5">
        <v>179</v>
      </c>
      <c r="BN201" s="413" t="s">
        <v>2297</v>
      </c>
      <c r="BO201" s="145">
        <v>749</v>
      </c>
      <c r="BP201" s="146">
        <v>2.58</v>
      </c>
      <c r="BQ201" s="145">
        <v>4390</v>
      </c>
      <c r="BR201" s="145">
        <v>-15</v>
      </c>
      <c r="BS201" s="5"/>
      <c r="BT201" s="5">
        <v>179</v>
      </c>
      <c r="BU201" s="413" t="s">
        <v>2298</v>
      </c>
      <c r="BV201" s="145">
        <v>547</v>
      </c>
      <c r="BW201" s="146">
        <v>2.69</v>
      </c>
      <c r="BX201" s="145">
        <v>3998</v>
      </c>
      <c r="BY201" s="145">
        <v>-15</v>
      </c>
      <c r="BZ201" s="5"/>
      <c r="CA201" s="5">
        <v>179</v>
      </c>
      <c r="CB201" s="413" t="s">
        <v>718</v>
      </c>
      <c r="CC201" s="145"/>
      <c r="CD201" s="146"/>
      <c r="CE201" s="145"/>
      <c r="CF201" s="145"/>
      <c r="CG201" s="5"/>
      <c r="CH201" s="5"/>
      <c r="CI201" s="5"/>
    </row>
    <row r="202" spans="13:87" ht="16.149999999999999" customHeight="1" x14ac:dyDescent="0.2">
      <c r="M202" s="5">
        <v>180</v>
      </c>
      <c r="N202" s="413" t="str">
        <f t="shared" si="12"/>
        <v xml:space="preserve"> </v>
      </c>
      <c r="O202" s="414">
        <f t="shared" si="13"/>
        <v>0</v>
      </c>
      <c r="P202" s="414">
        <f t="shared" si="14"/>
        <v>0</v>
      </c>
      <c r="Q202" s="145">
        <f t="shared" si="17"/>
        <v>-8</v>
      </c>
      <c r="R202" s="414">
        <f t="shared" si="15"/>
        <v>0</v>
      </c>
      <c r="S202" s="414">
        <f t="shared" si="16"/>
        <v>0</v>
      </c>
      <c r="T202" s="19"/>
      <c r="U202" s="5"/>
      <c r="V202" s="5"/>
      <c r="W202" s="5">
        <v>180</v>
      </c>
      <c r="X202" s="144" t="s">
        <v>718</v>
      </c>
      <c r="Y202" s="145"/>
      <c r="Z202" s="146"/>
      <c r="AA202" s="145"/>
      <c r="AB202" s="145"/>
      <c r="AD202" s="5">
        <v>180</v>
      </c>
      <c r="AE202" s="413" t="s">
        <v>718</v>
      </c>
      <c r="AF202" s="145"/>
      <c r="AG202" s="146"/>
      <c r="AH202" s="145"/>
      <c r="AI202" s="145"/>
      <c r="AK202" s="5">
        <v>180</v>
      </c>
      <c r="AL202" s="413" t="s">
        <v>2299</v>
      </c>
      <c r="AM202" s="145">
        <v>604</v>
      </c>
      <c r="AN202" s="146">
        <v>2.96</v>
      </c>
      <c r="AO202" s="145">
        <v>4056</v>
      </c>
      <c r="AP202" s="145">
        <v>-14</v>
      </c>
      <c r="AR202" s="5">
        <v>180</v>
      </c>
      <c r="AS202" s="413" t="s">
        <v>2300</v>
      </c>
      <c r="AT202" s="145">
        <v>560</v>
      </c>
      <c r="AU202" s="146">
        <v>2.46</v>
      </c>
      <c r="AV202" s="145">
        <v>4421</v>
      </c>
      <c r="AW202" s="145">
        <v>-17</v>
      </c>
      <c r="AY202" s="5">
        <v>180</v>
      </c>
      <c r="AZ202" s="413" t="s">
        <v>655</v>
      </c>
      <c r="BA202" s="145">
        <v>486</v>
      </c>
      <c r="BB202" s="146">
        <v>2.86</v>
      </c>
      <c r="BC202" s="145">
        <v>4045</v>
      </c>
      <c r="BD202" s="145">
        <v>-16</v>
      </c>
      <c r="BF202" s="5">
        <v>180</v>
      </c>
      <c r="BG202" s="413" t="s">
        <v>718</v>
      </c>
      <c r="BH202" s="145"/>
      <c r="BI202" s="146"/>
      <c r="BJ202" s="145"/>
      <c r="BK202" s="145"/>
      <c r="BM202" s="5">
        <v>180</v>
      </c>
      <c r="BN202" s="413" t="s">
        <v>656</v>
      </c>
      <c r="BO202" s="145">
        <v>515</v>
      </c>
      <c r="BP202" s="146">
        <v>3.02</v>
      </c>
      <c r="BQ202" s="145">
        <v>3838</v>
      </c>
      <c r="BR202" s="145">
        <v>-14</v>
      </c>
      <c r="BS202" s="5"/>
      <c r="BT202" s="5">
        <v>180</v>
      </c>
      <c r="BU202" s="413" t="s">
        <v>657</v>
      </c>
      <c r="BV202" s="145">
        <v>1036</v>
      </c>
      <c r="BW202" s="146">
        <v>2.77</v>
      </c>
      <c r="BX202" s="145">
        <v>4584</v>
      </c>
      <c r="BY202" s="145">
        <v>-16</v>
      </c>
      <c r="BZ202" s="5"/>
      <c r="CA202" s="5">
        <v>180</v>
      </c>
      <c r="CB202" s="413" t="s">
        <v>718</v>
      </c>
      <c r="CC202" s="145"/>
      <c r="CD202" s="146"/>
      <c r="CE202" s="145"/>
      <c r="CF202" s="145"/>
      <c r="CG202" s="5"/>
      <c r="CH202" s="5"/>
      <c r="CI202" s="5"/>
    </row>
    <row r="203" spans="13:87" ht="16.149999999999999" customHeight="1" x14ac:dyDescent="0.2">
      <c r="M203" s="5">
        <v>181</v>
      </c>
      <c r="N203" s="413" t="str">
        <f t="shared" si="12"/>
        <v xml:space="preserve"> </v>
      </c>
      <c r="O203" s="414">
        <f t="shared" si="13"/>
        <v>0</v>
      </c>
      <c r="P203" s="414">
        <f t="shared" si="14"/>
        <v>0</v>
      </c>
      <c r="Q203" s="145">
        <f t="shared" si="17"/>
        <v>-8</v>
      </c>
      <c r="R203" s="414">
        <f t="shared" si="15"/>
        <v>0</v>
      </c>
      <c r="S203" s="414">
        <f t="shared" si="16"/>
        <v>0</v>
      </c>
      <c r="T203" s="19"/>
      <c r="U203" s="5"/>
      <c r="V203" s="5"/>
      <c r="W203" s="5">
        <v>181</v>
      </c>
      <c r="X203" s="144" t="s">
        <v>718</v>
      </c>
      <c r="Y203" s="145"/>
      <c r="Z203" s="146"/>
      <c r="AA203" s="145"/>
      <c r="AB203" s="145"/>
      <c r="AD203" s="5">
        <v>181</v>
      </c>
      <c r="AE203" s="413" t="s">
        <v>718</v>
      </c>
      <c r="AF203" s="145"/>
      <c r="AG203" s="146"/>
      <c r="AH203" s="145"/>
      <c r="AI203" s="145"/>
      <c r="AK203" s="5">
        <v>181</v>
      </c>
      <c r="AL203" s="413" t="s">
        <v>658</v>
      </c>
      <c r="AM203" s="145">
        <v>480</v>
      </c>
      <c r="AN203" s="146">
        <v>2.27</v>
      </c>
      <c r="AO203" s="145">
        <v>3935</v>
      </c>
      <c r="AP203" s="145">
        <v>-16</v>
      </c>
      <c r="AR203" s="5">
        <v>181</v>
      </c>
      <c r="AS203" s="413" t="s">
        <v>659</v>
      </c>
      <c r="AT203" s="145">
        <v>317</v>
      </c>
      <c r="AU203" s="146">
        <v>3.42</v>
      </c>
      <c r="AV203" s="145">
        <v>3630</v>
      </c>
      <c r="AW203" s="145">
        <v>-14</v>
      </c>
      <c r="AY203" s="5">
        <v>181</v>
      </c>
      <c r="AZ203" s="413" t="s">
        <v>660</v>
      </c>
      <c r="BA203" s="145">
        <v>240</v>
      </c>
      <c r="BB203" s="146">
        <v>3.21</v>
      </c>
      <c r="BC203" s="145">
        <v>3594</v>
      </c>
      <c r="BD203" s="145">
        <v>-14</v>
      </c>
      <c r="BF203" s="5">
        <v>181</v>
      </c>
      <c r="BG203" s="413" t="s">
        <v>718</v>
      </c>
      <c r="BH203" s="145"/>
      <c r="BI203" s="146"/>
      <c r="BJ203" s="145"/>
      <c r="BK203" s="145"/>
      <c r="BM203" s="5">
        <v>181</v>
      </c>
      <c r="BN203" s="413" t="s">
        <v>661</v>
      </c>
      <c r="BO203" s="145">
        <v>870</v>
      </c>
      <c r="BP203" s="146">
        <v>2.4500000000000002</v>
      </c>
      <c r="BQ203" s="145">
        <v>4528</v>
      </c>
      <c r="BR203" s="145">
        <v>-15</v>
      </c>
      <c r="BS203" s="5"/>
      <c r="BT203" s="5">
        <v>181</v>
      </c>
      <c r="BU203" s="413" t="s">
        <v>662</v>
      </c>
      <c r="BV203" s="145">
        <v>1893</v>
      </c>
      <c r="BW203" s="146">
        <v>0.78</v>
      </c>
      <c r="BX203" s="145">
        <v>6593</v>
      </c>
      <c r="BY203" s="145">
        <v>-20</v>
      </c>
      <c r="BZ203" s="5"/>
      <c r="CA203" s="5">
        <v>181</v>
      </c>
      <c r="CB203" s="413" t="s">
        <v>718</v>
      </c>
      <c r="CC203" s="145"/>
      <c r="CD203" s="146"/>
      <c r="CE203" s="145"/>
      <c r="CF203" s="145"/>
      <c r="CG203" s="5"/>
      <c r="CH203" s="5"/>
      <c r="CI203" s="5"/>
    </row>
    <row r="204" spans="13:87" ht="16.149999999999999" customHeight="1" x14ac:dyDescent="0.2">
      <c r="M204" s="5">
        <v>182</v>
      </c>
      <c r="N204" s="413" t="str">
        <f t="shared" si="12"/>
        <v xml:space="preserve"> </v>
      </c>
      <c r="O204" s="414">
        <f t="shared" si="13"/>
        <v>0</v>
      </c>
      <c r="P204" s="414">
        <f t="shared" si="14"/>
        <v>0</v>
      </c>
      <c r="Q204" s="145">
        <f t="shared" si="17"/>
        <v>-8</v>
      </c>
      <c r="R204" s="414">
        <f t="shared" si="15"/>
        <v>0</v>
      </c>
      <c r="S204" s="414">
        <f t="shared" si="16"/>
        <v>0</v>
      </c>
      <c r="T204" s="19"/>
      <c r="U204" s="5"/>
      <c r="V204" s="5"/>
      <c r="W204" s="5">
        <v>182</v>
      </c>
      <c r="X204" s="144" t="s">
        <v>718</v>
      </c>
      <c r="Y204" s="145"/>
      <c r="Z204" s="146"/>
      <c r="AA204" s="145"/>
      <c r="AB204" s="145"/>
      <c r="AD204" s="5">
        <v>182</v>
      </c>
      <c r="AE204" s="413" t="s">
        <v>718</v>
      </c>
      <c r="AF204" s="145"/>
      <c r="AG204" s="146"/>
      <c r="AH204" s="145"/>
      <c r="AI204" s="145"/>
      <c r="AK204" s="5">
        <v>182</v>
      </c>
      <c r="AL204" s="413" t="s">
        <v>663</v>
      </c>
      <c r="AM204" s="145">
        <v>450</v>
      </c>
      <c r="AN204" s="146">
        <v>2.52</v>
      </c>
      <c r="AO204" s="145">
        <v>3828</v>
      </c>
      <c r="AP204" s="145">
        <v>-15</v>
      </c>
      <c r="AR204" s="5">
        <v>182</v>
      </c>
      <c r="AS204" s="413" t="s">
        <v>664</v>
      </c>
      <c r="AT204" s="145">
        <v>592</v>
      </c>
      <c r="AU204" s="146">
        <v>2.64</v>
      </c>
      <c r="AV204" s="145">
        <v>4375</v>
      </c>
      <c r="AW204" s="145">
        <v>-17</v>
      </c>
      <c r="AY204" s="5">
        <v>182</v>
      </c>
      <c r="AZ204" s="413" t="s">
        <v>665</v>
      </c>
      <c r="BA204" s="145">
        <v>432</v>
      </c>
      <c r="BB204" s="146">
        <v>2.89</v>
      </c>
      <c r="BC204" s="145">
        <v>4021</v>
      </c>
      <c r="BD204" s="145">
        <v>-16</v>
      </c>
      <c r="BF204" s="5">
        <v>182</v>
      </c>
      <c r="BG204" s="413" t="s">
        <v>718</v>
      </c>
      <c r="BH204" s="145"/>
      <c r="BI204" s="146"/>
      <c r="BJ204" s="145"/>
      <c r="BK204" s="145"/>
      <c r="BM204" s="5">
        <v>182</v>
      </c>
      <c r="BN204" s="413" t="s">
        <v>2119</v>
      </c>
      <c r="BO204" s="145">
        <v>322</v>
      </c>
      <c r="BP204" s="146">
        <v>3.14</v>
      </c>
      <c r="BQ204" s="145">
        <v>3608</v>
      </c>
      <c r="BR204" s="145">
        <v>-14</v>
      </c>
      <c r="BS204" s="5"/>
      <c r="BT204" s="5">
        <v>182</v>
      </c>
      <c r="BU204" s="413" t="s">
        <v>2120</v>
      </c>
      <c r="BV204" s="145">
        <v>828</v>
      </c>
      <c r="BW204" s="146">
        <v>2.57</v>
      </c>
      <c r="BX204" s="145">
        <v>4672</v>
      </c>
      <c r="BY204" s="145">
        <v>-19</v>
      </c>
      <c r="BZ204" s="5"/>
      <c r="CA204" s="5">
        <v>182</v>
      </c>
      <c r="CB204" s="413" t="s">
        <v>718</v>
      </c>
      <c r="CC204" s="145"/>
      <c r="CD204" s="146"/>
      <c r="CE204" s="145"/>
      <c r="CF204" s="145"/>
      <c r="CG204" s="5"/>
      <c r="CH204" s="5"/>
      <c r="CI204" s="5"/>
    </row>
    <row r="205" spans="13:87" ht="16.149999999999999" customHeight="1" x14ac:dyDescent="0.2">
      <c r="M205" s="5">
        <v>183</v>
      </c>
      <c r="N205" s="413" t="str">
        <f t="shared" si="12"/>
        <v xml:space="preserve"> </v>
      </c>
      <c r="O205" s="414">
        <f t="shared" si="13"/>
        <v>0</v>
      </c>
      <c r="P205" s="414">
        <f t="shared" si="14"/>
        <v>0</v>
      </c>
      <c r="Q205" s="145">
        <f t="shared" si="17"/>
        <v>-8</v>
      </c>
      <c r="R205" s="414">
        <f t="shared" si="15"/>
        <v>0</v>
      </c>
      <c r="S205" s="414">
        <f t="shared" si="16"/>
        <v>0</v>
      </c>
      <c r="T205" s="19"/>
      <c r="U205" s="5"/>
      <c r="V205" s="5"/>
      <c r="W205" s="5">
        <v>183</v>
      </c>
      <c r="X205" s="144" t="s">
        <v>718</v>
      </c>
      <c r="Y205" s="145"/>
      <c r="Z205" s="146"/>
      <c r="AA205" s="145"/>
      <c r="AB205" s="145"/>
      <c r="AD205" s="5">
        <v>183</v>
      </c>
      <c r="AE205" s="413" t="s">
        <v>718</v>
      </c>
      <c r="AF205" s="145"/>
      <c r="AG205" s="146"/>
      <c r="AH205" s="145"/>
      <c r="AI205" s="145"/>
      <c r="AK205" s="5">
        <v>183</v>
      </c>
      <c r="AL205" s="413" t="s">
        <v>2121</v>
      </c>
      <c r="AM205" s="145">
        <v>501</v>
      </c>
      <c r="AN205" s="146">
        <v>2.44</v>
      </c>
      <c r="AO205" s="145">
        <v>3985</v>
      </c>
      <c r="AP205" s="145">
        <v>-16</v>
      </c>
      <c r="AR205" s="5">
        <v>183</v>
      </c>
      <c r="AS205" s="413" t="s">
        <v>2874</v>
      </c>
      <c r="AT205" s="145">
        <v>183</v>
      </c>
      <c r="AU205" s="146">
        <v>3.49</v>
      </c>
      <c r="AV205" s="145">
        <v>3500</v>
      </c>
      <c r="AW205" s="145">
        <v>-13</v>
      </c>
      <c r="AY205" s="5">
        <v>183</v>
      </c>
      <c r="AZ205" s="413" t="s">
        <v>2875</v>
      </c>
      <c r="BA205" s="145">
        <v>517</v>
      </c>
      <c r="BB205" s="146">
        <v>2.84</v>
      </c>
      <c r="BC205" s="145">
        <v>4067</v>
      </c>
      <c r="BD205" s="145">
        <v>-14</v>
      </c>
      <c r="BF205" s="5">
        <v>183</v>
      </c>
      <c r="BG205" s="413" t="s">
        <v>718</v>
      </c>
      <c r="BH205" s="145"/>
      <c r="BI205" s="146"/>
      <c r="BJ205" s="145"/>
      <c r="BK205" s="145"/>
      <c r="BM205" s="5">
        <v>183</v>
      </c>
      <c r="BN205" s="413" t="s">
        <v>2876</v>
      </c>
      <c r="BO205" s="145">
        <v>780</v>
      </c>
      <c r="BP205" s="146">
        <v>2.64</v>
      </c>
      <c r="BQ205" s="145">
        <v>4497</v>
      </c>
      <c r="BR205" s="145">
        <v>-15</v>
      </c>
      <c r="BS205" s="5"/>
      <c r="BT205" s="5">
        <v>183</v>
      </c>
      <c r="BU205" s="413" t="s">
        <v>2877</v>
      </c>
      <c r="BV205" s="145">
        <v>1194</v>
      </c>
      <c r="BW205" s="146">
        <v>2.35</v>
      </c>
      <c r="BX205" s="145">
        <v>5047</v>
      </c>
      <c r="BY205" s="145">
        <v>-16</v>
      </c>
      <c r="BZ205" s="5"/>
      <c r="CA205" s="5">
        <v>183</v>
      </c>
      <c r="CB205" s="413" t="s">
        <v>718</v>
      </c>
      <c r="CC205" s="145"/>
      <c r="CD205" s="146"/>
      <c r="CE205" s="145"/>
      <c r="CF205" s="145"/>
      <c r="CG205" s="5"/>
      <c r="CH205" s="5"/>
      <c r="CI205" s="5"/>
    </row>
    <row r="206" spans="13:87" ht="16.149999999999999" customHeight="1" x14ac:dyDescent="0.2">
      <c r="M206" s="5">
        <v>184</v>
      </c>
      <c r="N206" s="413" t="str">
        <f t="shared" si="12"/>
        <v xml:space="preserve"> </v>
      </c>
      <c r="O206" s="414">
        <f t="shared" si="13"/>
        <v>0</v>
      </c>
      <c r="P206" s="414">
        <f t="shared" si="14"/>
        <v>0</v>
      </c>
      <c r="Q206" s="145">
        <f t="shared" si="17"/>
        <v>-8</v>
      </c>
      <c r="R206" s="414">
        <f t="shared" si="15"/>
        <v>0</v>
      </c>
      <c r="S206" s="414">
        <f t="shared" si="16"/>
        <v>0</v>
      </c>
      <c r="T206" s="19"/>
      <c r="U206" s="5"/>
      <c r="V206" s="5"/>
      <c r="W206" s="5">
        <v>184</v>
      </c>
      <c r="X206" s="144" t="s">
        <v>718</v>
      </c>
      <c r="Y206" s="145"/>
      <c r="Z206" s="146"/>
      <c r="AA206" s="145"/>
      <c r="AB206" s="145"/>
      <c r="AD206" s="5">
        <v>184</v>
      </c>
      <c r="AE206" s="413" t="s">
        <v>718</v>
      </c>
      <c r="AF206" s="145"/>
      <c r="AG206" s="146"/>
      <c r="AH206" s="145"/>
      <c r="AI206" s="145"/>
      <c r="AK206" s="5">
        <v>184</v>
      </c>
      <c r="AL206" s="413" t="s">
        <v>2878</v>
      </c>
      <c r="AM206" s="145">
        <v>464</v>
      </c>
      <c r="AN206" s="146">
        <v>2.29</v>
      </c>
      <c r="AO206" s="145">
        <v>4038</v>
      </c>
      <c r="AP206" s="145">
        <v>-16</v>
      </c>
      <c r="AR206" s="5">
        <v>184</v>
      </c>
      <c r="AS206" s="413" t="s">
        <v>2879</v>
      </c>
      <c r="AT206" s="145">
        <v>212</v>
      </c>
      <c r="AU206" s="146">
        <v>3</v>
      </c>
      <c r="AV206" s="145">
        <v>3756</v>
      </c>
      <c r="AW206" s="145">
        <v>-15</v>
      </c>
      <c r="AY206" s="5">
        <v>184</v>
      </c>
      <c r="AZ206" s="413" t="s">
        <v>2880</v>
      </c>
      <c r="BA206" s="145">
        <v>428</v>
      </c>
      <c r="BB206" s="146">
        <v>3.06</v>
      </c>
      <c r="BC206" s="145">
        <v>3947</v>
      </c>
      <c r="BD206" s="145">
        <v>-15</v>
      </c>
      <c r="BF206" s="5">
        <v>184</v>
      </c>
      <c r="BG206" s="413" t="s">
        <v>718</v>
      </c>
      <c r="BH206" s="145"/>
      <c r="BI206" s="146"/>
      <c r="BJ206" s="145"/>
      <c r="BK206" s="145"/>
      <c r="BM206" s="5">
        <v>184</v>
      </c>
      <c r="BN206" s="413" t="s">
        <v>2881</v>
      </c>
      <c r="BO206" s="145">
        <v>835</v>
      </c>
      <c r="BP206" s="146">
        <v>2.66</v>
      </c>
      <c r="BQ206" s="145">
        <v>4596</v>
      </c>
      <c r="BR206" s="145">
        <v>-15</v>
      </c>
      <c r="BS206" s="5"/>
      <c r="BT206" s="5">
        <v>184</v>
      </c>
      <c r="BU206" s="413" t="s">
        <v>2882</v>
      </c>
      <c r="BV206" s="145">
        <v>558</v>
      </c>
      <c r="BW206" s="146">
        <v>3.09</v>
      </c>
      <c r="BX206" s="145">
        <v>3754</v>
      </c>
      <c r="BY206" s="145">
        <v>-14</v>
      </c>
      <c r="BZ206" s="5"/>
      <c r="CA206" s="5">
        <v>184</v>
      </c>
      <c r="CB206" s="413" t="s">
        <v>718</v>
      </c>
      <c r="CC206" s="145"/>
      <c r="CD206" s="146"/>
      <c r="CE206" s="145"/>
      <c r="CF206" s="145"/>
      <c r="CG206" s="5"/>
      <c r="CH206" s="5"/>
      <c r="CI206" s="5"/>
    </row>
    <row r="207" spans="13:87" ht="16.149999999999999" customHeight="1" x14ac:dyDescent="0.2">
      <c r="M207" s="5">
        <v>185</v>
      </c>
      <c r="N207" s="413" t="str">
        <f t="shared" si="12"/>
        <v xml:space="preserve"> </v>
      </c>
      <c r="O207" s="414">
        <f t="shared" si="13"/>
        <v>0</v>
      </c>
      <c r="P207" s="414">
        <f t="shared" si="14"/>
        <v>0</v>
      </c>
      <c r="Q207" s="145">
        <f t="shared" si="17"/>
        <v>-8</v>
      </c>
      <c r="R207" s="414">
        <f t="shared" si="15"/>
        <v>0</v>
      </c>
      <c r="S207" s="414">
        <f t="shared" si="16"/>
        <v>0</v>
      </c>
      <c r="T207" s="19"/>
      <c r="U207" s="5"/>
      <c r="V207" s="5"/>
      <c r="W207" s="5">
        <v>185</v>
      </c>
      <c r="X207" s="144" t="s">
        <v>718</v>
      </c>
      <c r="Y207" s="145"/>
      <c r="Z207" s="146"/>
      <c r="AA207" s="145"/>
      <c r="AB207" s="145"/>
      <c r="AD207" s="5">
        <v>185</v>
      </c>
      <c r="AE207" s="413" t="s">
        <v>718</v>
      </c>
      <c r="AF207" s="145"/>
      <c r="AG207" s="146"/>
      <c r="AH207" s="145"/>
      <c r="AI207" s="145"/>
      <c r="AK207" s="5">
        <v>185</v>
      </c>
      <c r="AL207" s="413" t="s">
        <v>2883</v>
      </c>
      <c r="AM207" s="145">
        <v>565</v>
      </c>
      <c r="AN207" s="146">
        <v>2.65</v>
      </c>
      <c r="AO207" s="145">
        <v>4009</v>
      </c>
      <c r="AP207" s="145">
        <v>-15</v>
      </c>
      <c r="AR207" s="5">
        <v>185</v>
      </c>
      <c r="AS207" s="413" t="s">
        <v>2456</v>
      </c>
      <c r="AT207" s="145">
        <v>225</v>
      </c>
      <c r="AU207" s="146">
        <v>3.43</v>
      </c>
      <c r="AV207" s="145">
        <v>3562</v>
      </c>
      <c r="AW207" s="145">
        <v>-13</v>
      </c>
      <c r="AY207" s="5">
        <v>185</v>
      </c>
      <c r="AZ207" s="413" t="s">
        <v>2457</v>
      </c>
      <c r="BA207" s="145">
        <v>303</v>
      </c>
      <c r="BB207" s="146">
        <v>3.23</v>
      </c>
      <c r="BC207" s="145">
        <v>3672</v>
      </c>
      <c r="BD207" s="145">
        <v>-14</v>
      </c>
      <c r="BF207" s="5">
        <v>185</v>
      </c>
      <c r="BG207" s="413" t="s">
        <v>718</v>
      </c>
      <c r="BH207" s="145"/>
      <c r="BI207" s="146"/>
      <c r="BJ207" s="145"/>
      <c r="BK207" s="145"/>
      <c r="BM207" s="5">
        <v>185</v>
      </c>
      <c r="BN207" s="413" t="s">
        <v>2458</v>
      </c>
      <c r="BO207" s="145">
        <v>930</v>
      </c>
      <c r="BP207" s="146">
        <v>2.4900000000000002</v>
      </c>
      <c r="BQ207" s="145">
        <v>4676</v>
      </c>
      <c r="BR207" s="145">
        <v>-15</v>
      </c>
      <c r="BS207" s="5"/>
      <c r="BT207" s="5">
        <v>185</v>
      </c>
      <c r="BU207" s="413" t="s">
        <v>2459</v>
      </c>
      <c r="BV207" s="145">
        <v>594</v>
      </c>
      <c r="BW207" s="146">
        <v>2.88</v>
      </c>
      <c r="BX207" s="145">
        <v>3921</v>
      </c>
      <c r="BY207" s="145">
        <v>-15</v>
      </c>
      <c r="BZ207" s="5"/>
      <c r="CA207" s="5">
        <v>185</v>
      </c>
      <c r="CB207" s="413" t="s">
        <v>718</v>
      </c>
      <c r="CC207" s="145"/>
      <c r="CD207" s="146"/>
      <c r="CE207" s="145"/>
      <c r="CF207" s="145"/>
      <c r="CG207" s="5"/>
      <c r="CH207" s="5"/>
      <c r="CI207" s="5"/>
    </row>
    <row r="208" spans="13:87" ht="16.149999999999999" customHeight="1" x14ac:dyDescent="0.2">
      <c r="M208" s="5">
        <v>186</v>
      </c>
      <c r="N208" s="413" t="str">
        <f t="shared" si="12"/>
        <v xml:space="preserve"> </v>
      </c>
      <c r="O208" s="414">
        <f t="shared" si="13"/>
        <v>0</v>
      </c>
      <c r="P208" s="414">
        <f t="shared" si="14"/>
        <v>0</v>
      </c>
      <c r="Q208" s="145">
        <f t="shared" si="17"/>
        <v>-8</v>
      </c>
      <c r="R208" s="414">
        <f t="shared" si="15"/>
        <v>0</v>
      </c>
      <c r="S208" s="414">
        <f t="shared" si="16"/>
        <v>0</v>
      </c>
      <c r="T208" s="19"/>
      <c r="U208" s="5"/>
      <c r="V208" s="5"/>
      <c r="W208" s="5">
        <v>186</v>
      </c>
      <c r="X208" s="144" t="s">
        <v>718</v>
      </c>
      <c r="Y208" s="145"/>
      <c r="Z208" s="146"/>
      <c r="AA208" s="145"/>
      <c r="AB208" s="145"/>
      <c r="AD208" s="5">
        <v>186</v>
      </c>
      <c r="AE208" s="413" t="s">
        <v>718</v>
      </c>
      <c r="AF208" s="145"/>
      <c r="AG208" s="146"/>
      <c r="AH208" s="145"/>
      <c r="AI208" s="145"/>
      <c r="AK208" s="5">
        <v>186</v>
      </c>
      <c r="AL208" s="413" t="s">
        <v>2460</v>
      </c>
      <c r="AM208" s="145">
        <v>795</v>
      </c>
      <c r="AN208" s="146">
        <v>2.84</v>
      </c>
      <c r="AO208" s="145">
        <v>4308</v>
      </c>
      <c r="AP208" s="145">
        <v>-15</v>
      </c>
      <c r="AR208" s="5">
        <v>186</v>
      </c>
      <c r="AS208" s="413" t="s">
        <v>2461</v>
      </c>
      <c r="AT208" s="145">
        <v>173</v>
      </c>
      <c r="AU208" s="146">
        <v>3.59</v>
      </c>
      <c r="AV208" s="145">
        <v>3365</v>
      </c>
      <c r="AW208" s="145">
        <v>-13</v>
      </c>
      <c r="AY208" s="5">
        <v>186</v>
      </c>
      <c r="AZ208" s="413" t="s">
        <v>2462</v>
      </c>
      <c r="BA208" s="145">
        <v>550</v>
      </c>
      <c r="BB208" s="146">
        <v>3.13</v>
      </c>
      <c r="BC208" s="145">
        <v>4031</v>
      </c>
      <c r="BD208" s="145">
        <v>-15</v>
      </c>
      <c r="BF208" s="5">
        <v>186</v>
      </c>
      <c r="BG208" s="413" t="s">
        <v>718</v>
      </c>
      <c r="BH208" s="145"/>
      <c r="BI208" s="146"/>
      <c r="BJ208" s="145"/>
      <c r="BK208" s="145"/>
      <c r="BM208" s="5">
        <v>186</v>
      </c>
      <c r="BN208" s="413" t="s">
        <v>2463</v>
      </c>
      <c r="BO208" s="145">
        <v>680</v>
      </c>
      <c r="BP208" s="146">
        <v>2.62</v>
      </c>
      <c r="BQ208" s="145">
        <v>4362</v>
      </c>
      <c r="BR208" s="145">
        <v>-15</v>
      </c>
      <c r="BS208" s="5"/>
      <c r="BT208" s="5">
        <v>186</v>
      </c>
      <c r="BU208" s="413" t="s">
        <v>2464</v>
      </c>
      <c r="BV208" s="145">
        <v>566</v>
      </c>
      <c r="BW208" s="146">
        <v>2.91</v>
      </c>
      <c r="BX208" s="145">
        <v>3896</v>
      </c>
      <c r="BY208" s="145">
        <v>-15</v>
      </c>
      <c r="BZ208" s="5"/>
      <c r="CA208" s="5">
        <v>186</v>
      </c>
      <c r="CB208" s="413" t="s">
        <v>718</v>
      </c>
      <c r="CC208" s="145"/>
      <c r="CD208" s="146"/>
      <c r="CE208" s="145"/>
      <c r="CF208" s="145"/>
      <c r="CG208" s="5"/>
      <c r="CH208" s="5"/>
      <c r="CI208" s="5"/>
    </row>
    <row r="209" spans="13:87" x14ac:dyDescent="0.2">
      <c r="M209" s="5">
        <v>187</v>
      </c>
      <c r="N209" s="413" t="str">
        <f t="shared" si="12"/>
        <v xml:space="preserve"> </v>
      </c>
      <c r="O209" s="414">
        <f t="shared" si="13"/>
        <v>0</v>
      </c>
      <c r="P209" s="414">
        <f t="shared" si="14"/>
        <v>0</v>
      </c>
      <c r="Q209" s="145">
        <f t="shared" si="17"/>
        <v>-8</v>
      </c>
      <c r="R209" s="414">
        <f t="shared" si="15"/>
        <v>0</v>
      </c>
      <c r="S209" s="414">
        <f t="shared" si="16"/>
        <v>0</v>
      </c>
      <c r="T209" s="19"/>
      <c r="U209" s="5"/>
      <c r="V209" s="5"/>
      <c r="W209" s="5">
        <v>187</v>
      </c>
      <c r="X209" s="144" t="s">
        <v>718</v>
      </c>
      <c r="Y209" s="145"/>
      <c r="Z209" s="146"/>
      <c r="AA209" s="145"/>
      <c r="AB209" s="145"/>
      <c r="AD209" s="5">
        <v>187</v>
      </c>
      <c r="AE209" s="413" t="s">
        <v>718</v>
      </c>
      <c r="AF209" s="145"/>
      <c r="AG209" s="146"/>
      <c r="AH209" s="145"/>
      <c r="AI209" s="145"/>
      <c r="AK209" s="5">
        <v>187</v>
      </c>
      <c r="AL209" s="413" t="s">
        <v>2465</v>
      </c>
      <c r="AM209" s="145">
        <v>556</v>
      </c>
      <c r="AN209" s="146">
        <v>2.97</v>
      </c>
      <c r="AO209" s="145">
        <v>3899</v>
      </c>
      <c r="AP209" s="145">
        <v>-15</v>
      </c>
      <c r="AR209" s="5">
        <v>187</v>
      </c>
      <c r="AS209" s="413" t="s">
        <v>2466</v>
      </c>
      <c r="AT209" s="145">
        <v>252</v>
      </c>
      <c r="AU209" s="146">
        <v>3.59</v>
      </c>
      <c r="AV209" s="145">
        <v>3413</v>
      </c>
      <c r="AW209" s="145">
        <v>-13</v>
      </c>
      <c r="AY209" s="5">
        <v>187</v>
      </c>
      <c r="AZ209" s="413" t="s">
        <v>2467</v>
      </c>
      <c r="BA209" s="145">
        <v>555</v>
      </c>
      <c r="BB209" s="146">
        <v>2.65</v>
      </c>
      <c r="BC209" s="145">
        <v>4216</v>
      </c>
      <c r="BD209" s="145">
        <v>-16</v>
      </c>
      <c r="BF209" s="5">
        <v>187</v>
      </c>
      <c r="BG209" s="413" t="s">
        <v>718</v>
      </c>
      <c r="BH209" s="145"/>
      <c r="BI209" s="146"/>
      <c r="BJ209" s="145"/>
      <c r="BK209" s="145"/>
      <c r="BM209" s="5">
        <v>187</v>
      </c>
      <c r="BN209" s="413" t="s">
        <v>2468</v>
      </c>
      <c r="BO209" s="145">
        <v>296</v>
      </c>
      <c r="BP209" s="146">
        <v>3.06</v>
      </c>
      <c r="BQ209" s="145">
        <v>3609</v>
      </c>
      <c r="BR209" s="145">
        <v>-13</v>
      </c>
      <c r="BS209" s="5"/>
      <c r="BT209" s="5">
        <v>187</v>
      </c>
      <c r="BU209" s="413" t="s">
        <v>2469</v>
      </c>
      <c r="BV209" s="145">
        <v>560</v>
      </c>
      <c r="BW209" s="146">
        <v>2.96</v>
      </c>
      <c r="BX209" s="145">
        <v>3886</v>
      </c>
      <c r="BY209" s="145">
        <v>-15</v>
      </c>
      <c r="BZ209" s="5"/>
      <c r="CA209" s="5">
        <v>187</v>
      </c>
      <c r="CB209" s="413" t="s">
        <v>718</v>
      </c>
      <c r="CC209" s="145"/>
      <c r="CD209" s="146"/>
      <c r="CE209" s="145"/>
      <c r="CF209" s="145"/>
      <c r="CG209" s="5"/>
      <c r="CH209" s="5"/>
      <c r="CI209" s="5"/>
    </row>
    <row r="210" spans="13:87" x14ac:dyDescent="0.2">
      <c r="M210" s="5">
        <v>188</v>
      </c>
      <c r="N210" s="413" t="str">
        <f t="shared" si="12"/>
        <v xml:space="preserve"> </v>
      </c>
      <c r="O210" s="414">
        <f t="shared" si="13"/>
        <v>0</v>
      </c>
      <c r="P210" s="414">
        <f t="shared" si="14"/>
        <v>0</v>
      </c>
      <c r="Q210" s="145">
        <f t="shared" si="17"/>
        <v>-8</v>
      </c>
      <c r="R210" s="414">
        <f t="shared" si="15"/>
        <v>0</v>
      </c>
      <c r="S210" s="414">
        <f t="shared" si="16"/>
        <v>0</v>
      </c>
      <c r="T210" s="19"/>
      <c r="U210" s="5"/>
      <c r="V210" s="5"/>
      <c r="W210" s="5">
        <v>188</v>
      </c>
      <c r="X210" s="144" t="s">
        <v>718</v>
      </c>
      <c r="Y210" s="145"/>
      <c r="Z210" s="146"/>
      <c r="AA210" s="145"/>
      <c r="AB210" s="145"/>
      <c r="AD210" s="5">
        <v>188</v>
      </c>
      <c r="AE210" s="413" t="s">
        <v>718</v>
      </c>
      <c r="AF210" s="145"/>
      <c r="AG210" s="146"/>
      <c r="AH210" s="145"/>
      <c r="AI210" s="145"/>
      <c r="AK210" s="5">
        <v>188</v>
      </c>
      <c r="AL210" s="413" t="s">
        <v>2470</v>
      </c>
      <c r="AM210" s="145">
        <v>702</v>
      </c>
      <c r="AN210" s="146">
        <v>2.04</v>
      </c>
      <c r="AO210" s="145">
        <v>4561</v>
      </c>
      <c r="AP210" s="145">
        <v>-17</v>
      </c>
      <c r="AR210" s="5">
        <v>188</v>
      </c>
      <c r="AS210" s="413" t="s">
        <v>2471</v>
      </c>
      <c r="AT210" s="145">
        <v>363</v>
      </c>
      <c r="AU210" s="146">
        <v>2.93</v>
      </c>
      <c r="AV210" s="145">
        <v>3738</v>
      </c>
      <c r="AW210" s="145">
        <v>-14</v>
      </c>
      <c r="AY210" s="5">
        <v>188</v>
      </c>
      <c r="AZ210" s="413" t="s">
        <v>2472</v>
      </c>
      <c r="BA210" s="145">
        <v>404</v>
      </c>
      <c r="BB210" s="146">
        <v>3.09</v>
      </c>
      <c r="BC210" s="145">
        <v>3890</v>
      </c>
      <c r="BD210" s="145">
        <v>-15</v>
      </c>
      <c r="BF210" s="5">
        <v>188</v>
      </c>
      <c r="BG210" s="413" t="s">
        <v>718</v>
      </c>
      <c r="BH210" s="145"/>
      <c r="BI210" s="146"/>
      <c r="BJ210" s="145"/>
      <c r="BK210" s="145"/>
      <c r="BM210" s="5">
        <v>188</v>
      </c>
      <c r="BN210" s="413" t="s">
        <v>2473</v>
      </c>
      <c r="BO210" s="145">
        <v>312</v>
      </c>
      <c r="BP210" s="146">
        <v>3.18</v>
      </c>
      <c r="BQ210" s="145">
        <v>3533</v>
      </c>
      <c r="BR210" s="145">
        <v>-13</v>
      </c>
      <c r="BS210" s="5"/>
      <c r="BT210" s="5">
        <v>188</v>
      </c>
      <c r="BU210" s="413" t="s">
        <v>2474</v>
      </c>
      <c r="BV210" s="145">
        <v>774</v>
      </c>
      <c r="BW210" s="146">
        <v>2.2400000000000002</v>
      </c>
      <c r="BX210" s="145">
        <v>4636</v>
      </c>
      <c r="BY210" s="145">
        <v>-17</v>
      </c>
      <c r="BZ210" s="5"/>
      <c r="CA210" s="5">
        <v>188</v>
      </c>
      <c r="CB210" s="413" t="s">
        <v>718</v>
      </c>
      <c r="CC210" s="145"/>
      <c r="CD210" s="146"/>
      <c r="CE210" s="145"/>
      <c r="CF210" s="145"/>
      <c r="CG210" s="5"/>
      <c r="CH210" s="5"/>
      <c r="CI210" s="5"/>
    </row>
    <row r="211" spans="13:87" x14ac:dyDescent="0.2">
      <c r="M211" s="5">
        <v>189</v>
      </c>
      <c r="N211" s="413" t="str">
        <f t="shared" si="12"/>
        <v xml:space="preserve"> </v>
      </c>
      <c r="O211" s="414">
        <f t="shared" si="13"/>
        <v>0</v>
      </c>
      <c r="P211" s="414">
        <f t="shared" si="14"/>
        <v>0</v>
      </c>
      <c r="Q211" s="145">
        <f t="shared" si="17"/>
        <v>-8</v>
      </c>
      <c r="R211" s="414">
        <f t="shared" si="15"/>
        <v>0</v>
      </c>
      <c r="S211" s="414">
        <f t="shared" si="16"/>
        <v>0</v>
      </c>
      <c r="T211" s="19"/>
      <c r="U211" s="5"/>
      <c r="V211" s="5"/>
      <c r="W211" s="5">
        <v>189</v>
      </c>
      <c r="X211" s="144" t="s">
        <v>718</v>
      </c>
      <c r="Y211" s="145"/>
      <c r="Z211" s="146"/>
      <c r="AA211" s="145"/>
      <c r="AB211" s="145"/>
      <c r="AD211" s="5">
        <v>189</v>
      </c>
      <c r="AE211" s="413" t="s">
        <v>718</v>
      </c>
      <c r="AF211" s="145"/>
      <c r="AG211" s="146"/>
      <c r="AH211" s="145"/>
      <c r="AI211" s="145"/>
      <c r="AK211" s="5">
        <v>189</v>
      </c>
      <c r="AL211" s="413" t="s">
        <v>2475</v>
      </c>
      <c r="AM211" s="145">
        <v>432</v>
      </c>
      <c r="AN211" s="146">
        <v>2.19</v>
      </c>
      <c r="AO211" s="145">
        <v>3937</v>
      </c>
      <c r="AP211" s="145">
        <v>-16</v>
      </c>
      <c r="AR211" s="5">
        <v>189</v>
      </c>
      <c r="AS211" s="413" t="s">
        <v>2476</v>
      </c>
      <c r="AT211" s="145">
        <v>540</v>
      </c>
      <c r="AU211" s="146">
        <v>2.4300000000000002</v>
      </c>
      <c r="AV211" s="145">
        <v>4393</v>
      </c>
      <c r="AW211" s="145">
        <v>-17</v>
      </c>
      <c r="AY211" s="5">
        <v>189</v>
      </c>
      <c r="AZ211" s="413" t="s">
        <v>2477</v>
      </c>
      <c r="BA211" s="145">
        <v>516</v>
      </c>
      <c r="BB211" s="146">
        <v>2.79</v>
      </c>
      <c r="BC211" s="145">
        <v>4200</v>
      </c>
      <c r="BD211" s="145">
        <v>-17</v>
      </c>
      <c r="BF211" s="5">
        <v>189</v>
      </c>
      <c r="BG211" s="413" t="s">
        <v>718</v>
      </c>
      <c r="BH211" s="145"/>
      <c r="BI211" s="146"/>
      <c r="BJ211" s="145"/>
      <c r="BK211" s="145"/>
      <c r="BM211" s="5">
        <v>189</v>
      </c>
      <c r="BN211" s="413" t="s">
        <v>2478</v>
      </c>
      <c r="BO211" s="145">
        <v>600</v>
      </c>
      <c r="BP211" s="146">
        <v>2.74</v>
      </c>
      <c r="BQ211" s="145">
        <v>4332</v>
      </c>
      <c r="BR211" s="145">
        <v>-15</v>
      </c>
      <c r="BS211" s="5"/>
      <c r="BT211" s="5">
        <v>189</v>
      </c>
      <c r="BU211" s="413" t="s">
        <v>2479</v>
      </c>
      <c r="BV211" s="145">
        <v>658</v>
      </c>
      <c r="BW211" s="146">
        <v>2.38</v>
      </c>
      <c r="BX211" s="145">
        <v>4388</v>
      </c>
      <c r="BY211" s="145">
        <v>-17</v>
      </c>
      <c r="BZ211" s="5"/>
      <c r="CA211" s="5">
        <v>189</v>
      </c>
      <c r="CB211" s="413" t="s">
        <v>718</v>
      </c>
      <c r="CC211" s="145"/>
      <c r="CD211" s="146"/>
      <c r="CE211" s="145"/>
      <c r="CF211" s="145"/>
      <c r="CG211" s="5"/>
      <c r="CH211" s="5"/>
      <c r="CI211" s="5"/>
    </row>
    <row r="212" spans="13:87" x14ac:dyDescent="0.2">
      <c r="M212" s="5">
        <v>190</v>
      </c>
      <c r="N212" s="413" t="str">
        <f t="shared" si="12"/>
        <v xml:space="preserve"> </v>
      </c>
      <c r="O212" s="414">
        <f t="shared" si="13"/>
        <v>0</v>
      </c>
      <c r="P212" s="414">
        <f t="shared" si="14"/>
        <v>0</v>
      </c>
      <c r="Q212" s="145">
        <f t="shared" si="17"/>
        <v>-8</v>
      </c>
      <c r="R212" s="414">
        <f t="shared" si="15"/>
        <v>0</v>
      </c>
      <c r="S212" s="414">
        <f t="shared" si="16"/>
        <v>0</v>
      </c>
      <c r="T212" s="19"/>
      <c r="U212" s="5"/>
      <c r="V212" s="5"/>
      <c r="W212" s="5">
        <v>190</v>
      </c>
      <c r="X212" s="144" t="s">
        <v>718</v>
      </c>
      <c r="Y212" s="145"/>
      <c r="Z212" s="146"/>
      <c r="AA212" s="145"/>
      <c r="AB212" s="145"/>
      <c r="AD212" s="5">
        <v>190</v>
      </c>
      <c r="AE212" s="413" t="s">
        <v>718</v>
      </c>
      <c r="AF212" s="145"/>
      <c r="AG212" s="146"/>
      <c r="AH212" s="145"/>
      <c r="AI212" s="145"/>
      <c r="AK212" s="5">
        <v>190</v>
      </c>
      <c r="AL212" s="413" t="s">
        <v>2480</v>
      </c>
      <c r="AM212" s="145">
        <v>664</v>
      </c>
      <c r="AN212" s="146">
        <v>2.29</v>
      </c>
      <c r="AO212" s="145">
        <v>4304</v>
      </c>
      <c r="AP212" s="145">
        <v>-16</v>
      </c>
      <c r="AR212" s="5">
        <v>190</v>
      </c>
      <c r="AS212" s="413" t="s">
        <v>2481</v>
      </c>
      <c r="AT212" s="145">
        <v>280</v>
      </c>
      <c r="AU212" s="146">
        <v>3.29</v>
      </c>
      <c r="AV212" s="145">
        <v>3609</v>
      </c>
      <c r="AW212" s="145">
        <v>-14</v>
      </c>
      <c r="AY212" s="5">
        <v>190</v>
      </c>
      <c r="AZ212" s="413" t="s">
        <v>2482</v>
      </c>
      <c r="BA212" s="145">
        <v>401</v>
      </c>
      <c r="BB212" s="146">
        <v>2.98</v>
      </c>
      <c r="BC212" s="145">
        <v>3949</v>
      </c>
      <c r="BD212" s="145">
        <v>-15</v>
      </c>
      <c r="BF212" s="5">
        <v>190</v>
      </c>
      <c r="BG212" s="413" t="s">
        <v>718</v>
      </c>
      <c r="BH212" s="145"/>
      <c r="BI212" s="146"/>
      <c r="BJ212" s="145"/>
      <c r="BK212" s="145"/>
      <c r="BM212" s="5">
        <v>190</v>
      </c>
      <c r="BN212" s="413" t="s">
        <v>2483</v>
      </c>
      <c r="BO212" s="145">
        <v>655</v>
      </c>
      <c r="BP212" s="146">
        <v>2.89</v>
      </c>
      <c r="BQ212" s="145">
        <v>4071</v>
      </c>
      <c r="BR212" s="145">
        <v>-14</v>
      </c>
      <c r="BS212" s="5"/>
      <c r="BT212" s="5">
        <v>190</v>
      </c>
      <c r="BU212" s="413" t="s">
        <v>2484</v>
      </c>
      <c r="BV212" s="145">
        <v>564</v>
      </c>
      <c r="BW212" s="146">
        <v>3.1</v>
      </c>
      <c r="BX212" s="145">
        <v>3785</v>
      </c>
      <c r="BY212" s="145">
        <v>-15</v>
      </c>
      <c r="BZ212" s="5"/>
      <c r="CA212" s="5">
        <v>190</v>
      </c>
      <c r="CB212" s="413" t="s">
        <v>718</v>
      </c>
      <c r="CC212" s="145"/>
      <c r="CD212" s="146"/>
      <c r="CE212" s="145"/>
      <c r="CF212" s="145"/>
      <c r="CG212" s="5"/>
      <c r="CH212" s="5"/>
      <c r="CI212" s="5"/>
    </row>
    <row r="213" spans="13:87" x14ac:dyDescent="0.2">
      <c r="M213" s="5">
        <v>191</v>
      </c>
      <c r="N213" s="413" t="str">
        <f t="shared" si="12"/>
        <v xml:space="preserve"> </v>
      </c>
      <c r="O213" s="414">
        <f t="shared" si="13"/>
        <v>0</v>
      </c>
      <c r="P213" s="414">
        <f t="shared" si="14"/>
        <v>0</v>
      </c>
      <c r="Q213" s="145">
        <f t="shared" si="17"/>
        <v>-8</v>
      </c>
      <c r="R213" s="414">
        <f t="shared" si="15"/>
        <v>0</v>
      </c>
      <c r="S213" s="414">
        <f t="shared" si="16"/>
        <v>0</v>
      </c>
      <c r="T213" s="19"/>
      <c r="U213" s="5"/>
      <c r="V213" s="5"/>
      <c r="W213" s="5">
        <v>191</v>
      </c>
      <c r="X213" s="144" t="s">
        <v>718</v>
      </c>
      <c r="Y213" s="145"/>
      <c r="Z213" s="146"/>
      <c r="AA213" s="145"/>
      <c r="AB213" s="145"/>
      <c r="AD213" s="5">
        <v>191</v>
      </c>
      <c r="AE213" s="413" t="s">
        <v>718</v>
      </c>
      <c r="AF213" s="145"/>
      <c r="AG213" s="146"/>
      <c r="AH213" s="145"/>
      <c r="AI213" s="145"/>
      <c r="AK213" s="5">
        <v>191</v>
      </c>
      <c r="AL213" s="413" t="s">
        <v>2485</v>
      </c>
      <c r="AM213" s="145">
        <v>740</v>
      </c>
      <c r="AN213" s="146">
        <v>2.54</v>
      </c>
      <c r="AO213" s="145">
        <v>4366</v>
      </c>
      <c r="AP213" s="145">
        <v>-15</v>
      </c>
      <c r="AR213" s="5">
        <v>191</v>
      </c>
      <c r="AS213" s="413" t="s">
        <v>2486</v>
      </c>
      <c r="AT213" s="145">
        <v>769</v>
      </c>
      <c r="AU213" s="146">
        <v>2.8</v>
      </c>
      <c r="AV213" s="145">
        <v>4129</v>
      </c>
      <c r="AW213" s="145">
        <v>-14</v>
      </c>
      <c r="AY213" s="5">
        <v>191</v>
      </c>
      <c r="AZ213" s="413" t="s">
        <v>2487</v>
      </c>
      <c r="BA213" s="145">
        <v>386</v>
      </c>
      <c r="BB213" s="146">
        <v>3.2</v>
      </c>
      <c r="BC213" s="145">
        <v>3781</v>
      </c>
      <c r="BD213" s="145">
        <v>-15</v>
      </c>
      <c r="BF213" s="5">
        <v>191</v>
      </c>
      <c r="BG213" s="413" t="s">
        <v>718</v>
      </c>
      <c r="BH213" s="145"/>
      <c r="BI213" s="146"/>
      <c r="BJ213" s="145"/>
      <c r="BK213" s="145"/>
      <c r="BM213" s="5">
        <v>191</v>
      </c>
      <c r="BN213" s="413" t="s">
        <v>2488</v>
      </c>
      <c r="BO213" s="145">
        <v>405</v>
      </c>
      <c r="BP213" s="146">
        <v>2.89</v>
      </c>
      <c r="BQ213" s="145">
        <v>3850</v>
      </c>
      <c r="BR213" s="145">
        <v>-14</v>
      </c>
      <c r="BS213" s="5"/>
      <c r="BT213" s="5">
        <v>191</v>
      </c>
      <c r="BU213" s="413" t="s">
        <v>2489</v>
      </c>
      <c r="BV213" s="145">
        <v>880</v>
      </c>
      <c r="BW213" s="146">
        <v>2.72</v>
      </c>
      <c r="BX213" s="145">
        <v>4578</v>
      </c>
      <c r="BY213" s="145">
        <v>-16</v>
      </c>
      <c r="BZ213" s="5"/>
      <c r="CA213" s="5">
        <v>191</v>
      </c>
      <c r="CB213" s="413" t="s">
        <v>718</v>
      </c>
      <c r="CC213" s="145"/>
      <c r="CD213" s="146"/>
      <c r="CE213" s="145"/>
      <c r="CF213" s="145"/>
      <c r="CG213" s="5"/>
      <c r="CH213" s="5"/>
      <c r="CI213" s="5"/>
    </row>
    <row r="214" spans="13:87" x14ac:dyDescent="0.2">
      <c r="M214" s="5">
        <v>192</v>
      </c>
      <c r="N214" s="413" t="str">
        <f t="shared" si="12"/>
        <v xml:space="preserve"> </v>
      </c>
      <c r="O214" s="414">
        <f t="shared" si="13"/>
        <v>0</v>
      </c>
      <c r="P214" s="414">
        <f t="shared" si="14"/>
        <v>0</v>
      </c>
      <c r="Q214" s="145">
        <f t="shared" si="17"/>
        <v>-8</v>
      </c>
      <c r="R214" s="414">
        <f t="shared" si="15"/>
        <v>0</v>
      </c>
      <c r="S214" s="414">
        <f t="shared" si="16"/>
        <v>0</v>
      </c>
      <c r="T214" s="19"/>
      <c r="U214" s="5"/>
      <c r="V214" s="5"/>
      <c r="W214" s="5">
        <v>192</v>
      </c>
      <c r="X214" s="144" t="s">
        <v>718</v>
      </c>
      <c r="Y214" s="145"/>
      <c r="Z214" s="146"/>
      <c r="AA214" s="145"/>
      <c r="AB214" s="145"/>
      <c r="AD214" s="5">
        <v>192</v>
      </c>
      <c r="AE214" s="413" t="s">
        <v>718</v>
      </c>
      <c r="AF214" s="145"/>
      <c r="AG214" s="146"/>
      <c r="AH214" s="145"/>
      <c r="AI214" s="145"/>
      <c r="AK214" s="5">
        <v>192</v>
      </c>
      <c r="AL214" s="413" t="s">
        <v>2490</v>
      </c>
      <c r="AM214" s="145">
        <v>965</v>
      </c>
      <c r="AN214" s="146">
        <v>2.41</v>
      </c>
      <c r="AO214" s="145">
        <v>4538</v>
      </c>
      <c r="AP214" s="145">
        <v>-16</v>
      </c>
      <c r="AR214" s="5">
        <v>192</v>
      </c>
      <c r="AS214" s="413" t="s">
        <v>2491</v>
      </c>
      <c r="AT214" s="145">
        <v>627</v>
      </c>
      <c r="AU214" s="146">
        <v>2.91</v>
      </c>
      <c r="AV214" s="145">
        <v>4220</v>
      </c>
      <c r="AW214" s="145">
        <v>-15</v>
      </c>
      <c r="AY214" s="5">
        <v>192</v>
      </c>
      <c r="AZ214" s="413" t="s">
        <v>2492</v>
      </c>
      <c r="BA214" s="145">
        <v>632</v>
      </c>
      <c r="BB214" s="146">
        <v>2.62</v>
      </c>
      <c r="BC214" s="145">
        <v>4310</v>
      </c>
      <c r="BD214" s="145">
        <v>-15</v>
      </c>
      <c r="BF214" s="5">
        <v>192</v>
      </c>
      <c r="BG214" s="413" t="s">
        <v>718</v>
      </c>
      <c r="BH214" s="145"/>
      <c r="BI214" s="146"/>
      <c r="BJ214" s="145"/>
      <c r="BK214" s="145"/>
      <c r="BM214" s="5">
        <v>192</v>
      </c>
      <c r="BN214" s="413" t="s">
        <v>2493</v>
      </c>
      <c r="BO214" s="145">
        <v>475</v>
      </c>
      <c r="BP214" s="146">
        <v>2.98</v>
      </c>
      <c r="BQ214" s="145">
        <v>3881</v>
      </c>
      <c r="BR214" s="145">
        <v>-14</v>
      </c>
      <c r="BS214" s="5"/>
      <c r="BT214" s="5">
        <v>192</v>
      </c>
      <c r="BU214" s="413" t="s">
        <v>2494</v>
      </c>
      <c r="BV214" s="145">
        <v>887</v>
      </c>
      <c r="BW214" s="146">
        <v>2.66</v>
      </c>
      <c r="BX214" s="145">
        <v>4700</v>
      </c>
      <c r="BY214" s="145">
        <v>-19</v>
      </c>
      <c r="BZ214" s="5"/>
      <c r="CA214" s="5">
        <v>192</v>
      </c>
      <c r="CB214" s="413" t="s">
        <v>718</v>
      </c>
      <c r="CC214" s="145"/>
      <c r="CD214" s="146"/>
      <c r="CE214" s="145"/>
      <c r="CF214" s="145"/>
      <c r="CG214" s="5"/>
      <c r="CH214" s="5"/>
      <c r="CI214" s="5"/>
    </row>
    <row r="215" spans="13:87" x14ac:dyDescent="0.2">
      <c r="M215" s="5">
        <v>193</v>
      </c>
      <c r="N215" s="413" t="str">
        <f t="shared" ref="N215:N278" si="18">INDEX(X$23:CG$723,$M215,(Bundesland-1)*7+1)</f>
        <v xml:space="preserve"> </v>
      </c>
      <c r="O215" s="414">
        <f t="shared" ref="O215:O278" si="19">INDEX(Y$23:CH$723,$M215,(Bundesland-1)*7+1)</f>
        <v>0</v>
      </c>
      <c r="P215" s="414">
        <f t="shared" ref="P215:P278" si="20">INDEX(Z$23:CI$723,$M215,(Bundesland-1)*7+1)</f>
        <v>0</v>
      </c>
      <c r="Q215" s="145">
        <f t="shared" si="17"/>
        <v>-8</v>
      </c>
      <c r="R215" s="414">
        <f t="shared" ref="R215:R278" si="21">INDEX(AA$23:CK$723,$M215,(Bundesland-1)*7+1)</f>
        <v>0</v>
      </c>
      <c r="S215" s="414">
        <f t="shared" ref="S215:S278" si="22">INDEX(AB$23:CL$723,$M215,(Bundesland-1)*7+1)</f>
        <v>0</v>
      </c>
      <c r="T215" s="19"/>
      <c r="U215" s="5"/>
      <c r="V215" s="5"/>
      <c r="W215" s="5">
        <v>193</v>
      </c>
      <c r="X215" s="144" t="s">
        <v>718</v>
      </c>
      <c r="Y215" s="145"/>
      <c r="Z215" s="146"/>
      <c r="AA215" s="145"/>
      <c r="AB215" s="145"/>
      <c r="AD215" s="5">
        <v>193</v>
      </c>
      <c r="AE215" s="413" t="s">
        <v>718</v>
      </c>
      <c r="AF215" s="145"/>
      <c r="AG215" s="146"/>
      <c r="AH215" s="145"/>
      <c r="AI215" s="145"/>
      <c r="AK215" s="5">
        <v>193</v>
      </c>
      <c r="AL215" s="413" t="s">
        <v>2495</v>
      </c>
      <c r="AM215" s="145">
        <v>456</v>
      </c>
      <c r="AN215" s="146">
        <v>2.6</v>
      </c>
      <c r="AO215" s="145">
        <v>3914</v>
      </c>
      <c r="AP215" s="145">
        <v>-15</v>
      </c>
      <c r="AR215" s="5">
        <v>193</v>
      </c>
      <c r="AS215" s="413" t="s">
        <v>2496</v>
      </c>
      <c r="AT215" s="145">
        <v>215</v>
      </c>
      <c r="AU215" s="146">
        <v>3.43</v>
      </c>
      <c r="AV215" s="145">
        <v>3496</v>
      </c>
      <c r="AW215" s="145">
        <v>-13</v>
      </c>
      <c r="AY215" s="5">
        <v>193</v>
      </c>
      <c r="AZ215" s="413" t="s">
        <v>2497</v>
      </c>
      <c r="BA215" s="145">
        <v>550</v>
      </c>
      <c r="BB215" s="146">
        <v>2.72</v>
      </c>
      <c r="BC215" s="145">
        <v>4164</v>
      </c>
      <c r="BD215" s="145">
        <v>-15</v>
      </c>
      <c r="BF215" s="5">
        <v>193</v>
      </c>
      <c r="BG215" s="413" t="s">
        <v>718</v>
      </c>
      <c r="BH215" s="145"/>
      <c r="BI215" s="146"/>
      <c r="BJ215" s="145"/>
      <c r="BK215" s="145"/>
      <c r="BM215" s="5">
        <v>193</v>
      </c>
      <c r="BN215" s="413" t="s">
        <v>2498</v>
      </c>
      <c r="BO215" s="145">
        <v>800</v>
      </c>
      <c r="BP215" s="146">
        <v>2.0699999999999998</v>
      </c>
      <c r="BQ215" s="145">
        <v>4662</v>
      </c>
      <c r="BR215" s="145">
        <v>-16</v>
      </c>
      <c r="BS215" s="5"/>
      <c r="BT215" s="5">
        <v>193</v>
      </c>
      <c r="BU215" s="413" t="s">
        <v>2499</v>
      </c>
      <c r="BV215" s="145">
        <v>985</v>
      </c>
      <c r="BW215" s="146">
        <v>2.74</v>
      </c>
      <c r="BX215" s="145">
        <v>4454</v>
      </c>
      <c r="BY215" s="145">
        <v>-16</v>
      </c>
      <c r="BZ215" s="5"/>
      <c r="CA215" s="5">
        <v>193</v>
      </c>
      <c r="CB215" s="413" t="s">
        <v>718</v>
      </c>
      <c r="CC215" s="145"/>
      <c r="CD215" s="146"/>
      <c r="CE215" s="145"/>
      <c r="CF215" s="145"/>
      <c r="CG215" s="5"/>
      <c r="CH215" s="5"/>
      <c r="CI215" s="5"/>
    </row>
    <row r="216" spans="13:87" x14ac:dyDescent="0.2">
      <c r="M216" s="5">
        <v>194</v>
      </c>
      <c r="N216" s="413" t="str">
        <f t="shared" si="18"/>
        <v xml:space="preserve"> </v>
      </c>
      <c r="O216" s="414">
        <f t="shared" si="19"/>
        <v>0</v>
      </c>
      <c r="P216" s="414">
        <f t="shared" si="20"/>
        <v>0</v>
      </c>
      <c r="Q216" s="145">
        <f t="shared" ref="Q216:Q279" si="23">MIN(S216+Zuschlag_A,-8)</f>
        <v>-8</v>
      </c>
      <c r="R216" s="414">
        <f t="shared" si="21"/>
        <v>0</v>
      </c>
      <c r="S216" s="414">
        <f t="shared" si="22"/>
        <v>0</v>
      </c>
      <c r="T216" s="19"/>
      <c r="U216" s="5"/>
      <c r="V216" s="5"/>
      <c r="W216" s="5">
        <v>194</v>
      </c>
      <c r="X216" s="144" t="s">
        <v>718</v>
      </c>
      <c r="Y216" s="145"/>
      <c r="Z216" s="146"/>
      <c r="AA216" s="145"/>
      <c r="AB216" s="145"/>
      <c r="AD216" s="5">
        <v>194</v>
      </c>
      <c r="AE216" s="413" t="s">
        <v>718</v>
      </c>
      <c r="AF216" s="145"/>
      <c r="AG216" s="146"/>
      <c r="AH216" s="145"/>
      <c r="AI216" s="145"/>
      <c r="AK216" s="5">
        <v>194</v>
      </c>
      <c r="AL216" s="413" t="s">
        <v>2500</v>
      </c>
      <c r="AM216" s="145">
        <v>796</v>
      </c>
      <c r="AN216" s="146">
        <v>3</v>
      </c>
      <c r="AO216" s="145">
        <v>4217</v>
      </c>
      <c r="AP216" s="145">
        <v>-15</v>
      </c>
      <c r="AR216" s="5">
        <v>194</v>
      </c>
      <c r="AS216" s="413" t="s">
        <v>2501</v>
      </c>
      <c r="AT216" s="145">
        <v>175</v>
      </c>
      <c r="AU216" s="146">
        <v>3.34</v>
      </c>
      <c r="AV216" s="145">
        <v>3466</v>
      </c>
      <c r="AW216" s="145">
        <v>-14</v>
      </c>
      <c r="AY216" s="5">
        <v>194</v>
      </c>
      <c r="AZ216" s="413" t="s">
        <v>2502</v>
      </c>
      <c r="BA216" s="145">
        <v>315</v>
      </c>
      <c r="BB216" s="146">
        <v>3.28</v>
      </c>
      <c r="BC216" s="145">
        <v>3712</v>
      </c>
      <c r="BD216" s="145">
        <v>-14</v>
      </c>
      <c r="BF216" s="5">
        <v>194</v>
      </c>
      <c r="BG216" s="413" t="s">
        <v>718</v>
      </c>
      <c r="BH216" s="145"/>
      <c r="BI216" s="146"/>
      <c r="BJ216" s="145"/>
      <c r="BK216" s="145"/>
      <c r="BM216" s="5">
        <v>194</v>
      </c>
      <c r="BN216" s="413" t="s">
        <v>2503</v>
      </c>
      <c r="BO216" s="145">
        <v>529</v>
      </c>
      <c r="BP216" s="146">
        <v>3.02</v>
      </c>
      <c r="BQ216" s="145">
        <v>3940</v>
      </c>
      <c r="BR216" s="145">
        <v>-14</v>
      </c>
      <c r="BS216" s="5"/>
      <c r="BT216" s="5">
        <v>194</v>
      </c>
      <c r="BU216" s="413" t="s">
        <v>2504</v>
      </c>
      <c r="BV216" s="145">
        <v>784</v>
      </c>
      <c r="BW216" s="146">
        <v>1.98</v>
      </c>
      <c r="BX216" s="145">
        <v>4684</v>
      </c>
      <c r="BY216" s="145">
        <v>-18</v>
      </c>
      <c r="BZ216" s="5"/>
      <c r="CA216" s="5">
        <v>194</v>
      </c>
      <c r="CB216" s="413" t="s">
        <v>718</v>
      </c>
      <c r="CC216" s="145"/>
      <c r="CD216" s="146"/>
      <c r="CE216" s="145"/>
      <c r="CF216" s="145"/>
      <c r="CG216" s="5"/>
      <c r="CH216" s="5"/>
      <c r="CI216" s="5"/>
    </row>
    <row r="217" spans="13:87" x14ac:dyDescent="0.2">
      <c r="M217" s="5">
        <v>195</v>
      </c>
      <c r="N217" s="413" t="str">
        <f t="shared" si="18"/>
        <v xml:space="preserve"> </v>
      </c>
      <c r="O217" s="414">
        <f t="shared" si="19"/>
        <v>0</v>
      </c>
      <c r="P217" s="414">
        <f t="shared" si="20"/>
        <v>0</v>
      </c>
      <c r="Q217" s="145">
        <f t="shared" si="23"/>
        <v>-8</v>
      </c>
      <c r="R217" s="414">
        <f t="shared" si="21"/>
        <v>0</v>
      </c>
      <c r="S217" s="414">
        <f t="shared" si="22"/>
        <v>0</v>
      </c>
      <c r="T217" s="19"/>
      <c r="U217" s="5"/>
      <c r="V217" s="5"/>
      <c r="W217" s="5">
        <v>195</v>
      </c>
      <c r="X217" s="144" t="s">
        <v>718</v>
      </c>
      <c r="Y217" s="145"/>
      <c r="Z217" s="146"/>
      <c r="AA217" s="145"/>
      <c r="AB217" s="145"/>
      <c r="AD217" s="5">
        <v>195</v>
      </c>
      <c r="AE217" s="413" t="s">
        <v>718</v>
      </c>
      <c r="AF217" s="145"/>
      <c r="AG217" s="146"/>
      <c r="AH217" s="145"/>
      <c r="AI217" s="145"/>
      <c r="AK217" s="5">
        <v>195</v>
      </c>
      <c r="AL217" s="413" t="s">
        <v>2505</v>
      </c>
      <c r="AM217" s="145">
        <v>720</v>
      </c>
      <c r="AN217" s="146">
        <v>2.0499999999999998</v>
      </c>
      <c r="AO217" s="145">
        <v>4612</v>
      </c>
      <c r="AP217" s="145">
        <v>-16</v>
      </c>
      <c r="AR217" s="5">
        <v>195</v>
      </c>
      <c r="AS217" s="413" t="s">
        <v>2506</v>
      </c>
      <c r="AT217" s="145">
        <v>179</v>
      </c>
      <c r="AU217" s="146">
        <v>3.43</v>
      </c>
      <c r="AV217" s="145">
        <v>3463</v>
      </c>
      <c r="AW217" s="145">
        <v>-13</v>
      </c>
      <c r="AY217" s="5">
        <v>195</v>
      </c>
      <c r="AZ217" s="413" t="s">
        <v>2507</v>
      </c>
      <c r="BA217" s="145">
        <v>390</v>
      </c>
      <c r="BB217" s="146">
        <v>2.94</v>
      </c>
      <c r="BC217" s="145">
        <v>3941</v>
      </c>
      <c r="BD217" s="145">
        <v>-15</v>
      </c>
      <c r="BF217" s="5">
        <v>195</v>
      </c>
      <c r="BG217" s="413" t="s">
        <v>718</v>
      </c>
      <c r="BH217" s="145"/>
      <c r="BI217" s="146"/>
      <c r="BJ217" s="145"/>
      <c r="BK217" s="145"/>
      <c r="BM217" s="5">
        <v>195</v>
      </c>
      <c r="BN217" s="413" t="s">
        <v>2508</v>
      </c>
      <c r="BO217" s="145">
        <v>379</v>
      </c>
      <c r="BP217" s="146">
        <v>2.88</v>
      </c>
      <c r="BQ217" s="145">
        <v>3801</v>
      </c>
      <c r="BR217" s="145">
        <v>-14</v>
      </c>
      <c r="BS217" s="5"/>
      <c r="BT217" s="5">
        <v>195</v>
      </c>
      <c r="BU217" s="413" t="s">
        <v>2509</v>
      </c>
      <c r="BV217" s="145">
        <v>869</v>
      </c>
      <c r="BW217" s="146">
        <v>2.1</v>
      </c>
      <c r="BX217" s="145">
        <v>4779</v>
      </c>
      <c r="BY217" s="145">
        <v>-18</v>
      </c>
      <c r="BZ217" s="5"/>
      <c r="CA217" s="5">
        <v>195</v>
      </c>
      <c r="CB217" s="413" t="s">
        <v>718</v>
      </c>
      <c r="CC217" s="145"/>
      <c r="CD217" s="146"/>
      <c r="CE217" s="145"/>
      <c r="CF217" s="145"/>
      <c r="CG217" s="5"/>
      <c r="CH217" s="5"/>
      <c r="CI217" s="5"/>
    </row>
    <row r="218" spans="13:87" x14ac:dyDescent="0.2">
      <c r="M218" s="5">
        <v>196</v>
      </c>
      <c r="N218" s="413" t="str">
        <f t="shared" si="18"/>
        <v xml:space="preserve"> </v>
      </c>
      <c r="O218" s="414">
        <f t="shared" si="19"/>
        <v>0</v>
      </c>
      <c r="P218" s="414">
        <f t="shared" si="20"/>
        <v>0</v>
      </c>
      <c r="Q218" s="145">
        <f t="shared" si="23"/>
        <v>-8</v>
      </c>
      <c r="R218" s="414">
        <f t="shared" si="21"/>
        <v>0</v>
      </c>
      <c r="S218" s="414">
        <f t="shared" si="22"/>
        <v>0</v>
      </c>
      <c r="T218" s="19"/>
      <c r="U218" s="5"/>
      <c r="V218" s="5"/>
      <c r="W218" s="5">
        <v>196</v>
      </c>
      <c r="X218" s="144" t="s">
        <v>718</v>
      </c>
      <c r="Y218" s="145"/>
      <c r="Z218" s="146"/>
      <c r="AA218" s="145"/>
      <c r="AB218" s="145"/>
      <c r="AD218" s="5">
        <v>196</v>
      </c>
      <c r="AE218" s="413" t="s">
        <v>718</v>
      </c>
      <c r="AF218" s="145"/>
      <c r="AG218" s="146"/>
      <c r="AH218" s="145"/>
      <c r="AI218" s="145"/>
      <c r="AK218" s="5">
        <v>196</v>
      </c>
      <c r="AL218" s="413" t="s">
        <v>718</v>
      </c>
      <c r="AM218" s="145"/>
      <c r="AN218" s="146"/>
      <c r="AO218" s="145"/>
      <c r="AP218" s="145"/>
      <c r="AR218" s="5">
        <v>196</v>
      </c>
      <c r="AS218" s="413" t="s">
        <v>2510</v>
      </c>
      <c r="AT218" s="145">
        <v>312</v>
      </c>
      <c r="AU218" s="146">
        <v>3.37</v>
      </c>
      <c r="AV218" s="145">
        <v>3774</v>
      </c>
      <c r="AW218" s="145">
        <v>-14</v>
      </c>
      <c r="AY218" s="5">
        <v>196</v>
      </c>
      <c r="AZ218" s="413" t="s">
        <v>2511</v>
      </c>
      <c r="BA218" s="145">
        <v>545</v>
      </c>
      <c r="BB218" s="146">
        <v>2.72</v>
      </c>
      <c r="BC218" s="145">
        <v>4147</v>
      </c>
      <c r="BD218" s="145">
        <v>-15</v>
      </c>
      <c r="BF218" s="5">
        <v>196</v>
      </c>
      <c r="BG218" s="413" t="s">
        <v>718</v>
      </c>
      <c r="BH218" s="145"/>
      <c r="BI218" s="146"/>
      <c r="BJ218" s="145"/>
      <c r="BK218" s="145"/>
      <c r="BM218" s="5">
        <v>196</v>
      </c>
      <c r="BN218" s="413" t="s">
        <v>2512</v>
      </c>
      <c r="BO218" s="145">
        <v>320</v>
      </c>
      <c r="BP218" s="146">
        <v>3.19</v>
      </c>
      <c r="BQ218" s="145">
        <v>3581</v>
      </c>
      <c r="BR218" s="145">
        <v>-14</v>
      </c>
      <c r="BS218" s="5"/>
      <c r="BT218" s="5">
        <v>196</v>
      </c>
      <c r="BU218" s="413" t="s">
        <v>2513</v>
      </c>
      <c r="BV218" s="145">
        <v>826</v>
      </c>
      <c r="BW218" s="146">
        <v>2</v>
      </c>
      <c r="BX218" s="145">
        <v>4751</v>
      </c>
      <c r="BY218" s="145">
        <v>-18</v>
      </c>
      <c r="BZ218" s="5"/>
      <c r="CA218" s="5">
        <v>196</v>
      </c>
      <c r="CB218" s="413" t="s">
        <v>718</v>
      </c>
      <c r="CC218" s="145"/>
      <c r="CD218" s="146"/>
      <c r="CE218" s="145"/>
      <c r="CF218" s="145"/>
      <c r="CG218" s="5"/>
      <c r="CH218" s="5"/>
      <c r="CI218" s="5"/>
    </row>
    <row r="219" spans="13:87" x14ac:dyDescent="0.2">
      <c r="M219" s="5">
        <v>197</v>
      </c>
      <c r="N219" s="413" t="str">
        <f t="shared" si="18"/>
        <v xml:space="preserve"> </v>
      </c>
      <c r="O219" s="414">
        <f t="shared" si="19"/>
        <v>0</v>
      </c>
      <c r="P219" s="414">
        <f t="shared" si="20"/>
        <v>0</v>
      </c>
      <c r="Q219" s="145">
        <f t="shared" si="23"/>
        <v>-8</v>
      </c>
      <c r="R219" s="414">
        <f t="shared" si="21"/>
        <v>0</v>
      </c>
      <c r="S219" s="414">
        <f t="shared" si="22"/>
        <v>0</v>
      </c>
      <c r="T219" s="19"/>
      <c r="U219" s="5"/>
      <c r="V219" s="5"/>
      <c r="W219" s="5">
        <v>197</v>
      </c>
      <c r="X219" s="144" t="s">
        <v>718</v>
      </c>
      <c r="Y219" s="145"/>
      <c r="Z219" s="146"/>
      <c r="AA219" s="145"/>
      <c r="AB219" s="145"/>
      <c r="AD219" s="5">
        <v>197</v>
      </c>
      <c r="AE219" s="413" t="s">
        <v>718</v>
      </c>
      <c r="AF219" s="145"/>
      <c r="AG219" s="146"/>
      <c r="AH219" s="145"/>
      <c r="AI219" s="145"/>
      <c r="AK219" s="5">
        <v>197</v>
      </c>
      <c r="AL219" s="413" t="s">
        <v>718</v>
      </c>
      <c r="AM219" s="145"/>
      <c r="AN219" s="146"/>
      <c r="AO219" s="145"/>
      <c r="AP219" s="145"/>
      <c r="AR219" s="5">
        <v>197</v>
      </c>
      <c r="AS219" s="413" t="s">
        <v>2514</v>
      </c>
      <c r="AT219" s="145">
        <v>459</v>
      </c>
      <c r="AU219" s="146">
        <v>3.19</v>
      </c>
      <c r="AV219" s="145">
        <v>3884</v>
      </c>
      <c r="AW219" s="145">
        <v>-14</v>
      </c>
      <c r="AY219" s="5">
        <v>197</v>
      </c>
      <c r="AZ219" s="413" t="s">
        <v>2515</v>
      </c>
      <c r="BA219" s="145">
        <v>336</v>
      </c>
      <c r="BB219" s="146">
        <v>3.2</v>
      </c>
      <c r="BC219" s="145">
        <v>3730</v>
      </c>
      <c r="BD219" s="145">
        <v>-14</v>
      </c>
      <c r="BF219" s="5">
        <v>197</v>
      </c>
      <c r="BG219" s="413" t="s">
        <v>718</v>
      </c>
      <c r="BH219" s="145"/>
      <c r="BI219" s="146"/>
      <c r="BJ219" s="145"/>
      <c r="BK219" s="145"/>
      <c r="BM219" s="5">
        <v>197</v>
      </c>
      <c r="BN219" s="413" t="s">
        <v>2516</v>
      </c>
      <c r="BO219" s="145">
        <v>425</v>
      </c>
      <c r="BP219" s="146">
        <v>3.12</v>
      </c>
      <c r="BQ219" s="145">
        <v>3747</v>
      </c>
      <c r="BR219" s="145">
        <v>-13</v>
      </c>
      <c r="BS219" s="5"/>
      <c r="BT219" s="5">
        <v>197</v>
      </c>
      <c r="BU219" s="413" t="s">
        <v>2517</v>
      </c>
      <c r="BV219" s="145">
        <v>936</v>
      </c>
      <c r="BW219" s="146">
        <v>2.0499999999999998</v>
      </c>
      <c r="BX219" s="145">
        <v>4882</v>
      </c>
      <c r="BY219" s="145">
        <v>-18</v>
      </c>
      <c r="BZ219" s="5"/>
      <c r="CA219" s="5">
        <v>197</v>
      </c>
      <c r="CB219" s="413" t="s">
        <v>718</v>
      </c>
      <c r="CC219" s="145"/>
      <c r="CD219" s="146"/>
      <c r="CE219" s="145"/>
      <c r="CF219" s="145"/>
      <c r="CG219" s="5"/>
      <c r="CH219" s="5"/>
      <c r="CI219" s="5"/>
    </row>
    <row r="220" spans="13:87" x14ac:dyDescent="0.2">
      <c r="M220" s="5">
        <v>198</v>
      </c>
      <c r="N220" s="413" t="str">
        <f t="shared" si="18"/>
        <v xml:space="preserve"> </v>
      </c>
      <c r="O220" s="414">
        <f t="shared" si="19"/>
        <v>0</v>
      </c>
      <c r="P220" s="414">
        <f t="shared" si="20"/>
        <v>0</v>
      </c>
      <c r="Q220" s="145">
        <f t="shared" si="23"/>
        <v>-8</v>
      </c>
      <c r="R220" s="414">
        <f t="shared" si="21"/>
        <v>0</v>
      </c>
      <c r="S220" s="414">
        <f t="shared" si="22"/>
        <v>0</v>
      </c>
      <c r="T220" s="19"/>
      <c r="U220" s="5"/>
      <c r="V220" s="5"/>
      <c r="W220" s="5">
        <v>198</v>
      </c>
      <c r="X220" s="144" t="s">
        <v>718</v>
      </c>
      <c r="Y220" s="145"/>
      <c r="Z220" s="146"/>
      <c r="AA220" s="145"/>
      <c r="AB220" s="145"/>
      <c r="AD220" s="5">
        <v>198</v>
      </c>
      <c r="AE220" s="413" t="s">
        <v>718</v>
      </c>
      <c r="AF220" s="145"/>
      <c r="AG220" s="146"/>
      <c r="AH220" s="145"/>
      <c r="AI220" s="145"/>
      <c r="AK220" s="5">
        <v>198</v>
      </c>
      <c r="AL220" s="413" t="s">
        <v>718</v>
      </c>
      <c r="AM220" s="145"/>
      <c r="AN220" s="146"/>
      <c r="AO220" s="145"/>
      <c r="AP220" s="145"/>
      <c r="AR220" s="5">
        <v>198</v>
      </c>
      <c r="AS220" s="413" t="s">
        <v>2518</v>
      </c>
      <c r="AT220" s="145">
        <v>153</v>
      </c>
      <c r="AU220" s="146">
        <v>3.33</v>
      </c>
      <c r="AV220" s="145">
        <v>3585</v>
      </c>
      <c r="AW220" s="145">
        <v>-14</v>
      </c>
      <c r="AY220" s="5">
        <v>198</v>
      </c>
      <c r="AZ220" s="413" t="s">
        <v>2519</v>
      </c>
      <c r="BA220" s="145">
        <v>428</v>
      </c>
      <c r="BB220" s="146">
        <v>3.14</v>
      </c>
      <c r="BC220" s="145">
        <v>3843</v>
      </c>
      <c r="BD220" s="145">
        <v>-15</v>
      </c>
      <c r="BF220" s="5">
        <v>198</v>
      </c>
      <c r="BG220" s="413" t="s">
        <v>718</v>
      </c>
      <c r="BH220" s="145"/>
      <c r="BI220" s="146"/>
      <c r="BJ220" s="145"/>
      <c r="BK220" s="145"/>
      <c r="BM220" s="5">
        <v>198</v>
      </c>
      <c r="BN220" s="413" t="s">
        <v>2520</v>
      </c>
      <c r="BO220" s="145">
        <v>790</v>
      </c>
      <c r="BP220" s="146">
        <v>2.52</v>
      </c>
      <c r="BQ220" s="145">
        <v>4476</v>
      </c>
      <c r="BR220" s="145">
        <v>-15</v>
      </c>
      <c r="BS220" s="5"/>
      <c r="BT220" s="5">
        <v>198</v>
      </c>
      <c r="BU220" s="413" t="s">
        <v>2521</v>
      </c>
      <c r="BV220" s="145">
        <v>513</v>
      </c>
      <c r="BW220" s="146">
        <v>2.69</v>
      </c>
      <c r="BX220" s="145">
        <v>4084</v>
      </c>
      <c r="BY220" s="145">
        <v>-16</v>
      </c>
      <c r="BZ220" s="5"/>
      <c r="CA220" s="5">
        <v>198</v>
      </c>
      <c r="CB220" s="413" t="s">
        <v>718</v>
      </c>
      <c r="CC220" s="145"/>
      <c r="CD220" s="146"/>
      <c r="CE220" s="145"/>
      <c r="CF220" s="145"/>
      <c r="CG220" s="5"/>
      <c r="CH220" s="5"/>
      <c r="CI220" s="5"/>
    </row>
    <row r="221" spans="13:87" x14ac:dyDescent="0.2">
      <c r="M221" s="5">
        <v>199</v>
      </c>
      <c r="N221" s="413" t="str">
        <f t="shared" si="18"/>
        <v xml:space="preserve"> </v>
      </c>
      <c r="O221" s="414">
        <f t="shared" si="19"/>
        <v>0</v>
      </c>
      <c r="P221" s="414">
        <f t="shared" si="20"/>
        <v>0</v>
      </c>
      <c r="Q221" s="145">
        <f t="shared" si="23"/>
        <v>-8</v>
      </c>
      <c r="R221" s="414">
        <f t="shared" si="21"/>
        <v>0</v>
      </c>
      <c r="S221" s="414">
        <f t="shared" si="22"/>
        <v>0</v>
      </c>
      <c r="T221" s="19"/>
      <c r="U221" s="5"/>
      <c r="V221" s="5"/>
      <c r="W221" s="5">
        <v>199</v>
      </c>
      <c r="X221" s="144" t="s">
        <v>718</v>
      </c>
      <c r="Y221" s="145"/>
      <c r="Z221" s="146"/>
      <c r="AA221" s="145"/>
      <c r="AB221" s="145"/>
      <c r="AD221" s="5">
        <v>199</v>
      </c>
      <c r="AE221" s="413" t="s">
        <v>718</v>
      </c>
      <c r="AF221" s="145"/>
      <c r="AG221" s="146"/>
      <c r="AH221" s="145"/>
      <c r="AI221" s="145"/>
      <c r="AK221" s="5">
        <v>199</v>
      </c>
      <c r="AL221" s="413" t="s">
        <v>718</v>
      </c>
      <c r="AM221" s="145"/>
      <c r="AN221" s="146"/>
      <c r="AO221" s="145"/>
      <c r="AP221" s="145"/>
      <c r="AR221" s="5">
        <v>199</v>
      </c>
      <c r="AS221" s="413" t="s">
        <v>2522</v>
      </c>
      <c r="AT221" s="145">
        <v>480</v>
      </c>
      <c r="AU221" s="146">
        <v>3.24</v>
      </c>
      <c r="AV221" s="145">
        <v>4057</v>
      </c>
      <c r="AW221" s="145">
        <v>-15</v>
      </c>
      <c r="AY221" s="5">
        <v>199</v>
      </c>
      <c r="AZ221" s="413" t="s">
        <v>2523</v>
      </c>
      <c r="BA221" s="145">
        <v>527</v>
      </c>
      <c r="BB221" s="146">
        <v>2.81</v>
      </c>
      <c r="BC221" s="145">
        <v>4109</v>
      </c>
      <c r="BD221" s="145">
        <v>-15</v>
      </c>
      <c r="BF221" s="5">
        <v>199</v>
      </c>
      <c r="BG221" s="413" t="s">
        <v>718</v>
      </c>
      <c r="BH221" s="145"/>
      <c r="BI221" s="146"/>
      <c r="BJ221" s="145"/>
      <c r="BK221" s="145"/>
      <c r="BM221" s="5">
        <v>199</v>
      </c>
      <c r="BN221" s="413" t="s">
        <v>2524</v>
      </c>
      <c r="BO221" s="145">
        <v>328</v>
      </c>
      <c r="BP221" s="146">
        <v>3</v>
      </c>
      <c r="BQ221" s="145">
        <v>3621</v>
      </c>
      <c r="BR221" s="145">
        <v>-14</v>
      </c>
      <c r="BS221" s="5"/>
      <c r="BT221" s="5">
        <v>199</v>
      </c>
      <c r="BU221" s="413" t="s">
        <v>2525</v>
      </c>
      <c r="BV221" s="145">
        <v>775</v>
      </c>
      <c r="BW221" s="146">
        <v>3.37</v>
      </c>
      <c r="BX221" s="145">
        <v>3975</v>
      </c>
      <c r="BY221" s="145">
        <v>-14</v>
      </c>
      <c r="BZ221" s="5"/>
      <c r="CA221" s="5">
        <v>199</v>
      </c>
      <c r="CB221" s="413" t="s">
        <v>718</v>
      </c>
      <c r="CC221" s="145"/>
      <c r="CD221" s="146"/>
      <c r="CE221" s="145"/>
      <c r="CF221" s="145"/>
      <c r="CG221" s="5"/>
      <c r="CH221" s="5"/>
      <c r="CI221" s="5"/>
    </row>
    <row r="222" spans="13:87" x14ac:dyDescent="0.2">
      <c r="M222" s="5">
        <v>200</v>
      </c>
      <c r="N222" s="413" t="str">
        <f t="shared" si="18"/>
        <v xml:space="preserve"> </v>
      </c>
      <c r="O222" s="414">
        <f t="shared" si="19"/>
        <v>0</v>
      </c>
      <c r="P222" s="414">
        <f t="shared" si="20"/>
        <v>0</v>
      </c>
      <c r="Q222" s="145">
        <f t="shared" si="23"/>
        <v>-8</v>
      </c>
      <c r="R222" s="414">
        <f t="shared" si="21"/>
        <v>0</v>
      </c>
      <c r="S222" s="414">
        <f t="shared" si="22"/>
        <v>0</v>
      </c>
      <c r="T222" s="19"/>
      <c r="U222" s="5"/>
      <c r="V222" s="5"/>
      <c r="W222" s="5">
        <v>200</v>
      </c>
      <c r="X222" s="144" t="s">
        <v>718</v>
      </c>
      <c r="Y222" s="145"/>
      <c r="Z222" s="146"/>
      <c r="AA222" s="145"/>
      <c r="AB222" s="145"/>
      <c r="AD222" s="5">
        <v>200</v>
      </c>
      <c r="AE222" s="413" t="s">
        <v>718</v>
      </c>
      <c r="AF222" s="145"/>
      <c r="AG222" s="146"/>
      <c r="AH222" s="145"/>
      <c r="AI222" s="145"/>
      <c r="AK222" s="5">
        <v>200</v>
      </c>
      <c r="AL222" s="413" t="s">
        <v>718</v>
      </c>
      <c r="AM222" s="145"/>
      <c r="AN222" s="146"/>
      <c r="AO222" s="145"/>
      <c r="AP222" s="145"/>
      <c r="AR222" s="5">
        <v>200</v>
      </c>
      <c r="AS222" s="413" t="s">
        <v>2526</v>
      </c>
      <c r="AT222" s="145">
        <v>521</v>
      </c>
      <c r="AU222" s="146">
        <v>2.63</v>
      </c>
      <c r="AV222" s="145">
        <v>4291</v>
      </c>
      <c r="AW222" s="145">
        <v>-17</v>
      </c>
      <c r="AY222" s="5">
        <v>200</v>
      </c>
      <c r="AZ222" s="413" t="s">
        <v>2527</v>
      </c>
      <c r="BA222" s="145">
        <v>464</v>
      </c>
      <c r="BB222" s="146">
        <v>3.01</v>
      </c>
      <c r="BC222" s="145">
        <v>3924</v>
      </c>
      <c r="BD222" s="145">
        <v>-14</v>
      </c>
      <c r="BF222" s="5">
        <v>200</v>
      </c>
      <c r="BG222" s="413" t="s">
        <v>718</v>
      </c>
      <c r="BH222" s="145"/>
      <c r="BI222" s="146"/>
      <c r="BJ222" s="145"/>
      <c r="BK222" s="145"/>
      <c r="BM222" s="5">
        <v>200</v>
      </c>
      <c r="BN222" s="413" t="s">
        <v>2528</v>
      </c>
      <c r="BO222" s="145">
        <v>925</v>
      </c>
      <c r="BP222" s="146">
        <v>1.9</v>
      </c>
      <c r="BQ222" s="145">
        <v>4870</v>
      </c>
      <c r="BR222" s="145">
        <v>-21</v>
      </c>
      <c r="BS222" s="5"/>
      <c r="BT222" s="5">
        <v>200</v>
      </c>
      <c r="BU222" s="413" t="s">
        <v>2529</v>
      </c>
      <c r="BV222" s="145">
        <v>575</v>
      </c>
      <c r="BW222" s="146">
        <v>2.4900000000000002</v>
      </c>
      <c r="BX222" s="145">
        <v>4168</v>
      </c>
      <c r="BY222" s="145">
        <v>-15</v>
      </c>
      <c r="BZ222" s="5"/>
      <c r="CA222" s="5">
        <v>200</v>
      </c>
      <c r="CB222" s="413" t="s">
        <v>718</v>
      </c>
      <c r="CC222" s="145"/>
      <c r="CD222" s="146"/>
      <c r="CE222" s="145"/>
      <c r="CF222" s="145"/>
      <c r="CG222" s="5"/>
      <c r="CH222" s="5"/>
      <c r="CI222" s="5"/>
    </row>
    <row r="223" spans="13:87" x14ac:dyDescent="0.2">
      <c r="M223" s="5">
        <v>201</v>
      </c>
      <c r="N223" s="413" t="str">
        <f t="shared" si="18"/>
        <v xml:space="preserve"> </v>
      </c>
      <c r="O223" s="414">
        <f t="shared" si="19"/>
        <v>0</v>
      </c>
      <c r="P223" s="414">
        <f t="shared" si="20"/>
        <v>0</v>
      </c>
      <c r="Q223" s="145">
        <f t="shared" si="23"/>
        <v>-8</v>
      </c>
      <c r="R223" s="414">
        <f t="shared" si="21"/>
        <v>0</v>
      </c>
      <c r="S223" s="414">
        <f t="shared" si="22"/>
        <v>0</v>
      </c>
      <c r="T223" s="19"/>
      <c r="U223" s="5"/>
      <c r="V223" s="5"/>
      <c r="W223" s="5">
        <v>201</v>
      </c>
      <c r="X223" s="144" t="s">
        <v>718</v>
      </c>
      <c r="Y223" s="145"/>
      <c r="Z223" s="146"/>
      <c r="AA223" s="145"/>
      <c r="AB223" s="145"/>
      <c r="AD223" s="5">
        <v>201</v>
      </c>
      <c r="AE223" s="413" t="s">
        <v>718</v>
      </c>
      <c r="AF223" s="145"/>
      <c r="AG223" s="146"/>
      <c r="AH223" s="145"/>
      <c r="AI223" s="145"/>
      <c r="AK223" s="5">
        <v>201</v>
      </c>
      <c r="AL223" s="413" t="s">
        <v>718</v>
      </c>
      <c r="AM223" s="145"/>
      <c r="AN223" s="146"/>
      <c r="AO223" s="145"/>
      <c r="AP223" s="145"/>
      <c r="AR223" s="5">
        <v>201</v>
      </c>
      <c r="AS223" s="413" t="s">
        <v>2530</v>
      </c>
      <c r="AT223" s="145">
        <v>210</v>
      </c>
      <c r="AU223" s="146">
        <v>3.18</v>
      </c>
      <c r="AV223" s="145">
        <v>3616</v>
      </c>
      <c r="AW223" s="145">
        <v>-14</v>
      </c>
      <c r="AY223" s="5">
        <v>201</v>
      </c>
      <c r="AZ223" s="413" t="s">
        <v>2531</v>
      </c>
      <c r="BA223" s="145">
        <v>497</v>
      </c>
      <c r="BB223" s="146">
        <v>3.1</v>
      </c>
      <c r="BC223" s="145">
        <v>4090</v>
      </c>
      <c r="BD223" s="145">
        <v>-15</v>
      </c>
      <c r="BF223" s="5">
        <v>201</v>
      </c>
      <c r="BG223" s="413" t="s">
        <v>718</v>
      </c>
      <c r="BH223" s="145"/>
      <c r="BI223" s="146"/>
      <c r="BJ223" s="145"/>
      <c r="BK223" s="145"/>
      <c r="BM223" s="5">
        <v>201</v>
      </c>
      <c r="BN223" s="413" t="s">
        <v>2532</v>
      </c>
      <c r="BO223" s="145">
        <v>692</v>
      </c>
      <c r="BP223" s="146">
        <v>2.83</v>
      </c>
      <c r="BQ223" s="145">
        <v>4345</v>
      </c>
      <c r="BR223" s="145">
        <v>-14</v>
      </c>
      <c r="BS223" s="5"/>
      <c r="BT223" s="5">
        <v>201</v>
      </c>
      <c r="BU223" s="413" t="s">
        <v>2533</v>
      </c>
      <c r="BV223" s="145">
        <v>622</v>
      </c>
      <c r="BW223" s="146">
        <v>2.9</v>
      </c>
      <c r="BX223" s="145">
        <v>3949</v>
      </c>
      <c r="BY223" s="145">
        <v>-15</v>
      </c>
      <c r="BZ223" s="5"/>
      <c r="CA223" s="5">
        <v>201</v>
      </c>
      <c r="CB223" s="413" t="s">
        <v>718</v>
      </c>
      <c r="CC223" s="145"/>
      <c r="CD223" s="146"/>
      <c r="CE223" s="145"/>
      <c r="CF223" s="145"/>
      <c r="CG223" s="5"/>
      <c r="CH223" s="5"/>
      <c r="CI223" s="5"/>
    </row>
    <row r="224" spans="13:87" x14ac:dyDescent="0.2">
      <c r="M224" s="5">
        <v>202</v>
      </c>
      <c r="N224" s="413" t="str">
        <f t="shared" si="18"/>
        <v xml:space="preserve"> </v>
      </c>
      <c r="O224" s="414">
        <f t="shared" si="19"/>
        <v>0</v>
      </c>
      <c r="P224" s="414">
        <f t="shared" si="20"/>
        <v>0</v>
      </c>
      <c r="Q224" s="145">
        <f t="shared" si="23"/>
        <v>-8</v>
      </c>
      <c r="R224" s="414">
        <f t="shared" si="21"/>
        <v>0</v>
      </c>
      <c r="S224" s="414">
        <f t="shared" si="22"/>
        <v>0</v>
      </c>
      <c r="T224" s="19"/>
      <c r="U224" s="5"/>
      <c r="V224" s="5"/>
      <c r="W224" s="5">
        <v>202</v>
      </c>
      <c r="X224" s="144" t="s">
        <v>718</v>
      </c>
      <c r="Y224" s="145"/>
      <c r="Z224" s="146"/>
      <c r="AA224" s="145"/>
      <c r="AB224" s="145"/>
      <c r="AD224" s="5">
        <v>202</v>
      </c>
      <c r="AE224" s="413" t="s">
        <v>718</v>
      </c>
      <c r="AF224" s="145"/>
      <c r="AG224" s="146"/>
      <c r="AH224" s="145"/>
      <c r="AI224" s="145"/>
      <c r="AK224" s="5">
        <v>202</v>
      </c>
      <c r="AL224" s="413" t="s">
        <v>718</v>
      </c>
      <c r="AM224" s="145"/>
      <c r="AN224" s="146"/>
      <c r="AO224" s="145"/>
      <c r="AP224" s="145"/>
      <c r="AR224" s="5">
        <v>202</v>
      </c>
      <c r="AS224" s="413" t="s">
        <v>2534</v>
      </c>
      <c r="AT224" s="145">
        <v>360</v>
      </c>
      <c r="AU224" s="146">
        <v>2.82</v>
      </c>
      <c r="AV224" s="145">
        <v>3952</v>
      </c>
      <c r="AW224" s="145">
        <v>-14</v>
      </c>
      <c r="AY224" s="5">
        <v>202</v>
      </c>
      <c r="AZ224" s="413" t="s">
        <v>2535</v>
      </c>
      <c r="BA224" s="145">
        <v>417</v>
      </c>
      <c r="BB224" s="146">
        <v>3.36</v>
      </c>
      <c r="BC224" s="145">
        <v>3876</v>
      </c>
      <c r="BD224" s="145">
        <v>-14</v>
      </c>
      <c r="BF224" s="5">
        <v>202</v>
      </c>
      <c r="BG224" s="413" t="s">
        <v>718</v>
      </c>
      <c r="BH224" s="145"/>
      <c r="BI224" s="146"/>
      <c r="BJ224" s="145"/>
      <c r="BK224" s="145"/>
      <c r="BM224" s="5">
        <v>202</v>
      </c>
      <c r="BN224" s="413" t="s">
        <v>2089</v>
      </c>
      <c r="BO224" s="145">
        <v>450</v>
      </c>
      <c r="BP224" s="146">
        <v>3.19</v>
      </c>
      <c r="BQ224" s="145">
        <v>3716</v>
      </c>
      <c r="BR224" s="145">
        <v>-13</v>
      </c>
      <c r="BS224" s="5"/>
      <c r="BT224" s="5">
        <v>202</v>
      </c>
      <c r="BU224" s="413" t="s">
        <v>718</v>
      </c>
      <c r="BV224" s="145"/>
      <c r="BW224" s="146"/>
      <c r="BX224" s="145"/>
      <c r="BY224" s="145"/>
      <c r="BZ224" s="5"/>
      <c r="CA224" s="5">
        <v>202</v>
      </c>
      <c r="CB224" s="413" t="s">
        <v>718</v>
      </c>
      <c r="CC224" s="145"/>
      <c r="CD224" s="146"/>
      <c r="CE224" s="145"/>
      <c r="CF224" s="145"/>
      <c r="CG224" s="5"/>
      <c r="CH224" s="5"/>
      <c r="CI224" s="5"/>
    </row>
    <row r="225" spans="13:87" x14ac:dyDescent="0.2">
      <c r="M225" s="5">
        <v>203</v>
      </c>
      <c r="N225" s="413" t="str">
        <f t="shared" si="18"/>
        <v xml:space="preserve"> </v>
      </c>
      <c r="O225" s="414">
        <f t="shared" si="19"/>
        <v>0</v>
      </c>
      <c r="P225" s="414">
        <f t="shared" si="20"/>
        <v>0</v>
      </c>
      <c r="Q225" s="145">
        <f t="shared" si="23"/>
        <v>-8</v>
      </c>
      <c r="R225" s="414">
        <f t="shared" si="21"/>
        <v>0</v>
      </c>
      <c r="S225" s="414">
        <f t="shared" si="22"/>
        <v>0</v>
      </c>
      <c r="T225" s="19"/>
      <c r="U225" s="5"/>
      <c r="V225" s="5"/>
      <c r="W225" s="5">
        <v>203</v>
      </c>
      <c r="X225" s="144" t="s">
        <v>718</v>
      </c>
      <c r="Y225" s="145"/>
      <c r="Z225" s="146"/>
      <c r="AA225" s="145"/>
      <c r="AB225" s="145"/>
      <c r="AD225" s="5">
        <v>203</v>
      </c>
      <c r="AE225" s="413" t="s">
        <v>718</v>
      </c>
      <c r="AF225" s="145"/>
      <c r="AG225" s="146"/>
      <c r="AH225" s="145"/>
      <c r="AI225" s="145"/>
      <c r="AK225" s="5">
        <v>203</v>
      </c>
      <c r="AL225" s="413" t="s">
        <v>718</v>
      </c>
      <c r="AM225" s="145"/>
      <c r="AN225" s="146"/>
      <c r="AO225" s="145"/>
      <c r="AP225" s="145"/>
      <c r="AR225" s="5">
        <v>203</v>
      </c>
      <c r="AS225" s="413" t="s">
        <v>2090</v>
      </c>
      <c r="AT225" s="145">
        <v>237</v>
      </c>
      <c r="AU225" s="146">
        <v>3.45</v>
      </c>
      <c r="AV225" s="145">
        <v>3526</v>
      </c>
      <c r="AW225" s="145">
        <v>-13</v>
      </c>
      <c r="AY225" s="5">
        <v>203</v>
      </c>
      <c r="AZ225" s="413" t="s">
        <v>2091</v>
      </c>
      <c r="BA225" s="145">
        <v>572</v>
      </c>
      <c r="BB225" s="146">
        <v>2.79</v>
      </c>
      <c r="BC225" s="145">
        <v>4285</v>
      </c>
      <c r="BD225" s="145">
        <v>-16</v>
      </c>
      <c r="BF225" s="5">
        <v>203</v>
      </c>
      <c r="BG225" s="413" t="s">
        <v>718</v>
      </c>
      <c r="BH225" s="145"/>
      <c r="BI225" s="146"/>
      <c r="BJ225" s="145"/>
      <c r="BK225" s="145"/>
      <c r="BM225" s="5">
        <v>203</v>
      </c>
      <c r="BN225" s="413" t="s">
        <v>2092</v>
      </c>
      <c r="BO225" s="145">
        <v>1072</v>
      </c>
      <c r="BP225" s="146">
        <v>2.48</v>
      </c>
      <c r="BQ225" s="145">
        <v>4905</v>
      </c>
      <c r="BR225" s="145">
        <v>-15</v>
      </c>
      <c r="BS225" s="5"/>
      <c r="BT225" s="5">
        <v>203</v>
      </c>
      <c r="BU225" s="413" t="s">
        <v>718</v>
      </c>
      <c r="BV225" s="145"/>
      <c r="BW225" s="146"/>
      <c r="BX225" s="145"/>
      <c r="BY225" s="145"/>
      <c r="BZ225" s="5"/>
      <c r="CA225" s="5">
        <v>203</v>
      </c>
      <c r="CB225" s="413" t="s">
        <v>718</v>
      </c>
      <c r="CC225" s="145"/>
      <c r="CD225" s="146"/>
      <c r="CE225" s="145"/>
      <c r="CF225" s="145"/>
      <c r="CG225" s="5"/>
      <c r="CH225" s="5"/>
      <c r="CI225" s="5"/>
    </row>
    <row r="226" spans="13:87" x14ac:dyDescent="0.2">
      <c r="M226" s="5">
        <v>204</v>
      </c>
      <c r="N226" s="413" t="str">
        <f t="shared" si="18"/>
        <v xml:space="preserve"> </v>
      </c>
      <c r="O226" s="414">
        <f t="shared" si="19"/>
        <v>0</v>
      </c>
      <c r="P226" s="414">
        <f t="shared" si="20"/>
        <v>0</v>
      </c>
      <c r="Q226" s="145">
        <f t="shared" si="23"/>
        <v>-8</v>
      </c>
      <c r="R226" s="414">
        <f t="shared" si="21"/>
        <v>0</v>
      </c>
      <c r="S226" s="414">
        <f t="shared" si="22"/>
        <v>0</v>
      </c>
      <c r="T226" s="19"/>
      <c r="U226" s="5"/>
      <c r="V226" s="5"/>
      <c r="W226" s="5">
        <v>204</v>
      </c>
      <c r="X226" s="144" t="s">
        <v>718</v>
      </c>
      <c r="Y226" s="145"/>
      <c r="Z226" s="146"/>
      <c r="AA226" s="145"/>
      <c r="AB226" s="145"/>
      <c r="AD226" s="5">
        <v>204</v>
      </c>
      <c r="AE226" s="413" t="s">
        <v>718</v>
      </c>
      <c r="AF226" s="145"/>
      <c r="AG226" s="146"/>
      <c r="AH226" s="145"/>
      <c r="AI226" s="145"/>
      <c r="AK226" s="5">
        <v>204</v>
      </c>
      <c r="AL226" s="413" t="s">
        <v>718</v>
      </c>
      <c r="AM226" s="145"/>
      <c r="AN226" s="146"/>
      <c r="AO226" s="145"/>
      <c r="AP226" s="145"/>
      <c r="AR226" s="5">
        <v>204</v>
      </c>
      <c r="AS226" s="413" t="s">
        <v>2093</v>
      </c>
      <c r="AT226" s="145">
        <v>195</v>
      </c>
      <c r="AU226" s="146">
        <v>3.54</v>
      </c>
      <c r="AV226" s="145">
        <v>3456</v>
      </c>
      <c r="AW226" s="145">
        <v>-13</v>
      </c>
      <c r="AY226" s="5">
        <v>204</v>
      </c>
      <c r="AZ226" s="413" t="s">
        <v>2094</v>
      </c>
      <c r="BA226" s="145">
        <v>496</v>
      </c>
      <c r="BB226" s="146">
        <v>2.8</v>
      </c>
      <c r="BC226" s="145">
        <v>4077</v>
      </c>
      <c r="BD226" s="145">
        <v>-15</v>
      </c>
      <c r="BF226" s="5">
        <v>204</v>
      </c>
      <c r="BG226" s="413" t="s">
        <v>718</v>
      </c>
      <c r="BH226" s="145"/>
      <c r="BI226" s="146"/>
      <c r="BJ226" s="145"/>
      <c r="BK226" s="145"/>
      <c r="BM226" s="5">
        <v>204</v>
      </c>
      <c r="BN226" s="413" t="s">
        <v>2095</v>
      </c>
      <c r="BO226" s="145">
        <v>208</v>
      </c>
      <c r="BP226" s="146">
        <v>3.24</v>
      </c>
      <c r="BQ226" s="145">
        <v>3503</v>
      </c>
      <c r="BR226" s="145">
        <v>-13</v>
      </c>
      <c r="BS226" s="5"/>
      <c r="BT226" s="5">
        <v>204</v>
      </c>
      <c r="BU226" s="413" t="s">
        <v>718</v>
      </c>
      <c r="BV226" s="145"/>
      <c r="BW226" s="146"/>
      <c r="BX226" s="145"/>
      <c r="BY226" s="145"/>
      <c r="BZ226" s="5"/>
      <c r="CA226" s="5">
        <v>204</v>
      </c>
      <c r="CB226" s="413" t="s">
        <v>718</v>
      </c>
      <c r="CC226" s="145"/>
      <c r="CD226" s="146"/>
      <c r="CE226" s="145"/>
      <c r="CF226" s="145"/>
      <c r="CG226" s="5"/>
      <c r="CH226" s="5"/>
      <c r="CI226" s="5"/>
    </row>
    <row r="227" spans="13:87" x14ac:dyDescent="0.2">
      <c r="M227" s="5">
        <v>205</v>
      </c>
      <c r="N227" s="413" t="str">
        <f t="shared" si="18"/>
        <v xml:space="preserve"> </v>
      </c>
      <c r="O227" s="414">
        <f t="shared" si="19"/>
        <v>0</v>
      </c>
      <c r="P227" s="414">
        <f t="shared" si="20"/>
        <v>0</v>
      </c>
      <c r="Q227" s="145">
        <f t="shared" si="23"/>
        <v>-8</v>
      </c>
      <c r="R227" s="414">
        <f t="shared" si="21"/>
        <v>0</v>
      </c>
      <c r="S227" s="414">
        <f t="shared" si="22"/>
        <v>0</v>
      </c>
      <c r="T227" s="19"/>
      <c r="U227" s="5"/>
      <c r="V227" s="5"/>
      <c r="W227" s="5">
        <v>205</v>
      </c>
      <c r="X227" s="144" t="s">
        <v>718</v>
      </c>
      <c r="Y227" s="145"/>
      <c r="Z227" s="146"/>
      <c r="AA227" s="145"/>
      <c r="AB227" s="145"/>
      <c r="AD227" s="5">
        <v>205</v>
      </c>
      <c r="AE227" s="413" t="s">
        <v>718</v>
      </c>
      <c r="AF227" s="145"/>
      <c r="AG227" s="146"/>
      <c r="AH227" s="145"/>
      <c r="AI227" s="145"/>
      <c r="AK227" s="5">
        <v>205</v>
      </c>
      <c r="AL227" s="413" t="s">
        <v>718</v>
      </c>
      <c r="AM227" s="145"/>
      <c r="AN227" s="146"/>
      <c r="AO227" s="145"/>
      <c r="AP227" s="145"/>
      <c r="AR227" s="5">
        <v>205</v>
      </c>
      <c r="AS227" s="413" t="s">
        <v>1755</v>
      </c>
      <c r="AT227" s="145">
        <v>487</v>
      </c>
      <c r="AU227" s="146">
        <v>3.16</v>
      </c>
      <c r="AV227" s="145">
        <v>4075</v>
      </c>
      <c r="AW227" s="145">
        <v>-15</v>
      </c>
      <c r="AY227" s="5">
        <v>205</v>
      </c>
      <c r="AZ227" s="413" t="s">
        <v>1756</v>
      </c>
      <c r="BA227" s="145">
        <v>278</v>
      </c>
      <c r="BB227" s="146">
        <v>3.25</v>
      </c>
      <c r="BC227" s="145">
        <v>3736</v>
      </c>
      <c r="BD227" s="145">
        <v>-15</v>
      </c>
      <c r="BF227" s="5">
        <v>205</v>
      </c>
      <c r="BG227" s="413" t="s">
        <v>718</v>
      </c>
      <c r="BH227" s="145"/>
      <c r="BI227" s="146"/>
      <c r="BJ227" s="145"/>
      <c r="BK227" s="145"/>
      <c r="BM227" s="5">
        <v>205</v>
      </c>
      <c r="BN227" s="413" t="s">
        <v>1757</v>
      </c>
      <c r="BO227" s="145">
        <v>772</v>
      </c>
      <c r="BP227" s="146">
        <v>2.7</v>
      </c>
      <c r="BQ227" s="145">
        <v>4463</v>
      </c>
      <c r="BR227" s="145">
        <v>-15</v>
      </c>
      <c r="BS227" s="5"/>
      <c r="BT227" s="5">
        <v>205</v>
      </c>
      <c r="BU227" s="413" t="s">
        <v>718</v>
      </c>
      <c r="BV227" s="145"/>
      <c r="BW227" s="146"/>
      <c r="BX227" s="145"/>
      <c r="BY227" s="145"/>
      <c r="BZ227" s="5"/>
      <c r="CA227" s="5">
        <v>205</v>
      </c>
      <c r="CB227" s="413" t="s">
        <v>718</v>
      </c>
      <c r="CC227" s="145"/>
      <c r="CD227" s="146"/>
      <c r="CE227" s="145"/>
      <c r="CF227" s="145"/>
      <c r="CG227" s="5"/>
      <c r="CH227" s="5"/>
      <c r="CI227" s="5"/>
    </row>
    <row r="228" spans="13:87" x14ac:dyDescent="0.2">
      <c r="M228" s="5">
        <v>206</v>
      </c>
      <c r="N228" s="413" t="str">
        <f t="shared" si="18"/>
        <v xml:space="preserve"> </v>
      </c>
      <c r="O228" s="414">
        <f t="shared" si="19"/>
        <v>0</v>
      </c>
      <c r="P228" s="414">
        <f t="shared" si="20"/>
        <v>0</v>
      </c>
      <c r="Q228" s="145">
        <f t="shared" si="23"/>
        <v>-8</v>
      </c>
      <c r="R228" s="414">
        <f t="shared" si="21"/>
        <v>0</v>
      </c>
      <c r="S228" s="414">
        <f t="shared" si="22"/>
        <v>0</v>
      </c>
      <c r="T228" s="19"/>
      <c r="U228" s="5"/>
      <c r="V228" s="5"/>
      <c r="W228" s="5">
        <v>206</v>
      </c>
      <c r="X228" s="144" t="s">
        <v>718</v>
      </c>
      <c r="Y228" s="145"/>
      <c r="Z228" s="146"/>
      <c r="AA228" s="145"/>
      <c r="AB228" s="145"/>
      <c r="AD228" s="5">
        <v>206</v>
      </c>
      <c r="AE228" s="413" t="s">
        <v>718</v>
      </c>
      <c r="AF228" s="145"/>
      <c r="AG228" s="146"/>
      <c r="AH228" s="145"/>
      <c r="AI228" s="145"/>
      <c r="AK228" s="5">
        <v>206</v>
      </c>
      <c r="AL228" s="413" t="s">
        <v>718</v>
      </c>
      <c r="AM228" s="145"/>
      <c r="AN228" s="146"/>
      <c r="AO228" s="145"/>
      <c r="AP228" s="145"/>
      <c r="AR228" s="5">
        <v>206</v>
      </c>
      <c r="AS228" s="413" t="s">
        <v>1758</v>
      </c>
      <c r="AT228" s="145">
        <v>661</v>
      </c>
      <c r="AU228" s="146">
        <v>2.86</v>
      </c>
      <c r="AV228" s="145">
        <v>4267</v>
      </c>
      <c r="AW228" s="145">
        <v>-14</v>
      </c>
      <c r="AY228" s="5">
        <v>206</v>
      </c>
      <c r="AZ228" s="413" t="s">
        <v>1759</v>
      </c>
      <c r="BA228" s="145">
        <v>345</v>
      </c>
      <c r="BB228" s="146">
        <v>3.15</v>
      </c>
      <c r="BC228" s="145">
        <v>3841</v>
      </c>
      <c r="BD228" s="145">
        <v>-15</v>
      </c>
      <c r="BF228" s="5">
        <v>206</v>
      </c>
      <c r="BG228" s="413" t="s">
        <v>718</v>
      </c>
      <c r="BH228" s="145"/>
      <c r="BI228" s="146"/>
      <c r="BJ228" s="145"/>
      <c r="BK228" s="145"/>
      <c r="BM228" s="5">
        <v>206</v>
      </c>
      <c r="BN228" s="413" t="s">
        <v>1760</v>
      </c>
      <c r="BO228" s="145">
        <v>1135</v>
      </c>
      <c r="BP228" s="146">
        <v>2.14</v>
      </c>
      <c r="BQ228" s="145">
        <v>5107</v>
      </c>
      <c r="BR228" s="145">
        <v>-16</v>
      </c>
      <c r="BS228" s="5"/>
      <c r="BT228" s="5">
        <v>206</v>
      </c>
      <c r="BU228" s="413" t="s">
        <v>718</v>
      </c>
      <c r="BV228" s="145"/>
      <c r="BW228" s="146"/>
      <c r="BX228" s="145"/>
      <c r="BY228" s="145"/>
      <c r="BZ228" s="5"/>
      <c r="CA228" s="5">
        <v>206</v>
      </c>
      <c r="CB228" s="413" t="s">
        <v>718</v>
      </c>
      <c r="CC228" s="145"/>
      <c r="CD228" s="146"/>
      <c r="CE228" s="145"/>
      <c r="CF228" s="145"/>
      <c r="CG228" s="5"/>
      <c r="CH228" s="5"/>
      <c r="CI228" s="5"/>
    </row>
    <row r="229" spans="13:87" x14ac:dyDescent="0.2">
      <c r="M229" s="5">
        <v>207</v>
      </c>
      <c r="N229" s="413" t="str">
        <f t="shared" si="18"/>
        <v xml:space="preserve"> </v>
      </c>
      <c r="O229" s="414">
        <f t="shared" si="19"/>
        <v>0</v>
      </c>
      <c r="P229" s="414">
        <f t="shared" si="20"/>
        <v>0</v>
      </c>
      <c r="Q229" s="145">
        <f t="shared" si="23"/>
        <v>-8</v>
      </c>
      <c r="R229" s="414">
        <f t="shared" si="21"/>
        <v>0</v>
      </c>
      <c r="S229" s="414">
        <f t="shared" si="22"/>
        <v>0</v>
      </c>
      <c r="T229" s="19"/>
      <c r="U229" s="5"/>
      <c r="V229" s="5"/>
      <c r="W229" s="5">
        <v>207</v>
      </c>
      <c r="X229" s="144" t="s">
        <v>718</v>
      </c>
      <c r="Y229" s="145"/>
      <c r="Z229" s="146"/>
      <c r="AA229" s="145"/>
      <c r="AB229" s="145"/>
      <c r="AD229" s="5">
        <v>207</v>
      </c>
      <c r="AE229" s="413" t="s">
        <v>718</v>
      </c>
      <c r="AF229" s="145"/>
      <c r="AG229" s="146"/>
      <c r="AH229" s="145"/>
      <c r="AI229" s="145"/>
      <c r="AK229" s="5">
        <v>207</v>
      </c>
      <c r="AL229" s="413" t="s">
        <v>718</v>
      </c>
      <c r="AM229" s="145"/>
      <c r="AN229" s="146"/>
      <c r="AO229" s="145"/>
      <c r="AP229" s="145"/>
      <c r="AR229" s="5">
        <v>207</v>
      </c>
      <c r="AS229" s="413" t="s">
        <v>1761</v>
      </c>
      <c r="AT229" s="145">
        <v>309</v>
      </c>
      <c r="AU229" s="146">
        <v>2.87</v>
      </c>
      <c r="AV229" s="145">
        <v>3854</v>
      </c>
      <c r="AW229" s="145">
        <v>-15</v>
      </c>
      <c r="AY229" s="5">
        <v>207</v>
      </c>
      <c r="AZ229" s="413" t="s">
        <v>1762</v>
      </c>
      <c r="BA229" s="145">
        <v>768</v>
      </c>
      <c r="BB229" s="146">
        <v>2.33</v>
      </c>
      <c r="BC229" s="145">
        <v>4540</v>
      </c>
      <c r="BD229" s="145">
        <v>-16</v>
      </c>
      <c r="BF229" s="5">
        <v>207</v>
      </c>
      <c r="BG229" s="413" t="s">
        <v>718</v>
      </c>
      <c r="BH229" s="145"/>
      <c r="BI229" s="146"/>
      <c r="BJ229" s="145"/>
      <c r="BK229" s="145"/>
      <c r="BM229" s="5">
        <v>207</v>
      </c>
      <c r="BN229" s="413" t="s">
        <v>1763</v>
      </c>
      <c r="BO229" s="145">
        <v>930</v>
      </c>
      <c r="BP229" s="146">
        <v>2.5099999999999998</v>
      </c>
      <c r="BQ229" s="145">
        <v>4688</v>
      </c>
      <c r="BR229" s="145">
        <v>-16</v>
      </c>
      <c r="BS229" s="5"/>
      <c r="BT229" s="5">
        <v>207</v>
      </c>
      <c r="BU229" s="413" t="s">
        <v>718</v>
      </c>
      <c r="BV229" s="145"/>
      <c r="BW229" s="146"/>
      <c r="BX229" s="145"/>
      <c r="BY229" s="145"/>
      <c r="BZ229" s="5"/>
      <c r="CA229" s="5">
        <v>207</v>
      </c>
      <c r="CB229" s="413" t="s">
        <v>718</v>
      </c>
      <c r="CC229" s="145"/>
      <c r="CD229" s="146"/>
      <c r="CE229" s="145"/>
      <c r="CF229" s="145"/>
      <c r="CG229" s="5"/>
      <c r="CH229" s="5"/>
      <c r="CI229" s="5"/>
    </row>
    <row r="230" spans="13:87" x14ac:dyDescent="0.2">
      <c r="M230" s="5">
        <v>208</v>
      </c>
      <c r="N230" s="413" t="str">
        <f t="shared" si="18"/>
        <v xml:space="preserve"> </v>
      </c>
      <c r="O230" s="414">
        <f t="shared" si="19"/>
        <v>0</v>
      </c>
      <c r="P230" s="414">
        <f t="shared" si="20"/>
        <v>0</v>
      </c>
      <c r="Q230" s="145">
        <f t="shared" si="23"/>
        <v>-8</v>
      </c>
      <c r="R230" s="414">
        <f t="shared" si="21"/>
        <v>0</v>
      </c>
      <c r="S230" s="414">
        <f t="shared" si="22"/>
        <v>0</v>
      </c>
      <c r="T230" s="19"/>
      <c r="U230" s="5"/>
      <c r="V230" s="5"/>
      <c r="W230" s="5">
        <v>208</v>
      </c>
      <c r="X230" s="144" t="s">
        <v>718</v>
      </c>
      <c r="Y230" s="145"/>
      <c r="Z230" s="146"/>
      <c r="AA230" s="145"/>
      <c r="AB230" s="145"/>
      <c r="AD230" s="5">
        <v>208</v>
      </c>
      <c r="AE230" s="413" t="s">
        <v>718</v>
      </c>
      <c r="AF230" s="145"/>
      <c r="AG230" s="146"/>
      <c r="AH230" s="145"/>
      <c r="AI230" s="145"/>
      <c r="AK230" s="5">
        <v>208</v>
      </c>
      <c r="AL230" s="413" t="s">
        <v>718</v>
      </c>
      <c r="AM230" s="145"/>
      <c r="AN230" s="146"/>
      <c r="AO230" s="145"/>
      <c r="AP230" s="145"/>
      <c r="AR230" s="5">
        <v>208</v>
      </c>
      <c r="AS230" s="413" t="s">
        <v>1764</v>
      </c>
      <c r="AT230" s="145">
        <v>475</v>
      </c>
      <c r="AU230" s="146">
        <v>2.4900000000000002</v>
      </c>
      <c r="AV230" s="145">
        <v>4237</v>
      </c>
      <c r="AW230" s="145">
        <v>-16</v>
      </c>
      <c r="AY230" s="5">
        <v>208</v>
      </c>
      <c r="AZ230" s="413" t="s">
        <v>1765</v>
      </c>
      <c r="BA230" s="145">
        <v>518</v>
      </c>
      <c r="BB230" s="146">
        <v>3.38</v>
      </c>
      <c r="BC230" s="145">
        <v>3890</v>
      </c>
      <c r="BD230" s="145">
        <v>-12</v>
      </c>
      <c r="BF230" s="5">
        <v>208</v>
      </c>
      <c r="BG230" s="413" t="s">
        <v>718</v>
      </c>
      <c r="BH230" s="145"/>
      <c r="BI230" s="146"/>
      <c r="BJ230" s="145"/>
      <c r="BK230" s="145"/>
      <c r="BM230" s="5">
        <v>208</v>
      </c>
      <c r="BN230" s="413" t="s">
        <v>1766</v>
      </c>
      <c r="BO230" s="145">
        <v>854</v>
      </c>
      <c r="BP230" s="146">
        <v>2.5299999999999998</v>
      </c>
      <c r="BQ230" s="145">
        <v>4542</v>
      </c>
      <c r="BR230" s="145">
        <v>-16</v>
      </c>
      <c r="BS230" s="5"/>
      <c r="BT230" s="5">
        <v>208</v>
      </c>
      <c r="BU230" s="413" t="s">
        <v>718</v>
      </c>
      <c r="BV230" s="145"/>
      <c r="BW230" s="146"/>
      <c r="BX230" s="145"/>
      <c r="BY230" s="145"/>
      <c r="BZ230" s="5"/>
      <c r="CA230" s="5">
        <v>208</v>
      </c>
      <c r="CB230" s="413" t="s">
        <v>718</v>
      </c>
      <c r="CC230" s="145"/>
      <c r="CD230" s="146"/>
      <c r="CE230" s="145"/>
      <c r="CF230" s="145"/>
      <c r="CG230" s="5"/>
      <c r="CH230" s="5"/>
      <c r="CI230" s="5"/>
    </row>
    <row r="231" spans="13:87" x14ac:dyDescent="0.2">
      <c r="M231" s="5">
        <v>209</v>
      </c>
      <c r="N231" s="413" t="str">
        <f t="shared" si="18"/>
        <v xml:space="preserve"> </v>
      </c>
      <c r="O231" s="414">
        <f t="shared" si="19"/>
        <v>0</v>
      </c>
      <c r="P231" s="414">
        <f t="shared" si="20"/>
        <v>0</v>
      </c>
      <c r="Q231" s="145">
        <f t="shared" si="23"/>
        <v>-8</v>
      </c>
      <c r="R231" s="414">
        <f t="shared" si="21"/>
        <v>0</v>
      </c>
      <c r="S231" s="414">
        <f t="shared" si="22"/>
        <v>0</v>
      </c>
      <c r="T231" s="19"/>
      <c r="U231" s="5"/>
      <c r="V231" s="5"/>
      <c r="W231" s="5">
        <v>209</v>
      </c>
      <c r="X231" s="144" t="s">
        <v>718</v>
      </c>
      <c r="Y231" s="145"/>
      <c r="Z231" s="146"/>
      <c r="AA231" s="145"/>
      <c r="AB231" s="145"/>
      <c r="AD231" s="5">
        <v>209</v>
      </c>
      <c r="AE231" s="413" t="s">
        <v>718</v>
      </c>
      <c r="AF231" s="145"/>
      <c r="AG231" s="146"/>
      <c r="AH231" s="145"/>
      <c r="AI231" s="145"/>
      <c r="AK231" s="5">
        <v>209</v>
      </c>
      <c r="AL231" s="413" t="s">
        <v>718</v>
      </c>
      <c r="AM231" s="145"/>
      <c r="AN231" s="146"/>
      <c r="AO231" s="145"/>
      <c r="AP231" s="145"/>
      <c r="AR231" s="5">
        <v>209</v>
      </c>
      <c r="AS231" s="413" t="s">
        <v>1767</v>
      </c>
      <c r="AT231" s="145">
        <v>265</v>
      </c>
      <c r="AU231" s="146">
        <v>3.3</v>
      </c>
      <c r="AV231" s="145">
        <v>3774</v>
      </c>
      <c r="AW231" s="145">
        <v>-14</v>
      </c>
      <c r="AY231" s="5">
        <v>209</v>
      </c>
      <c r="AZ231" s="413" t="s">
        <v>1768</v>
      </c>
      <c r="BA231" s="145">
        <v>579</v>
      </c>
      <c r="BB231" s="146">
        <v>2.98</v>
      </c>
      <c r="BC231" s="145">
        <v>4119</v>
      </c>
      <c r="BD231" s="145">
        <v>-15</v>
      </c>
      <c r="BF231" s="5">
        <v>209</v>
      </c>
      <c r="BG231" s="413" t="s">
        <v>718</v>
      </c>
      <c r="BH231" s="145"/>
      <c r="BI231" s="146"/>
      <c r="BJ231" s="145"/>
      <c r="BK231" s="145"/>
      <c r="BM231" s="5">
        <v>209</v>
      </c>
      <c r="BN231" s="413" t="s">
        <v>1769</v>
      </c>
      <c r="BO231" s="145">
        <v>460</v>
      </c>
      <c r="BP231" s="146">
        <v>3.15</v>
      </c>
      <c r="BQ231" s="145">
        <v>3723</v>
      </c>
      <c r="BR231" s="145">
        <v>-13</v>
      </c>
      <c r="BS231" s="5"/>
      <c r="BT231" s="5">
        <v>209</v>
      </c>
      <c r="BU231" s="413" t="s">
        <v>718</v>
      </c>
      <c r="BV231" s="145"/>
      <c r="BW231" s="146"/>
      <c r="BX231" s="145"/>
      <c r="BY231" s="145"/>
      <c r="BZ231" s="5"/>
      <c r="CA231" s="5">
        <v>209</v>
      </c>
      <c r="CB231" s="413" t="s">
        <v>718</v>
      </c>
      <c r="CC231" s="145"/>
      <c r="CD231" s="146"/>
      <c r="CE231" s="145"/>
      <c r="CF231" s="145"/>
      <c r="CG231" s="5"/>
      <c r="CH231" s="5"/>
      <c r="CI231" s="5"/>
    </row>
    <row r="232" spans="13:87" x14ac:dyDescent="0.2">
      <c r="M232" s="5">
        <v>210</v>
      </c>
      <c r="N232" s="413" t="str">
        <f t="shared" si="18"/>
        <v xml:space="preserve"> </v>
      </c>
      <c r="O232" s="414">
        <f t="shared" si="19"/>
        <v>0</v>
      </c>
      <c r="P232" s="414">
        <f t="shared" si="20"/>
        <v>0</v>
      </c>
      <c r="Q232" s="145">
        <f t="shared" si="23"/>
        <v>-8</v>
      </c>
      <c r="R232" s="414">
        <f t="shared" si="21"/>
        <v>0</v>
      </c>
      <c r="S232" s="414">
        <f t="shared" si="22"/>
        <v>0</v>
      </c>
      <c r="T232" s="19"/>
      <c r="U232" s="5"/>
      <c r="V232" s="5"/>
      <c r="W232" s="5">
        <v>210</v>
      </c>
      <c r="X232" s="144" t="s">
        <v>718</v>
      </c>
      <c r="Y232" s="145"/>
      <c r="Z232" s="146"/>
      <c r="AA232" s="145"/>
      <c r="AB232" s="145"/>
      <c r="AD232" s="5">
        <v>210</v>
      </c>
      <c r="AE232" s="413" t="s">
        <v>718</v>
      </c>
      <c r="AF232" s="145"/>
      <c r="AG232" s="146"/>
      <c r="AH232" s="145"/>
      <c r="AI232" s="145"/>
      <c r="AK232" s="5">
        <v>210</v>
      </c>
      <c r="AL232" s="413" t="s">
        <v>718</v>
      </c>
      <c r="AM232" s="145"/>
      <c r="AN232" s="146"/>
      <c r="AO232" s="145"/>
      <c r="AP232" s="145"/>
      <c r="AR232" s="5">
        <v>210</v>
      </c>
      <c r="AS232" s="413" t="s">
        <v>1770</v>
      </c>
      <c r="AT232" s="145">
        <v>430</v>
      </c>
      <c r="AU232" s="146">
        <v>2.6</v>
      </c>
      <c r="AV232" s="145">
        <v>4159</v>
      </c>
      <c r="AW232" s="145">
        <v>-16</v>
      </c>
      <c r="AY232" s="5">
        <v>210</v>
      </c>
      <c r="AZ232" s="413" t="s">
        <v>1771</v>
      </c>
      <c r="BA232" s="145">
        <v>454</v>
      </c>
      <c r="BB232" s="146">
        <v>3.39</v>
      </c>
      <c r="BC232" s="145">
        <v>3788</v>
      </c>
      <c r="BD232" s="145">
        <v>-14</v>
      </c>
      <c r="BF232" s="5">
        <v>210</v>
      </c>
      <c r="BG232" s="413" t="s">
        <v>718</v>
      </c>
      <c r="BH232" s="145"/>
      <c r="BI232" s="146"/>
      <c r="BJ232" s="145"/>
      <c r="BK232" s="145"/>
      <c r="BM232" s="5">
        <v>210</v>
      </c>
      <c r="BN232" s="413" t="s">
        <v>1772</v>
      </c>
      <c r="BO232" s="145">
        <v>862</v>
      </c>
      <c r="BP232" s="146">
        <v>2.54</v>
      </c>
      <c r="BQ232" s="145">
        <v>4680</v>
      </c>
      <c r="BR232" s="145">
        <v>-16</v>
      </c>
      <c r="BS232" s="5"/>
      <c r="BT232" s="5">
        <v>210</v>
      </c>
      <c r="BU232" s="413" t="s">
        <v>718</v>
      </c>
      <c r="BV232" s="145"/>
      <c r="BW232" s="146"/>
      <c r="BX232" s="145"/>
      <c r="BY232" s="145"/>
      <c r="BZ232" s="5"/>
      <c r="CA232" s="5">
        <v>210</v>
      </c>
      <c r="CB232" s="413" t="s">
        <v>718</v>
      </c>
      <c r="CC232" s="145"/>
      <c r="CD232" s="146"/>
      <c r="CE232" s="145"/>
      <c r="CF232" s="145"/>
      <c r="CG232" s="5"/>
      <c r="CH232" s="5"/>
      <c r="CI232" s="5"/>
    </row>
    <row r="233" spans="13:87" x14ac:dyDescent="0.2">
      <c r="M233" s="5">
        <v>211</v>
      </c>
      <c r="N233" s="413" t="str">
        <f t="shared" si="18"/>
        <v xml:space="preserve"> </v>
      </c>
      <c r="O233" s="414">
        <f t="shared" si="19"/>
        <v>0</v>
      </c>
      <c r="P233" s="414">
        <f t="shared" si="20"/>
        <v>0</v>
      </c>
      <c r="Q233" s="145">
        <f t="shared" si="23"/>
        <v>-8</v>
      </c>
      <c r="R233" s="414">
        <f t="shared" si="21"/>
        <v>0</v>
      </c>
      <c r="S233" s="414">
        <f t="shared" si="22"/>
        <v>0</v>
      </c>
      <c r="T233" s="19"/>
      <c r="U233" s="5"/>
      <c r="V233" s="5"/>
      <c r="W233" s="5">
        <v>211</v>
      </c>
      <c r="X233" s="144" t="s">
        <v>718</v>
      </c>
      <c r="Y233" s="145"/>
      <c r="Z233" s="146"/>
      <c r="AA233" s="145"/>
      <c r="AB233" s="145"/>
      <c r="AD233" s="5">
        <v>211</v>
      </c>
      <c r="AE233" s="413" t="s">
        <v>718</v>
      </c>
      <c r="AF233" s="145"/>
      <c r="AG233" s="146"/>
      <c r="AH233" s="145"/>
      <c r="AI233" s="145"/>
      <c r="AK233" s="5">
        <v>211</v>
      </c>
      <c r="AL233" s="413" t="s">
        <v>718</v>
      </c>
      <c r="AM233" s="145"/>
      <c r="AN233" s="146"/>
      <c r="AO233" s="145"/>
      <c r="AP233" s="145"/>
      <c r="AR233" s="5">
        <v>211</v>
      </c>
      <c r="AS233" s="413" t="s">
        <v>1773</v>
      </c>
      <c r="AT233" s="145">
        <v>236</v>
      </c>
      <c r="AU233" s="146">
        <v>3.22</v>
      </c>
      <c r="AV233" s="145">
        <v>3658</v>
      </c>
      <c r="AW233" s="145">
        <v>-14</v>
      </c>
      <c r="AY233" s="5">
        <v>211</v>
      </c>
      <c r="AZ233" s="413" t="s">
        <v>1774</v>
      </c>
      <c r="BA233" s="145">
        <v>386</v>
      </c>
      <c r="BB233" s="146">
        <v>3.06</v>
      </c>
      <c r="BC233" s="145">
        <v>3879</v>
      </c>
      <c r="BD233" s="145">
        <v>-15</v>
      </c>
      <c r="BF233" s="5">
        <v>211</v>
      </c>
      <c r="BG233" s="413" t="s">
        <v>718</v>
      </c>
      <c r="BH233" s="145"/>
      <c r="BI233" s="146"/>
      <c r="BJ233" s="145"/>
      <c r="BK233" s="145"/>
      <c r="BM233" s="5">
        <v>211</v>
      </c>
      <c r="BN233" s="413" t="s">
        <v>1775</v>
      </c>
      <c r="BO233" s="145">
        <v>376</v>
      </c>
      <c r="BP233" s="146">
        <v>3.09</v>
      </c>
      <c r="BQ233" s="145">
        <v>3652</v>
      </c>
      <c r="BR233" s="145">
        <v>-13</v>
      </c>
      <c r="BS233" s="5"/>
      <c r="BT233" s="5">
        <v>211</v>
      </c>
      <c r="BU233" s="413" t="s">
        <v>718</v>
      </c>
      <c r="BV233" s="145"/>
      <c r="BW233" s="146"/>
      <c r="BX233" s="145"/>
      <c r="BY233" s="145"/>
      <c r="BZ233" s="5"/>
      <c r="CA233" s="5">
        <v>211</v>
      </c>
      <c r="CB233" s="413" t="s">
        <v>718</v>
      </c>
      <c r="CC233" s="145"/>
      <c r="CD233" s="146"/>
      <c r="CE233" s="145"/>
      <c r="CF233" s="145"/>
      <c r="CG233" s="5"/>
      <c r="CH233" s="5"/>
      <c r="CI233" s="5"/>
    </row>
    <row r="234" spans="13:87" x14ac:dyDescent="0.2">
      <c r="M234" s="5">
        <v>212</v>
      </c>
      <c r="N234" s="413" t="str">
        <f t="shared" si="18"/>
        <v xml:space="preserve"> </v>
      </c>
      <c r="O234" s="414">
        <f t="shared" si="19"/>
        <v>0</v>
      </c>
      <c r="P234" s="414">
        <f t="shared" si="20"/>
        <v>0</v>
      </c>
      <c r="Q234" s="145">
        <f t="shared" si="23"/>
        <v>-8</v>
      </c>
      <c r="R234" s="414">
        <f t="shared" si="21"/>
        <v>0</v>
      </c>
      <c r="S234" s="414">
        <f t="shared" si="22"/>
        <v>0</v>
      </c>
      <c r="T234" s="19"/>
      <c r="U234" s="5"/>
      <c r="V234" s="5"/>
      <c r="W234" s="5">
        <v>212</v>
      </c>
      <c r="X234" s="144" t="s">
        <v>718</v>
      </c>
      <c r="Y234" s="145"/>
      <c r="Z234" s="146"/>
      <c r="AA234" s="145"/>
      <c r="AB234" s="145"/>
      <c r="AD234" s="5">
        <v>212</v>
      </c>
      <c r="AE234" s="413" t="s">
        <v>718</v>
      </c>
      <c r="AF234" s="145"/>
      <c r="AG234" s="146"/>
      <c r="AH234" s="145"/>
      <c r="AI234" s="145"/>
      <c r="AK234" s="5">
        <v>212</v>
      </c>
      <c r="AL234" s="413" t="s">
        <v>718</v>
      </c>
      <c r="AM234" s="145"/>
      <c r="AN234" s="146"/>
      <c r="AO234" s="145"/>
      <c r="AP234" s="145"/>
      <c r="AR234" s="5">
        <v>212</v>
      </c>
      <c r="AS234" s="413" t="s">
        <v>1776</v>
      </c>
      <c r="AT234" s="145">
        <v>208</v>
      </c>
      <c r="AU234" s="146">
        <v>3.4</v>
      </c>
      <c r="AV234" s="145">
        <v>3570</v>
      </c>
      <c r="AW234" s="145">
        <v>-14</v>
      </c>
      <c r="AY234" s="5">
        <v>212</v>
      </c>
      <c r="AZ234" s="413" t="s">
        <v>1777</v>
      </c>
      <c r="BA234" s="145">
        <v>316</v>
      </c>
      <c r="BB234" s="146">
        <v>3.08</v>
      </c>
      <c r="BC234" s="145">
        <v>3722</v>
      </c>
      <c r="BD234" s="145">
        <v>-14</v>
      </c>
      <c r="BF234" s="5">
        <v>212</v>
      </c>
      <c r="BG234" s="413" t="s">
        <v>718</v>
      </c>
      <c r="BH234" s="145"/>
      <c r="BI234" s="146"/>
      <c r="BJ234" s="145"/>
      <c r="BK234" s="145"/>
      <c r="BM234" s="5">
        <v>212</v>
      </c>
      <c r="BN234" s="413" t="s">
        <v>1778</v>
      </c>
      <c r="BO234" s="145">
        <v>430</v>
      </c>
      <c r="BP234" s="146">
        <v>3.19</v>
      </c>
      <c r="BQ234" s="145">
        <v>3664</v>
      </c>
      <c r="BR234" s="145">
        <v>-13</v>
      </c>
      <c r="BS234" s="5"/>
      <c r="BT234" s="5">
        <v>212</v>
      </c>
      <c r="BU234" s="413" t="s">
        <v>718</v>
      </c>
      <c r="BV234" s="145"/>
      <c r="BW234" s="146"/>
      <c r="BX234" s="145"/>
      <c r="BY234" s="145"/>
      <c r="BZ234" s="5"/>
      <c r="CA234" s="5">
        <v>212</v>
      </c>
      <c r="CB234" s="413" t="s">
        <v>718</v>
      </c>
      <c r="CC234" s="145"/>
      <c r="CD234" s="146"/>
      <c r="CE234" s="145"/>
      <c r="CF234" s="145"/>
      <c r="CG234" s="5"/>
      <c r="CH234" s="5"/>
      <c r="CI234" s="5"/>
    </row>
    <row r="235" spans="13:87" x14ac:dyDescent="0.2">
      <c r="M235" s="5">
        <v>213</v>
      </c>
      <c r="N235" s="413" t="str">
        <f t="shared" si="18"/>
        <v xml:space="preserve"> </v>
      </c>
      <c r="O235" s="414">
        <f t="shared" si="19"/>
        <v>0</v>
      </c>
      <c r="P235" s="414">
        <f t="shared" si="20"/>
        <v>0</v>
      </c>
      <c r="Q235" s="145">
        <f t="shared" si="23"/>
        <v>-8</v>
      </c>
      <c r="R235" s="414">
        <f t="shared" si="21"/>
        <v>0</v>
      </c>
      <c r="S235" s="414">
        <f t="shared" si="22"/>
        <v>0</v>
      </c>
      <c r="T235" s="19"/>
      <c r="U235" s="5"/>
      <c r="V235" s="5"/>
      <c r="W235" s="5">
        <v>213</v>
      </c>
      <c r="X235" s="144" t="s">
        <v>718</v>
      </c>
      <c r="Y235" s="145"/>
      <c r="Z235" s="146"/>
      <c r="AA235" s="145"/>
      <c r="AB235" s="145"/>
      <c r="AD235" s="5">
        <v>213</v>
      </c>
      <c r="AE235" s="413" t="s">
        <v>718</v>
      </c>
      <c r="AF235" s="145"/>
      <c r="AG235" s="146"/>
      <c r="AH235" s="145"/>
      <c r="AI235" s="145"/>
      <c r="AK235" s="5">
        <v>213</v>
      </c>
      <c r="AL235" s="413" t="s">
        <v>718</v>
      </c>
      <c r="AM235" s="145"/>
      <c r="AN235" s="146"/>
      <c r="AO235" s="145"/>
      <c r="AP235" s="145"/>
      <c r="AR235" s="5">
        <v>213</v>
      </c>
      <c r="AS235" s="413" t="s">
        <v>1779</v>
      </c>
      <c r="AT235" s="145">
        <v>565</v>
      </c>
      <c r="AU235" s="146">
        <v>2.34</v>
      </c>
      <c r="AV235" s="145">
        <v>4432</v>
      </c>
      <c r="AW235" s="145">
        <v>-17</v>
      </c>
      <c r="AY235" s="5">
        <v>213</v>
      </c>
      <c r="AZ235" s="413" t="s">
        <v>1780</v>
      </c>
      <c r="BA235" s="145">
        <v>532</v>
      </c>
      <c r="BB235" s="146">
        <v>3.26</v>
      </c>
      <c r="BC235" s="145">
        <v>3917</v>
      </c>
      <c r="BD235" s="145">
        <v>-15</v>
      </c>
      <c r="BF235" s="5">
        <v>213</v>
      </c>
      <c r="BG235" s="413" t="s">
        <v>718</v>
      </c>
      <c r="BH235" s="145"/>
      <c r="BI235" s="146"/>
      <c r="BJ235" s="145"/>
      <c r="BK235" s="145"/>
      <c r="BM235" s="5">
        <v>213</v>
      </c>
      <c r="BN235" s="413" t="s">
        <v>816</v>
      </c>
      <c r="BO235" s="145">
        <v>460</v>
      </c>
      <c r="BP235" s="146">
        <v>2.93</v>
      </c>
      <c r="BQ235" s="145">
        <v>3925</v>
      </c>
      <c r="BR235" s="145">
        <v>-14</v>
      </c>
      <c r="BS235" s="5"/>
      <c r="BT235" s="5">
        <v>213</v>
      </c>
      <c r="BU235" s="413" t="s">
        <v>718</v>
      </c>
      <c r="BV235" s="145"/>
      <c r="BW235" s="146"/>
      <c r="BX235" s="145"/>
      <c r="BY235" s="145"/>
      <c r="BZ235" s="5"/>
      <c r="CA235" s="5">
        <v>213</v>
      </c>
      <c r="CB235" s="413" t="s">
        <v>718</v>
      </c>
      <c r="CC235" s="145"/>
      <c r="CD235" s="146"/>
      <c r="CE235" s="145"/>
      <c r="CF235" s="145"/>
      <c r="CG235" s="5"/>
      <c r="CH235" s="5"/>
      <c r="CI235" s="5"/>
    </row>
    <row r="236" spans="13:87" x14ac:dyDescent="0.2">
      <c r="M236" s="5">
        <v>214</v>
      </c>
      <c r="N236" s="413" t="str">
        <f t="shared" si="18"/>
        <v xml:space="preserve"> </v>
      </c>
      <c r="O236" s="414">
        <f t="shared" si="19"/>
        <v>0</v>
      </c>
      <c r="P236" s="414">
        <f t="shared" si="20"/>
        <v>0</v>
      </c>
      <c r="Q236" s="145">
        <f t="shared" si="23"/>
        <v>-8</v>
      </c>
      <c r="R236" s="414">
        <f t="shared" si="21"/>
        <v>0</v>
      </c>
      <c r="S236" s="414">
        <f t="shared" si="22"/>
        <v>0</v>
      </c>
      <c r="T236" s="19"/>
      <c r="U236" s="5"/>
      <c r="V236" s="5"/>
      <c r="W236" s="5">
        <v>214</v>
      </c>
      <c r="X236" s="144" t="s">
        <v>718</v>
      </c>
      <c r="Y236" s="145"/>
      <c r="Z236" s="146"/>
      <c r="AA236" s="145"/>
      <c r="AB236" s="145"/>
      <c r="AD236" s="5">
        <v>214</v>
      </c>
      <c r="AE236" s="413" t="s">
        <v>718</v>
      </c>
      <c r="AF236" s="145"/>
      <c r="AG236" s="146"/>
      <c r="AH236" s="145"/>
      <c r="AI236" s="145"/>
      <c r="AK236" s="5">
        <v>214</v>
      </c>
      <c r="AL236" s="413" t="s">
        <v>718</v>
      </c>
      <c r="AM236" s="145"/>
      <c r="AN236" s="146"/>
      <c r="AO236" s="145"/>
      <c r="AP236" s="145"/>
      <c r="AR236" s="5">
        <v>214</v>
      </c>
      <c r="AS236" s="413" t="s">
        <v>817</v>
      </c>
      <c r="AT236" s="145">
        <v>580</v>
      </c>
      <c r="AU236" s="146">
        <v>2.5299999999999998</v>
      </c>
      <c r="AV236" s="145">
        <v>4456</v>
      </c>
      <c r="AW236" s="145">
        <v>-17</v>
      </c>
      <c r="AY236" s="5">
        <v>214</v>
      </c>
      <c r="AZ236" s="413" t="s">
        <v>818</v>
      </c>
      <c r="BA236" s="145">
        <v>360</v>
      </c>
      <c r="BB236" s="146">
        <v>3.07</v>
      </c>
      <c r="BC236" s="145">
        <v>3859</v>
      </c>
      <c r="BD236" s="145">
        <v>-15</v>
      </c>
      <c r="BF236" s="5">
        <v>214</v>
      </c>
      <c r="BG236" s="413" t="s">
        <v>718</v>
      </c>
      <c r="BH236" s="145"/>
      <c r="BI236" s="146"/>
      <c r="BJ236" s="145"/>
      <c r="BK236" s="145"/>
      <c r="BM236" s="5">
        <v>214</v>
      </c>
      <c r="BN236" s="413" t="s">
        <v>819</v>
      </c>
      <c r="BO236" s="145">
        <v>674</v>
      </c>
      <c r="BP236" s="146">
        <v>2.14</v>
      </c>
      <c r="BQ236" s="145">
        <v>4572</v>
      </c>
      <c r="BR236" s="145">
        <v>-16</v>
      </c>
      <c r="BS236" s="5"/>
      <c r="BT236" s="5">
        <v>214</v>
      </c>
      <c r="BU236" s="413" t="s">
        <v>718</v>
      </c>
      <c r="BV236" s="145"/>
      <c r="BW236" s="146"/>
      <c r="BX236" s="145"/>
      <c r="BY236" s="145"/>
      <c r="BZ236" s="5"/>
      <c r="CA236" s="5">
        <v>214</v>
      </c>
      <c r="CB236" s="413" t="s">
        <v>718</v>
      </c>
      <c r="CC236" s="145"/>
      <c r="CD236" s="146"/>
      <c r="CE236" s="145"/>
      <c r="CF236" s="145"/>
      <c r="CG236" s="5"/>
      <c r="CH236" s="5"/>
      <c r="CI236" s="5"/>
    </row>
    <row r="237" spans="13:87" x14ac:dyDescent="0.2">
      <c r="M237" s="5">
        <v>215</v>
      </c>
      <c r="N237" s="413" t="str">
        <f t="shared" si="18"/>
        <v xml:space="preserve"> </v>
      </c>
      <c r="O237" s="414">
        <f t="shared" si="19"/>
        <v>0</v>
      </c>
      <c r="P237" s="414">
        <f t="shared" si="20"/>
        <v>0</v>
      </c>
      <c r="Q237" s="145">
        <f t="shared" si="23"/>
        <v>-8</v>
      </c>
      <c r="R237" s="414">
        <f t="shared" si="21"/>
        <v>0</v>
      </c>
      <c r="S237" s="414">
        <f t="shared" si="22"/>
        <v>0</v>
      </c>
      <c r="T237" s="19"/>
      <c r="U237" s="5"/>
      <c r="V237" s="5"/>
      <c r="W237" s="5">
        <v>215</v>
      </c>
      <c r="X237" s="144" t="s">
        <v>718</v>
      </c>
      <c r="Y237" s="145"/>
      <c r="Z237" s="146"/>
      <c r="AA237" s="145"/>
      <c r="AB237" s="145"/>
      <c r="AD237" s="5">
        <v>215</v>
      </c>
      <c r="AE237" s="413" t="s">
        <v>718</v>
      </c>
      <c r="AF237" s="145"/>
      <c r="AG237" s="146"/>
      <c r="AH237" s="145"/>
      <c r="AI237" s="145"/>
      <c r="AK237" s="5">
        <v>215</v>
      </c>
      <c r="AL237" s="413" t="s">
        <v>718</v>
      </c>
      <c r="AM237" s="145"/>
      <c r="AN237" s="146"/>
      <c r="AO237" s="145"/>
      <c r="AP237" s="145"/>
      <c r="AR237" s="5">
        <v>215</v>
      </c>
      <c r="AS237" s="413" t="s">
        <v>820</v>
      </c>
      <c r="AT237" s="145">
        <v>500</v>
      </c>
      <c r="AU237" s="146">
        <v>2.5299999999999998</v>
      </c>
      <c r="AV237" s="145">
        <v>4262</v>
      </c>
      <c r="AW237" s="145">
        <v>-16</v>
      </c>
      <c r="AY237" s="5">
        <v>215</v>
      </c>
      <c r="AZ237" s="413" t="s">
        <v>821</v>
      </c>
      <c r="BA237" s="145">
        <v>395</v>
      </c>
      <c r="BB237" s="146">
        <v>3.26</v>
      </c>
      <c r="BC237" s="145">
        <v>3817</v>
      </c>
      <c r="BD237" s="145">
        <v>-15</v>
      </c>
      <c r="BF237" s="5">
        <v>215</v>
      </c>
      <c r="BG237" s="413" t="s">
        <v>718</v>
      </c>
      <c r="BH237" s="145"/>
      <c r="BI237" s="146"/>
      <c r="BJ237" s="145"/>
      <c r="BK237" s="145"/>
      <c r="BM237" s="5">
        <v>215</v>
      </c>
      <c r="BN237" s="413" t="s">
        <v>822</v>
      </c>
      <c r="BO237" s="145">
        <v>872</v>
      </c>
      <c r="BP237" s="146">
        <v>2.58</v>
      </c>
      <c r="BQ237" s="145">
        <v>4459</v>
      </c>
      <c r="BR237" s="145">
        <v>-15</v>
      </c>
      <c r="BS237" s="5"/>
      <c r="BT237" s="5">
        <v>215</v>
      </c>
      <c r="BU237" s="413" t="s">
        <v>718</v>
      </c>
      <c r="BV237" s="145"/>
      <c r="BW237" s="146"/>
      <c r="BX237" s="145"/>
      <c r="BY237" s="145"/>
      <c r="BZ237" s="5"/>
      <c r="CA237" s="5">
        <v>215</v>
      </c>
      <c r="CB237" s="413" t="s">
        <v>718</v>
      </c>
      <c r="CC237" s="145"/>
      <c r="CD237" s="146"/>
      <c r="CE237" s="145"/>
      <c r="CF237" s="145"/>
      <c r="CG237" s="5"/>
      <c r="CH237" s="5"/>
      <c r="CI237" s="5"/>
    </row>
    <row r="238" spans="13:87" x14ac:dyDescent="0.2">
      <c r="M238" s="5">
        <v>216</v>
      </c>
      <c r="N238" s="413" t="str">
        <f t="shared" si="18"/>
        <v xml:space="preserve"> </v>
      </c>
      <c r="O238" s="414">
        <f t="shared" si="19"/>
        <v>0</v>
      </c>
      <c r="P238" s="414">
        <f t="shared" si="20"/>
        <v>0</v>
      </c>
      <c r="Q238" s="145">
        <f t="shared" si="23"/>
        <v>-8</v>
      </c>
      <c r="R238" s="414">
        <f t="shared" si="21"/>
        <v>0</v>
      </c>
      <c r="S238" s="414">
        <f t="shared" si="22"/>
        <v>0</v>
      </c>
      <c r="T238" s="19"/>
      <c r="U238" s="5"/>
      <c r="V238" s="5"/>
      <c r="W238" s="5">
        <v>216</v>
      </c>
      <c r="X238" s="144" t="s">
        <v>718</v>
      </c>
      <c r="Y238" s="145"/>
      <c r="Z238" s="146"/>
      <c r="AA238" s="145"/>
      <c r="AB238" s="145"/>
      <c r="AD238" s="5">
        <v>216</v>
      </c>
      <c r="AE238" s="413" t="s">
        <v>718</v>
      </c>
      <c r="AF238" s="145"/>
      <c r="AG238" s="146"/>
      <c r="AH238" s="145"/>
      <c r="AI238" s="145"/>
      <c r="AK238" s="5">
        <v>216</v>
      </c>
      <c r="AL238" s="413" t="s">
        <v>718</v>
      </c>
      <c r="AM238" s="145"/>
      <c r="AN238" s="146"/>
      <c r="AO238" s="145"/>
      <c r="AP238" s="145"/>
      <c r="AR238" s="5">
        <v>216</v>
      </c>
      <c r="AS238" s="413" t="s">
        <v>823</v>
      </c>
      <c r="AT238" s="145">
        <v>157</v>
      </c>
      <c r="AU238" s="146">
        <v>3.29</v>
      </c>
      <c r="AV238" s="145">
        <v>3575</v>
      </c>
      <c r="AW238" s="145">
        <v>-14</v>
      </c>
      <c r="AY238" s="5">
        <v>216</v>
      </c>
      <c r="AZ238" s="413" t="s">
        <v>824</v>
      </c>
      <c r="BA238" s="145">
        <v>270</v>
      </c>
      <c r="BB238" s="146">
        <v>3.14</v>
      </c>
      <c r="BC238" s="145">
        <v>3658</v>
      </c>
      <c r="BD238" s="145">
        <v>-14</v>
      </c>
      <c r="BF238" s="5">
        <v>216</v>
      </c>
      <c r="BG238" s="413" t="s">
        <v>718</v>
      </c>
      <c r="BH238" s="145"/>
      <c r="BI238" s="146"/>
      <c r="BJ238" s="145"/>
      <c r="BK238" s="145"/>
      <c r="BM238" s="5">
        <v>216</v>
      </c>
      <c r="BN238" s="413" t="s">
        <v>825</v>
      </c>
      <c r="BO238" s="145">
        <v>356</v>
      </c>
      <c r="BP238" s="146">
        <v>3.13</v>
      </c>
      <c r="BQ238" s="145">
        <v>3627</v>
      </c>
      <c r="BR238" s="145">
        <v>-14</v>
      </c>
      <c r="BS238" s="5"/>
      <c r="BT238" s="5">
        <v>216</v>
      </c>
      <c r="BU238" s="413" t="s">
        <v>718</v>
      </c>
      <c r="BV238" s="145"/>
      <c r="BW238" s="146"/>
      <c r="BX238" s="145"/>
      <c r="BY238" s="145"/>
      <c r="BZ238" s="5"/>
      <c r="CA238" s="5">
        <v>216</v>
      </c>
      <c r="CB238" s="413" t="s">
        <v>718</v>
      </c>
      <c r="CC238" s="145"/>
      <c r="CD238" s="146"/>
      <c r="CE238" s="145"/>
      <c r="CF238" s="145"/>
      <c r="CG238" s="5"/>
      <c r="CH238" s="5"/>
      <c r="CI238" s="5"/>
    </row>
    <row r="239" spans="13:87" x14ac:dyDescent="0.2">
      <c r="M239" s="5">
        <v>217</v>
      </c>
      <c r="N239" s="413" t="str">
        <f t="shared" si="18"/>
        <v xml:space="preserve"> </v>
      </c>
      <c r="O239" s="414">
        <f t="shared" si="19"/>
        <v>0</v>
      </c>
      <c r="P239" s="414">
        <f t="shared" si="20"/>
        <v>0</v>
      </c>
      <c r="Q239" s="145">
        <f t="shared" si="23"/>
        <v>-8</v>
      </c>
      <c r="R239" s="414">
        <f t="shared" si="21"/>
        <v>0</v>
      </c>
      <c r="S239" s="414">
        <f t="shared" si="22"/>
        <v>0</v>
      </c>
      <c r="T239" s="19"/>
      <c r="U239" s="5"/>
      <c r="V239" s="5"/>
      <c r="W239" s="5">
        <v>217</v>
      </c>
      <c r="X239" s="144" t="s">
        <v>718</v>
      </c>
      <c r="Y239" s="145"/>
      <c r="Z239" s="146"/>
      <c r="AA239" s="145"/>
      <c r="AB239" s="145"/>
      <c r="AD239" s="5">
        <v>217</v>
      </c>
      <c r="AE239" s="413" t="s">
        <v>718</v>
      </c>
      <c r="AF239" s="145"/>
      <c r="AG239" s="146"/>
      <c r="AH239" s="145"/>
      <c r="AI239" s="145"/>
      <c r="AK239" s="5">
        <v>217</v>
      </c>
      <c r="AL239" s="413" t="s">
        <v>718</v>
      </c>
      <c r="AM239" s="145"/>
      <c r="AN239" s="146"/>
      <c r="AO239" s="145"/>
      <c r="AP239" s="145"/>
      <c r="AR239" s="5">
        <v>217</v>
      </c>
      <c r="AS239" s="413" t="s">
        <v>826</v>
      </c>
      <c r="AT239" s="145">
        <v>205</v>
      </c>
      <c r="AU239" s="146">
        <v>3.22</v>
      </c>
      <c r="AV239" s="145">
        <v>3624</v>
      </c>
      <c r="AW239" s="145">
        <v>-14</v>
      </c>
      <c r="AY239" s="5">
        <v>217</v>
      </c>
      <c r="AZ239" s="413" t="s">
        <v>827</v>
      </c>
      <c r="BA239" s="145">
        <v>533</v>
      </c>
      <c r="BB239" s="146">
        <v>3.14</v>
      </c>
      <c r="BC239" s="145">
        <v>3877</v>
      </c>
      <c r="BD239" s="145">
        <v>-15</v>
      </c>
      <c r="BF239" s="5">
        <v>217</v>
      </c>
      <c r="BG239" s="413" t="s">
        <v>718</v>
      </c>
      <c r="BH239" s="145"/>
      <c r="BI239" s="146"/>
      <c r="BJ239" s="145"/>
      <c r="BK239" s="145"/>
      <c r="BM239" s="5">
        <v>217</v>
      </c>
      <c r="BN239" s="413" t="s">
        <v>828</v>
      </c>
      <c r="BO239" s="145">
        <v>402</v>
      </c>
      <c r="BP239" s="146">
        <v>3.12</v>
      </c>
      <c r="BQ239" s="145">
        <v>3630</v>
      </c>
      <c r="BR239" s="145">
        <v>-13</v>
      </c>
      <c r="BS239" s="5"/>
      <c r="BT239" s="5">
        <v>217</v>
      </c>
      <c r="BU239" s="413" t="s">
        <v>718</v>
      </c>
      <c r="BV239" s="145"/>
      <c r="BW239" s="146"/>
      <c r="BX239" s="145"/>
      <c r="BY239" s="145"/>
      <c r="BZ239" s="5"/>
      <c r="CA239" s="5">
        <v>217</v>
      </c>
      <c r="CB239" s="413" t="s">
        <v>718</v>
      </c>
      <c r="CC239" s="145"/>
      <c r="CD239" s="146"/>
      <c r="CE239" s="145"/>
      <c r="CF239" s="145"/>
      <c r="CG239" s="5"/>
      <c r="CH239" s="5"/>
      <c r="CI239" s="5"/>
    </row>
    <row r="240" spans="13:87" x14ac:dyDescent="0.2">
      <c r="M240" s="5">
        <v>218</v>
      </c>
      <c r="N240" s="413" t="str">
        <f t="shared" si="18"/>
        <v xml:space="preserve"> </v>
      </c>
      <c r="O240" s="414">
        <f t="shared" si="19"/>
        <v>0</v>
      </c>
      <c r="P240" s="414">
        <f t="shared" si="20"/>
        <v>0</v>
      </c>
      <c r="Q240" s="145">
        <f t="shared" si="23"/>
        <v>-8</v>
      </c>
      <c r="R240" s="414">
        <f t="shared" si="21"/>
        <v>0</v>
      </c>
      <c r="S240" s="414">
        <f t="shared" si="22"/>
        <v>0</v>
      </c>
      <c r="T240" s="19"/>
      <c r="U240" s="5"/>
      <c r="V240" s="5"/>
      <c r="W240" s="5">
        <v>218</v>
      </c>
      <c r="X240" s="144" t="s">
        <v>718</v>
      </c>
      <c r="Y240" s="145"/>
      <c r="Z240" s="146"/>
      <c r="AA240" s="145"/>
      <c r="AB240" s="145"/>
      <c r="AD240" s="5">
        <v>218</v>
      </c>
      <c r="AE240" s="413" t="s">
        <v>718</v>
      </c>
      <c r="AF240" s="145"/>
      <c r="AG240" s="146"/>
      <c r="AH240" s="145"/>
      <c r="AI240" s="145"/>
      <c r="AK240" s="5">
        <v>218</v>
      </c>
      <c r="AL240" s="413" t="s">
        <v>718</v>
      </c>
      <c r="AM240" s="145"/>
      <c r="AN240" s="146"/>
      <c r="AO240" s="145"/>
      <c r="AP240" s="145"/>
      <c r="AR240" s="5">
        <v>218</v>
      </c>
      <c r="AS240" s="413" t="s">
        <v>829</v>
      </c>
      <c r="AT240" s="145">
        <v>187</v>
      </c>
      <c r="AU240" s="146">
        <v>3.38</v>
      </c>
      <c r="AV240" s="145">
        <v>3539</v>
      </c>
      <c r="AW240" s="145">
        <v>-13</v>
      </c>
      <c r="AY240" s="5">
        <v>218</v>
      </c>
      <c r="AZ240" s="413" t="s">
        <v>830</v>
      </c>
      <c r="BA240" s="145">
        <v>605</v>
      </c>
      <c r="BB240" s="146">
        <v>2.75</v>
      </c>
      <c r="BC240" s="145">
        <v>4139</v>
      </c>
      <c r="BD240" s="145">
        <v>-15</v>
      </c>
      <c r="BF240" s="5">
        <v>218</v>
      </c>
      <c r="BG240" s="413" t="s">
        <v>718</v>
      </c>
      <c r="BH240" s="145"/>
      <c r="BI240" s="146"/>
      <c r="BJ240" s="145"/>
      <c r="BK240" s="145"/>
      <c r="BM240" s="5">
        <v>218</v>
      </c>
      <c r="BN240" s="413" t="s">
        <v>831</v>
      </c>
      <c r="BO240" s="145">
        <v>659</v>
      </c>
      <c r="BP240" s="146">
        <v>2.83</v>
      </c>
      <c r="BQ240" s="145">
        <v>4155</v>
      </c>
      <c r="BR240" s="145">
        <v>-15</v>
      </c>
      <c r="BS240" s="5"/>
      <c r="BT240" s="5">
        <v>218</v>
      </c>
      <c r="BU240" s="413" t="s">
        <v>718</v>
      </c>
      <c r="BV240" s="145"/>
      <c r="BW240" s="146"/>
      <c r="BX240" s="145"/>
      <c r="BY240" s="145"/>
      <c r="BZ240" s="5"/>
      <c r="CA240" s="5">
        <v>218</v>
      </c>
      <c r="CB240" s="413" t="s">
        <v>718</v>
      </c>
      <c r="CC240" s="145"/>
      <c r="CD240" s="146"/>
      <c r="CE240" s="145"/>
      <c r="CF240" s="145"/>
      <c r="CG240" s="5"/>
      <c r="CH240" s="5"/>
      <c r="CI240" s="5"/>
    </row>
    <row r="241" spans="13:87" x14ac:dyDescent="0.2">
      <c r="M241" s="5">
        <v>219</v>
      </c>
      <c r="N241" s="413" t="str">
        <f t="shared" si="18"/>
        <v xml:space="preserve"> </v>
      </c>
      <c r="O241" s="414">
        <f t="shared" si="19"/>
        <v>0</v>
      </c>
      <c r="P241" s="414">
        <f t="shared" si="20"/>
        <v>0</v>
      </c>
      <c r="Q241" s="145">
        <f t="shared" si="23"/>
        <v>-8</v>
      </c>
      <c r="R241" s="414">
        <f t="shared" si="21"/>
        <v>0</v>
      </c>
      <c r="S241" s="414">
        <f t="shared" si="22"/>
        <v>0</v>
      </c>
      <c r="T241" s="19"/>
      <c r="U241" s="5"/>
      <c r="V241" s="5"/>
      <c r="W241" s="5">
        <v>219</v>
      </c>
      <c r="X241" s="144" t="s">
        <v>718</v>
      </c>
      <c r="Y241" s="145"/>
      <c r="Z241" s="146"/>
      <c r="AA241" s="145"/>
      <c r="AB241" s="145"/>
      <c r="AD241" s="5">
        <v>219</v>
      </c>
      <c r="AE241" s="413" t="s">
        <v>718</v>
      </c>
      <c r="AF241" s="145"/>
      <c r="AG241" s="146"/>
      <c r="AH241" s="145"/>
      <c r="AI241" s="145"/>
      <c r="AK241" s="5">
        <v>219</v>
      </c>
      <c r="AL241" s="413" t="s">
        <v>718</v>
      </c>
      <c r="AM241" s="145"/>
      <c r="AN241" s="146"/>
      <c r="AO241" s="145"/>
      <c r="AP241" s="145"/>
      <c r="AR241" s="5">
        <v>219</v>
      </c>
      <c r="AS241" s="413" t="s">
        <v>832</v>
      </c>
      <c r="AT241" s="145">
        <v>340</v>
      </c>
      <c r="AU241" s="146">
        <v>3.34</v>
      </c>
      <c r="AV241" s="145">
        <v>3681</v>
      </c>
      <c r="AW241" s="145">
        <v>-14</v>
      </c>
      <c r="AY241" s="5">
        <v>219</v>
      </c>
      <c r="AZ241" s="413" t="s">
        <v>833</v>
      </c>
      <c r="BA241" s="145">
        <v>298</v>
      </c>
      <c r="BB241" s="146">
        <v>3.11</v>
      </c>
      <c r="BC241" s="145">
        <v>3683</v>
      </c>
      <c r="BD241" s="145">
        <v>-14</v>
      </c>
      <c r="BF241" s="5">
        <v>219</v>
      </c>
      <c r="BG241" s="413" t="s">
        <v>718</v>
      </c>
      <c r="BH241" s="145"/>
      <c r="BI241" s="146"/>
      <c r="BJ241" s="145"/>
      <c r="BK241" s="145"/>
      <c r="BM241" s="5">
        <v>219</v>
      </c>
      <c r="BN241" s="413" t="s">
        <v>834</v>
      </c>
      <c r="BO241" s="145">
        <v>513</v>
      </c>
      <c r="BP241" s="146">
        <v>2.82</v>
      </c>
      <c r="BQ241" s="145">
        <v>4193</v>
      </c>
      <c r="BR241" s="145">
        <v>-15</v>
      </c>
      <c r="BS241" s="5"/>
      <c r="BT241" s="5">
        <v>219</v>
      </c>
      <c r="BU241" s="413" t="s">
        <v>718</v>
      </c>
      <c r="BV241" s="145"/>
      <c r="BW241" s="146"/>
      <c r="BX241" s="145"/>
      <c r="BY241" s="145"/>
      <c r="BZ241" s="5"/>
      <c r="CA241" s="5">
        <v>219</v>
      </c>
      <c r="CB241" s="413" t="s">
        <v>718</v>
      </c>
      <c r="CC241" s="145"/>
      <c r="CD241" s="146"/>
      <c r="CE241" s="145"/>
      <c r="CF241" s="145"/>
      <c r="CG241" s="5"/>
      <c r="CH241" s="5"/>
      <c r="CI241" s="5"/>
    </row>
    <row r="242" spans="13:87" x14ac:dyDescent="0.2">
      <c r="M242" s="5">
        <v>220</v>
      </c>
      <c r="N242" s="413" t="str">
        <f t="shared" si="18"/>
        <v xml:space="preserve"> </v>
      </c>
      <c r="O242" s="414">
        <f t="shared" si="19"/>
        <v>0</v>
      </c>
      <c r="P242" s="414">
        <f t="shared" si="20"/>
        <v>0</v>
      </c>
      <c r="Q242" s="145">
        <f t="shared" si="23"/>
        <v>-8</v>
      </c>
      <c r="R242" s="414">
        <f t="shared" si="21"/>
        <v>0</v>
      </c>
      <c r="S242" s="414">
        <f t="shared" si="22"/>
        <v>0</v>
      </c>
      <c r="T242" s="19"/>
      <c r="U242" s="5"/>
      <c r="V242" s="5"/>
      <c r="W242" s="5">
        <v>220</v>
      </c>
      <c r="X242" s="144" t="s">
        <v>718</v>
      </c>
      <c r="Y242" s="145"/>
      <c r="Z242" s="146"/>
      <c r="AA242" s="145"/>
      <c r="AB242" s="145"/>
      <c r="AD242" s="5">
        <v>220</v>
      </c>
      <c r="AE242" s="413" t="s">
        <v>718</v>
      </c>
      <c r="AF242" s="145"/>
      <c r="AG242" s="146"/>
      <c r="AH242" s="145"/>
      <c r="AI242" s="145"/>
      <c r="AK242" s="5">
        <v>220</v>
      </c>
      <c r="AL242" s="413" t="s">
        <v>718</v>
      </c>
      <c r="AM242" s="145"/>
      <c r="AN242" s="146"/>
      <c r="AO242" s="145"/>
      <c r="AP242" s="145"/>
      <c r="AR242" s="5">
        <v>220</v>
      </c>
      <c r="AS242" s="413" t="s">
        <v>835</v>
      </c>
      <c r="AT242" s="145">
        <v>230</v>
      </c>
      <c r="AU242" s="146">
        <v>3.18</v>
      </c>
      <c r="AV242" s="145">
        <v>3633</v>
      </c>
      <c r="AW242" s="145">
        <v>-14</v>
      </c>
      <c r="AY242" s="5">
        <v>220</v>
      </c>
      <c r="AZ242" s="413" t="s">
        <v>836</v>
      </c>
      <c r="BA242" s="145">
        <v>585</v>
      </c>
      <c r="BB242" s="146">
        <v>2.64</v>
      </c>
      <c r="BC242" s="145">
        <v>4202</v>
      </c>
      <c r="BD242" s="145">
        <v>-14</v>
      </c>
      <c r="BF242" s="5">
        <v>220</v>
      </c>
      <c r="BG242" s="413" t="s">
        <v>718</v>
      </c>
      <c r="BH242" s="145"/>
      <c r="BI242" s="146"/>
      <c r="BJ242" s="145"/>
      <c r="BK242" s="145"/>
      <c r="BM242" s="5">
        <v>220</v>
      </c>
      <c r="BN242" s="413" t="s">
        <v>837</v>
      </c>
      <c r="BO242" s="145">
        <v>302</v>
      </c>
      <c r="BP242" s="146">
        <v>3.1</v>
      </c>
      <c r="BQ242" s="145">
        <v>3565</v>
      </c>
      <c r="BR242" s="145">
        <v>-14</v>
      </c>
      <c r="BS242" s="5"/>
      <c r="BT242" s="5">
        <v>220</v>
      </c>
      <c r="BU242" s="413" t="s">
        <v>718</v>
      </c>
      <c r="BV242" s="145"/>
      <c r="BW242" s="146"/>
      <c r="BX242" s="145"/>
      <c r="BY242" s="145"/>
      <c r="BZ242" s="5"/>
      <c r="CA242" s="5">
        <v>220</v>
      </c>
      <c r="CB242" s="413" t="s">
        <v>718</v>
      </c>
      <c r="CC242" s="145"/>
      <c r="CD242" s="146"/>
      <c r="CE242" s="145"/>
      <c r="CF242" s="145"/>
      <c r="CG242" s="5"/>
      <c r="CH242" s="5"/>
      <c r="CI242" s="5"/>
    </row>
    <row r="243" spans="13:87" x14ac:dyDescent="0.2">
      <c r="M243" s="5">
        <v>221</v>
      </c>
      <c r="N243" s="413" t="str">
        <f t="shared" si="18"/>
        <v xml:space="preserve"> </v>
      </c>
      <c r="O243" s="414">
        <f t="shared" si="19"/>
        <v>0</v>
      </c>
      <c r="P243" s="414">
        <f t="shared" si="20"/>
        <v>0</v>
      </c>
      <c r="Q243" s="145">
        <f t="shared" si="23"/>
        <v>-8</v>
      </c>
      <c r="R243" s="414">
        <f t="shared" si="21"/>
        <v>0</v>
      </c>
      <c r="S243" s="414">
        <f t="shared" si="22"/>
        <v>0</v>
      </c>
      <c r="T243" s="19"/>
      <c r="U243" s="5"/>
      <c r="V243" s="5"/>
      <c r="W243" s="5">
        <v>221</v>
      </c>
      <c r="X243" s="144" t="s">
        <v>718</v>
      </c>
      <c r="Y243" s="145"/>
      <c r="Z243" s="146"/>
      <c r="AA243" s="145"/>
      <c r="AB243" s="145"/>
      <c r="AD243" s="5">
        <v>221</v>
      </c>
      <c r="AE243" s="413" t="s">
        <v>718</v>
      </c>
      <c r="AF243" s="145"/>
      <c r="AG243" s="146"/>
      <c r="AH243" s="145"/>
      <c r="AI243" s="145"/>
      <c r="AK243" s="5">
        <v>221</v>
      </c>
      <c r="AL243" s="413" t="s">
        <v>718</v>
      </c>
      <c r="AM243" s="145"/>
      <c r="AN243" s="146"/>
      <c r="AO243" s="145"/>
      <c r="AP243" s="145"/>
      <c r="AR243" s="5">
        <v>221</v>
      </c>
      <c r="AS243" s="413" t="s">
        <v>838</v>
      </c>
      <c r="AT243" s="145">
        <v>215</v>
      </c>
      <c r="AU243" s="146">
        <v>3.34</v>
      </c>
      <c r="AV243" s="145">
        <v>3566</v>
      </c>
      <c r="AW243" s="145">
        <v>-14</v>
      </c>
      <c r="AY243" s="5">
        <v>221</v>
      </c>
      <c r="AZ243" s="413" t="s">
        <v>839</v>
      </c>
      <c r="BA243" s="145">
        <v>396</v>
      </c>
      <c r="BB243" s="146">
        <v>2.92</v>
      </c>
      <c r="BC243" s="145">
        <v>3945</v>
      </c>
      <c r="BD243" s="145">
        <v>-15</v>
      </c>
      <c r="BF243" s="5">
        <v>221</v>
      </c>
      <c r="BG243" s="413" t="s">
        <v>718</v>
      </c>
      <c r="BH243" s="145"/>
      <c r="BI243" s="146"/>
      <c r="BJ243" s="145"/>
      <c r="BK243" s="145"/>
      <c r="BM243" s="5">
        <v>221</v>
      </c>
      <c r="BN243" s="413" t="s">
        <v>840</v>
      </c>
      <c r="BO243" s="145">
        <v>740</v>
      </c>
      <c r="BP243" s="146">
        <v>2.5299999999999998</v>
      </c>
      <c r="BQ243" s="145">
        <v>4402</v>
      </c>
      <c r="BR243" s="145">
        <v>-15</v>
      </c>
      <c r="BS243" s="5"/>
      <c r="BT243" s="5">
        <v>221</v>
      </c>
      <c r="BU243" s="413" t="s">
        <v>718</v>
      </c>
      <c r="BV243" s="145"/>
      <c r="BW243" s="146"/>
      <c r="BX243" s="145"/>
      <c r="BY243" s="145"/>
      <c r="BZ243" s="5"/>
      <c r="CA243" s="5">
        <v>221</v>
      </c>
      <c r="CB243" s="413" t="s">
        <v>718</v>
      </c>
      <c r="CC243" s="145"/>
      <c r="CD243" s="146"/>
      <c r="CE243" s="145"/>
      <c r="CF243" s="145"/>
      <c r="CG243" s="5"/>
      <c r="CH243" s="5"/>
      <c r="CI243" s="5"/>
    </row>
    <row r="244" spans="13:87" x14ac:dyDescent="0.2">
      <c r="M244" s="5">
        <v>222</v>
      </c>
      <c r="N244" s="413" t="str">
        <f t="shared" si="18"/>
        <v xml:space="preserve"> </v>
      </c>
      <c r="O244" s="414">
        <f t="shared" si="19"/>
        <v>0</v>
      </c>
      <c r="P244" s="414">
        <f t="shared" si="20"/>
        <v>0</v>
      </c>
      <c r="Q244" s="145">
        <f t="shared" si="23"/>
        <v>-8</v>
      </c>
      <c r="R244" s="414">
        <f t="shared" si="21"/>
        <v>0</v>
      </c>
      <c r="S244" s="414">
        <f t="shared" si="22"/>
        <v>0</v>
      </c>
      <c r="T244" s="19"/>
      <c r="U244" s="5"/>
      <c r="V244" s="5"/>
      <c r="W244" s="5">
        <v>222</v>
      </c>
      <c r="X244" s="144" t="s">
        <v>718</v>
      </c>
      <c r="Y244" s="145"/>
      <c r="Z244" s="146"/>
      <c r="AA244" s="145"/>
      <c r="AB244" s="145"/>
      <c r="AD244" s="5">
        <v>222</v>
      </c>
      <c r="AE244" s="413" t="s">
        <v>718</v>
      </c>
      <c r="AF244" s="145"/>
      <c r="AG244" s="146"/>
      <c r="AH244" s="145"/>
      <c r="AI244" s="145"/>
      <c r="AK244" s="5">
        <v>222</v>
      </c>
      <c r="AL244" s="413" t="s">
        <v>718</v>
      </c>
      <c r="AM244" s="145"/>
      <c r="AN244" s="146"/>
      <c r="AO244" s="145"/>
      <c r="AP244" s="145"/>
      <c r="AR244" s="5">
        <v>222</v>
      </c>
      <c r="AS244" s="413" t="s">
        <v>841</v>
      </c>
      <c r="AT244" s="145">
        <v>442</v>
      </c>
      <c r="AU244" s="146">
        <v>2.7</v>
      </c>
      <c r="AV244" s="145">
        <v>4134</v>
      </c>
      <c r="AW244" s="145">
        <v>-16</v>
      </c>
      <c r="AY244" s="5">
        <v>222</v>
      </c>
      <c r="AZ244" s="413" t="s">
        <v>842</v>
      </c>
      <c r="BA244" s="145">
        <v>258</v>
      </c>
      <c r="BB244" s="146">
        <v>3.3</v>
      </c>
      <c r="BC244" s="145">
        <v>3524</v>
      </c>
      <c r="BD244" s="145">
        <v>-13</v>
      </c>
      <c r="BF244" s="5">
        <v>222</v>
      </c>
      <c r="BG244" s="413" t="s">
        <v>718</v>
      </c>
      <c r="BH244" s="145"/>
      <c r="BI244" s="146"/>
      <c r="BJ244" s="145"/>
      <c r="BK244" s="145"/>
      <c r="BM244" s="5">
        <v>222</v>
      </c>
      <c r="BN244" s="413" t="s">
        <v>843</v>
      </c>
      <c r="BO244" s="145">
        <v>858</v>
      </c>
      <c r="BP244" s="146">
        <v>2.61</v>
      </c>
      <c r="BQ244" s="145">
        <v>4486</v>
      </c>
      <c r="BR244" s="145">
        <v>-15</v>
      </c>
      <c r="BS244" s="5"/>
      <c r="BT244" s="5">
        <v>222</v>
      </c>
      <c r="BU244" s="413" t="s">
        <v>718</v>
      </c>
      <c r="BV244" s="145"/>
      <c r="BW244" s="146"/>
      <c r="BX244" s="145"/>
      <c r="BY244" s="145"/>
      <c r="BZ244" s="5"/>
      <c r="CA244" s="5">
        <v>222</v>
      </c>
      <c r="CB244" s="413" t="s">
        <v>718</v>
      </c>
      <c r="CC244" s="145"/>
      <c r="CD244" s="146"/>
      <c r="CE244" s="145"/>
      <c r="CF244" s="145"/>
      <c r="CG244" s="5"/>
      <c r="CH244" s="5"/>
      <c r="CI244" s="5"/>
    </row>
    <row r="245" spans="13:87" x14ac:dyDescent="0.2">
      <c r="M245" s="5">
        <v>223</v>
      </c>
      <c r="N245" s="413" t="str">
        <f t="shared" si="18"/>
        <v xml:space="preserve"> </v>
      </c>
      <c r="O245" s="414">
        <f t="shared" si="19"/>
        <v>0</v>
      </c>
      <c r="P245" s="414">
        <f t="shared" si="20"/>
        <v>0</v>
      </c>
      <c r="Q245" s="145">
        <f t="shared" si="23"/>
        <v>-8</v>
      </c>
      <c r="R245" s="414">
        <f t="shared" si="21"/>
        <v>0</v>
      </c>
      <c r="S245" s="414">
        <f t="shared" si="22"/>
        <v>0</v>
      </c>
      <c r="T245" s="19"/>
      <c r="U245" s="5"/>
      <c r="V245" s="5"/>
      <c r="W245" s="5">
        <v>223</v>
      </c>
      <c r="X245" s="144" t="s">
        <v>718</v>
      </c>
      <c r="Y245" s="145"/>
      <c r="Z245" s="146"/>
      <c r="AA245" s="145"/>
      <c r="AB245" s="145"/>
      <c r="AD245" s="5">
        <v>223</v>
      </c>
      <c r="AE245" s="413" t="s">
        <v>718</v>
      </c>
      <c r="AF245" s="145"/>
      <c r="AG245" s="146"/>
      <c r="AH245" s="145"/>
      <c r="AI245" s="145"/>
      <c r="AK245" s="5">
        <v>223</v>
      </c>
      <c r="AL245" s="413" t="s">
        <v>718</v>
      </c>
      <c r="AM245" s="145"/>
      <c r="AN245" s="146"/>
      <c r="AO245" s="145"/>
      <c r="AP245" s="145"/>
      <c r="AR245" s="5">
        <v>223</v>
      </c>
      <c r="AS245" s="413" t="s">
        <v>844</v>
      </c>
      <c r="AT245" s="145">
        <v>375</v>
      </c>
      <c r="AU245" s="146">
        <v>3.04</v>
      </c>
      <c r="AV245" s="145">
        <v>3868</v>
      </c>
      <c r="AW245" s="145">
        <v>-14</v>
      </c>
      <c r="AY245" s="5">
        <v>223</v>
      </c>
      <c r="AZ245" s="413" t="s">
        <v>845</v>
      </c>
      <c r="BA245" s="145">
        <v>441</v>
      </c>
      <c r="BB245" s="146">
        <v>3.12</v>
      </c>
      <c r="BC245" s="145">
        <v>3949</v>
      </c>
      <c r="BD245" s="145">
        <v>-15</v>
      </c>
      <c r="BF245" s="5">
        <v>223</v>
      </c>
      <c r="BG245" s="413" t="s">
        <v>718</v>
      </c>
      <c r="BH245" s="145"/>
      <c r="BI245" s="146"/>
      <c r="BJ245" s="145"/>
      <c r="BK245" s="145"/>
      <c r="BM245" s="5">
        <v>223</v>
      </c>
      <c r="BN245" s="413" t="s">
        <v>846</v>
      </c>
      <c r="BO245" s="145">
        <v>605</v>
      </c>
      <c r="BP245" s="146">
        <v>2.91</v>
      </c>
      <c r="BQ245" s="145">
        <v>4084</v>
      </c>
      <c r="BR245" s="145">
        <v>-14</v>
      </c>
      <c r="BS245" s="5"/>
      <c r="BT245" s="5">
        <v>223</v>
      </c>
      <c r="BU245" s="413" t="s">
        <v>718</v>
      </c>
      <c r="BV245" s="145"/>
      <c r="BW245" s="146"/>
      <c r="BX245" s="145"/>
      <c r="BY245" s="145"/>
      <c r="BZ245" s="5"/>
      <c r="CA245" s="5">
        <v>223</v>
      </c>
      <c r="CB245" s="413" t="s">
        <v>718</v>
      </c>
      <c r="CC245" s="145"/>
      <c r="CD245" s="146"/>
      <c r="CE245" s="145"/>
      <c r="CF245" s="145"/>
      <c r="CG245" s="5"/>
      <c r="CH245" s="5"/>
      <c r="CI245" s="5"/>
    </row>
    <row r="246" spans="13:87" x14ac:dyDescent="0.2">
      <c r="M246" s="5">
        <v>224</v>
      </c>
      <c r="N246" s="413" t="str">
        <f t="shared" si="18"/>
        <v xml:space="preserve"> </v>
      </c>
      <c r="O246" s="414">
        <f t="shared" si="19"/>
        <v>0</v>
      </c>
      <c r="P246" s="414">
        <f t="shared" si="20"/>
        <v>0</v>
      </c>
      <c r="Q246" s="145">
        <f t="shared" si="23"/>
        <v>-8</v>
      </c>
      <c r="R246" s="414">
        <f t="shared" si="21"/>
        <v>0</v>
      </c>
      <c r="S246" s="414">
        <f t="shared" si="22"/>
        <v>0</v>
      </c>
      <c r="T246" s="19"/>
      <c r="U246" s="5"/>
      <c r="V246" s="5"/>
      <c r="W246" s="5">
        <v>224</v>
      </c>
      <c r="X246" s="144" t="s">
        <v>718</v>
      </c>
      <c r="Y246" s="145"/>
      <c r="Z246" s="146"/>
      <c r="AA246" s="145"/>
      <c r="AB246" s="145"/>
      <c r="AD246" s="5">
        <v>224</v>
      </c>
      <c r="AE246" s="413" t="s">
        <v>718</v>
      </c>
      <c r="AF246" s="145"/>
      <c r="AG246" s="146"/>
      <c r="AH246" s="145"/>
      <c r="AI246" s="145"/>
      <c r="AK246" s="5">
        <v>224</v>
      </c>
      <c r="AL246" s="413" t="s">
        <v>718</v>
      </c>
      <c r="AM246" s="145"/>
      <c r="AN246" s="146"/>
      <c r="AO246" s="145"/>
      <c r="AP246" s="145"/>
      <c r="AR246" s="5">
        <v>224</v>
      </c>
      <c r="AS246" s="413" t="s">
        <v>847</v>
      </c>
      <c r="AT246" s="145">
        <v>931</v>
      </c>
      <c r="AU246" s="146">
        <v>1.96</v>
      </c>
      <c r="AV246" s="145">
        <v>4978</v>
      </c>
      <c r="AW246" s="145">
        <v>-18</v>
      </c>
      <c r="AY246" s="5">
        <v>224</v>
      </c>
      <c r="AZ246" s="413" t="s">
        <v>848</v>
      </c>
      <c r="BA246" s="145">
        <v>486</v>
      </c>
      <c r="BB246" s="146">
        <v>3.03</v>
      </c>
      <c r="BC246" s="145">
        <v>4005</v>
      </c>
      <c r="BD246" s="145">
        <v>-14</v>
      </c>
      <c r="BF246" s="5">
        <v>224</v>
      </c>
      <c r="BG246" s="413" t="s">
        <v>718</v>
      </c>
      <c r="BH246" s="145"/>
      <c r="BI246" s="146"/>
      <c r="BJ246" s="145"/>
      <c r="BK246" s="145"/>
      <c r="BM246" s="5">
        <v>224</v>
      </c>
      <c r="BN246" s="413" t="s">
        <v>849</v>
      </c>
      <c r="BO246" s="145">
        <v>915</v>
      </c>
      <c r="BP246" s="146">
        <v>2.5</v>
      </c>
      <c r="BQ246" s="145">
        <v>4584</v>
      </c>
      <c r="BR246" s="145">
        <v>-16</v>
      </c>
      <c r="BS246" s="5"/>
      <c r="BT246" s="5">
        <v>224</v>
      </c>
      <c r="BU246" s="413" t="s">
        <v>718</v>
      </c>
      <c r="BV246" s="145"/>
      <c r="BW246" s="146"/>
      <c r="BX246" s="145"/>
      <c r="BY246" s="145"/>
      <c r="BZ246" s="5"/>
      <c r="CA246" s="5">
        <v>224</v>
      </c>
      <c r="CB246" s="413" t="s">
        <v>718</v>
      </c>
      <c r="CC246" s="145"/>
      <c r="CD246" s="146"/>
      <c r="CE246" s="145"/>
      <c r="CF246" s="145"/>
      <c r="CG246" s="5"/>
      <c r="CH246" s="5"/>
      <c r="CI246" s="5"/>
    </row>
    <row r="247" spans="13:87" x14ac:dyDescent="0.2">
      <c r="M247" s="5">
        <v>225</v>
      </c>
      <c r="N247" s="413" t="str">
        <f t="shared" si="18"/>
        <v xml:space="preserve"> </v>
      </c>
      <c r="O247" s="414">
        <f t="shared" si="19"/>
        <v>0</v>
      </c>
      <c r="P247" s="414">
        <f t="shared" si="20"/>
        <v>0</v>
      </c>
      <c r="Q247" s="145">
        <f t="shared" si="23"/>
        <v>-8</v>
      </c>
      <c r="R247" s="414">
        <f t="shared" si="21"/>
        <v>0</v>
      </c>
      <c r="S247" s="414">
        <f t="shared" si="22"/>
        <v>0</v>
      </c>
      <c r="T247" s="19"/>
      <c r="U247" s="5"/>
      <c r="V247" s="5"/>
      <c r="W247" s="5">
        <v>225</v>
      </c>
      <c r="X247" s="144" t="s">
        <v>718</v>
      </c>
      <c r="Y247" s="145"/>
      <c r="Z247" s="146"/>
      <c r="AA247" s="145"/>
      <c r="AB247" s="145"/>
      <c r="AD247" s="5">
        <v>225</v>
      </c>
      <c r="AE247" s="413" t="s">
        <v>718</v>
      </c>
      <c r="AF247" s="145"/>
      <c r="AG247" s="146"/>
      <c r="AH247" s="145"/>
      <c r="AI247" s="145"/>
      <c r="AK247" s="5">
        <v>225</v>
      </c>
      <c r="AL247" s="413" t="s">
        <v>718</v>
      </c>
      <c r="AM247" s="145"/>
      <c r="AN247" s="146"/>
      <c r="AO247" s="145"/>
      <c r="AP247" s="145"/>
      <c r="AR247" s="5">
        <v>225</v>
      </c>
      <c r="AS247" s="413" t="s">
        <v>270</v>
      </c>
      <c r="AT247" s="145">
        <v>265</v>
      </c>
      <c r="AU247" s="146">
        <v>3.07</v>
      </c>
      <c r="AV247" s="145">
        <v>3707</v>
      </c>
      <c r="AW247" s="145">
        <v>-14</v>
      </c>
      <c r="AY247" s="5">
        <v>225</v>
      </c>
      <c r="AZ247" s="413" t="s">
        <v>271</v>
      </c>
      <c r="BA247" s="145">
        <v>395</v>
      </c>
      <c r="BB247" s="146">
        <v>2.91</v>
      </c>
      <c r="BC247" s="145">
        <v>3982</v>
      </c>
      <c r="BD247" s="145">
        <v>-16</v>
      </c>
      <c r="BF247" s="5">
        <v>225</v>
      </c>
      <c r="BG247" s="413" t="s">
        <v>718</v>
      </c>
      <c r="BH247" s="145"/>
      <c r="BI247" s="146"/>
      <c r="BJ247" s="145"/>
      <c r="BK247" s="145"/>
      <c r="BM247" s="5">
        <v>225</v>
      </c>
      <c r="BN247" s="413" t="s">
        <v>272</v>
      </c>
      <c r="BO247" s="145">
        <v>1053</v>
      </c>
      <c r="BP247" s="146">
        <v>2.4300000000000002</v>
      </c>
      <c r="BQ247" s="145">
        <v>4885</v>
      </c>
      <c r="BR247" s="145">
        <v>-15</v>
      </c>
      <c r="BS247" s="5"/>
      <c r="BT247" s="5">
        <v>225</v>
      </c>
      <c r="BU247" s="413" t="s">
        <v>718</v>
      </c>
      <c r="BV247" s="145"/>
      <c r="BW247" s="146"/>
      <c r="BX247" s="145"/>
      <c r="BY247" s="145"/>
      <c r="BZ247" s="5"/>
      <c r="CA247" s="5">
        <v>225</v>
      </c>
      <c r="CB247" s="413" t="s">
        <v>718</v>
      </c>
      <c r="CC247" s="145"/>
      <c r="CD247" s="146"/>
      <c r="CE247" s="145"/>
      <c r="CF247" s="145"/>
      <c r="CG247" s="5"/>
      <c r="CH247" s="5"/>
      <c r="CI247" s="5"/>
    </row>
    <row r="248" spans="13:87" x14ac:dyDescent="0.2">
      <c r="M248" s="5">
        <v>226</v>
      </c>
      <c r="N248" s="413" t="str">
        <f t="shared" si="18"/>
        <v xml:space="preserve"> </v>
      </c>
      <c r="O248" s="414">
        <f t="shared" si="19"/>
        <v>0</v>
      </c>
      <c r="P248" s="414">
        <f t="shared" si="20"/>
        <v>0</v>
      </c>
      <c r="Q248" s="145">
        <f t="shared" si="23"/>
        <v>-8</v>
      </c>
      <c r="R248" s="414">
        <f t="shared" si="21"/>
        <v>0</v>
      </c>
      <c r="S248" s="414">
        <f t="shared" si="22"/>
        <v>0</v>
      </c>
      <c r="T248" s="19"/>
      <c r="U248" s="5"/>
      <c r="V248" s="5"/>
      <c r="W248" s="5">
        <v>226</v>
      </c>
      <c r="X248" s="144" t="s">
        <v>718</v>
      </c>
      <c r="Y248" s="145"/>
      <c r="Z248" s="146"/>
      <c r="AA248" s="145"/>
      <c r="AB248" s="145"/>
      <c r="AD248" s="5">
        <v>226</v>
      </c>
      <c r="AE248" s="413" t="s">
        <v>718</v>
      </c>
      <c r="AF248" s="145"/>
      <c r="AG248" s="146"/>
      <c r="AH248" s="145"/>
      <c r="AI248" s="145"/>
      <c r="AK248" s="5">
        <v>226</v>
      </c>
      <c r="AL248" s="413" t="s">
        <v>718</v>
      </c>
      <c r="AM248" s="145"/>
      <c r="AN248" s="146"/>
      <c r="AO248" s="145"/>
      <c r="AP248" s="145"/>
      <c r="AR248" s="5">
        <v>226</v>
      </c>
      <c r="AS248" s="413" t="s">
        <v>273</v>
      </c>
      <c r="AT248" s="145">
        <v>275</v>
      </c>
      <c r="AU248" s="146">
        <v>3.27</v>
      </c>
      <c r="AV248" s="145">
        <v>3681</v>
      </c>
      <c r="AW248" s="145">
        <v>-14</v>
      </c>
      <c r="AY248" s="5">
        <v>226</v>
      </c>
      <c r="AZ248" s="413" t="s">
        <v>274</v>
      </c>
      <c r="BA248" s="145">
        <v>815</v>
      </c>
      <c r="BB248" s="146">
        <v>2.2999999999999998</v>
      </c>
      <c r="BC248" s="145">
        <v>4603</v>
      </c>
      <c r="BD248" s="145">
        <v>-16</v>
      </c>
      <c r="BF248" s="5">
        <v>226</v>
      </c>
      <c r="BG248" s="413" t="s">
        <v>718</v>
      </c>
      <c r="BH248" s="145"/>
      <c r="BI248" s="146"/>
      <c r="BJ248" s="145"/>
      <c r="BK248" s="145"/>
      <c r="BM248" s="5">
        <v>226</v>
      </c>
      <c r="BN248" s="413" t="s">
        <v>275</v>
      </c>
      <c r="BO248" s="145">
        <v>419</v>
      </c>
      <c r="BP248" s="146">
        <v>3.02</v>
      </c>
      <c r="BQ248" s="145">
        <v>3752</v>
      </c>
      <c r="BR248" s="145">
        <v>-13</v>
      </c>
      <c r="BS248" s="5"/>
      <c r="BT248" s="5">
        <v>226</v>
      </c>
      <c r="BU248" s="413" t="s">
        <v>718</v>
      </c>
      <c r="BV248" s="145"/>
      <c r="BW248" s="146"/>
      <c r="BX248" s="145"/>
      <c r="BY248" s="145"/>
      <c r="BZ248" s="5"/>
      <c r="CA248" s="5">
        <v>226</v>
      </c>
      <c r="CB248" s="413" t="s">
        <v>718</v>
      </c>
      <c r="CC248" s="145"/>
      <c r="CD248" s="146"/>
      <c r="CE248" s="145"/>
      <c r="CF248" s="145"/>
      <c r="CG248" s="5"/>
      <c r="CH248" s="5"/>
      <c r="CI248" s="5"/>
    </row>
    <row r="249" spans="13:87" x14ac:dyDescent="0.2">
      <c r="M249" s="5">
        <v>227</v>
      </c>
      <c r="N249" s="413" t="str">
        <f t="shared" si="18"/>
        <v xml:space="preserve"> </v>
      </c>
      <c r="O249" s="414">
        <f t="shared" si="19"/>
        <v>0</v>
      </c>
      <c r="P249" s="414">
        <f t="shared" si="20"/>
        <v>0</v>
      </c>
      <c r="Q249" s="145">
        <f t="shared" si="23"/>
        <v>-8</v>
      </c>
      <c r="R249" s="414">
        <f t="shared" si="21"/>
        <v>0</v>
      </c>
      <c r="S249" s="414">
        <f t="shared" si="22"/>
        <v>0</v>
      </c>
      <c r="T249" s="19"/>
      <c r="U249" s="5"/>
      <c r="V249" s="5"/>
      <c r="W249" s="5">
        <v>227</v>
      </c>
      <c r="X249" s="144" t="s">
        <v>718</v>
      </c>
      <c r="Y249" s="145"/>
      <c r="Z249" s="146"/>
      <c r="AA249" s="145"/>
      <c r="AB249" s="145"/>
      <c r="AD249" s="5">
        <v>227</v>
      </c>
      <c r="AE249" s="413" t="s">
        <v>718</v>
      </c>
      <c r="AF249" s="145"/>
      <c r="AG249" s="146"/>
      <c r="AH249" s="145"/>
      <c r="AI249" s="145"/>
      <c r="AK249" s="5">
        <v>227</v>
      </c>
      <c r="AL249" s="413" t="s">
        <v>718</v>
      </c>
      <c r="AM249" s="145"/>
      <c r="AN249" s="146"/>
      <c r="AO249" s="145"/>
      <c r="AP249" s="145"/>
      <c r="AR249" s="5">
        <v>227</v>
      </c>
      <c r="AS249" s="413" t="s">
        <v>276</v>
      </c>
      <c r="AT249" s="145">
        <v>273</v>
      </c>
      <c r="AU249" s="146">
        <v>3.34</v>
      </c>
      <c r="AV249" s="145">
        <v>3515</v>
      </c>
      <c r="AW249" s="145">
        <v>-13</v>
      </c>
      <c r="AY249" s="5">
        <v>227</v>
      </c>
      <c r="AZ249" s="413" t="s">
        <v>277</v>
      </c>
      <c r="BA249" s="145">
        <v>332</v>
      </c>
      <c r="BB249" s="146">
        <v>3.07</v>
      </c>
      <c r="BC249" s="145">
        <v>3877</v>
      </c>
      <c r="BD249" s="145">
        <v>-15</v>
      </c>
      <c r="BF249" s="5">
        <v>227</v>
      </c>
      <c r="BG249" s="413" t="s">
        <v>718</v>
      </c>
      <c r="BH249" s="145"/>
      <c r="BI249" s="146"/>
      <c r="BJ249" s="145"/>
      <c r="BK249" s="145"/>
      <c r="BM249" s="5">
        <v>227</v>
      </c>
      <c r="BN249" s="413" t="s">
        <v>335</v>
      </c>
      <c r="BO249" s="145">
        <v>310</v>
      </c>
      <c r="BP249" s="146">
        <v>3.1</v>
      </c>
      <c r="BQ249" s="145">
        <v>3599</v>
      </c>
      <c r="BR249" s="145">
        <v>-14</v>
      </c>
      <c r="BS249" s="5"/>
      <c r="BT249" s="5">
        <v>227</v>
      </c>
      <c r="BU249" s="413" t="s">
        <v>718</v>
      </c>
      <c r="BV249" s="145"/>
      <c r="BW249" s="146"/>
      <c r="BX249" s="145"/>
      <c r="BY249" s="145"/>
      <c r="BZ249" s="5"/>
      <c r="CA249" s="5">
        <v>227</v>
      </c>
      <c r="CB249" s="413" t="s">
        <v>718</v>
      </c>
      <c r="CC249" s="145"/>
      <c r="CD249" s="146"/>
      <c r="CE249" s="145"/>
      <c r="CF249" s="145"/>
      <c r="CG249" s="5"/>
      <c r="CH249" s="5"/>
      <c r="CI249" s="5"/>
    </row>
    <row r="250" spans="13:87" x14ac:dyDescent="0.2">
      <c r="M250" s="5">
        <v>228</v>
      </c>
      <c r="N250" s="413" t="str">
        <f t="shared" si="18"/>
        <v xml:space="preserve"> </v>
      </c>
      <c r="O250" s="414">
        <f t="shared" si="19"/>
        <v>0</v>
      </c>
      <c r="P250" s="414">
        <f t="shared" si="20"/>
        <v>0</v>
      </c>
      <c r="Q250" s="145">
        <f t="shared" si="23"/>
        <v>-8</v>
      </c>
      <c r="R250" s="414">
        <f t="shared" si="21"/>
        <v>0</v>
      </c>
      <c r="S250" s="414">
        <f t="shared" si="22"/>
        <v>0</v>
      </c>
      <c r="T250" s="19"/>
      <c r="U250" s="5"/>
      <c r="V250" s="5"/>
      <c r="W250" s="5">
        <v>228</v>
      </c>
      <c r="X250" s="144" t="s">
        <v>718</v>
      </c>
      <c r="Y250" s="145"/>
      <c r="Z250" s="146"/>
      <c r="AA250" s="145"/>
      <c r="AB250" s="145"/>
      <c r="AD250" s="5">
        <v>228</v>
      </c>
      <c r="AE250" s="413" t="s">
        <v>718</v>
      </c>
      <c r="AF250" s="145"/>
      <c r="AG250" s="146"/>
      <c r="AH250" s="145"/>
      <c r="AI250" s="145"/>
      <c r="AK250" s="5">
        <v>228</v>
      </c>
      <c r="AL250" s="413" t="s">
        <v>718</v>
      </c>
      <c r="AM250" s="145"/>
      <c r="AN250" s="146"/>
      <c r="AO250" s="145"/>
      <c r="AP250" s="145"/>
      <c r="AR250" s="5">
        <v>228</v>
      </c>
      <c r="AS250" s="413" t="s">
        <v>336</v>
      </c>
      <c r="AT250" s="145">
        <v>485</v>
      </c>
      <c r="AU250" s="146">
        <v>2.91</v>
      </c>
      <c r="AV250" s="145">
        <v>4222</v>
      </c>
      <c r="AW250" s="145">
        <v>-15</v>
      </c>
      <c r="AY250" s="5">
        <v>228</v>
      </c>
      <c r="AZ250" s="413" t="s">
        <v>337</v>
      </c>
      <c r="BA250" s="145">
        <v>486</v>
      </c>
      <c r="BB250" s="146">
        <v>2.98</v>
      </c>
      <c r="BC250" s="145">
        <v>3966</v>
      </c>
      <c r="BD250" s="145">
        <v>-15</v>
      </c>
      <c r="BF250" s="5">
        <v>228</v>
      </c>
      <c r="BG250" s="413" t="s">
        <v>718</v>
      </c>
      <c r="BH250" s="145"/>
      <c r="BI250" s="146"/>
      <c r="BJ250" s="145"/>
      <c r="BK250" s="145"/>
      <c r="BM250" s="5">
        <v>228</v>
      </c>
      <c r="BN250" s="413" t="s">
        <v>338</v>
      </c>
      <c r="BO250" s="145">
        <v>386</v>
      </c>
      <c r="BP250" s="146">
        <v>3.28</v>
      </c>
      <c r="BQ250" s="145">
        <v>3561</v>
      </c>
      <c r="BR250" s="145">
        <v>-12</v>
      </c>
      <c r="BS250" s="5"/>
      <c r="BT250" s="5">
        <v>228</v>
      </c>
      <c r="BU250" s="413" t="s">
        <v>718</v>
      </c>
      <c r="BV250" s="145"/>
      <c r="BW250" s="146"/>
      <c r="BX250" s="145"/>
      <c r="BY250" s="145"/>
      <c r="BZ250" s="5"/>
      <c r="CA250" s="5">
        <v>228</v>
      </c>
      <c r="CB250" s="413" t="s">
        <v>718</v>
      </c>
      <c r="CC250" s="145"/>
      <c r="CD250" s="146"/>
      <c r="CE250" s="145"/>
      <c r="CF250" s="145"/>
      <c r="CG250" s="5"/>
      <c r="CH250" s="5"/>
      <c r="CI250" s="5"/>
    </row>
    <row r="251" spans="13:87" x14ac:dyDescent="0.2">
      <c r="M251" s="5">
        <v>229</v>
      </c>
      <c r="N251" s="413" t="str">
        <f t="shared" si="18"/>
        <v xml:space="preserve"> </v>
      </c>
      <c r="O251" s="414">
        <f t="shared" si="19"/>
        <v>0</v>
      </c>
      <c r="P251" s="414">
        <f t="shared" si="20"/>
        <v>0</v>
      </c>
      <c r="Q251" s="145">
        <f t="shared" si="23"/>
        <v>-8</v>
      </c>
      <c r="R251" s="414">
        <f t="shared" si="21"/>
        <v>0</v>
      </c>
      <c r="S251" s="414">
        <f t="shared" si="22"/>
        <v>0</v>
      </c>
      <c r="T251" s="19"/>
      <c r="U251" s="5"/>
      <c r="V251" s="5"/>
      <c r="W251" s="5">
        <v>229</v>
      </c>
      <c r="X251" s="144" t="s">
        <v>718</v>
      </c>
      <c r="Y251" s="145"/>
      <c r="Z251" s="146"/>
      <c r="AA251" s="145"/>
      <c r="AB251" s="145"/>
      <c r="AD251" s="5">
        <v>229</v>
      </c>
      <c r="AE251" s="413" t="s">
        <v>718</v>
      </c>
      <c r="AF251" s="145"/>
      <c r="AG251" s="146"/>
      <c r="AH251" s="145"/>
      <c r="AI251" s="145"/>
      <c r="AK251" s="5">
        <v>229</v>
      </c>
      <c r="AL251" s="413" t="s">
        <v>718</v>
      </c>
      <c r="AM251" s="145"/>
      <c r="AN251" s="146"/>
      <c r="AO251" s="145"/>
      <c r="AP251" s="145"/>
      <c r="AR251" s="5">
        <v>229</v>
      </c>
      <c r="AS251" s="413" t="s">
        <v>339</v>
      </c>
      <c r="AT251" s="145">
        <v>330</v>
      </c>
      <c r="AU251" s="146">
        <v>2.86</v>
      </c>
      <c r="AV251" s="145">
        <v>3823</v>
      </c>
      <c r="AW251" s="145">
        <v>-15</v>
      </c>
      <c r="AY251" s="5">
        <v>229</v>
      </c>
      <c r="AZ251" s="413" t="s">
        <v>340</v>
      </c>
      <c r="BA251" s="145">
        <v>492</v>
      </c>
      <c r="BB251" s="146">
        <v>3.36</v>
      </c>
      <c r="BC251" s="145">
        <v>3843</v>
      </c>
      <c r="BD251" s="145">
        <v>-14</v>
      </c>
      <c r="BF251" s="5">
        <v>229</v>
      </c>
      <c r="BG251" s="413" t="s">
        <v>718</v>
      </c>
      <c r="BH251" s="145"/>
      <c r="BI251" s="146"/>
      <c r="BJ251" s="145"/>
      <c r="BK251" s="145"/>
      <c r="BM251" s="5">
        <v>229</v>
      </c>
      <c r="BN251" s="413" t="s">
        <v>341</v>
      </c>
      <c r="BO251" s="145">
        <v>373</v>
      </c>
      <c r="BP251" s="146">
        <v>2.92</v>
      </c>
      <c r="BQ251" s="145">
        <v>3861</v>
      </c>
      <c r="BR251" s="145">
        <v>-14</v>
      </c>
      <c r="BS251" s="5"/>
      <c r="BT251" s="5">
        <v>229</v>
      </c>
      <c r="BU251" s="413" t="s">
        <v>718</v>
      </c>
      <c r="BV251" s="145"/>
      <c r="BW251" s="146"/>
      <c r="BX251" s="145"/>
      <c r="BY251" s="145"/>
      <c r="BZ251" s="5"/>
      <c r="CA251" s="5">
        <v>229</v>
      </c>
      <c r="CB251" s="413" t="s">
        <v>718</v>
      </c>
      <c r="CC251" s="145"/>
      <c r="CD251" s="146"/>
      <c r="CE251" s="145"/>
      <c r="CF251" s="145"/>
      <c r="CG251" s="5"/>
      <c r="CH251" s="5"/>
      <c r="CI251" s="5"/>
    </row>
    <row r="252" spans="13:87" x14ac:dyDescent="0.2">
      <c r="M252" s="5">
        <v>230</v>
      </c>
      <c r="N252" s="413" t="str">
        <f t="shared" si="18"/>
        <v xml:space="preserve"> </v>
      </c>
      <c r="O252" s="414">
        <f t="shared" si="19"/>
        <v>0</v>
      </c>
      <c r="P252" s="414">
        <f t="shared" si="20"/>
        <v>0</v>
      </c>
      <c r="Q252" s="145">
        <f t="shared" si="23"/>
        <v>-8</v>
      </c>
      <c r="R252" s="414">
        <f t="shared" si="21"/>
        <v>0</v>
      </c>
      <c r="S252" s="414">
        <f t="shared" si="22"/>
        <v>0</v>
      </c>
      <c r="T252" s="19"/>
      <c r="U252" s="5"/>
      <c r="V252" s="5"/>
      <c r="W252" s="5">
        <v>230</v>
      </c>
      <c r="X252" s="144" t="s">
        <v>718</v>
      </c>
      <c r="Y252" s="145"/>
      <c r="Z252" s="146"/>
      <c r="AA252" s="145"/>
      <c r="AB252" s="145"/>
      <c r="AD252" s="5">
        <v>230</v>
      </c>
      <c r="AE252" s="413" t="s">
        <v>718</v>
      </c>
      <c r="AF252" s="145"/>
      <c r="AG252" s="146"/>
      <c r="AH252" s="145"/>
      <c r="AI252" s="145"/>
      <c r="AK252" s="5">
        <v>230</v>
      </c>
      <c r="AL252" s="413" t="s">
        <v>718</v>
      </c>
      <c r="AM252" s="145"/>
      <c r="AN252" s="146"/>
      <c r="AO252" s="145"/>
      <c r="AP252" s="145"/>
      <c r="AR252" s="5">
        <v>230</v>
      </c>
      <c r="AS252" s="413" t="s">
        <v>342</v>
      </c>
      <c r="AT252" s="145">
        <v>522</v>
      </c>
      <c r="AU252" s="146">
        <v>2.5499999999999998</v>
      </c>
      <c r="AV252" s="145">
        <v>4328</v>
      </c>
      <c r="AW252" s="145">
        <v>-16</v>
      </c>
      <c r="AY252" s="5">
        <v>230</v>
      </c>
      <c r="AZ252" s="413" t="s">
        <v>330</v>
      </c>
      <c r="BA252" s="145">
        <v>440</v>
      </c>
      <c r="BB252" s="146">
        <v>3.06</v>
      </c>
      <c r="BC252" s="145">
        <v>3931</v>
      </c>
      <c r="BD252" s="145">
        <v>-15</v>
      </c>
      <c r="BF252" s="5">
        <v>230</v>
      </c>
      <c r="BG252" s="413" t="s">
        <v>718</v>
      </c>
      <c r="BH252" s="145"/>
      <c r="BI252" s="146"/>
      <c r="BJ252" s="145"/>
      <c r="BK252" s="145"/>
      <c r="BM252" s="5">
        <v>230</v>
      </c>
      <c r="BN252" s="413" t="s">
        <v>331</v>
      </c>
      <c r="BO252" s="145">
        <v>355</v>
      </c>
      <c r="BP252" s="146">
        <v>2.96</v>
      </c>
      <c r="BQ252" s="145">
        <v>3680</v>
      </c>
      <c r="BR252" s="145">
        <v>-14</v>
      </c>
      <c r="BS252" s="5"/>
      <c r="BT252" s="5">
        <v>230</v>
      </c>
      <c r="BU252" s="413" t="s">
        <v>718</v>
      </c>
      <c r="BV252" s="145"/>
      <c r="BW252" s="146"/>
      <c r="BX252" s="145"/>
      <c r="BY252" s="145"/>
      <c r="BZ252" s="5"/>
      <c r="CA252" s="5">
        <v>230</v>
      </c>
      <c r="CB252" s="413" t="s">
        <v>718</v>
      </c>
      <c r="CC252" s="145"/>
      <c r="CD252" s="146"/>
      <c r="CE252" s="145"/>
      <c r="CF252" s="145"/>
      <c r="CG252" s="5"/>
      <c r="CH252" s="5"/>
      <c r="CI252" s="5"/>
    </row>
    <row r="253" spans="13:87" x14ac:dyDescent="0.2">
      <c r="M253" s="5">
        <v>231</v>
      </c>
      <c r="N253" s="413" t="str">
        <f t="shared" si="18"/>
        <v xml:space="preserve"> </v>
      </c>
      <c r="O253" s="414">
        <f t="shared" si="19"/>
        <v>0</v>
      </c>
      <c r="P253" s="414">
        <f t="shared" si="20"/>
        <v>0</v>
      </c>
      <c r="Q253" s="145">
        <f t="shared" si="23"/>
        <v>-8</v>
      </c>
      <c r="R253" s="414">
        <f t="shared" si="21"/>
        <v>0</v>
      </c>
      <c r="S253" s="414">
        <f t="shared" si="22"/>
        <v>0</v>
      </c>
      <c r="T253" s="19"/>
      <c r="U253" s="5"/>
      <c r="V253" s="5"/>
      <c r="W253" s="5">
        <v>231</v>
      </c>
      <c r="X253" s="144" t="s">
        <v>718</v>
      </c>
      <c r="Y253" s="145"/>
      <c r="Z253" s="146"/>
      <c r="AA253" s="145"/>
      <c r="AB253" s="145"/>
      <c r="AD253" s="5">
        <v>231</v>
      </c>
      <c r="AE253" s="413" t="s">
        <v>718</v>
      </c>
      <c r="AF253" s="145"/>
      <c r="AG253" s="146"/>
      <c r="AH253" s="145"/>
      <c r="AI253" s="145"/>
      <c r="AK253" s="5">
        <v>231</v>
      </c>
      <c r="AL253" s="413" t="s">
        <v>718</v>
      </c>
      <c r="AM253" s="145"/>
      <c r="AN253" s="146"/>
      <c r="AO253" s="145"/>
      <c r="AP253" s="145"/>
      <c r="AR253" s="5">
        <v>231</v>
      </c>
      <c r="AS253" s="413" t="s">
        <v>332</v>
      </c>
      <c r="AT253" s="145">
        <v>305</v>
      </c>
      <c r="AU253" s="146">
        <v>3.28</v>
      </c>
      <c r="AV253" s="145">
        <v>3746</v>
      </c>
      <c r="AW253" s="145">
        <v>-13</v>
      </c>
      <c r="AY253" s="5">
        <v>231</v>
      </c>
      <c r="AZ253" s="413" t="s">
        <v>333</v>
      </c>
      <c r="BA253" s="145">
        <v>388</v>
      </c>
      <c r="BB253" s="146">
        <v>3.14</v>
      </c>
      <c r="BC253" s="145">
        <v>3827</v>
      </c>
      <c r="BD253" s="145">
        <v>-15</v>
      </c>
      <c r="BF253" s="5">
        <v>231</v>
      </c>
      <c r="BG253" s="413" t="s">
        <v>718</v>
      </c>
      <c r="BH253" s="145"/>
      <c r="BI253" s="146"/>
      <c r="BJ253" s="145"/>
      <c r="BK253" s="145"/>
      <c r="BM253" s="5">
        <v>231</v>
      </c>
      <c r="BN253" s="413" t="s">
        <v>334</v>
      </c>
      <c r="BO253" s="145">
        <v>658</v>
      </c>
      <c r="BP253" s="146">
        <v>2.75</v>
      </c>
      <c r="BQ253" s="145">
        <v>4208</v>
      </c>
      <c r="BR253" s="145">
        <v>-15</v>
      </c>
      <c r="BS253" s="5"/>
      <c r="BT253" s="5">
        <v>231</v>
      </c>
      <c r="BU253" s="413" t="s">
        <v>718</v>
      </c>
      <c r="BV253" s="145"/>
      <c r="BW253" s="146"/>
      <c r="BX253" s="145"/>
      <c r="BY253" s="145"/>
      <c r="BZ253" s="5"/>
      <c r="CA253" s="5">
        <v>231</v>
      </c>
      <c r="CB253" s="413" t="s">
        <v>718</v>
      </c>
      <c r="CC253" s="145"/>
      <c r="CD253" s="146"/>
      <c r="CE253" s="145"/>
      <c r="CF253" s="145"/>
      <c r="CG253" s="5"/>
      <c r="CH253" s="5"/>
      <c r="CI253" s="5"/>
    </row>
    <row r="254" spans="13:87" x14ac:dyDescent="0.2">
      <c r="M254" s="5">
        <v>232</v>
      </c>
      <c r="N254" s="413" t="str">
        <f t="shared" si="18"/>
        <v xml:space="preserve"> </v>
      </c>
      <c r="O254" s="414">
        <f t="shared" si="19"/>
        <v>0</v>
      </c>
      <c r="P254" s="414">
        <f t="shared" si="20"/>
        <v>0</v>
      </c>
      <c r="Q254" s="145">
        <f t="shared" si="23"/>
        <v>-8</v>
      </c>
      <c r="R254" s="414">
        <f t="shared" si="21"/>
        <v>0</v>
      </c>
      <c r="S254" s="414">
        <f t="shared" si="22"/>
        <v>0</v>
      </c>
      <c r="T254" s="19"/>
      <c r="U254" s="5"/>
      <c r="V254" s="5"/>
      <c r="W254" s="5">
        <v>232</v>
      </c>
      <c r="X254" s="144" t="s">
        <v>718</v>
      </c>
      <c r="Y254" s="145"/>
      <c r="Z254" s="146"/>
      <c r="AA254" s="145"/>
      <c r="AB254" s="145"/>
      <c r="AD254" s="5">
        <v>232</v>
      </c>
      <c r="AE254" s="413" t="s">
        <v>718</v>
      </c>
      <c r="AF254" s="145"/>
      <c r="AG254" s="146"/>
      <c r="AH254" s="145"/>
      <c r="AI254" s="145"/>
      <c r="AK254" s="5">
        <v>232</v>
      </c>
      <c r="AL254" s="413" t="s">
        <v>718</v>
      </c>
      <c r="AM254" s="145"/>
      <c r="AN254" s="146"/>
      <c r="AO254" s="145"/>
      <c r="AP254" s="145"/>
      <c r="AR254" s="5">
        <v>232</v>
      </c>
      <c r="AS254" s="413" t="s">
        <v>343</v>
      </c>
      <c r="AT254" s="145">
        <v>226</v>
      </c>
      <c r="AU254" s="146">
        <v>3.36</v>
      </c>
      <c r="AV254" s="145">
        <v>3693</v>
      </c>
      <c r="AW254" s="145">
        <v>-13</v>
      </c>
      <c r="AY254" s="5">
        <v>232</v>
      </c>
      <c r="AZ254" s="413" t="s">
        <v>344</v>
      </c>
      <c r="BA254" s="145">
        <v>575</v>
      </c>
      <c r="BB254" s="146">
        <v>2.64</v>
      </c>
      <c r="BC254" s="145">
        <v>4443</v>
      </c>
      <c r="BD254" s="145">
        <v>-18</v>
      </c>
      <c r="BF254" s="5">
        <v>232</v>
      </c>
      <c r="BG254" s="413" t="s">
        <v>718</v>
      </c>
      <c r="BH254" s="145"/>
      <c r="BI254" s="146"/>
      <c r="BJ254" s="145"/>
      <c r="BK254" s="145"/>
      <c r="BM254" s="5">
        <v>232</v>
      </c>
      <c r="BN254" s="413" t="s">
        <v>345</v>
      </c>
      <c r="BO254" s="145">
        <v>822</v>
      </c>
      <c r="BP254" s="146">
        <v>2.57</v>
      </c>
      <c r="BQ254" s="145">
        <v>4496</v>
      </c>
      <c r="BR254" s="145">
        <v>-16</v>
      </c>
      <c r="BS254" s="5"/>
      <c r="BT254" s="5">
        <v>232</v>
      </c>
      <c r="BU254" s="413" t="s">
        <v>718</v>
      </c>
      <c r="BV254" s="145"/>
      <c r="BW254" s="146"/>
      <c r="BX254" s="145"/>
      <c r="BY254" s="145"/>
      <c r="BZ254" s="5"/>
      <c r="CA254" s="5">
        <v>232</v>
      </c>
      <c r="CB254" s="413" t="s">
        <v>718</v>
      </c>
      <c r="CC254" s="145"/>
      <c r="CD254" s="146"/>
      <c r="CE254" s="145"/>
      <c r="CF254" s="145"/>
      <c r="CG254" s="5"/>
      <c r="CH254" s="5"/>
      <c r="CI254" s="5"/>
    </row>
    <row r="255" spans="13:87" x14ac:dyDescent="0.2">
      <c r="M255" s="5">
        <v>233</v>
      </c>
      <c r="N255" s="413" t="str">
        <f t="shared" si="18"/>
        <v xml:space="preserve"> </v>
      </c>
      <c r="O255" s="414">
        <f t="shared" si="19"/>
        <v>0</v>
      </c>
      <c r="P255" s="414">
        <f t="shared" si="20"/>
        <v>0</v>
      </c>
      <c r="Q255" s="145">
        <f t="shared" si="23"/>
        <v>-8</v>
      </c>
      <c r="R255" s="414">
        <f t="shared" si="21"/>
        <v>0</v>
      </c>
      <c r="S255" s="414">
        <f t="shared" si="22"/>
        <v>0</v>
      </c>
      <c r="T255" s="19"/>
      <c r="U255" s="5"/>
      <c r="V255" s="5"/>
      <c r="W255" s="5">
        <v>233</v>
      </c>
      <c r="X255" s="144" t="s">
        <v>718</v>
      </c>
      <c r="Y255" s="145"/>
      <c r="Z255" s="146"/>
      <c r="AA255" s="145"/>
      <c r="AB255" s="145"/>
      <c r="AD255" s="5">
        <v>233</v>
      </c>
      <c r="AE255" s="413" t="s">
        <v>718</v>
      </c>
      <c r="AF255" s="145"/>
      <c r="AG255" s="146"/>
      <c r="AH255" s="145"/>
      <c r="AI255" s="145"/>
      <c r="AK255" s="5">
        <v>233</v>
      </c>
      <c r="AL255" s="413" t="s">
        <v>718</v>
      </c>
      <c r="AM255" s="145"/>
      <c r="AN255" s="146"/>
      <c r="AO255" s="145"/>
      <c r="AP255" s="145"/>
      <c r="AR255" s="5">
        <v>233</v>
      </c>
      <c r="AS255" s="413" t="s">
        <v>346</v>
      </c>
      <c r="AT255" s="145">
        <v>690</v>
      </c>
      <c r="AU255" s="146">
        <v>3.1</v>
      </c>
      <c r="AV255" s="145">
        <v>4429</v>
      </c>
      <c r="AW255" s="145">
        <v>-15</v>
      </c>
      <c r="AY255" s="5">
        <v>233</v>
      </c>
      <c r="AZ255" s="413" t="s">
        <v>347</v>
      </c>
      <c r="BA255" s="145">
        <v>435</v>
      </c>
      <c r="BB255" s="146">
        <v>3.09</v>
      </c>
      <c r="BC255" s="145">
        <v>3922</v>
      </c>
      <c r="BD255" s="145">
        <v>-15</v>
      </c>
      <c r="BF255" s="5">
        <v>233</v>
      </c>
      <c r="BG255" s="413" t="s">
        <v>718</v>
      </c>
      <c r="BH255" s="145"/>
      <c r="BI255" s="146"/>
      <c r="BJ255" s="145"/>
      <c r="BK255" s="145"/>
      <c r="BM255" s="5">
        <v>233</v>
      </c>
      <c r="BN255" s="413" t="s">
        <v>348</v>
      </c>
      <c r="BO255" s="145">
        <v>920</v>
      </c>
      <c r="BP255" s="146">
        <v>2.58</v>
      </c>
      <c r="BQ255" s="145">
        <v>4565</v>
      </c>
      <c r="BR255" s="145">
        <v>-15</v>
      </c>
      <c r="BS255" s="5"/>
      <c r="BT255" s="5">
        <v>233</v>
      </c>
      <c r="BU255" s="413" t="s">
        <v>718</v>
      </c>
      <c r="BV255" s="145"/>
      <c r="BW255" s="146"/>
      <c r="BX255" s="145"/>
      <c r="BY255" s="145"/>
      <c r="BZ255" s="5"/>
      <c r="CA255" s="5">
        <v>233</v>
      </c>
      <c r="CB255" s="413" t="s">
        <v>718</v>
      </c>
      <c r="CC255" s="145"/>
      <c r="CD255" s="146"/>
      <c r="CE255" s="145"/>
      <c r="CF255" s="145"/>
      <c r="CG255" s="5"/>
      <c r="CH255" s="5"/>
      <c r="CI255" s="5"/>
    </row>
    <row r="256" spans="13:87" x14ac:dyDescent="0.2">
      <c r="M256" s="5">
        <v>234</v>
      </c>
      <c r="N256" s="413" t="str">
        <f t="shared" si="18"/>
        <v xml:space="preserve"> </v>
      </c>
      <c r="O256" s="414">
        <f t="shared" si="19"/>
        <v>0</v>
      </c>
      <c r="P256" s="414">
        <f t="shared" si="20"/>
        <v>0</v>
      </c>
      <c r="Q256" s="145">
        <f t="shared" si="23"/>
        <v>-8</v>
      </c>
      <c r="R256" s="414">
        <f t="shared" si="21"/>
        <v>0</v>
      </c>
      <c r="S256" s="414">
        <f t="shared" si="22"/>
        <v>0</v>
      </c>
      <c r="T256" s="19"/>
      <c r="U256" s="5"/>
      <c r="V256" s="5"/>
      <c r="W256" s="5">
        <v>234</v>
      </c>
      <c r="X256" s="144" t="s">
        <v>718</v>
      </c>
      <c r="Y256" s="145"/>
      <c r="Z256" s="146"/>
      <c r="AA256" s="145"/>
      <c r="AB256" s="145"/>
      <c r="AD256" s="5">
        <v>234</v>
      </c>
      <c r="AE256" s="413" t="s">
        <v>718</v>
      </c>
      <c r="AF256" s="145"/>
      <c r="AG256" s="146"/>
      <c r="AH256" s="145"/>
      <c r="AI256" s="145"/>
      <c r="AK256" s="5">
        <v>234</v>
      </c>
      <c r="AL256" s="413" t="s">
        <v>718</v>
      </c>
      <c r="AM256" s="145"/>
      <c r="AN256" s="146"/>
      <c r="AO256" s="145"/>
      <c r="AP256" s="145"/>
      <c r="AR256" s="5">
        <v>234</v>
      </c>
      <c r="AS256" s="413" t="s">
        <v>349</v>
      </c>
      <c r="AT256" s="145">
        <v>206</v>
      </c>
      <c r="AU256" s="146">
        <v>3.11</v>
      </c>
      <c r="AV256" s="145">
        <v>3598</v>
      </c>
      <c r="AW256" s="145">
        <v>-14</v>
      </c>
      <c r="AY256" s="5">
        <v>234</v>
      </c>
      <c r="AZ256" s="413" t="s">
        <v>350</v>
      </c>
      <c r="BA256" s="145">
        <v>374</v>
      </c>
      <c r="BB256" s="146">
        <v>2.88</v>
      </c>
      <c r="BC256" s="145">
        <v>3988</v>
      </c>
      <c r="BD256" s="145">
        <v>-16</v>
      </c>
      <c r="BF256" s="5">
        <v>234</v>
      </c>
      <c r="BG256" s="413" t="s">
        <v>718</v>
      </c>
      <c r="BH256" s="145"/>
      <c r="BI256" s="146"/>
      <c r="BJ256" s="145"/>
      <c r="BK256" s="145"/>
      <c r="BM256" s="5">
        <v>234</v>
      </c>
      <c r="BN256" s="413" t="s">
        <v>351</v>
      </c>
      <c r="BO256" s="145">
        <v>1050</v>
      </c>
      <c r="BP256" s="146">
        <v>2.67</v>
      </c>
      <c r="BQ256" s="145">
        <v>4714</v>
      </c>
      <c r="BR256" s="145">
        <v>-14</v>
      </c>
      <c r="BS256" s="5"/>
      <c r="BT256" s="5">
        <v>234</v>
      </c>
      <c r="BU256" s="413" t="s">
        <v>718</v>
      </c>
      <c r="BV256" s="145"/>
      <c r="BW256" s="146"/>
      <c r="BX256" s="145"/>
      <c r="BY256" s="145"/>
      <c r="BZ256" s="5"/>
      <c r="CA256" s="5">
        <v>234</v>
      </c>
      <c r="CB256" s="413" t="s">
        <v>718</v>
      </c>
      <c r="CC256" s="145"/>
      <c r="CD256" s="146"/>
      <c r="CE256" s="145"/>
      <c r="CF256" s="145"/>
      <c r="CG256" s="5"/>
      <c r="CH256" s="5"/>
      <c r="CI256" s="5"/>
    </row>
    <row r="257" spans="13:87" x14ac:dyDescent="0.2">
      <c r="M257" s="5">
        <v>235</v>
      </c>
      <c r="N257" s="413" t="str">
        <f t="shared" si="18"/>
        <v xml:space="preserve"> </v>
      </c>
      <c r="O257" s="414">
        <f t="shared" si="19"/>
        <v>0</v>
      </c>
      <c r="P257" s="414">
        <f t="shared" si="20"/>
        <v>0</v>
      </c>
      <c r="Q257" s="145">
        <f t="shared" si="23"/>
        <v>-8</v>
      </c>
      <c r="R257" s="414">
        <f t="shared" si="21"/>
        <v>0</v>
      </c>
      <c r="S257" s="414">
        <f t="shared" si="22"/>
        <v>0</v>
      </c>
      <c r="T257" s="19"/>
      <c r="U257" s="5"/>
      <c r="V257" s="5"/>
      <c r="W257" s="5">
        <v>235</v>
      </c>
      <c r="X257" s="144" t="s">
        <v>718</v>
      </c>
      <c r="Y257" s="145"/>
      <c r="Z257" s="146"/>
      <c r="AA257" s="145"/>
      <c r="AB257" s="145"/>
      <c r="AD257" s="5">
        <v>235</v>
      </c>
      <c r="AE257" s="413" t="s">
        <v>718</v>
      </c>
      <c r="AF257" s="145"/>
      <c r="AG257" s="146"/>
      <c r="AH257" s="145"/>
      <c r="AI257" s="145"/>
      <c r="AK257" s="5">
        <v>235</v>
      </c>
      <c r="AL257" s="413" t="s">
        <v>718</v>
      </c>
      <c r="AM257" s="145"/>
      <c r="AN257" s="146"/>
      <c r="AO257" s="145"/>
      <c r="AP257" s="145"/>
      <c r="AR257" s="5">
        <v>235</v>
      </c>
      <c r="AS257" s="413" t="s">
        <v>352</v>
      </c>
      <c r="AT257" s="145">
        <v>390</v>
      </c>
      <c r="AU257" s="146">
        <v>2.94</v>
      </c>
      <c r="AV257" s="145">
        <v>4025</v>
      </c>
      <c r="AW257" s="145">
        <v>-16</v>
      </c>
      <c r="AY257" s="5">
        <v>235</v>
      </c>
      <c r="AZ257" s="413" t="s">
        <v>353</v>
      </c>
      <c r="BA257" s="145">
        <v>514</v>
      </c>
      <c r="BB257" s="146">
        <v>3</v>
      </c>
      <c r="BC257" s="145">
        <v>4030</v>
      </c>
      <c r="BD257" s="145">
        <v>-16</v>
      </c>
      <c r="BF257" s="5">
        <v>235</v>
      </c>
      <c r="BG257" s="413" t="s">
        <v>718</v>
      </c>
      <c r="BH257" s="145"/>
      <c r="BI257" s="146"/>
      <c r="BJ257" s="145"/>
      <c r="BK257" s="145"/>
      <c r="BM257" s="5">
        <v>235</v>
      </c>
      <c r="BN257" s="413" t="s">
        <v>354</v>
      </c>
      <c r="BO257" s="145">
        <v>728</v>
      </c>
      <c r="BP257" s="146">
        <v>2.85</v>
      </c>
      <c r="BQ257" s="145">
        <v>4236</v>
      </c>
      <c r="BR257" s="145">
        <v>-15</v>
      </c>
      <c r="BS257" s="5"/>
      <c r="BT257" s="5">
        <v>235</v>
      </c>
      <c r="BU257" s="413" t="s">
        <v>718</v>
      </c>
      <c r="BV257" s="145"/>
      <c r="BW257" s="146"/>
      <c r="BX257" s="145"/>
      <c r="BY257" s="145"/>
      <c r="BZ257" s="5"/>
      <c r="CA257" s="5">
        <v>235</v>
      </c>
      <c r="CB257" s="413" t="s">
        <v>718</v>
      </c>
      <c r="CC257" s="145"/>
      <c r="CD257" s="146"/>
      <c r="CE257" s="145"/>
      <c r="CF257" s="145"/>
      <c r="CG257" s="5"/>
      <c r="CH257" s="5"/>
      <c r="CI257" s="5"/>
    </row>
    <row r="258" spans="13:87" x14ac:dyDescent="0.2">
      <c r="M258" s="5">
        <v>236</v>
      </c>
      <c r="N258" s="413" t="str">
        <f t="shared" si="18"/>
        <v xml:space="preserve"> </v>
      </c>
      <c r="O258" s="414">
        <f t="shared" si="19"/>
        <v>0</v>
      </c>
      <c r="P258" s="414">
        <f t="shared" si="20"/>
        <v>0</v>
      </c>
      <c r="Q258" s="145">
        <f t="shared" si="23"/>
        <v>-8</v>
      </c>
      <c r="R258" s="414">
        <f t="shared" si="21"/>
        <v>0</v>
      </c>
      <c r="S258" s="414">
        <f t="shared" si="22"/>
        <v>0</v>
      </c>
      <c r="T258" s="19"/>
      <c r="U258" s="5"/>
      <c r="V258" s="5"/>
      <c r="W258" s="5">
        <v>236</v>
      </c>
      <c r="X258" s="144" t="s">
        <v>718</v>
      </c>
      <c r="Y258" s="145"/>
      <c r="Z258" s="146"/>
      <c r="AA258" s="145"/>
      <c r="AB258" s="145"/>
      <c r="AD258" s="5">
        <v>236</v>
      </c>
      <c r="AE258" s="413" t="s">
        <v>718</v>
      </c>
      <c r="AF258" s="145"/>
      <c r="AG258" s="146"/>
      <c r="AH258" s="145"/>
      <c r="AI258" s="145"/>
      <c r="AK258" s="5">
        <v>236</v>
      </c>
      <c r="AL258" s="413" t="s">
        <v>718</v>
      </c>
      <c r="AM258" s="145"/>
      <c r="AN258" s="146"/>
      <c r="AO258" s="145"/>
      <c r="AP258" s="145"/>
      <c r="AR258" s="5">
        <v>236</v>
      </c>
      <c r="AS258" s="413" t="s">
        <v>355</v>
      </c>
      <c r="AT258" s="145">
        <v>295</v>
      </c>
      <c r="AU258" s="146">
        <v>3.2</v>
      </c>
      <c r="AV258" s="145">
        <v>3830</v>
      </c>
      <c r="AW258" s="145">
        <v>-14</v>
      </c>
      <c r="AY258" s="5">
        <v>236</v>
      </c>
      <c r="AZ258" s="413" t="s">
        <v>356</v>
      </c>
      <c r="BA258" s="145">
        <v>425</v>
      </c>
      <c r="BB258" s="146">
        <v>3.11</v>
      </c>
      <c r="BC258" s="145">
        <v>3801</v>
      </c>
      <c r="BD258" s="145">
        <v>-14</v>
      </c>
      <c r="BF258" s="5">
        <v>236</v>
      </c>
      <c r="BG258" s="413" t="s">
        <v>718</v>
      </c>
      <c r="BH258" s="145"/>
      <c r="BI258" s="146"/>
      <c r="BJ258" s="145"/>
      <c r="BK258" s="145"/>
      <c r="BM258" s="5">
        <v>236</v>
      </c>
      <c r="BN258" s="413" t="s">
        <v>1009</v>
      </c>
      <c r="BO258" s="145">
        <v>615</v>
      </c>
      <c r="BP258" s="146">
        <v>2.64</v>
      </c>
      <c r="BQ258" s="145">
        <v>4132</v>
      </c>
      <c r="BR258" s="145">
        <v>-15</v>
      </c>
      <c r="BS258" s="5"/>
      <c r="BT258" s="5">
        <v>236</v>
      </c>
      <c r="BU258" s="413" t="s">
        <v>718</v>
      </c>
      <c r="BV258" s="145"/>
      <c r="BW258" s="146"/>
      <c r="BX258" s="145"/>
      <c r="BY258" s="145"/>
      <c r="BZ258" s="5"/>
      <c r="CA258" s="5">
        <v>236</v>
      </c>
      <c r="CB258" s="413" t="s">
        <v>718</v>
      </c>
      <c r="CC258" s="145"/>
      <c r="CD258" s="146"/>
      <c r="CE258" s="145"/>
      <c r="CF258" s="145"/>
      <c r="CG258" s="5"/>
      <c r="CH258" s="5"/>
      <c r="CI258" s="5"/>
    </row>
    <row r="259" spans="13:87" x14ac:dyDescent="0.2">
      <c r="M259" s="5">
        <v>237</v>
      </c>
      <c r="N259" s="413" t="str">
        <f t="shared" si="18"/>
        <v xml:space="preserve"> </v>
      </c>
      <c r="O259" s="414">
        <f t="shared" si="19"/>
        <v>0</v>
      </c>
      <c r="P259" s="414">
        <f t="shared" si="20"/>
        <v>0</v>
      </c>
      <c r="Q259" s="145">
        <f t="shared" si="23"/>
        <v>-8</v>
      </c>
      <c r="R259" s="414">
        <f t="shared" si="21"/>
        <v>0</v>
      </c>
      <c r="S259" s="414">
        <f t="shared" si="22"/>
        <v>0</v>
      </c>
      <c r="T259" s="19"/>
      <c r="U259" s="5"/>
      <c r="V259" s="5"/>
      <c r="W259" s="5">
        <v>237</v>
      </c>
      <c r="X259" s="144" t="s">
        <v>718</v>
      </c>
      <c r="Y259" s="145"/>
      <c r="Z259" s="146"/>
      <c r="AA259" s="145"/>
      <c r="AB259" s="145"/>
      <c r="AD259" s="5">
        <v>237</v>
      </c>
      <c r="AE259" s="413" t="s">
        <v>718</v>
      </c>
      <c r="AF259" s="145"/>
      <c r="AG259" s="146"/>
      <c r="AH259" s="145"/>
      <c r="AI259" s="145"/>
      <c r="AK259" s="5">
        <v>237</v>
      </c>
      <c r="AL259" s="413" t="s">
        <v>718</v>
      </c>
      <c r="AM259" s="145"/>
      <c r="AN259" s="146"/>
      <c r="AO259" s="145"/>
      <c r="AP259" s="145"/>
      <c r="AR259" s="5">
        <v>237</v>
      </c>
      <c r="AS259" s="413" t="s">
        <v>1010</v>
      </c>
      <c r="AT259" s="145">
        <v>212</v>
      </c>
      <c r="AU259" s="146">
        <v>3.29</v>
      </c>
      <c r="AV259" s="145">
        <v>3610</v>
      </c>
      <c r="AW259" s="145">
        <v>-13</v>
      </c>
      <c r="AY259" s="5">
        <v>237</v>
      </c>
      <c r="AZ259" s="413" t="s">
        <v>1011</v>
      </c>
      <c r="BA259" s="145">
        <v>599</v>
      </c>
      <c r="BB259" s="146">
        <v>2.61</v>
      </c>
      <c r="BC259" s="145">
        <v>4226</v>
      </c>
      <c r="BD259" s="145">
        <v>-15</v>
      </c>
      <c r="BF259" s="5">
        <v>237</v>
      </c>
      <c r="BG259" s="413" t="s">
        <v>718</v>
      </c>
      <c r="BH259" s="145"/>
      <c r="BI259" s="146"/>
      <c r="BJ259" s="145"/>
      <c r="BK259" s="145"/>
      <c r="BM259" s="5">
        <v>237</v>
      </c>
      <c r="BN259" s="413" t="s">
        <v>1012</v>
      </c>
      <c r="BO259" s="145">
        <v>570</v>
      </c>
      <c r="BP259" s="146">
        <v>2.84</v>
      </c>
      <c r="BQ259" s="145">
        <v>4102</v>
      </c>
      <c r="BR259" s="145">
        <v>-14</v>
      </c>
      <c r="BS259" s="5"/>
      <c r="BT259" s="5">
        <v>237</v>
      </c>
      <c r="BU259" s="413" t="s">
        <v>718</v>
      </c>
      <c r="BV259" s="145"/>
      <c r="BW259" s="146"/>
      <c r="BX259" s="145"/>
      <c r="BY259" s="145"/>
      <c r="BZ259" s="5"/>
      <c r="CA259" s="5">
        <v>237</v>
      </c>
      <c r="CB259" s="413" t="s">
        <v>718</v>
      </c>
      <c r="CC259" s="145"/>
      <c r="CD259" s="146"/>
      <c r="CE259" s="145"/>
      <c r="CF259" s="145"/>
      <c r="CG259" s="5"/>
      <c r="CH259" s="5"/>
      <c r="CI259" s="5"/>
    </row>
    <row r="260" spans="13:87" x14ac:dyDescent="0.2">
      <c r="M260" s="5">
        <v>238</v>
      </c>
      <c r="N260" s="413" t="str">
        <f t="shared" si="18"/>
        <v xml:space="preserve"> </v>
      </c>
      <c r="O260" s="414">
        <f t="shared" si="19"/>
        <v>0</v>
      </c>
      <c r="P260" s="414">
        <f t="shared" si="20"/>
        <v>0</v>
      </c>
      <c r="Q260" s="145">
        <f t="shared" si="23"/>
        <v>-8</v>
      </c>
      <c r="R260" s="414">
        <f t="shared" si="21"/>
        <v>0</v>
      </c>
      <c r="S260" s="414">
        <f t="shared" si="22"/>
        <v>0</v>
      </c>
      <c r="T260" s="19"/>
      <c r="U260" s="5"/>
      <c r="V260" s="5"/>
      <c r="W260" s="5">
        <v>238</v>
      </c>
      <c r="X260" s="144" t="s">
        <v>718</v>
      </c>
      <c r="Y260" s="145"/>
      <c r="Z260" s="146"/>
      <c r="AA260" s="145"/>
      <c r="AB260" s="145"/>
      <c r="AD260" s="5">
        <v>238</v>
      </c>
      <c r="AE260" s="413" t="s">
        <v>718</v>
      </c>
      <c r="AF260" s="145"/>
      <c r="AG260" s="146"/>
      <c r="AH260" s="145"/>
      <c r="AI260" s="145"/>
      <c r="AK260" s="5">
        <v>238</v>
      </c>
      <c r="AL260" s="413" t="s">
        <v>718</v>
      </c>
      <c r="AM260" s="145"/>
      <c r="AN260" s="146"/>
      <c r="AO260" s="145"/>
      <c r="AP260" s="145"/>
      <c r="AR260" s="5">
        <v>238</v>
      </c>
      <c r="AS260" s="413" t="s">
        <v>1013</v>
      </c>
      <c r="AT260" s="145">
        <v>575</v>
      </c>
      <c r="AU260" s="146">
        <v>2.4700000000000002</v>
      </c>
      <c r="AV260" s="145">
        <v>4453</v>
      </c>
      <c r="AW260" s="145">
        <v>-17</v>
      </c>
      <c r="AY260" s="5">
        <v>238</v>
      </c>
      <c r="AZ260" s="413" t="s">
        <v>1014</v>
      </c>
      <c r="BA260" s="145">
        <v>380</v>
      </c>
      <c r="BB260" s="146">
        <v>3.11</v>
      </c>
      <c r="BC260" s="145">
        <v>3885</v>
      </c>
      <c r="BD260" s="145">
        <v>-15</v>
      </c>
      <c r="BF260" s="5">
        <v>238</v>
      </c>
      <c r="BG260" s="413" t="s">
        <v>718</v>
      </c>
      <c r="BH260" s="145"/>
      <c r="BI260" s="146"/>
      <c r="BJ260" s="145"/>
      <c r="BK260" s="145"/>
      <c r="BM260" s="5">
        <v>238</v>
      </c>
      <c r="BN260" s="413" t="s">
        <v>1015</v>
      </c>
      <c r="BO260" s="145">
        <v>380</v>
      </c>
      <c r="BP260" s="146">
        <v>3.27</v>
      </c>
      <c r="BQ260" s="145">
        <v>3496</v>
      </c>
      <c r="BR260" s="145">
        <v>-13</v>
      </c>
      <c r="BS260" s="5"/>
      <c r="BT260" s="5">
        <v>238</v>
      </c>
      <c r="BU260" s="413" t="s">
        <v>718</v>
      </c>
      <c r="BV260" s="145"/>
      <c r="BW260" s="146"/>
      <c r="BX260" s="145"/>
      <c r="BY260" s="145"/>
      <c r="BZ260" s="5"/>
      <c r="CA260" s="5">
        <v>238</v>
      </c>
      <c r="CB260" s="413" t="s">
        <v>718</v>
      </c>
      <c r="CC260" s="145"/>
      <c r="CD260" s="146"/>
      <c r="CE260" s="145"/>
      <c r="CF260" s="145"/>
      <c r="CG260" s="5"/>
      <c r="CH260" s="5"/>
      <c r="CI260" s="5"/>
    </row>
    <row r="261" spans="13:87" x14ac:dyDescent="0.2">
      <c r="M261" s="5">
        <v>239</v>
      </c>
      <c r="N261" s="413" t="str">
        <f t="shared" si="18"/>
        <v xml:space="preserve"> </v>
      </c>
      <c r="O261" s="414">
        <f t="shared" si="19"/>
        <v>0</v>
      </c>
      <c r="P261" s="414">
        <f t="shared" si="20"/>
        <v>0</v>
      </c>
      <c r="Q261" s="145">
        <f t="shared" si="23"/>
        <v>-8</v>
      </c>
      <c r="R261" s="414">
        <f t="shared" si="21"/>
        <v>0</v>
      </c>
      <c r="S261" s="414">
        <f t="shared" si="22"/>
        <v>0</v>
      </c>
      <c r="T261" s="19"/>
      <c r="U261" s="5"/>
      <c r="V261" s="5"/>
      <c r="W261" s="5">
        <v>239</v>
      </c>
      <c r="X261" s="144" t="s">
        <v>718</v>
      </c>
      <c r="Y261" s="145"/>
      <c r="Z261" s="146"/>
      <c r="AA261" s="145"/>
      <c r="AB261" s="145"/>
      <c r="AD261" s="5">
        <v>239</v>
      </c>
      <c r="AE261" s="413" t="s">
        <v>718</v>
      </c>
      <c r="AF261" s="145"/>
      <c r="AG261" s="146"/>
      <c r="AH261" s="145"/>
      <c r="AI261" s="145"/>
      <c r="AK261" s="5">
        <v>239</v>
      </c>
      <c r="AL261" s="413" t="s">
        <v>718</v>
      </c>
      <c r="AM261" s="145"/>
      <c r="AN261" s="146"/>
      <c r="AO261" s="145"/>
      <c r="AP261" s="145"/>
      <c r="AR261" s="5">
        <v>239</v>
      </c>
      <c r="AS261" s="413" t="s">
        <v>1016</v>
      </c>
      <c r="AT261" s="145">
        <v>570</v>
      </c>
      <c r="AU261" s="146">
        <v>3.15</v>
      </c>
      <c r="AV261" s="145">
        <v>3977</v>
      </c>
      <c r="AW261" s="145">
        <v>-15</v>
      </c>
      <c r="AY261" s="5">
        <v>239</v>
      </c>
      <c r="AZ261" s="413" t="s">
        <v>1017</v>
      </c>
      <c r="BA261" s="145">
        <v>371</v>
      </c>
      <c r="BB261" s="146">
        <v>3.1</v>
      </c>
      <c r="BC261" s="145">
        <v>3871</v>
      </c>
      <c r="BD261" s="145">
        <v>-15</v>
      </c>
      <c r="BF261" s="5">
        <v>239</v>
      </c>
      <c r="BG261" s="413" t="s">
        <v>718</v>
      </c>
      <c r="BH261" s="145"/>
      <c r="BI261" s="146"/>
      <c r="BJ261" s="145"/>
      <c r="BK261" s="145"/>
      <c r="BM261" s="5">
        <v>239</v>
      </c>
      <c r="BN261" s="413" t="s">
        <v>1018</v>
      </c>
      <c r="BO261" s="145">
        <v>692</v>
      </c>
      <c r="BP261" s="146">
        <v>2.67</v>
      </c>
      <c r="BQ261" s="145">
        <v>4177</v>
      </c>
      <c r="BR261" s="145">
        <v>-14</v>
      </c>
      <c r="BS261" s="5"/>
      <c r="BT261" s="5">
        <v>239</v>
      </c>
      <c r="BU261" s="413" t="s">
        <v>718</v>
      </c>
      <c r="BV261" s="145"/>
      <c r="BW261" s="146"/>
      <c r="BX261" s="145"/>
      <c r="BY261" s="145"/>
      <c r="BZ261" s="5"/>
      <c r="CA261" s="5">
        <v>239</v>
      </c>
      <c r="CB261" s="413" t="s">
        <v>718</v>
      </c>
      <c r="CC261" s="145"/>
      <c r="CD261" s="146"/>
      <c r="CE261" s="145"/>
      <c r="CF261" s="145"/>
      <c r="CG261" s="5"/>
      <c r="CH261" s="5"/>
      <c r="CI261" s="5"/>
    </row>
    <row r="262" spans="13:87" x14ac:dyDescent="0.2">
      <c r="M262" s="5">
        <v>240</v>
      </c>
      <c r="N262" s="413" t="str">
        <f t="shared" si="18"/>
        <v xml:space="preserve"> </v>
      </c>
      <c r="O262" s="414">
        <f t="shared" si="19"/>
        <v>0</v>
      </c>
      <c r="P262" s="414">
        <f t="shared" si="20"/>
        <v>0</v>
      </c>
      <c r="Q262" s="145">
        <f t="shared" si="23"/>
        <v>-8</v>
      </c>
      <c r="R262" s="414">
        <f t="shared" si="21"/>
        <v>0</v>
      </c>
      <c r="S262" s="414">
        <f t="shared" si="22"/>
        <v>0</v>
      </c>
      <c r="T262" s="19"/>
      <c r="U262" s="5"/>
      <c r="V262" s="5"/>
      <c r="W262" s="5">
        <v>240</v>
      </c>
      <c r="X262" s="144" t="s">
        <v>718</v>
      </c>
      <c r="Y262" s="145"/>
      <c r="Z262" s="146"/>
      <c r="AA262" s="145"/>
      <c r="AB262" s="145"/>
      <c r="AD262" s="5">
        <v>240</v>
      </c>
      <c r="AE262" s="413" t="s">
        <v>718</v>
      </c>
      <c r="AF262" s="145"/>
      <c r="AG262" s="146"/>
      <c r="AH262" s="145"/>
      <c r="AI262" s="145"/>
      <c r="AK262" s="5">
        <v>240</v>
      </c>
      <c r="AL262" s="413" t="s">
        <v>718</v>
      </c>
      <c r="AM262" s="145"/>
      <c r="AN262" s="146"/>
      <c r="AO262" s="145"/>
      <c r="AP262" s="145"/>
      <c r="AR262" s="5">
        <v>240</v>
      </c>
      <c r="AS262" s="413" t="s">
        <v>1019</v>
      </c>
      <c r="AT262" s="145">
        <v>372</v>
      </c>
      <c r="AU262" s="146">
        <v>3.26</v>
      </c>
      <c r="AV262" s="145">
        <v>3867</v>
      </c>
      <c r="AW262" s="145">
        <v>-14</v>
      </c>
      <c r="AY262" s="5">
        <v>240</v>
      </c>
      <c r="AZ262" s="413" t="s">
        <v>1020</v>
      </c>
      <c r="BA262" s="145">
        <v>716</v>
      </c>
      <c r="BB262" s="146">
        <v>2.2599999999999998</v>
      </c>
      <c r="BC262" s="145">
        <v>4594</v>
      </c>
      <c r="BD262" s="145">
        <v>-16</v>
      </c>
      <c r="BF262" s="5">
        <v>240</v>
      </c>
      <c r="BG262" s="413" t="s">
        <v>718</v>
      </c>
      <c r="BH262" s="145"/>
      <c r="BI262" s="146"/>
      <c r="BJ262" s="145"/>
      <c r="BK262" s="145"/>
      <c r="BM262" s="5">
        <v>240</v>
      </c>
      <c r="BN262" s="413" t="s">
        <v>1021</v>
      </c>
      <c r="BO262" s="145">
        <v>538</v>
      </c>
      <c r="BP262" s="146">
        <v>2.86</v>
      </c>
      <c r="BQ262" s="145">
        <v>4046</v>
      </c>
      <c r="BR262" s="145">
        <v>-14</v>
      </c>
      <c r="BS262" s="5"/>
      <c r="BT262" s="5">
        <v>240</v>
      </c>
      <c r="BU262" s="413" t="s">
        <v>718</v>
      </c>
      <c r="BV262" s="145"/>
      <c r="BW262" s="146"/>
      <c r="BX262" s="145"/>
      <c r="BY262" s="145"/>
      <c r="BZ262" s="5"/>
      <c r="CA262" s="5">
        <v>240</v>
      </c>
      <c r="CB262" s="413" t="s">
        <v>718</v>
      </c>
      <c r="CC262" s="145"/>
      <c r="CD262" s="146"/>
      <c r="CE262" s="145"/>
      <c r="CF262" s="145"/>
      <c r="CG262" s="5"/>
      <c r="CH262" s="5"/>
      <c r="CI262" s="5"/>
    </row>
    <row r="263" spans="13:87" x14ac:dyDescent="0.2">
      <c r="M263" s="5">
        <v>241</v>
      </c>
      <c r="N263" s="413" t="str">
        <f t="shared" si="18"/>
        <v xml:space="preserve"> </v>
      </c>
      <c r="O263" s="414">
        <f t="shared" si="19"/>
        <v>0</v>
      </c>
      <c r="P263" s="414">
        <f t="shared" si="20"/>
        <v>0</v>
      </c>
      <c r="Q263" s="145">
        <f t="shared" si="23"/>
        <v>-8</v>
      </c>
      <c r="R263" s="414">
        <f t="shared" si="21"/>
        <v>0</v>
      </c>
      <c r="S263" s="414">
        <f t="shared" si="22"/>
        <v>0</v>
      </c>
      <c r="T263" s="19"/>
      <c r="U263" s="5"/>
      <c r="V263" s="5"/>
      <c r="W263" s="5">
        <v>241</v>
      </c>
      <c r="X263" s="144" t="s">
        <v>718</v>
      </c>
      <c r="Y263" s="145"/>
      <c r="Z263" s="146"/>
      <c r="AA263" s="145"/>
      <c r="AB263" s="145"/>
      <c r="AD263" s="5">
        <v>241</v>
      </c>
      <c r="AE263" s="413" t="s">
        <v>718</v>
      </c>
      <c r="AF263" s="145"/>
      <c r="AG263" s="146"/>
      <c r="AH263" s="145"/>
      <c r="AI263" s="145"/>
      <c r="AK263" s="5">
        <v>241</v>
      </c>
      <c r="AL263" s="413" t="s">
        <v>718</v>
      </c>
      <c r="AM263" s="145"/>
      <c r="AN263" s="146"/>
      <c r="AO263" s="145"/>
      <c r="AP263" s="145"/>
      <c r="AR263" s="5">
        <v>241</v>
      </c>
      <c r="AS263" s="413" t="s">
        <v>1022</v>
      </c>
      <c r="AT263" s="145">
        <v>563</v>
      </c>
      <c r="AU263" s="146">
        <v>2.41</v>
      </c>
      <c r="AV263" s="145">
        <v>4344</v>
      </c>
      <c r="AW263" s="145">
        <v>-17</v>
      </c>
      <c r="AY263" s="5">
        <v>241</v>
      </c>
      <c r="AZ263" s="413" t="s">
        <v>1023</v>
      </c>
      <c r="BA263" s="145">
        <v>380</v>
      </c>
      <c r="BB263" s="146">
        <v>3.14</v>
      </c>
      <c r="BC263" s="145">
        <v>3860</v>
      </c>
      <c r="BD263" s="145">
        <v>-15</v>
      </c>
      <c r="BF263" s="5">
        <v>241</v>
      </c>
      <c r="BG263" s="413" t="s">
        <v>718</v>
      </c>
      <c r="BH263" s="145"/>
      <c r="BI263" s="146"/>
      <c r="BJ263" s="145"/>
      <c r="BK263" s="145"/>
      <c r="BM263" s="5">
        <v>241</v>
      </c>
      <c r="BN263" s="413" t="s">
        <v>1024</v>
      </c>
      <c r="BO263" s="145">
        <v>360</v>
      </c>
      <c r="BP263" s="146">
        <v>2.96</v>
      </c>
      <c r="BQ263" s="145">
        <v>3732</v>
      </c>
      <c r="BR263" s="145">
        <v>-14</v>
      </c>
      <c r="BS263" s="5"/>
      <c r="BT263" s="5">
        <v>241</v>
      </c>
      <c r="BU263" s="413" t="s">
        <v>718</v>
      </c>
      <c r="BV263" s="145"/>
      <c r="BW263" s="146"/>
      <c r="BX263" s="145"/>
      <c r="BY263" s="145"/>
      <c r="BZ263" s="5"/>
      <c r="CA263" s="5">
        <v>241</v>
      </c>
      <c r="CB263" s="413" t="s">
        <v>718</v>
      </c>
      <c r="CC263" s="145"/>
      <c r="CD263" s="146"/>
      <c r="CE263" s="145"/>
      <c r="CF263" s="145"/>
      <c r="CG263" s="5"/>
      <c r="CH263" s="5"/>
      <c r="CI263" s="5"/>
    </row>
    <row r="264" spans="13:87" x14ac:dyDescent="0.2">
      <c r="M264" s="5">
        <v>242</v>
      </c>
      <c r="N264" s="413" t="str">
        <f t="shared" si="18"/>
        <v xml:space="preserve"> </v>
      </c>
      <c r="O264" s="414">
        <f t="shared" si="19"/>
        <v>0</v>
      </c>
      <c r="P264" s="414">
        <f t="shared" si="20"/>
        <v>0</v>
      </c>
      <c r="Q264" s="145">
        <f t="shared" si="23"/>
        <v>-8</v>
      </c>
      <c r="R264" s="414">
        <f t="shared" si="21"/>
        <v>0</v>
      </c>
      <c r="S264" s="414">
        <f t="shared" si="22"/>
        <v>0</v>
      </c>
      <c r="T264" s="19"/>
      <c r="U264" s="5"/>
      <c r="V264" s="5"/>
      <c r="W264" s="5">
        <v>242</v>
      </c>
      <c r="X264" s="144" t="s">
        <v>718</v>
      </c>
      <c r="Y264" s="145"/>
      <c r="Z264" s="146"/>
      <c r="AA264" s="145"/>
      <c r="AB264" s="145"/>
      <c r="AD264" s="5">
        <v>242</v>
      </c>
      <c r="AE264" s="413" t="s">
        <v>718</v>
      </c>
      <c r="AF264" s="145"/>
      <c r="AG264" s="146"/>
      <c r="AH264" s="145"/>
      <c r="AI264" s="145"/>
      <c r="AK264" s="5">
        <v>242</v>
      </c>
      <c r="AL264" s="413" t="s">
        <v>718</v>
      </c>
      <c r="AM264" s="145"/>
      <c r="AN264" s="146"/>
      <c r="AO264" s="145"/>
      <c r="AP264" s="145"/>
      <c r="AR264" s="5">
        <v>242</v>
      </c>
      <c r="AS264" s="413" t="s">
        <v>1025</v>
      </c>
      <c r="AT264" s="145">
        <v>417</v>
      </c>
      <c r="AU264" s="146">
        <v>3.15</v>
      </c>
      <c r="AV264" s="145">
        <v>3740</v>
      </c>
      <c r="AW264" s="145">
        <v>-13</v>
      </c>
      <c r="AY264" s="5">
        <v>242</v>
      </c>
      <c r="AZ264" s="413" t="s">
        <v>1026</v>
      </c>
      <c r="BA264" s="145">
        <v>428</v>
      </c>
      <c r="BB264" s="146">
        <v>2.86</v>
      </c>
      <c r="BC264" s="145">
        <v>4097</v>
      </c>
      <c r="BD264" s="145">
        <v>-15</v>
      </c>
      <c r="BF264" s="5">
        <v>242</v>
      </c>
      <c r="BG264" s="413" t="s">
        <v>718</v>
      </c>
      <c r="BH264" s="145"/>
      <c r="BI264" s="146"/>
      <c r="BJ264" s="145"/>
      <c r="BK264" s="145"/>
      <c r="BM264" s="5">
        <v>242</v>
      </c>
      <c r="BN264" s="413" t="s">
        <v>1027</v>
      </c>
      <c r="BO264" s="145">
        <v>710</v>
      </c>
      <c r="BP264" s="146">
        <v>2.4500000000000002</v>
      </c>
      <c r="BQ264" s="145">
        <v>4474</v>
      </c>
      <c r="BR264" s="145">
        <v>-15</v>
      </c>
      <c r="BS264" s="5"/>
      <c r="BT264" s="5">
        <v>242</v>
      </c>
      <c r="BU264" s="413" t="s">
        <v>718</v>
      </c>
      <c r="BV264" s="145"/>
      <c r="BW264" s="146"/>
      <c r="BX264" s="145"/>
      <c r="BY264" s="145"/>
      <c r="BZ264" s="5"/>
      <c r="CA264" s="5">
        <v>242</v>
      </c>
      <c r="CB264" s="413" t="s">
        <v>718</v>
      </c>
      <c r="CC264" s="145"/>
      <c r="CD264" s="146"/>
      <c r="CE264" s="145"/>
      <c r="CF264" s="145"/>
      <c r="CG264" s="5"/>
      <c r="CH264" s="5"/>
      <c r="CI264" s="5"/>
    </row>
    <row r="265" spans="13:87" x14ac:dyDescent="0.2">
      <c r="M265" s="5">
        <v>243</v>
      </c>
      <c r="N265" s="413" t="str">
        <f t="shared" si="18"/>
        <v xml:space="preserve"> </v>
      </c>
      <c r="O265" s="414">
        <f t="shared" si="19"/>
        <v>0</v>
      </c>
      <c r="P265" s="414">
        <f t="shared" si="20"/>
        <v>0</v>
      </c>
      <c r="Q265" s="145">
        <f t="shared" si="23"/>
        <v>-8</v>
      </c>
      <c r="R265" s="414">
        <f t="shared" si="21"/>
        <v>0</v>
      </c>
      <c r="S265" s="414">
        <f t="shared" si="22"/>
        <v>0</v>
      </c>
      <c r="T265" s="19"/>
      <c r="U265" s="5"/>
      <c r="V265" s="5"/>
      <c r="W265" s="5">
        <v>243</v>
      </c>
      <c r="X265" s="144" t="s">
        <v>718</v>
      </c>
      <c r="Y265" s="145"/>
      <c r="Z265" s="146"/>
      <c r="AA265" s="145"/>
      <c r="AB265" s="145"/>
      <c r="AD265" s="5">
        <v>243</v>
      </c>
      <c r="AE265" s="413" t="s">
        <v>718</v>
      </c>
      <c r="AF265" s="145"/>
      <c r="AG265" s="146"/>
      <c r="AH265" s="145"/>
      <c r="AI265" s="145"/>
      <c r="AK265" s="5">
        <v>243</v>
      </c>
      <c r="AL265" s="413" t="s">
        <v>718</v>
      </c>
      <c r="AM265" s="145"/>
      <c r="AN265" s="146"/>
      <c r="AO265" s="145"/>
      <c r="AP265" s="145"/>
      <c r="AR265" s="5">
        <v>243</v>
      </c>
      <c r="AS265" s="413" t="s">
        <v>1028</v>
      </c>
      <c r="AT265" s="145">
        <v>270</v>
      </c>
      <c r="AU265" s="146">
        <v>3.3</v>
      </c>
      <c r="AV265" s="145">
        <v>3675</v>
      </c>
      <c r="AW265" s="145">
        <v>-14</v>
      </c>
      <c r="AY265" s="5">
        <v>243</v>
      </c>
      <c r="AZ265" s="413" t="s">
        <v>1029</v>
      </c>
      <c r="BA265" s="145">
        <v>667</v>
      </c>
      <c r="BB265" s="146">
        <v>2.69</v>
      </c>
      <c r="BC265" s="145">
        <v>4240</v>
      </c>
      <c r="BD265" s="145">
        <v>-15</v>
      </c>
      <c r="BF265" s="5">
        <v>243</v>
      </c>
      <c r="BG265" s="413" t="s">
        <v>718</v>
      </c>
      <c r="BH265" s="145"/>
      <c r="BI265" s="146"/>
      <c r="BJ265" s="145"/>
      <c r="BK265" s="145"/>
      <c r="BM265" s="5">
        <v>243</v>
      </c>
      <c r="BN265" s="413" t="s">
        <v>1030</v>
      </c>
      <c r="BO265" s="145">
        <v>333</v>
      </c>
      <c r="BP265" s="146">
        <v>3.18</v>
      </c>
      <c r="BQ265" s="145">
        <v>3582</v>
      </c>
      <c r="BR265" s="145">
        <v>-14</v>
      </c>
      <c r="BS265" s="5"/>
      <c r="BT265" s="5">
        <v>243</v>
      </c>
      <c r="BU265" s="413" t="s">
        <v>718</v>
      </c>
      <c r="BV265" s="145"/>
      <c r="BW265" s="146"/>
      <c r="BX265" s="145"/>
      <c r="BY265" s="145"/>
      <c r="BZ265" s="5"/>
      <c r="CA265" s="5">
        <v>243</v>
      </c>
      <c r="CB265" s="413" t="s">
        <v>718</v>
      </c>
      <c r="CC265" s="145"/>
      <c r="CD265" s="146"/>
      <c r="CE265" s="145"/>
      <c r="CF265" s="145"/>
      <c r="CG265" s="5"/>
      <c r="CH265" s="5"/>
      <c r="CI265" s="5"/>
    </row>
    <row r="266" spans="13:87" x14ac:dyDescent="0.2">
      <c r="M266" s="5">
        <v>244</v>
      </c>
      <c r="N266" s="413" t="str">
        <f t="shared" si="18"/>
        <v xml:space="preserve"> </v>
      </c>
      <c r="O266" s="414">
        <f t="shared" si="19"/>
        <v>0</v>
      </c>
      <c r="P266" s="414">
        <f t="shared" si="20"/>
        <v>0</v>
      </c>
      <c r="Q266" s="145">
        <f t="shared" si="23"/>
        <v>-8</v>
      </c>
      <c r="R266" s="414">
        <f t="shared" si="21"/>
        <v>0</v>
      </c>
      <c r="S266" s="414">
        <f t="shared" si="22"/>
        <v>0</v>
      </c>
      <c r="T266" s="19"/>
      <c r="U266" s="5"/>
      <c r="V266" s="5"/>
      <c r="W266" s="5">
        <v>244</v>
      </c>
      <c r="X266" s="144" t="s">
        <v>718</v>
      </c>
      <c r="Y266" s="145"/>
      <c r="Z266" s="146"/>
      <c r="AA266" s="145"/>
      <c r="AB266" s="145"/>
      <c r="AD266" s="5">
        <v>244</v>
      </c>
      <c r="AE266" s="413" t="s">
        <v>718</v>
      </c>
      <c r="AF266" s="145"/>
      <c r="AG266" s="146"/>
      <c r="AH266" s="145"/>
      <c r="AI266" s="145"/>
      <c r="AK266" s="5">
        <v>244</v>
      </c>
      <c r="AL266" s="413" t="s">
        <v>718</v>
      </c>
      <c r="AM266" s="145"/>
      <c r="AN266" s="146"/>
      <c r="AO266" s="145"/>
      <c r="AP266" s="145"/>
      <c r="AR266" s="5">
        <v>244</v>
      </c>
      <c r="AS266" s="413" t="s">
        <v>1031</v>
      </c>
      <c r="AT266" s="145">
        <v>340</v>
      </c>
      <c r="AU266" s="146">
        <v>3.07</v>
      </c>
      <c r="AV266" s="145">
        <v>3910</v>
      </c>
      <c r="AW266" s="145">
        <v>-14</v>
      </c>
      <c r="AY266" s="5">
        <v>244</v>
      </c>
      <c r="AZ266" s="413" t="s">
        <v>1032</v>
      </c>
      <c r="BA266" s="145">
        <v>683</v>
      </c>
      <c r="BB266" s="146">
        <v>2.4900000000000002</v>
      </c>
      <c r="BC266" s="145">
        <v>4429</v>
      </c>
      <c r="BD266" s="145">
        <v>-16</v>
      </c>
      <c r="BF266" s="5">
        <v>244</v>
      </c>
      <c r="BG266" s="413" t="s">
        <v>718</v>
      </c>
      <c r="BH266" s="145"/>
      <c r="BI266" s="146"/>
      <c r="BJ266" s="145"/>
      <c r="BK266" s="145"/>
      <c r="BM266" s="5">
        <v>244</v>
      </c>
      <c r="BN266" s="413" t="s">
        <v>1033</v>
      </c>
      <c r="BO266" s="145">
        <v>585</v>
      </c>
      <c r="BP266" s="146">
        <v>2.93</v>
      </c>
      <c r="BQ266" s="145">
        <v>3961</v>
      </c>
      <c r="BR266" s="145">
        <v>-14</v>
      </c>
      <c r="BS266" s="5"/>
      <c r="BT266" s="5">
        <v>244</v>
      </c>
      <c r="BU266" s="413" t="s">
        <v>718</v>
      </c>
      <c r="BV266" s="145"/>
      <c r="BW266" s="146"/>
      <c r="BX266" s="145"/>
      <c r="BY266" s="145"/>
      <c r="BZ266" s="5"/>
      <c r="CA266" s="5">
        <v>244</v>
      </c>
      <c r="CB266" s="413" t="s">
        <v>718</v>
      </c>
      <c r="CC266" s="145"/>
      <c r="CD266" s="146"/>
      <c r="CE266" s="145"/>
      <c r="CF266" s="145"/>
      <c r="CG266" s="5"/>
      <c r="CH266" s="5"/>
      <c r="CI266" s="5"/>
    </row>
    <row r="267" spans="13:87" x14ac:dyDescent="0.2">
      <c r="M267" s="5">
        <v>245</v>
      </c>
      <c r="N267" s="413" t="str">
        <f t="shared" si="18"/>
        <v xml:space="preserve"> </v>
      </c>
      <c r="O267" s="414">
        <f t="shared" si="19"/>
        <v>0</v>
      </c>
      <c r="P267" s="414">
        <f t="shared" si="20"/>
        <v>0</v>
      </c>
      <c r="Q267" s="145">
        <f t="shared" si="23"/>
        <v>-8</v>
      </c>
      <c r="R267" s="414">
        <f t="shared" si="21"/>
        <v>0</v>
      </c>
      <c r="S267" s="414">
        <f t="shared" si="22"/>
        <v>0</v>
      </c>
      <c r="T267" s="19"/>
      <c r="U267" s="5"/>
      <c r="V267" s="5"/>
      <c r="W267" s="5">
        <v>245</v>
      </c>
      <c r="X267" s="144" t="s">
        <v>718</v>
      </c>
      <c r="Y267" s="145"/>
      <c r="Z267" s="146"/>
      <c r="AA267" s="145"/>
      <c r="AB267" s="145"/>
      <c r="AD267" s="5">
        <v>245</v>
      </c>
      <c r="AE267" s="413" t="s">
        <v>718</v>
      </c>
      <c r="AF267" s="145"/>
      <c r="AG267" s="146"/>
      <c r="AH267" s="145"/>
      <c r="AI267" s="145"/>
      <c r="AK267" s="5">
        <v>245</v>
      </c>
      <c r="AL267" s="413" t="s">
        <v>718</v>
      </c>
      <c r="AM267" s="145"/>
      <c r="AN267" s="146"/>
      <c r="AO267" s="145"/>
      <c r="AP267" s="145"/>
      <c r="AR267" s="5">
        <v>245</v>
      </c>
      <c r="AS267" s="413" t="s">
        <v>1034</v>
      </c>
      <c r="AT267" s="145">
        <v>375</v>
      </c>
      <c r="AU267" s="146">
        <v>3.06</v>
      </c>
      <c r="AV267" s="145">
        <v>3965</v>
      </c>
      <c r="AW267" s="145">
        <v>-14</v>
      </c>
      <c r="AY267" s="5">
        <v>245</v>
      </c>
      <c r="AZ267" s="413" t="s">
        <v>1035</v>
      </c>
      <c r="BA267" s="145">
        <v>345</v>
      </c>
      <c r="BB267" s="146">
        <v>3.15</v>
      </c>
      <c r="BC267" s="145">
        <v>3842</v>
      </c>
      <c r="BD267" s="145">
        <v>-15</v>
      </c>
      <c r="BF267" s="5">
        <v>245</v>
      </c>
      <c r="BG267" s="413" t="s">
        <v>718</v>
      </c>
      <c r="BH267" s="145"/>
      <c r="BI267" s="146"/>
      <c r="BJ267" s="145"/>
      <c r="BK267" s="145"/>
      <c r="BM267" s="5">
        <v>245</v>
      </c>
      <c r="BN267" s="413" t="s">
        <v>1036</v>
      </c>
      <c r="BO267" s="145">
        <v>340</v>
      </c>
      <c r="BP267" s="146">
        <v>3.05</v>
      </c>
      <c r="BQ267" s="145">
        <v>3628</v>
      </c>
      <c r="BR267" s="145">
        <v>-14</v>
      </c>
      <c r="BS267" s="5"/>
      <c r="BT267" s="5">
        <v>245</v>
      </c>
      <c r="BU267" s="413" t="s">
        <v>718</v>
      </c>
      <c r="BV267" s="145"/>
      <c r="BW267" s="146"/>
      <c r="BX267" s="145"/>
      <c r="BY267" s="145"/>
      <c r="BZ267" s="5"/>
      <c r="CA267" s="5">
        <v>245</v>
      </c>
      <c r="CB267" s="413" t="s">
        <v>718</v>
      </c>
      <c r="CC267" s="145"/>
      <c r="CD267" s="146"/>
      <c r="CE267" s="145"/>
      <c r="CF267" s="145"/>
      <c r="CG267" s="5"/>
      <c r="CH267" s="5"/>
      <c r="CI267" s="5"/>
    </row>
    <row r="268" spans="13:87" x14ac:dyDescent="0.2">
      <c r="M268" s="5">
        <v>246</v>
      </c>
      <c r="N268" s="413" t="str">
        <f t="shared" si="18"/>
        <v xml:space="preserve"> </v>
      </c>
      <c r="O268" s="414">
        <f t="shared" si="19"/>
        <v>0</v>
      </c>
      <c r="P268" s="414">
        <f t="shared" si="20"/>
        <v>0</v>
      </c>
      <c r="Q268" s="145">
        <f t="shared" si="23"/>
        <v>-8</v>
      </c>
      <c r="R268" s="414">
        <f t="shared" si="21"/>
        <v>0</v>
      </c>
      <c r="S268" s="414">
        <f t="shared" si="22"/>
        <v>0</v>
      </c>
      <c r="T268" s="19"/>
      <c r="U268" s="5"/>
      <c r="V268" s="5"/>
      <c r="W268" s="5">
        <v>246</v>
      </c>
      <c r="X268" s="144" t="s">
        <v>718</v>
      </c>
      <c r="Y268" s="145"/>
      <c r="Z268" s="146"/>
      <c r="AA268" s="145"/>
      <c r="AB268" s="145"/>
      <c r="AD268" s="5">
        <v>246</v>
      </c>
      <c r="AE268" s="413" t="s">
        <v>718</v>
      </c>
      <c r="AF268" s="145"/>
      <c r="AG268" s="146"/>
      <c r="AH268" s="145"/>
      <c r="AI268" s="145"/>
      <c r="AK268" s="5">
        <v>246</v>
      </c>
      <c r="AL268" s="413" t="s">
        <v>718</v>
      </c>
      <c r="AM268" s="145"/>
      <c r="AN268" s="146"/>
      <c r="AO268" s="145"/>
      <c r="AP268" s="145"/>
      <c r="AR268" s="5">
        <v>246</v>
      </c>
      <c r="AS268" s="413" t="s">
        <v>1037</v>
      </c>
      <c r="AT268" s="145">
        <v>159</v>
      </c>
      <c r="AU268" s="146">
        <v>3.48</v>
      </c>
      <c r="AV268" s="145">
        <v>3387</v>
      </c>
      <c r="AW268" s="145">
        <v>-13</v>
      </c>
      <c r="AY268" s="5">
        <v>246</v>
      </c>
      <c r="AZ268" s="413" t="s">
        <v>1038</v>
      </c>
      <c r="BA268" s="145">
        <v>355</v>
      </c>
      <c r="BB268" s="146">
        <v>3.38</v>
      </c>
      <c r="BC268" s="145">
        <v>3839</v>
      </c>
      <c r="BD268" s="145">
        <v>-15</v>
      </c>
      <c r="BF268" s="5">
        <v>246</v>
      </c>
      <c r="BG268" s="413" t="s">
        <v>718</v>
      </c>
      <c r="BH268" s="145"/>
      <c r="BI268" s="146"/>
      <c r="BJ268" s="145"/>
      <c r="BK268" s="145"/>
      <c r="BM268" s="5">
        <v>246</v>
      </c>
      <c r="BN268" s="413" t="s">
        <v>1039</v>
      </c>
      <c r="BO268" s="145">
        <v>333</v>
      </c>
      <c r="BP268" s="146">
        <v>3.06</v>
      </c>
      <c r="BQ268" s="145">
        <v>3609</v>
      </c>
      <c r="BR268" s="145">
        <v>-13</v>
      </c>
      <c r="BS268" s="5"/>
      <c r="BT268" s="5">
        <v>246</v>
      </c>
      <c r="BU268" s="413" t="s">
        <v>718</v>
      </c>
      <c r="BV268" s="145"/>
      <c r="BW268" s="146"/>
      <c r="BX268" s="145"/>
      <c r="BY268" s="145"/>
      <c r="BZ268" s="5"/>
      <c r="CA268" s="5">
        <v>246</v>
      </c>
      <c r="CB268" s="413" t="s">
        <v>718</v>
      </c>
      <c r="CC268" s="145"/>
      <c r="CD268" s="146"/>
      <c r="CE268" s="145"/>
      <c r="CF268" s="145"/>
      <c r="CG268" s="5"/>
      <c r="CH268" s="5"/>
      <c r="CI268" s="5"/>
    </row>
    <row r="269" spans="13:87" x14ac:dyDescent="0.2">
      <c r="M269" s="5">
        <v>247</v>
      </c>
      <c r="N269" s="413" t="str">
        <f t="shared" si="18"/>
        <v xml:space="preserve"> </v>
      </c>
      <c r="O269" s="414">
        <f t="shared" si="19"/>
        <v>0</v>
      </c>
      <c r="P269" s="414">
        <f t="shared" si="20"/>
        <v>0</v>
      </c>
      <c r="Q269" s="145">
        <f t="shared" si="23"/>
        <v>-8</v>
      </c>
      <c r="R269" s="414">
        <f t="shared" si="21"/>
        <v>0</v>
      </c>
      <c r="S269" s="414">
        <f t="shared" si="22"/>
        <v>0</v>
      </c>
      <c r="T269" s="19"/>
      <c r="U269" s="5"/>
      <c r="V269" s="5"/>
      <c r="W269" s="5">
        <v>247</v>
      </c>
      <c r="X269" s="144" t="s">
        <v>718</v>
      </c>
      <c r="Y269" s="145"/>
      <c r="Z269" s="146"/>
      <c r="AA269" s="145"/>
      <c r="AB269" s="145"/>
      <c r="AD269" s="5">
        <v>247</v>
      </c>
      <c r="AE269" s="413" t="s">
        <v>718</v>
      </c>
      <c r="AF269" s="145"/>
      <c r="AG269" s="146"/>
      <c r="AH269" s="145"/>
      <c r="AI269" s="145"/>
      <c r="AK269" s="5">
        <v>247</v>
      </c>
      <c r="AL269" s="413" t="s">
        <v>718</v>
      </c>
      <c r="AM269" s="145"/>
      <c r="AN269" s="146"/>
      <c r="AO269" s="145"/>
      <c r="AP269" s="145"/>
      <c r="AR269" s="5">
        <v>247</v>
      </c>
      <c r="AS269" s="413" t="s">
        <v>1040</v>
      </c>
      <c r="AT269" s="145">
        <v>220</v>
      </c>
      <c r="AU269" s="146">
        <v>3.26</v>
      </c>
      <c r="AV269" s="145">
        <v>3732</v>
      </c>
      <c r="AW269" s="145">
        <v>-14</v>
      </c>
      <c r="AY269" s="5">
        <v>247</v>
      </c>
      <c r="AZ269" s="413" t="s">
        <v>1041</v>
      </c>
      <c r="BA269" s="145">
        <v>433</v>
      </c>
      <c r="BB269" s="146">
        <v>3.15</v>
      </c>
      <c r="BC269" s="145">
        <v>3942</v>
      </c>
      <c r="BD269" s="145">
        <v>-15</v>
      </c>
      <c r="BF269" s="5">
        <v>247</v>
      </c>
      <c r="BG269" s="413" t="s">
        <v>718</v>
      </c>
      <c r="BH269" s="145"/>
      <c r="BI269" s="146"/>
      <c r="BJ269" s="145"/>
      <c r="BK269" s="145"/>
      <c r="BM269" s="5">
        <v>247</v>
      </c>
      <c r="BN269" s="413" t="s">
        <v>1042</v>
      </c>
      <c r="BO269" s="145">
        <v>555</v>
      </c>
      <c r="BP269" s="146">
        <v>3.1</v>
      </c>
      <c r="BQ269" s="145">
        <v>3837</v>
      </c>
      <c r="BR269" s="145">
        <v>-13</v>
      </c>
      <c r="BS269" s="5"/>
      <c r="BT269" s="5">
        <v>247</v>
      </c>
      <c r="BU269" s="413" t="s">
        <v>718</v>
      </c>
      <c r="BV269" s="145"/>
      <c r="BW269" s="146"/>
      <c r="BX269" s="145"/>
      <c r="BY269" s="145"/>
      <c r="BZ269" s="5"/>
      <c r="CA269" s="5">
        <v>247</v>
      </c>
      <c r="CB269" s="413" t="s">
        <v>718</v>
      </c>
      <c r="CC269" s="145"/>
      <c r="CD269" s="146"/>
      <c r="CE269" s="145"/>
      <c r="CF269" s="145"/>
      <c r="CG269" s="5"/>
      <c r="CH269" s="5"/>
      <c r="CI269" s="5"/>
    </row>
    <row r="270" spans="13:87" x14ac:dyDescent="0.2">
      <c r="M270" s="5">
        <v>248</v>
      </c>
      <c r="N270" s="413" t="str">
        <f t="shared" si="18"/>
        <v xml:space="preserve"> </v>
      </c>
      <c r="O270" s="414">
        <f t="shared" si="19"/>
        <v>0</v>
      </c>
      <c r="P270" s="414">
        <f t="shared" si="20"/>
        <v>0</v>
      </c>
      <c r="Q270" s="145">
        <f t="shared" si="23"/>
        <v>-8</v>
      </c>
      <c r="R270" s="414">
        <f t="shared" si="21"/>
        <v>0</v>
      </c>
      <c r="S270" s="414">
        <f t="shared" si="22"/>
        <v>0</v>
      </c>
      <c r="T270" s="19"/>
      <c r="U270" s="5"/>
      <c r="V270" s="5"/>
      <c r="W270" s="5">
        <v>248</v>
      </c>
      <c r="X270" s="144" t="s">
        <v>718</v>
      </c>
      <c r="Y270" s="145"/>
      <c r="Z270" s="146"/>
      <c r="AA270" s="145"/>
      <c r="AB270" s="145"/>
      <c r="AD270" s="5">
        <v>248</v>
      </c>
      <c r="AE270" s="413" t="s">
        <v>718</v>
      </c>
      <c r="AF270" s="145"/>
      <c r="AG270" s="146"/>
      <c r="AH270" s="145"/>
      <c r="AI270" s="145"/>
      <c r="AK270" s="5">
        <v>248</v>
      </c>
      <c r="AL270" s="413" t="s">
        <v>718</v>
      </c>
      <c r="AM270" s="145"/>
      <c r="AN270" s="146"/>
      <c r="AO270" s="145"/>
      <c r="AP270" s="145"/>
      <c r="AR270" s="5">
        <v>248</v>
      </c>
      <c r="AS270" s="413" t="s">
        <v>1043</v>
      </c>
      <c r="AT270" s="145">
        <v>467</v>
      </c>
      <c r="AU270" s="146">
        <v>3.24</v>
      </c>
      <c r="AV270" s="145">
        <v>4039</v>
      </c>
      <c r="AW270" s="145">
        <v>-14</v>
      </c>
      <c r="AY270" s="5">
        <v>248</v>
      </c>
      <c r="AZ270" s="413" t="s">
        <v>1044</v>
      </c>
      <c r="BA270" s="145">
        <v>469</v>
      </c>
      <c r="BB270" s="146">
        <v>3.01</v>
      </c>
      <c r="BC270" s="145">
        <v>3908</v>
      </c>
      <c r="BD270" s="145">
        <v>-14</v>
      </c>
      <c r="BF270" s="5">
        <v>248</v>
      </c>
      <c r="BG270" s="413" t="s">
        <v>718</v>
      </c>
      <c r="BH270" s="145"/>
      <c r="BI270" s="146"/>
      <c r="BJ270" s="145"/>
      <c r="BK270" s="145"/>
      <c r="BM270" s="5">
        <v>248</v>
      </c>
      <c r="BN270" s="413" t="s">
        <v>1045</v>
      </c>
      <c r="BO270" s="145">
        <v>750</v>
      </c>
      <c r="BP270" s="146">
        <v>3.15</v>
      </c>
      <c r="BQ270" s="145">
        <v>4061</v>
      </c>
      <c r="BR270" s="145">
        <v>-14</v>
      </c>
      <c r="BS270" s="5"/>
      <c r="BT270" s="5">
        <v>248</v>
      </c>
      <c r="BU270" s="413" t="s">
        <v>718</v>
      </c>
      <c r="BV270" s="145"/>
      <c r="BW270" s="146"/>
      <c r="BX270" s="145"/>
      <c r="BY270" s="145"/>
      <c r="BZ270" s="5"/>
      <c r="CA270" s="5">
        <v>248</v>
      </c>
      <c r="CB270" s="413" t="s">
        <v>718</v>
      </c>
      <c r="CC270" s="145"/>
      <c r="CD270" s="146"/>
      <c r="CE270" s="145"/>
      <c r="CF270" s="145"/>
      <c r="CG270" s="5"/>
      <c r="CH270" s="5"/>
      <c r="CI270" s="5"/>
    </row>
    <row r="271" spans="13:87" x14ac:dyDescent="0.2">
      <c r="M271" s="5">
        <v>249</v>
      </c>
      <c r="N271" s="413" t="str">
        <f t="shared" si="18"/>
        <v xml:space="preserve"> </v>
      </c>
      <c r="O271" s="414">
        <f t="shared" si="19"/>
        <v>0</v>
      </c>
      <c r="P271" s="414">
        <f t="shared" si="20"/>
        <v>0</v>
      </c>
      <c r="Q271" s="145">
        <f t="shared" si="23"/>
        <v>-8</v>
      </c>
      <c r="R271" s="414">
        <f t="shared" si="21"/>
        <v>0</v>
      </c>
      <c r="S271" s="414">
        <f t="shared" si="22"/>
        <v>0</v>
      </c>
      <c r="T271" s="19"/>
      <c r="U271" s="5"/>
      <c r="V271" s="5"/>
      <c r="W271" s="5">
        <v>249</v>
      </c>
      <c r="X271" s="144" t="s">
        <v>718</v>
      </c>
      <c r="Y271" s="145"/>
      <c r="Z271" s="146"/>
      <c r="AA271" s="145"/>
      <c r="AB271" s="145"/>
      <c r="AD271" s="5">
        <v>249</v>
      </c>
      <c r="AE271" s="413" t="s">
        <v>718</v>
      </c>
      <c r="AF271" s="145"/>
      <c r="AG271" s="146"/>
      <c r="AH271" s="145"/>
      <c r="AI271" s="145"/>
      <c r="AK271" s="5">
        <v>249</v>
      </c>
      <c r="AL271" s="413" t="s">
        <v>718</v>
      </c>
      <c r="AM271" s="145"/>
      <c r="AN271" s="146"/>
      <c r="AO271" s="145"/>
      <c r="AP271" s="145"/>
      <c r="AR271" s="5">
        <v>249</v>
      </c>
      <c r="AS271" s="413" t="s">
        <v>1046</v>
      </c>
      <c r="AT271" s="145">
        <v>192</v>
      </c>
      <c r="AU271" s="146">
        <v>3.53</v>
      </c>
      <c r="AV271" s="145">
        <v>3410</v>
      </c>
      <c r="AW271" s="145">
        <v>-13</v>
      </c>
      <c r="AY271" s="5">
        <v>249</v>
      </c>
      <c r="AZ271" s="413" t="s">
        <v>1047</v>
      </c>
      <c r="BA271" s="145">
        <v>309</v>
      </c>
      <c r="BB271" s="146">
        <v>3.2</v>
      </c>
      <c r="BC271" s="145">
        <v>3663</v>
      </c>
      <c r="BD271" s="145">
        <v>-13</v>
      </c>
      <c r="BF271" s="5">
        <v>249</v>
      </c>
      <c r="BG271" s="413" t="s">
        <v>718</v>
      </c>
      <c r="BH271" s="145"/>
      <c r="BI271" s="146"/>
      <c r="BJ271" s="145"/>
      <c r="BK271" s="145"/>
      <c r="BM271" s="5">
        <v>249</v>
      </c>
      <c r="BN271" s="413" t="s">
        <v>1048</v>
      </c>
      <c r="BO271" s="145">
        <v>822</v>
      </c>
      <c r="BP271" s="146">
        <v>2.68</v>
      </c>
      <c r="BQ271" s="145">
        <v>4502</v>
      </c>
      <c r="BR271" s="145">
        <v>-15</v>
      </c>
      <c r="BS271" s="5"/>
      <c r="BT271" s="5">
        <v>249</v>
      </c>
      <c r="BU271" s="413" t="s">
        <v>718</v>
      </c>
      <c r="BV271" s="145"/>
      <c r="BW271" s="146"/>
      <c r="BX271" s="145"/>
      <c r="BY271" s="145"/>
      <c r="BZ271" s="5"/>
      <c r="CA271" s="5">
        <v>249</v>
      </c>
      <c r="CB271" s="413" t="s">
        <v>718</v>
      </c>
      <c r="CC271" s="145"/>
      <c r="CD271" s="146"/>
      <c r="CE271" s="145"/>
      <c r="CF271" s="145"/>
      <c r="CG271" s="5"/>
      <c r="CH271" s="5"/>
      <c r="CI271" s="5"/>
    </row>
    <row r="272" spans="13:87" x14ac:dyDescent="0.2">
      <c r="M272" s="5">
        <v>250</v>
      </c>
      <c r="N272" s="413" t="str">
        <f t="shared" si="18"/>
        <v xml:space="preserve"> </v>
      </c>
      <c r="O272" s="414">
        <f t="shared" si="19"/>
        <v>0</v>
      </c>
      <c r="P272" s="414">
        <f t="shared" si="20"/>
        <v>0</v>
      </c>
      <c r="Q272" s="145">
        <f t="shared" si="23"/>
        <v>-8</v>
      </c>
      <c r="R272" s="414">
        <f t="shared" si="21"/>
        <v>0</v>
      </c>
      <c r="S272" s="414">
        <f t="shared" si="22"/>
        <v>0</v>
      </c>
      <c r="T272" s="19"/>
      <c r="U272" s="5"/>
      <c r="V272" s="5"/>
      <c r="W272" s="5">
        <v>250</v>
      </c>
      <c r="X272" s="144" t="s">
        <v>718</v>
      </c>
      <c r="Y272" s="145"/>
      <c r="Z272" s="146"/>
      <c r="AA272" s="145"/>
      <c r="AB272" s="145"/>
      <c r="AD272" s="5">
        <v>250</v>
      </c>
      <c r="AE272" s="413" t="s">
        <v>718</v>
      </c>
      <c r="AF272" s="145"/>
      <c r="AG272" s="146"/>
      <c r="AH272" s="145"/>
      <c r="AI272" s="145"/>
      <c r="AK272" s="5">
        <v>250</v>
      </c>
      <c r="AL272" s="413" t="s">
        <v>718</v>
      </c>
      <c r="AM272" s="145"/>
      <c r="AN272" s="146"/>
      <c r="AO272" s="145"/>
      <c r="AP272" s="145"/>
      <c r="AR272" s="5">
        <v>250</v>
      </c>
      <c r="AS272" s="413" t="s">
        <v>1049</v>
      </c>
      <c r="AT272" s="145">
        <v>189</v>
      </c>
      <c r="AU272" s="146">
        <v>3.41</v>
      </c>
      <c r="AV272" s="145">
        <v>3583</v>
      </c>
      <c r="AW272" s="145">
        <v>-13</v>
      </c>
      <c r="AY272" s="5">
        <v>250</v>
      </c>
      <c r="AZ272" s="413" t="s">
        <v>1050</v>
      </c>
      <c r="BA272" s="145">
        <v>372</v>
      </c>
      <c r="BB272" s="146">
        <v>3.13</v>
      </c>
      <c r="BC272" s="145">
        <v>3846</v>
      </c>
      <c r="BD272" s="145">
        <v>-15</v>
      </c>
      <c r="BF272" s="5">
        <v>250</v>
      </c>
      <c r="BG272" s="413" t="s">
        <v>718</v>
      </c>
      <c r="BH272" s="145"/>
      <c r="BI272" s="146"/>
      <c r="BJ272" s="145"/>
      <c r="BK272" s="145"/>
      <c r="BM272" s="5">
        <v>250</v>
      </c>
      <c r="BN272" s="413" t="s">
        <v>1051</v>
      </c>
      <c r="BO272" s="145">
        <v>271</v>
      </c>
      <c r="BP272" s="146">
        <v>3.12</v>
      </c>
      <c r="BQ272" s="145">
        <v>3528</v>
      </c>
      <c r="BR272" s="145">
        <v>-13</v>
      </c>
      <c r="BS272" s="5"/>
      <c r="BT272" s="5">
        <v>250</v>
      </c>
      <c r="BU272" s="413" t="s">
        <v>718</v>
      </c>
      <c r="BV272" s="145"/>
      <c r="BW272" s="146"/>
      <c r="BX272" s="145"/>
      <c r="BY272" s="145"/>
      <c r="BZ272" s="5"/>
      <c r="CA272" s="5">
        <v>250</v>
      </c>
      <c r="CB272" s="413" t="s">
        <v>718</v>
      </c>
      <c r="CC272" s="145"/>
      <c r="CD272" s="146"/>
      <c r="CE272" s="145"/>
      <c r="CF272" s="145"/>
      <c r="CG272" s="5"/>
      <c r="CH272" s="5"/>
      <c r="CI272" s="5"/>
    </row>
    <row r="273" spans="13:87" x14ac:dyDescent="0.2">
      <c r="M273" s="5">
        <v>251</v>
      </c>
      <c r="N273" s="413" t="str">
        <f t="shared" si="18"/>
        <v xml:space="preserve"> </v>
      </c>
      <c r="O273" s="414">
        <f t="shared" si="19"/>
        <v>0</v>
      </c>
      <c r="P273" s="414">
        <f t="shared" si="20"/>
        <v>0</v>
      </c>
      <c r="Q273" s="145">
        <f t="shared" si="23"/>
        <v>-8</v>
      </c>
      <c r="R273" s="414">
        <f t="shared" si="21"/>
        <v>0</v>
      </c>
      <c r="S273" s="414">
        <f t="shared" si="22"/>
        <v>0</v>
      </c>
      <c r="T273" s="19"/>
      <c r="U273" s="5"/>
      <c r="V273" s="5"/>
      <c r="W273" s="5">
        <v>251</v>
      </c>
      <c r="X273" s="144" t="s">
        <v>718</v>
      </c>
      <c r="Y273" s="145"/>
      <c r="Z273" s="146"/>
      <c r="AA273" s="145"/>
      <c r="AB273" s="145"/>
      <c r="AD273" s="5">
        <v>251</v>
      </c>
      <c r="AE273" s="413" t="s">
        <v>718</v>
      </c>
      <c r="AF273" s="145"/>
      <c r="AG273" s="146"/>
      <c r="AH273" s="145"/>
      <c r="AI273" s="145"/>
      <c r="AK273" s="5">
        <v>251</v>
      </c>
      <c r="AL273" s="413" t="s">
        <v>718</v>
      </c>
      <c r="AM273" s="145"/>
      <c r="AN273" s="146"/>
      <c r="AO273" s="145"/>
      <c r="AP273" s="145"/>
      <c r="AR273" s="5">
        <v>251</v>
      </c>
      <c r="AS273" s="413" t="s">
        <v>1052</v>
      </c>
      <c r="AT273" s="145">
        <v>178</v>
      </c>
      <c r="AU273" s="146">
        <v>3.39</v>
      </c>
      <c r="AV273" s="145">
        <v>3522</v>
      </c>
      <c r="AW273" s="145">
        <v>-13</v>
      </c>
      <c r="AY273" s="5">
        <v>251</v>
      </c>
      <c r="AZ273" s="413" t="s">
        <v>1053</v>
      </c>
      <c r="BA273" s="145">
        <v>348</v>
      </c>
      <c r="BB273" s="146">
        <v>3.11</v>
      </c>
      <c r="BC273" s="145">
        <v>3715</v>
      </c>
      <c r="BD273" s="145">
        <v>-14</v>
      </c>
      <c r="BF273" s="5">
        <v>251</v>
      </c>
      <c r="BG273" s="413" t="s">
        <v>718</v>
      </c>
      <c r="BH273" s="145"/>
      <c r="BI273" s="146"/>
      <c r="BJ273" s="145"/>
      <c r="BK273" s="145"/>
      <c r="BM273" s="5">
        <v>251</v>
      </c>
      <c r="BN273" s="413" t="s">
        <v>1054</v>
      </c>
      <c r="BO273" s="145">
        <v>370</v>
      </c>
      <c r="BP273" s="146">
        <v>3.17</v>
      </c>
      <c r="BQ273" s="145">
        <v>3618</v>
      </c>
      <c r="BR273" s="145">
        <v>-14</v>
      </c>
      <c r="BS273" s="5"/>
      <c r="BT273" s="5">
        <v>251</v>
      </c>
      <c r="BU273" s="413" t="s">
        <v>718</v>
      </c>
      <c r="BV273" s="145"/>
      <c r="BW273" s="146"/>
      <c r="BX273" s="145"/>
      <c r="BY273" s="145"/>
      <c r="BZ273" s="5"/>
      <c r="CA273" s="5">
        <v>251</v>
      </c>
      <c r="CB273" s="413" t="s">
        <v>718</v>
      </c>
      <c r="CC273" s="145"/>
      <c r="CD273" s="146"/>
      <c r="CE273" s="145"/>
      <c r="CF273" s="145"/>
      <c r="CG273" s="5"/>
      <c r="CH273" s="5"/>
      <c r="CI273" s="5"/>
    </row>
    <row r="274" spans="13:87" x14ac:dyDescent="0.2">
      <c r="M274" s="5">
        <v>252</v>
      </c>
      <c r="N274" s="413" t="str">
        <f t="shared" si="18"/>
        <v xml:space="preserve"> </v>
      </c>
      <c r="O274" s="414">
        <f t="shared" si="19"/>
        <v>0</v>
      </c>
      <c r="P274" s="414">
        <f t="shared" si="20"/>
        <v>0</v>
      </c>
      <c r="Q274" s="145">
        <f t="shared" si="23"/>
        <v>-8</v>
      </c>
      <c r="R274" s="414">
        <f t="shared" si="21"/>
        <v>0</v>
      </c>
      <c r="S274" s="414">
        <f t="shared" si="22"/>
        <v>0</v>
      </c>
      <c r="T274" s="19"/>
      <c r="U274" s="5"/>
      <c r="V274" s="5"/>
      <c r="W274" s="5">
        <v>252</v>
      </c>
      <c r="X274" s="144" t="s">
        <v>718</v>
      </c>
      <c r="Y274" s="145"/>
      <c r="Z274" s="146"/>
      <c r="AA274" s="145"/>
      <c r="AB274" s="145"/>
      <c r="AD274" s="5">
        <v>252</v>
      </c>
      <c r="AE274" s="413" t="s">
        <v>718</v>
      </c>
      <c r="AF274" s="145"/>
      <c r="AG274" s="146"/>
      <c r="AH274" s="145"/>
      <c r="AI274" s="145"/>
      <c r="AK274" s="5">
        <v>252</v>
      </c>
      <c r="AL274" s="413" t="s">
        <v>718</v>
      </c>
      <c r="AM274" s="145"/>
      <c r="AN274" s="146"/>
      <c r="AO274" s="145"/>
      <c r="AP274" s="145"/>
      <c r="AR274" s="5">
        <v>252</v>
      </c>
      <c r="AS274" s="413" t="s">
        <v>1055</v>
      </c>
      <c r="AT274" s="145">
        <v>167</v>
      </c>
      <c r="AU274" s="146">
        <v>3.55</v>
      </c>
      <c r="AV274" s="145">
        <v>3406</v>
      </c>
      <c r="AW274" s="145">
        <v>-13</v>
      </c>
      <c r="AY274" s="5">
        <v>252</v>
      </c>
      <c r="AZ274" s="413" t="s">
        <v>1056</v>
      </c>
      <c r="BA274" s="145">
        <v>600</v>
      </c>
      <c r="BB274" s="146">
        <v>2.7</v>
      </c>
      <c r="BC274" s="145">
        <v>4151</v>
      </c>
      <c r="BD274" s="145">
        <v>-14</v>
      </c>
      <c r="BF274" s="5">
        <v>252</v>
      </c>
      <c r="BG274" s="413" t="s">
        <v>718</v>
      </c>
      <c r="BH274" s="145"/>
      <c r="BI274" s="146"/>
      <c r="BJ274" s="145"/>
      <c r="BK274" s="145"/>
      <c r="BM274" s="5">
        <v>252</v>
      </c>
      <c r="BN274" s="413" t="s">
        <v>1057</v>
      </c>
      <c r="BO274" s="145">
        <v>798</v>
      </c>
      <c r="BP274" s="146">
        <v>2.42</v>
      </c>
      <c r="BQ274" s="145">
        <v>4483</v>
      </c>
      <c r="BR274" s="145">
        <v>-15</v>
      </c>
      <c r="BS274" s="5"/>
      <c r="BT274" s="5">
        <v>252</v>
      </c>
      <c r="BU274" s="413" t="s">
        <v>718</v>
      </c>
      <c r="BV274" s="145"/>
      <c r="BW274" s="146"/>
      <c r="BX274" s="145"/>
      <c r="BY274" s="145"/>
      <c r="BZ274" s="5"/>
      <c r="CA274" s="5">
        <v>252</v>
      </c>
      <c r="CB274" s="413" t="s">
        <v>718</v>
      </c>
      <c r="CC274" s="145"/>
      <c r="CD274" s="146"/>
      <c r="CE274" s="145"/>
      <c r="CF274" s="145"/>
      <c r="CG274" s="5"/>
      <c r="CH274" s="5"/>
      <c r="CI274" s="5"/>
    </row>
    <row r="275" spans="13:87" x14ac:dyDescent="0.2">
      <c r="M275" s="5">
        <v>253</v>
      </c>
      <c r="N275" s="413" t="str">
        <f t="shared" si="18"/>
        <v xml:space="preserve"> </v>
      </c>
      <c r="O275" s="414">
        <f t="shared" si="19"/>
        <v>0</v>
      </c>
      <c r="P275" s="414">
        <f t="shared" si="20"/>
        <v>0</v>
      </c>
      <c r="Q275" s="145">
        <f t="shared" si="23"/>
        <v>-8</v>
      </c>
      <c r="R275" s="414">
        <f t="shared" si="21"/>
        <v>0</v>
      </c>
      <c r="S275" s="414">
        <f t="shared" si="22"/>
        <v>0</v>
      </c>
      <c r="T275" s="19"/>
      <c r="U275" s="5"/>
      <c r="V275" s="5"/>
      <c r="W275" s="5">
        <v>253</v>
      </c>
      <c r="X275" s="144" t="s">
        <v>718</v>
      </c>
      <c r="Y275" s="145"/>
      <c r="Z275" s="146"/>
      <c r="AA275" s="145"/>
      <c r="AB275" s="145"/>
      <c r="AD275" s="5">
        <v>253</v>
      </c>
      <c r="AE275" s="413" t="s">
        <v>718</v>
      </c>
      <c r="AF275" s="145"/>
      <c r="AG275" s="146"/>
      <c r="AH275" s="145"/>
      <c r="AI275" s="145"/>
      <c r="AK275" s="5">
        <v>253</v>
      </c>
      <c r="AL275" s="413" t="s">
        <v>718</v>
      </c>
      <c r="AM275" s="145"/>
      <c r="AN275" s="146"/>
      <c r="AO275" s="145"/>
      <c r="AP275" s="145"/>
      <c r="AR275" s="5">
        <v>253</v>
      </c>
      <c r="AS275" s="413" t="s">
        <v>1058</v>
      </c>
      <c r="AT275" s="145">
        <v>700</v>
      </c>
      <c r="AU275" s="146">
        <v>2.1800000000000002</v>
      </c>
      <c r="AV275" s="145">
        <v>4721</v>
      </c>
      <c r="AW275" s="145">
        <v>-17</v>
      </c>
      <c r="AY275" s="5">
        <v>253</v>
      </c>
      <c r="AZ275" s="413" t="s">
        <v>1059</v>
      </c>
      <c r="BA275" s="145">
        <v>425</v>
      </c>
      <c r="BB275" s="146">
        <v>3.08</v>
      </c>
      <c r="BC275" s="145">
        <v>3892</v>
      </c>
      <c r="BD275" s="145">
        <v>-15</v>
      </c>
      <c r="BF275" s="5">
        <v>253</v>
      </c>
      <c r="BG275" s="413" t="s">
        <v>718</v>
      </c>
      <c r="BH275" s="145"/>
      <c r="BI275" s="146"/>
      <c r="BJ275" s="145"/>
      <c r="BK275" s="145"/>
      <c r="BM275" s="5">
        <v>253</v>
      </c>
      <c r="BN275" s="413" t="s">
        <v>1060</v>
      </c>
      <c r="BO275" s="145">
        <v>610</v>
      </c>
      <c r="BP275" s="146">
        <v>2.9</v>
      </c>
      <c r="BQ275" s="145">
        <v>3984</v>
      </c>
      <c r="BR275" s="145">
        <v>-14</v>
      </c>
      <c r="BS275" s="5"/>
      <c r="BT275" s="5">
        <v>253</v>
      </c>
      <c r="BU275" s="413" t="s">
        <v>718</v>
      </c>
      <c r="BV275" s="145"/>
      <c r="BW275" s="146"/>
      <c r="BX275" s="145"/>
      <c r="BY275" s="145"/>
      <c r="BZ275" s="5"/>
      <c r="CA275" s="5">
        <v>253</v>
      </c>
      <c r="CB275" s="413" t="s">
        <v>718</v>
      </c>
      <c r="CC275" s="145"/>
      <c r="CD275" s="146"/>
      <c r="CE275" s="145"/>
      <c r="CF275" s="145"/>
      <c r="CG275" s="5"/>
      <c r="CH275" s="5"/>
      <c r="CI275" s="5"/>
    </row>
    <row r="276" spans="13:87" x14ac:dyDescent="0.2">
      <c r="M276" s="5">
        <v>254</v>
      </c>
      <c r="N276" s="413" t="str">
        <f t="shared" si="18"/>
        <v xml:space="preserve"> </v>
      </c>
      <c r="O276" s="414">
        <f t="shared" si="19"/>
        <v>0</v>
      </c>
      <c r="P276" s="414">
        <f t="shared" si="20"/>
        <v>0</v>
      </c>
      <c r="Q276" s="145">
        <f t="shared" si="23"/>
        <v>-8</v>
      </c>
      <c r="R276" s="414">
        <f t="shared" si="21"/>
        <v>0</v>
      </c>
      <c r="S276" s="414">
        <f t="shared" si="22"/>
        <v>0</v>
      </c>
      <c r="T276" s="19"/>
      <c r="U276" s="5"/>
      <c r="V276" s="5"/>
      <c r="W276" s="5">
        <v>254</v>
      </c>
      <c r="X276" s="144" t="s">
        <v>718</v>
      </c>
      <c r="Y276" s="145"/>
      <c r="Z276" s="146"/>
      <c r="AA276" s="145"/>
      <c r="AB276" s="145"/>
      <c r="AD276" s="5">
        <v>254</v>
      </c>
      <c r="AE276" s="413" t="s">
        <v>718</v>
      </c>
      <c r="AF276" s="145"/>
      <c r="AG276" s="146"/>
      <c r="AH276" s="145"/>
      <c r="AI276" s="145"/>
      <c r="AK276" s="5">
        <v>254</v>
      </c>
      <c r="AL276" s="413" t="s">
        <v>718</v>
      </c>
      <c r="AM276" s="145"/>
      <c r="AN276" s="146"/>
      <c r="AO276" s="145"/>
      <c r="AP276" s="145"/>
      <c r="AR276" s="5">
        <v>254</v>
      </c>
      <c r="AS276" s="413" t="s">
        <v>1061</v>
      </c>
      <c r="AT276" s="145">
        <v>252</v>
      </c>
      <c r="AU276" s="146">
        <v>3.53</v>
      </c>
      <c r="AV276" s="145">
        <v>3459</v>
      </c>
      <c r="AW276" s="145">
        <v>-13</v>
      </c>
      <c r="AY276" s="5">
        <v>254</v>
      </c>
      <c r="AZ276" s="413" t="s">
        <v>3709</v>
      </c>
      <c r="BA276" s="145">
        <v>750</v>
      </c>
      <c r="BB276" s="146">
        <v>2.89</v>
      </c>
      <c r="BC276" s="145">
        <v>4278</v>
      </c>
      <c r="BD276" s="145">
        <v>-15</v>
      </c>
      <c r="BF276" s="5">
        <v>254</v>
      </c>
      <c r="BG276" s="413" t="s">
        <v>718</v>
      </c>
      <c r="BH276" s="145"/>
      <c r="BI276" s="146"/>
      <c r="BJ276" s="145"/>
      <c r="BK276" s="145"/>
      <c r="BM276" s="5">
        <v>254</v>
      </c>
      <c r="BN276" s="413" t="s">
        <v>3710</v>
      </c>
      <c r="BO276" s="145">
        <v>718</v>
      </c>
      <c r="BP276" s="146">
        <v>3.32</v>
      </c>
      <c r="BQ276" s="145">
        <v>3919</v>
      </c>
      <c r="BR276" s="145">
        <v>-14</v>
      </c>
      <c r="BS276" s="5"/>
      <c r="BT276" s="5">
        <v>254</v>
      </c>
      <c r="BU276" s="413" t="s">
        <v>718</v>
      </c>
      <c r="BV276" s="145"/>
      <c r="BW276" s="146"/>
      <c r="BX276" s="145"/>
      <c r="BY276" s="145"/>
      <c r="BZ276" s="5"/>
      <c r="CA276" s="5">
        <v>254</v>
      </c>
      <c r="CB276" s="413" t="s">
        <v>718</v>
      </c>
      <c r="CC276" s="145"/>
      <c r="CD276" s="146"/>
      <c r="CE276" s="145"/>
      <c r="CF276" s="145"/>
      <c r="CG276" s="5"/>
      <c r="CH276" s="5"/>
      <c r="CI276" s="5"/>
    </row>
    <row r="277" spans="13:87" x14ac:dyDescent="0.2">
      <c r="M277" s="5">
        <v>255</v>
      </c>
      <c r="N277" s="413" t="str">
        <f t="shared" si="18"/>
        <v xml:space="preserve"> </v>
      </c>
      <c r="O277" s="414">
        <f t="shared" si="19"/>
        <v>0</v>
      </c>
      <c r="P277" s="414">
        <f t="shared" si="20"/>
        <v>0</v>
      </c>
      <c r="Q277" s="145">
        <f t="shared" si="23"/>
        <v>-8</v>
      </c>
      <c r="R277" s="414">
        <f t="shared" si="21"/>
        <v>0</v>
      </c>
      <c r="S277" s="414">
        <f t="shared" si="22"/>
        <v>0</v>
      </c>
      <c r="T277" s="19"/>
      <c r="U277" s="5"/>
      <c r="V277" s="5"/>
      <c r="W277" s="5">
        <v>255</v>
      </c>
      <c r="X277" s="144" t="s">
        <v>718</v>
      </c>
      <c r="Y277" s="145"/>
      <c r="Z277" s="146"/>
      <c r="AA277" s="145"/>
      <c r="AB277" s="145"/>
      <c r="AD277" s="5">
        <v>255</v>
      </c>
      <c r="AE277" s="413" t="s">
        <v>718</v>
      </c>
      <c r="AF277" s="145"/>
      <c r="AG277" s="146"/>
      <c r="AH277" s="145"/>
      <c r="AI277" s="145"/>
      <c r="AK277" s="5">
        <v>255</v>
      </c>
      <c r="AL277" s="413" t="s">
        <v>718</v>
      </c>
      <c r="AM277" s="145"/>
      <c r="AN277" s="146"/>
      <c r="AO277" s="145"/>
      <c r="AP277" s="145"/>
      <c r="AR277" s="5">
        <v>255</v>
      </c>
      <c r="AS277" s="413" t="s">
        <v>574</v>
      </c>
      <c r="AT277" s="145">
        <v>202</v>
      </c>
      <c r="AU277" s="146">
        <v>3.74</v>
      </c>
      <c r="AV277" s="145">
        <v>3349</v>
      </c>
      <c r="AW277" s="145">
        <v>-12</v>
      </c>
      <c r="AY277" s="5">
        <v>255</v>
      </c>
      <c r="AZ277" s="413" t="s">
        <v>575</v>
      </c>
      <c r="BA277" s="145">
        <v>443</v>
      </c>
      <c r="BB277" s="146">
        <v>3.14</v>
      </c>
      <c r="BC277" s="145">
        <v>3895</v>
      </c>
      <c r="BD277" s="145">
        <v>-15</v>
      </c>
      <c r="BF277" s="5">
        <v>255</v>
      </c>
      <c r="BG277" s="413" t="s">
        <v>718</v>
      </c>
      <c r="BH277" s="145"/>
      <c r="BI277" s="146"/>
      <c r="BJ277" s="145"/>
      <c r="BK277" s="145"/>
      <c r="BM277" s="5">
        <v>255</v>
      </c>
      <c r="BN277" s="413" t="s">
        <v>576</v>
      </c>
      <c r="BO277" s="145">
        <v>387</v>
      </c>
      <c r="BP277" s="146">
        <v>2.9</v>
      </c>
      <c r="BQ277" s="145">
        <v>3796</v>
      </c>
      <c r="BR277" s="145">
        <v>-14</v>
      </c>
      <c r="BS277" s="5"/>
      <c r="BT277" s="5">
        <v>255</v>
      </c>
      <c r="BU277" s="413" t="s">
        <v>718</v>
      </c>
      <c r="BV277" s="145"/>
      <c r="BW277" s="146"/>
      <c r="BX277" s="145"/>
      <c r="BY277" s="145"/>
      <c r="BZ277" s="5"/>
      <c r="CA277" s="5">
        <v>255</v>
      </c>
      <c r="CB277" s="413" t="s">
        <v>718</v>
      </c>
      <c r="CC277" s="145"/>
      <c r="CD277" s="146"/>
      <c r="CE277" s="145"/>
      <c r="CF277" s="145"/>
      <c r="CG277" s="5"/>
      <c r="CH277" s="5"/>
      <c r="CI277" s="5"/>
    </row>
    <row r="278" spans="13:87" x14ac:dyDescent="0.2">
      <c r="M278" s="5">
        <v>256</v>
      </c>
      <c r="N278" s="413" t="str">
        <f t="shared" si="18"/>
        <v xml:space="preserve"> </v>
      </c>
      <c r="O278" s="414">
        <f t="shared" si="19"/>
        <v>0</v>
      </c>
      <c r="P278" s="414">
        <f t="shared" si="20"/>
        <v>0</v>
      </c>
      <c r="Q278" s="145">
        <f t="shared" si="23"/>
        <v>-8</v>
      </c>
      <c r="R278" s="414">
        <f t="shared" si="21"/>
        <v>0</v>
      </c>
      <c r="S278" s="414">
        <f t="shared" si="22"/>
        <v>0</v>
      </c>
      <c r="T278" s="19"/>
      <c r="U278" s="5"/>
      <c r="V278" s="5"/>
      <c r="W278" s="5">
        <v>256</v>
      </c>
      <c r="X278" s="144" t="s">
        <v>718</v>
      </c>
      <c r="Y278" s="145"/>
      <c r="Z278" s="146"/>
      <c r="AA278" s="145"/>
      <c r="AB278" s="145"/>
      <c r="AD278" s="5">
        <v>256</v>
      </c>
      <c r="AE278" s="413" t="s">
        <v>718</v>
      </c>
      <c r="AF278" s="145"/>
      <c r="AG278" s="146"/>
      <c r="AH278" s="145"/>
      <c r="AI278" s="145"/>
      <c r="AK278" s="5">
        <v>256</v>
      </c>
      <c r="AL278" s="413" t="s">
        <v>718</v>
      </c>
      <c r="AM278" s="145"/>
      <c r="AN278" s="146"/>
      <c r="AO278" s="145"/>
      <c r="AP278" s="145"/>
      <c r="AR278" s="5">
        <v>256</v>
      </c>
      <c r="AS278" s="413" t="s">
        <v>577</v>
      </c>
      <c r="AT278" s="145">
        <v>205</v>
      </c>
      <c r="AU278" s="146">
        <v>3.34</v>
      </c>
      <c r="AV278" s="145">
        <v>3482</v>
      </c>
      <c r="AW278" s="145">
        <v>-13</v>
      </c>
      <c r="AY278" s="5">
        <v>256</v>
      </c>
      <c r="AZ278" s="413" t="s">
        <v>578</v>
      </c>
      <c r="BA278" s="145">
        <v>687</v>
      </c>
      <c r="BB278" s="146">
        <v>3.09</v>
      </c>
      <c r="BC278" s="145">
        <v>4160</v>
      </c>
      <c r="BD278" s="145">
        <v>-14</v>
      </c>
      <c r="BF278" s="5">
        <v>256</v>
      </c>
      <c r="BG278" s="413" t="s">
        <v>718</v>
      </c>
      <c r="BH278" s="145"/>
      <c r="BI278" s="146"/>
      <c r="BJ278" s="145"/>
      <c r="BK278" s="145"/>
      <c r="BM278" s="5">
        <v>256</v>
      </c>
      <c r="BN278" s="413" t="s">
        <v>579</v>
      </c>
      <c r="BO278" s="145">
        <v>325</v>
      </c>
      <c r="BP278" s="146">
        <v>3.22</v>
      </c>
      <c r="BQ278" s="145">
        <v>3506</v>
      </c>
      <c r="BR278" s="145">
        <v>-13</v>
      </c>
      <c r="BS278" s="5"/>
      <c r="BT278" s="5">
        <v>256</v>
      </c>
      <c r="BU278" s="413" t="s">
        <v>718</v>
      </c>
      <c r="BV278" s="145"/>
      <c r="BW278" s="146"/>
      <c r="BX278" s="145"/>
      <c r="BY278" s="145"/>
      <c r="BZ278" s="5"/>
      <c r="CA278" s="5">
        <v>256</v>
      </c>
      <c r="CB278" s="413" t="s">
        <v>718</v>
      </c>
      <c r="CC278" s="145"/>
      <c r="CD278" s="146"/>
      <c r="CE278" s="145"/>
      <c r="CF278" s="145"/>
      <c r="CG278" s="5"/>
      <c r="CH278" s="5"/>
      <c r="CI278" s="5"/>
    </row>
    <row r="279" spans="13:87" x14ac:dyDescent="0.2">
      <c r="M279" s="5">
        <v>257</v>
      </c>
      <c r="N279" s="413" t="str">
        <f t="shared" ref="N279:N342" si="24">INDEX(X$23:CG$723,$M279,(Bundesland-1)*7+1)</f>
        <v xml:space="preserve"> </v>
      </c>
      <c r="O279" s="414">
        <f t="shared" ref="O279:O342" si="25">INDEX(Y$23:CH$723,$M279,(Bundesland-1)*7+1)</f>
        <v>0</v>
      </c>
      <c r="P279" s="414">
        <f t="shared" ref="P279:P342" si="26">INDEX(Z$23:CI$723,$M279,(Bundesland-1)*7+1)</f>
        <v>0</v>
      </c>
      <c r="Q279" s="145">
        <f t="shared" si="23"/>
        <v>-8</v>
      </c>
      <c r="R279" s="414">
        <f t="shared" ref="R279:R342" si="27">INDEX(AA$23:CK$723,$M279,(Bundesland-1)*7+1)</f>
        <v>0</v>
      </c>
      <c r="S279" s="414">
        <f t="shared" ref="S279:S342" si="28">INDEX(AB$23:CL$723,$M279,(Bundesland-1)*7+1)</f>
        <v>0</v>
      </c>
      <c r="T279" s="19"/>
      <c r="U279" s="5"/>
      <c r="V279" s="5"/>
      <c r="W279" s="5">
        <v>257</v>
      </c>
      <c r="X279" s="144" t="s">
        <v>718</v>
      </c>
      <c r="Y279" s="145"/>
      <c r="Z279" s="146"/>
      <c r="AA279" s="145"/>
      <c r="AB279" s="145"/>
      <c r="AD279" s="5">
        <v>257</v>
      </c>
      <c r="AE279" s="413" t="s">
        <v>718</v>
      </c>
      <c r="AF279" s="145"/>
      <c r="AG279" s="146"/>
      <c r="AH279" s="145"/>
      <c r="AI279" s="145"/>
      <c r="AK279" s="5">
        <v>257</v>
      </c>
      <c r="AL279" s="413" t="s">
        <v>718</v>
      </c>
      <c r="AM279" s="145"/>
      <c r="AN279" s="146"/>
      <c r="AO279" s="145"/>
      <c r="AP279" s="145"/>
      <c r="AR279" s="5">
        <v>257</v>
      </c>
      <c r="AS279" s="413" t="s">
        <v>580</v>
      </c>
      <c r="AT279" s="145">
        <v>370</v>
      </c>
      <c r="AU279" s="146">
        <v>2.85</v>
      </c>
      <c r="AV279" s="145">
        <v>3978</v>
      </c>
      <c r="AW279" s="145">
        <v>-15</v>
      </c>
      <c r="AY279" s="5">
        <v>257</v>
      </c>
      <c r="AZ279" s="413" t="s">
        <v>581</v>
      </c>
      <c r="BA279" s="145">
        <v>424</v>
      </c>
      <c r="BB279" s="146">
        <v>3.16</v>
      </c>
      <c r="BC279" s="145">
        <v>3805</v>
      </c>
      <c r="BD279" s="145">
        <v>-15</v>
      </c>
      <c r="BF279" s="5">
        <v>257</v>
      </c>
      <c r="BG279" s="413" t="s">
        <v>718</v>
      </c>
      <c r="BH279" s="145"/>
      <c r="BI279" s="146"/>
      <c r="BJ279" s="145"/>
      <c r="BK279" s="145"/>
      <c r="BM279" s="5">
        <v>257</v>
      </c>
      <c r="BN279" s="413" t="s">
        <v>582</v>
      </c>
      <c r="BO279" s="145">
        <v>590</v>
      </c>
      <c r="BP279" s="146">
        <v>2.84</v>
      </c>
      <c r="BQ279" s="145">
        <v>4033</v>
      </c>
      <c r="BR279" s="145">
        <v>-14</v>
      </c>
      <c r="BS279" s="5"/>
      <c r="BT279" s="5">
        <v>257</v>
      </c>
      <c r="BU279" s="413" t="s">
        <v>718</v>
      </c>
      <c r="BV279" s="145"/>
      <c r="BW279" s="146"/>
      <c r="BX279" s="145"/>
      <c r="BY279" s="145"/>
      <c r="BZ279" s="5"/>
      <c r="CA279" s="5">
        <v>257</v>
      </c>
      <c r="CB279" s="413" t="s">
        <v>718</v>
      </c>
      <c r="CC279" s="145"/>
      <c r="CD279" s="146"/>
      <c r="CE279" s="145"/>
      <c r="CF279" s="145"/>
      <c r="CG279" s="5"/>
      <c r="CH279" s="5"/>
      <c r="CI279" s="5"/>
    </row>
    <row r="280" spans="13:87" x14ac:dyDescent="0.2">
      <c r="M280" s="5">
        <v>258</v>
      </c>
      <c r="N280" s="413" t="str">
        <f t="shared" si="24"/>
        <v xml:space="preserve"> </v>
      </c>
      <c r="O280" s="414">
        <f t="shared" si="25"/>
        <v>0</v>
      </c>
      <c r="P280" s="414">
        <f t="shared" si="26"/>
        <v>0</v>
      </c>
      <c r="Q280" s="145">
        <f t="shared" ref="Q280:Q343" si="29">MIN(S280+Zuschlag_A,-8)</f>
        <v>-8</v>
      </c>
      <c r="R280" s="414">
        <f t="shared" si="27"/>
        <v>0</v>
      </c>
      <c r="S280" s="414">
        <f t="shared" si="28"/>
        <v>0</v>
      </c>
      <c r="T280" s="19"/>
      <c r="U280" s="5"/>
      <c r="V280" s="5"/>
      <c r="W280" s="5">
        <v>258</v>
      </c>
      <c r="X280" s="144" t="s">
        <v>718</v>
      </c>
      <c r="Y280" s="145"/>
      <c r="Z280" s="146"/>
      <c r="AA280" s="145"/>
      <c r="AB280" s="145"/>
      <c r="AD280" s="5">
        <v>258</v>
      </c>
      <c r="AE280" s="413" t="s">
        <v>718</v>
      </c>
      <c r="AF280" s="145"/>
      <c r="AG280" s="146"/>
      <c r="AH280" s="145"/>
      <c r="AI280" s="145"/>
      <c r="AK280" s="5">
        <v>258</v>
      </c>
      <c r="AL280" s="413" t="s">
        <v>718</v>
      </c>
      <c r="AM280" s="145"/>
      <c r="AN280" s="146"/>
      <c r="AO280" s="145"/>
      <c r="AP280" s="145"/>
      <c r="AR280" s="5">
        <v>258</v>
      </c>
      <c r="AS280" s="413" t="s">
        <v>261</v>
      </c>
      <c r="AT280" s="145">
        <v>520</v>
      </c>
      <c r="AU280" s="146">
        <v>3</v>
      </c>
      <c r="AV280" s="145">
        <v>4063</v>
      </c>
      <c r="AW280" s="145">
        <v>-14</v>
      </c>
      <c r="AY280" s="5">
        <v>258</v>
      </c>
      <c r="AZ280" s="413" t="s">
        <v>583</v>
      </c>
      <c r="BA280" s="145">
        <v>280</v>
      </c>
      <c r="BB280" s="146">
        <v>3.18</v>
      </c>
      <c r="BC280" s="145">
        <v>3683</v>
      </c>
      <c r="BD280" s="145">
        <v>-14</v>
      </c>
      <c r="BF280" s="5">
        <v>258</v>
      </c>
      <c r="BG280" s="413" t="s">
        <v>718</v>
      </c>
      <c r="BH280" s="145"/>
      <c r="BI280" s="146"/>
      <c r="BJ280" s="145"/>
      <c r="BK280" s="145"/>
      <c r="BM280" s="5">
        <v>258</v>
      </c>
      <c r="BN280" s="413" t="s">
        <v>584</v>
      </c>
      <c r="BO280" s="145">
        <v>404</v>
      </c>
      <c r="BP280" s="146">
        <v>2.96</v>
      </c>
      <c r="BQ280" s="145">
        <v>3765</v>
      </c>
      <c r="BR280" s="145">
        <v>-14</v>
      </c>
      <c r="BS280" s="5"/>
      <c r="BT280" s="5">
        <v>258</v>
      </c>
      <c r="BU280" s="413" t="s">
        <v>718</v>
      </c>
      <c r="BV280" s="145"/>
      <c r="BW280" s="146"/>
      <c r="BX280" s="145"/>
      <c r="BY280" s="145"/>
      <c r="BZ280" s="5"/>
      <c r="CA280" s="5">
        <v>258</v>
      </c>
      <c r="CB280" s="413" t="s">
        <v>718</v>
      </c>
      <c r="CC280" s="145"/>
      <c r="CD280" s="146"/>
      <c r="CE280" s="145"/>
      <c r="CF280" s="145"/>
      <c r="CG280" s="5"/>
      <c r="CH280" s="5"/>
      <c r="CI280" s="5"/>
    </row>
    <row r="281" spans="13:87" x14ac:dyDescent="0.2">
      <c r="M281" s="5">
        <v>259</v>
      </c>
      <c r="N281" s="413" t="str">
        <f t="shared" si="24"/>
        <v xml:space="preserve"> </v>
      </c>
      <c r="O281" s="414">
        <f t="shared" si="25"/>
        <v>0</v>
      </c>
      <c r="P281" s="414">
        <f t="shared" si="26"/>
        <v>0</v>
      </c>
      <c r="Q281" s="145">
        <f t="shared" si="29"/>
        <v>-8</v>
      </c>
      <c r="R281" s="414">
        <f t="shared" si="27"/>
        <v>0</v>
      </c>
      <c r="S281" s="414">
        <f t="shared" si="28"/>
        <v>0</v>
      </c>
      <c r="T281" s="19"/>
      <c r="U281" s="5"/>
      <c r="V281" s="5"/>
      <c r="W281" s="5">
        <v>259</v>
      </c>
      <c r="X281" s="144" t="s">
        <v>718</v>
      </c>
      <c r="Y281" s="145"/>
      <c r="Z281" s="146"/>
      <c r="AA281" s="145"/>
      <c r="AB281" s="145"/>
      <c r="AD281" s="5">
        <v>259</v>
      </c>
      <c r="AE281" s="413" t="s">
        <v>718</v>
      </c>
      <c r="AF281" s="145"/>
      <c r="AG281" s="146"/>
      <c r="AH281" s="145"/>
      <c r="AI281" s="145"/>
      <c r="AK281" s="5">
        <v>259</v>
      </c>
      <c r="AL281" s="413" t="s">
        <v>718</v>
      </c>
      <c r="AM281" s="145"/>
      <c r="AN281" s="146"/>
      <c r="AO281" s="145"/>
      <c r="AP281" s="145"/>
      <c r="AR281" s="5">
        <v>259</v>
      </c>
      <c r="AS281" s="413" t="s">
        <v>585</v>
      </c>
      <c r="AT281" s="145">
        <v>216</v>
      </c>
      <c r="AU281" s="146">
        <v>3.31</v>
      </c>
      <c r="AV281" s="145">
        <v>3689</v>
      </c>
      <c r="AW281" s="145">
        <v>-14</v>
      </c>
      <c r="AY281" s="5">
        <v>259</v>
      </c>
      <c r="AZ281" s="413" t="s">
        <v>586</v>
      </c>
      <c r="BA281" s="145">
        <v>453</v>
      </c>
      <c r="BB281" s="146">
        <v>3.11</v>
      </c>
      <c r="BC281" s="145">
        <v>3952</v>
      </c>
      <c r="BD281" s="145">
        <v>-15</v>
      </c>
      <c r="BF281" s="5">
        <v>259</v>
      </c>
      <c r="BG281" s="413" t="s">
        <v>718</v>
      </c>
      <c r="BH281" s="145"/>
      <c r="BI281" s="146"/>
      <c r="BJ281" s="145"/>
      <c r="BK281" s="145"/>
      <c r="BM281" s="5">
        <v>259</v>
      </c>
      <c r="BN281" s="413" t="s">
        <v>587</v>
      </c>
      <c r="BO281" s="145">
        <v>262</v>
      </c>
      <c r="BP281" s="146">
        <v>3.03</v>
      </c>
      <c r="BQ281" s="145">
        <v>3563</v>
      </c>
      <c r="BR281" s="145">
        <v>-13</v>
      </c>
      <c r="BS281" s="5"/>
      <c r="BT281" s="5">
        <v>259</v>
      </c>
      <c r="BU281" s="413" t="s">
        <v>718</v>
      </c>
      <c r="BV281" s="145"/>
      <c r="BW281" s="146"/>
      <c r="BX281" s="145"/>
      <c r="BY281" s="145"/>
      <c r="BZ281" s="5"/>
      <c r="CA281" s="5">
        <v>259</v>
      </c>
      <c r="CB281" s="413" t="s">
        <v>718</v>
      </c>
      <c r="CC281" s="145"/>
      <c r="CD281" s="146"/>
      <c r="CE281" s="145"/>
      <c r="CF281" s="145"/>
      <c r="CG281" s="5"/>
      <c r="CH281" s="5"/>
      <c r="CI281" s="5"/>
    </row>
    <row r="282" spans="13:87" x14ac:dyDescent="0.2">
      <c r="M282" s="5">
        <v>260</v>
      </c>
      <c r="N282" s="413" t="str">
        <f t="shared" si="24"/>
        <v xml:space="preserve"> </v>
      </c>
      <c r="O282" s="414">
        <f t="shared" si="25"/>
        <v>0</v>
      </c>
      <c r="P282" s="414">
        <f t="shared" si="26"/>
        <v>0</v>
      </c>
      <c r="Q282" s="145">
        <f t="shared" si="29"/>
        <v>-8</v>
      </c>
      <c r="R282" s="414">
        <f t="shared" si="27"/>
        <v>0</v>
      </c>
      <c r="S282" s="414">
        <f t="shared" si="28"/>
        <v>0</v>
      </c>
      <c r="T282" s="19"/>
      <c r="U282" s="5"/>
      <c r="V282" s="5"/>
      <c r="W282" s="5">
        <v>260</v>
      </c>
      <c r="X282" s="144" t="s">
        <v>718</v>
      </c>
      <c r="Y282" s="145"/>
      <c r="Z282" s="146"/>
      <c r="AA282" s="145"/>
      <c r="AB282" s="145"/>
      <c r="AD282" s="5">
        <v>260</v>
      </c>
      <c r="AE282" s="413" t="s">
        <v>718</v>
      </c>
      <c r="AF282" s="145"/>
      <c r="AG282" s="146"/>
      <c r="AH282" s="145"/>
      <c r="AI282" s="145"/>
      <c r="AK282" s="5">
        <v>260</v>
      </c>
      <c r="AL282" s="413" t="s">
        <v>718</v>
      </c>
      <c r="AM282" s="145"/>
      <c r="AN282" s="146"/>
      <c r="AO282" s="145"/>
      <c r="AP282" s="145"/>
      <c r="AR282" s="5">
        <v>260</v>
      </c>
      <c r="AS282" s="413" t="s">
        <v>588</v>
      </c>
      <c r="AT282" s="145">
        <v>520</v>
      </c>
      <c r="AU282" s="146">
        <v>3.34</v>
      </c>
      <c r="AV282" s="145">
        <v>3681</v>
      </c>
      <c r="AW282" s="145">
        <v>-14</v>
      </c>
      <c r="AY282" s="5">
        <v>260</v>
      </c>
      <c r="AZ282" s="413" t="s">
        <v>589</v>
      </c>
      <c r="BA282" s="145">
        <v>927</v>
      </c>
      <c r="BB282" s="146">
        <v>1.98</v>
      </c>
      <c r="BC282" s="145">
        <v>4991</v>
      </c>
      <c r="BD282" s="145">
        <v>-17</v>
      </c>
      <c r="BF282" s="5">
        <v>260</v>
      </c>
      <c r="BG282" s="413" t="s">
        <v>718</v>
      </c>
      <c r="BH282" s="145"/>
      <c r="BI282" s="146"/>
      <c r="BJ282" s="145"/>
      <c r="BK282" s="145"/>
      <c r="BM282" s="5">
        <v>260</v>
      </c>
      <c r="BN282" s="413" t="s">
        <v>590</v>
      </c>
      <c r="BO282" s="145">
        <v>601</v>
      </c>
      <c r="BP282" s="146">
        <v>2.95</v>
      </c>
      <c r="BQ282" s="145">
        <v>4127</v>
      </c>
      <c r="BR282" s="145">
        <v>-14</v>
      </c>
      <c r="BS282" s="5"/>
      <c r="BT282" s="5">
        <v>260</v>
      </c>
      <c r="BU282" s="413" t="s">
        <v>718</v>
      </c>
      <c r="BV282" s="145"/>
      <c r="BW282" s="146"/>
      <c r="BX282" s="145"/>
      <c r="BY282" s="145"/>
      <c r="BZ282" s="5"/>
      <c r="CA282" s="5">
        <v>260</v>
      </c>
      <c r="CB282" s="413" t="s">
        <v>718</v>
      </c>
      <c r="CC282" s="145"/>
      <c r="CD282" s="146"/>
      <c r="CE282" s="145"/>
      <c r="CF282" s="145"/>
      <c r="CG282" s="5"/>
      <c r="CH282" s="5"/>
      <c r="CI282" s="5"/>
    </row>
    <row r="283" spans="13:87" x14ac:dyDescent="0.2">
      <c r="M283" s="5">
        <v>261</v>
      </c>
      <c r="N283" s="413" t="str">
        <f t="shared" si="24"/>
        <v xml:space="preserve"> </v>
      </c>
      <c r="O283" s="414">
        <f t="shared" si="25"/>
        <v>0</v>
      </c>
      <c r="P283" s="414">
        <f t="shared" si="26"/>
        <v>0</v>
      </c>
      <c r="Q283" s="145">
        <f t="shared" si="29"/>
        <v>-8</v>
      </c>
      <c r="R283" s="414">
        <f t="shared" si="27"/>
        <v>0</v>
      </c>
      <c r="S283" s="414">
        <f t="shared" si="28"/>
        <v>0</v>
      </c>
      <c r="T283" s="19"/>
      <c r="U283" s="5"/>
      <c r="V283" s="5"/>
      <c r="W283" s="5">
        <v>261</v>
      </c>
      <c r="X283" s="144" t="s">
        <v>718</v>
      </c>
      <c r="Y283" s="145"/>
      <c r="Z283" s="146"/>
      <c r="AA283" s="145"/>
      <c r="AB283" s="145"/>
      <c r="AD283" s="5">
        <v>261</v>
      </c>
      <c r="AE283" s="413" t="s">
        <v>718</v>
      </c>
      <c r="AF283" s="145"/>
      <c r="AG283" s="146"/>
      <c r="AH283" s="145"/>
      <c r="AI283" s="145"/>
      <c r="AK283" s="5">
        <v>261</v>
      </c>
      <c r="AL283" s="413" t="s">
        <v>718</v>
      </c>
      <c r="AM283" s="145"/>
      <c r="AN283" s="146"/>
      <c r="AO283" s="145"/>
      <c r="AP283" s="145"/>
      <c r="AR283" s="5">
        <v>261</v>
      </c>
      <c r="AS283" s="413" t="s">
        <v>591</v>
      </c>
      <c r="AT283" s="145">
        <v>182</v>
      </c>
      <c r="AU283" s="146">
        <v>3.29</v>
      </c>
      <c r="AV283" s="145">
        <v>3509</v>
      </c>
      <c r="AW283" s="145">
        <v>-14</v>
      </c>
      <c r="AY283" s="5">
        <v>261</v>
      </c>
      <c r="AZ283" s="413" t="s">
        <v>602</v>
      </c>
      <c r="BA283" s="145">
        <v>598</v>
      </c>
      <c r="BB283" s="146">
        <v>2.62</v>
      </c>
      <c r="BC283" s="145">
        <v>4240</v>
      </c>
      <c r="BD283" s="145">
        <v>-16</v>
      </c>
      <c r="BF283" s="5">
        <v>261</v>
      </c>
      <c r="BG283" s="413" t="s">
        <v>718</v>
      </c>
      <c r="BH283" s="145"/>
      <c r="BI283" s="146"/>
      <c r="BJ283" s="145"/>
      <c r="BK283" s="145"/>
      <c r="BM283" s="5">
        <v>261</v>
      </c>
      <c r="BN283" s="413" t="s">
        <v>603</v>
      </c>
      <c r="BO283" s="145">
        <v>762</v>
      </c>
      <c r="BP283" s="146">
        <v>2.54</v>
      </c>
      <c r="BQ283" s="145">
        <v>4399</v>
      </c>
      <c r="BR283" s="145">
        <v>-15</v>
      </c>
      <c r="BS283" s="5"/>
      <c r="BT283" s="5">
        <v>261</v>
      </c>
      <c r="BU283" s="413" t="s">
        <v>718</v>
      </c>
      <c r="BV283" s="145"/>
      <c r="BW283" s="146"/>
      <c r="BX283" s="145"/>
      <c r="BY283" s="145"/>
      <c r="BZ283" s="5"/>
      <c r="CA283" s="5">
        <v>261</v>
      </c>
      <c r="CB283" s="413" t="s">
        <v>718</v>
      </c>
      <c r="CC283" s="145"/>
      <c r="CD283" s="146"/>
      <c r="CE283" s="145"/>
      <c r="CF283" s="145"/>
      <c r="CG283" s="5"/>
      <c r="CH283" s="5"/>
      <c r="CI283" s="5"/>
    </row>
    <row r="284" spans="13:87" x14ac:dyDescent="0.2">
      <c r="M284" s="5">
        <v>262</v>
      </c>
      <c r="N284" s="413" t="str">
        <f t="shared" si="24"/>
        <v xml:space="preserve"> </v>
      </c>
      <c r="O284" s="414">
        <f t="shared" si="25"/>
        <v>0</v>
      </c>
      <c r="P284" s="414">
        <f t="shared" si="26"/>
        <v>0</v>
      </c>
      <c r="Q284" s="145">
        <f t="shared" si="29"/>
        <v>-8</v>
      </c>
      <c r="R284" s="414">
        <f t="shared" si="27"/>
        <v>0</v>
      </c>
      <c r="S284" s="414">
        <f t="shared" si="28"/>
        <v>0</v>
      </c>
      <c r="T284" s="19"/>
      <c r="U284" s="5"/>
      <c r="V284" s="5"/>
      <c r="W284" s="5">
        <v>262</v>
      </c>
      <c r="X284" s="144" t="s">
        <v>718</v>
      </c>
      <c r="Y284" s="145"/>
      <c r="Z284" s="146"/>
      <c r="AA284" s="145"/>
      <c r="AB284" s="145"/>
      <c r="AD284" s="5">
        <v>262</v>
      </c>
      <c r="AE284" s="413" t="s">
        <v>718</v>
      </c>
      <c r="AF284" s="145"/>
      <c r="AG284" s="146"/>
      <c r="AH284" s="145"/>
      <c r="AI284" s="145"/>
      <c r="AK284" s="5">
        <v>262</v>
      </c>
      <c r="AL284" s="413" t="s">
        <v>718</v>
      </c>
      <c r="AM284" s="145"/>
      <c r="AN284" s="146"/>
      <c r="AO284" s="145"/>
      <c r="AP284" s="145"/>
      <c r="AR284" s="5">
        <v>262</v>
      </c>
      <c r="AS284" s="413" t="s">
        <v>604</v>
      </c>
      <c r="AT284" s="145">
        <v>315</v>
      </c>
      <c r="AU284" s="146">
        <v>3.3</v>
      </c>
      <c r="AV284" s="145">
        <v>3725</v>
      </c>
      <c r="AW284" s="145">
        <v>-14</v>
      </c>
      <c r="AY284" s="5">
        <v>262</v>
      </c>
      <c r="AZ284" s="413" t="s">
        <v>605</v>
      </c>
      <c r="BA284" s="145">
        <v>603</v>
      </c>
      <c r="BB284" s="146">
        <v>2.59</v>
      </c>
      <c r="BC284" s="145">
        <v>4317</v>
      </c>
      <c r="BD284" s="145">
        <v>-17</v>
      </c>
      <c r="BF284" s="5">
        <v>262</v>
      </c>
      <c r="BG284" s="413" t="s">
        <v>718</v>
      </c>
      <c r="BH284" s="145"/>
      <c r="BI284" s="146"/>
      <c r="BJ284" s="145"/>
      <c r="BK284" s="145"/>
      <c r="BM284" s="5">
        <v>262</v>
      </c>
      <c r="BN284" s="413" t="s">
        <v>606</v>
      </c>
      <c r="BO284" s="145">
        <v>749</v>
      </c>
      <c r="BP284" s="146">
        <v>2.23</v>
      </c>
      <c r="BQ284" s="145">
        <v>4548</v>
      </c>
      <c r="BR284" s="145">
        <v>-16</v>
      </c>
      <c r="BS284" s="5"/>
      <c r="BT284" s="5">
        <v>262</v>
      </c>
      <c r="BU284" s="413" t="s">
        <v>718</v>
      </c>
      <c r="BV284" s="145"/>
      <c r="BW284" s="146"/>
      <c r="BX284" s="145"/>
      <c r="BY284" s="145"/>
      <c r="BZ284" s="5"/>
      <c r="CA284" s="5">
        <v>262</v>
      </c>
      <c r="CB284" s="413" t="s">
        <v>718</v>
      </c>
      <c r="CC284" s="145"/>
      <c r="CD284" s="146"/>
      <c r="CE284" s="145"/>
      <c r="CF284" s="145"/>
      <c r="CG284" s="5"/>
      <c r="CH284" s="5"/>
      <c r="CI284" s="5"/>
    </row>
    <row r="285" spans="13:87" x14ac:dyDescent="0.2">
      <c r="M285" s="5">
        <v>263</v>
      </c>
      <c r="N285" s="413" t="str">
        <f t="shared" si="24"/>
        <v xml:space="preserve"> </v>
      </c>
      <c r="O285" s="414">
        <f t="shared" si="25"/>
        <v>0</v>
      </c>
      <c r="P285" s="414">
        <f t="shared" si="26"/>
        <v>0</v>
      </c>
      <c r="Q285" s="145">
        <f t="shared" si="29"/>
        <v>-8</v>
      </c>
      <c r="R285" s="414">
        <f t="shared" si="27"/>
        <v>0</v>
      </c>
      <c r="S285" s="414">
        <f t="shared" si="28"/>
        <v>0</v>
      </c>
      <c r="T285" s="19"/>
      <c r="U285" s="5"/>
      <c r="V285" s="5"/>
      <c r="W285" s="5">
        <v>263</v>
      </c>
      <c r="X285" s="144" t="s">
        <v>718</v>
      </c>
      <c r="Y285" s="145"/>
      <c r="Z285" s="146"/>
      <c r="AA285" s="145"/>
      <c r="AB285" s="145"/>
      <c r="AD285" s="5">
        <v>263</v>
      </c>
      <c r="AE285" s="413" t="s">
        <v>718</v>
      </c>
      <c r="AF285" s="145"/>
      <c r="AG285" s="146"/>
      <c r="AH285" s="145"/>
      <c r="AI285" s="145"/>
      <c r="AK285" s="5">
        <v>263</v>
      </c>
      <c r="AL285" s="413" t="s">
        <v>718</v>
      </c>
      <c r="AM285" s="145"/>
      <c r="AN285" s="146"/>
      <c r="AO285" s="145"/>
      <c r="AP285" s="145"/>
      <c r="AR285" s="5">
        <v>263</v>
      </c>
      <c r="AS285" s="413" t="s">
        <v>607</v>
      </c>
      <c r="AT285" s="145">
        <v>348</v>
      </c>
      <c r="AU285" s="146">
        <v>3.18</v>
      </c>
      <c r="AV285" s="145">
        <v>3851</v>
      </c>
      <c r="AW285" s="145">
        <v>-14</v>
      </c>
      <c r="AY285" s="5">
        <v>263</v>
      </c>
      <c r="AZ285" s="413" t="s">
        <v>608</v>
      </c>
      <c r="BA285" s="145">
        <v>296</v>
      </c>
      <c r="BB285" s="146">
        <v>3.22</v>
      </c>
      <c r="BC285" s="145">
        <v>3658</v>
      </c>
      <c r="BD285" s="145">
        <v>-13</v>
      </c>
      <c r="BF285" s="5">
        <v>263</v>
      </c>
      <c r="BG285" s="413" t="s">
        <v>718</v>
      </c>
      <c r="BH285" s="145"/>
      <c r="BI285" s="146"/>
      <c r="BJ285" s="145"/>
      <c r="BK285" s="145"/>
      <c r="BM285" s="5">
        <v>263</v>
      </c>
      <c r="BN285" s="413" t="s">
        <v>609</v>
      </c>
      <c r="BO285" s="145">
        <v>897</v>
      </c>
      <c r="BP285" s="146">
        <v>2.58</v>
      </c>
      <c r="BQ285" s="145">
        <v>4633</v>
      </c>
      <c r="BR285" s="145">
        <v>-15</v>
      </c>
      <c r="BS285" s="5"/>
      <c r="BT285" s="5">
        <v>263</v>
      </c>
      <c r="BU285" s="413" t="s">
        <v>718</v>
      </c>
      <c r="BV285" s="145"/>
      <c r="BW285" s="146"/>
      <c r="BX285" s="145"/>
      <c r="BY285" s="145"/>
      <c r="BZ285" s="5"/>
      <c r="CA285" s="5">
        <v>263</v>
      </c>
      <c r="CB285" s="413" t="s">
        <v>718</v>
      </c>
      <c r="CC285" s="145"/>
      <c r="CD285" s="146"/>
      <c r="CE285" s="145"/>
      <c r="CF285" s="145"/>
      <c r="CG285" s="5"/>
      <c r="CH285" s="5"/>
      <c r="CI285" s="5"/>
    </row>
    <row r="286" spans="13:87" x14ac:dyDescent="0.2">
      <c r="M286" s="5">
        <v>264</v>
      </c>
      <c r="N286" s="413" t="str">
        <f t="shared" si="24"/>
        <v xml:space="preserve"> </v>
      </c>
      <c r="O286" s="414">
        <f t="shared" si="25"/>
        <v>0</v>
      </c>
      <c r="P286" s="414">
        <f t="shared" si="26"/>
        <v>0</v>
      </c>
      <c r="Q286" s="145">
        <f t="shared" si="29"/>
        <v>-8</v>
      </c>
      <c r="R286" s="414">
        <f t="shared" si="27"/>
        <v>0</v>
      </c>
      <c r="S286" s="414">
        <f t="shared" si="28"/>
        <v>0</v>
      </c>
      <c r="T286" s="19"/>
      <c r="U286" s="5"/>
      <c r="V286" s="5"/>
      <c r="W286" s="5">
        <v>264</v>
      </c>
      <c r="X286" s="144" t="s">
        <v>718</v>
      </c>
      <c r="Y286" s="145"/>
      <c r="Z286" s="146"/>
      <c r="AA286" s="145"/>
      <c r="AB286" s="145"/>
      <c r="AD286" s="5">
        <v>264</v>
      </c>
      <c r="AE286" s="413" t="s">
        <v>718</v>
      </c>
      <c r="AF286" s="145"/>
      <c r="AG286" s="146"/>
      <c r="AH286" s="145"/>
      <c r="AI286" s="145"/>
      <c r="AK286" s="5">
        <v>264</v>
      </c>
      <c r="AL286" s="413" t="s">
        <v>718</v>
      </c>
      <c r="AM286" s="145"/>
      <c r="AN286" s="146"/>
      <c r="AO286" s="145"/>
      <c r="AP286" s="145"/>
      <c r="AR286" s="5">
        <v>264</v>
      </c>
      <c r="AS286" s="413" t="s">
        <v>610</v>
      </c>
      <c r="AT286" s="145">
        <v>810</v>
      </c>
      <c r="AU286" s="146">
        <v>2.5299999999999998</v>
      </c>
      <c r="AV286" s="145">
        <v>4768</v>
      </c>
      <c r="AW286" s="145">
        <v>-18</v>
      </c>
      <c r="AY286" s="5">
        <v>264</v>
      </c>
      <c r="AZ286" s="413" t="s">
        <v>611</v>
      </c>
      <c r="BA286" s="145">
        <v>600</v>
      </c>
      <c r="BB286" s="146">
        <v>2.63</v>
      </c>
      <c r="BC286" s="145">
        <v>4256</v>
      </c>
      <c r="BD286" s="145">
        <v>-16</v>
      </c>
      <c r="BF286" s="5">
        <v>264</v>
      </c>
      <c r="BG286" s="413" t="s">
        <v>718</v>
      </c>
      <c r="BH286" s="145"/>
      <c r="BI286" s="146"/>
      <c r="BJ286" s="145"/>
      <c r="BK286" s="145"/>
      <c r="BM286" s="5">
        <v>264</v>
      </c>
      <c r="BN286" s="413" t="s">
        <v>612</v>
      </c>
      <c r="BO286" s="145">
        <v>417</v>
      </c>
      <c r="BP286" s="146">
        <v>3.15</v>
      </c>
      <c r="BQ286" s="145">
        <v>3690</v>
      </c>
      <c r="BR286" s="145">
        <v>-14</v>
      </c>
      <c r="BS286" s="5"/>
      <c r="BT286" s="5">
        <v>264</v>
      </c>
      <c r="BU286" s="413" t="s">
        <v>718</v>
      </c>
      <c r="BV286" s="145"/>
      <c r="BW286" s="146"/>
      <c r="BX286" s="145"/>
      <c r="BY286" s="145"/>
      <c r="BZ286" s="5"/>
      <c r="CA286" s="5">
        <v>264</v>
      </c>
      <c r="CB286" s="413" t="s">
        <v>718</v>
      </c>
      <c r="CC286" s="145"/>
      <c r="CD286" s="146"/>
      <c r="CE286" s="145"/>
      <c r="CF286" s="145"/>
      <c r="CG286" s="5"/>
      <c r="CH286" s="5"/>
      <c r="CI286" s="5"/>
    </row>
    <row r="287" spans="13:87" x14ac:dyDescent="0.2">
      <c r="M287" s="5">
        <v>265</v>
      </c>
      <c r="N287" s="413" t="str">
        <f t="shared" si="24"/>
        <v xml:space="preserve"> </v>
      </c>
      <c r="O287" s="414">
        <f t="shared" si="25"/>
        <v>0</v>
      </c>
      <c r="P287" s="414">
        <f t="shared" si="26"/>
        <v>0</v>
      </c>
      <c r="Q287" s="145">
        <f t="shared" si="29"/>
        <v>-8</v>
      </c>
      <c r="R287" s="414">
        <f t="shared" si="27"/>
        <v>0</v>
      </c>
      <c r="S287" s="414">
        <f t="shared" si="28"/>
        <v>0</v>
      </c>
      <c r="T287" s="19"/>
      <c r="U287" s="5"/>
      <c r="V287" s="5"/>
      <c r="W287" s="5">
        <v>265</v>
      </c>
      <c r="X287" s="144" t="s">
        <v>718</v>
      </c>
      <c r="Y287" s="145"/>
      <c r="Z287" s="146"/>
      <c r="AA287" s="145"/>
      <c r="AB287" s="145"/>
      <c r="AD287" s="5">
        <v>265</v>
      </c>
      <c r="AE287" s="413" t="s">
        <v>718</v>
      </c>
      <c r="AF287" s="145"/>
      <c r="AG287" s="146"/>
      <c r="AH287" s="145"/>
      <c r="AI287" s="145"/>
      <c r="AK287" s="5">
        <v>265</v>
      </c>
      <c r="AL287" s="413" t="s">
        <v>718</v>
      </c>
      <c r="AM287" s="145"/>
      <c r="AN287" s="146"/>
      <c r="AO287" s="145"/>
      <c r="AP287" s="145"/>
      <c r="AR287" s="5">
        <v>265</v>
      </c>
      <c r="AS287" s="413" t="s">
        <v>613</v>
      </c>
      <c r="AT287" s="145">
        <v>215</v>
      </c>
      <c r="AU287" s="146">
        <v>3.2</v>
      </c>
      <c r="AV287" s="145">
        <v>3629</v>
      </c>
      <c r="AW287" s="145">
        <v>-14</v>
      </c>
      <c r="AY287" s="5">
        <v>265</v>
      </c>
      <c r="AZ287" s="413" t="s">
        <v>614</v>
      </c>
      <c r="BA287" s="145">
        <v>256</v>
      </c>
      <c r="BB287" s="146">
        <v>3.28</v>
      </c>
      <c r="BC287" s="145">
        <v>3595</v>
      </c>
      <c r="BD287" s="145">
        <v>-13</v>
      </c>
      <c r="BF287" s="5">
        <v>265</v>
      </c>
      <c r="BG287" s="413" t="s">
        <v>718</v>
      </c>
      <c r="BH287" s="145"/>
      <c r="BI287" s="146"/>
      <c r="BJ287" s="145"/>
      <c r="BK287" s="145"/>
      <c r="BM287" s="5">
        <v>265</v>
      </c>
      <c r="BN287" s="413" t="s">
        <v>615</v>
      </c>
      <c r="BO287" s="145">
        <v>295</v>
      </c>
      <c r="BP287" s="146">
        <v>3.36</v>
      </c>
      <c r="BQ287" s="145">
        <v>3461</v>
      </c>
      <c r="BR287" s="145">
        <v>-12</v>
      </c>
      <c r="BS287" s="5"/>
      <c r="BT287" s="5">
        <v>265</v>
      </c>
      <c r="BU287" s="413" t="s">
        <v>718</v>
      </c>
      <c r="BV287" s="145"/>
      <c r="BW287" s="146"/>
      <c r="BX287" s="145"/>
      <c r="BY287" s="145"/>
      <c r="BZ287" s="5"/>
      <c r="CA287" s="5">
        <v>265</v>
      </c>
      <c r="CB287" s="413" t="s">
        <v>718</v>
      </c>
      <c r="CC287" s="145"/>
      <c r="CD287" s="146"/>
      <c r="CE287" s="145"/>
      <c r="CF287" s="145"/>
      <c r="CG287" s="5"/>
      <c r="CH287" s="5"/>
      <c r="CI287" s="5"/>
    </row>
    <row r="288" spans="13:87" x14ac:dyDescent="0.2">
      <c r="M288" s="5">
        <v>266</v>
      </c>
      <c r="N288" s="413" t="str">
        <f t="shared" si="24"/>
        <v xml:space="preserve"> </v>
      </c>
      <c r="O288" s="414">
        <f t="shared" si="25"/>
        <v>0</v>
      </c>
      <c r="P288" s="414">
        <f t="shared" si="26"/>
        <v>0</v>
      </c>
      <c r="Q288" s="145">
        <f t="shared" si="29"/>
        <v>-8</v>
      </c>
      <c r="R288" s="414">
        <f t="shared" si="27"/>
        <v>0</v>
      </c>
      <c r="S288" s="414">
        <f t="shared" si="28"/>
        <v>0</v>
      </c>
      <c r="T288" s="19"/>
      <c r="U288" s="5"/>
      <c r="V288" s="5"/>
      <c r="W288" s="5">
        <v>266</v>
      </c>
      <c r="X288" s="144" t="s">
        <v>718</v>
      </c>
      <c r="Y288" s="145"/>
      <c r="Z288" s="146"/>
      <c r="AA288" s="145"/>
      <c r="AB288" s="145"/>
      <c r="AD288" s="5">
        <v>266</v>
      </c>
      <c r="AE288" s="413" t="s">
        <v>718</v>
      </c>
      <c r="AF288" s="145"/>
      <c r="AG288" s="146"/>
      <c r="AH288" s="145"/>
      <c r="AI288" s="145"/>
      <c r="AK288" s="5">
        <v>266</v>
      </c>
      <c r="AL288" s="413" t="s">
        <v>718</v>
      </c>
      <c r="AM288" s="145"/>
      <c r="AN288" s="146"/>
      <c r="AO288" s="145"/>
      <c r="AP288" s="145"/>
      <c r="AR288" s="5">
        <v>266</v>
      </c>
      <c r="AS288" s="413" t="s">
        <v>616</v>
      </c>
      <c r="AT288" s="145">
        <v>535</v>
      </c>
      <c r="AU288" s="146">
        <v>2.62</v>
      </c>
      <c r="AV288" s="145">
        <v>4310</v>
      </c>
      <c r="AW288" s="145">
        <v>-16</v>
      </c>
      <c r="AY288" s="5">
        <v>266</v>
      </c>
      <c r="AZ288" s="413" t="s">
        <v>617</v>
      </c>
      <c r="BA288" s="145">
        <v>538</v>
      </c>
      <c r="BB288" s="146">
        <v>2.74</v>
      </c>
      <c r="BC288" s="145">
        <v>4262</v>
      </c>
      <c r="BD288" s="145">
        <v>-16</v>
      </c>
      <c r="BF288" s="5">
        <v>266</v>
      </c>
      <c r="BG288" s="413" t="s">
        <v>718</v>
      </c>
      <c r="BH288" s="145"/>
      <c r="BI288" s="146"/>
      <c r="BJ288" s="145"/>
      <c r="BK288" s="145"/>
      <c r="BM288" s="5">
        <v>266</v>
      </c>
      <c r="BN288" s="413" t="s">
        <v>618</v>
      </c>
      <c r="BO288" s="145">
        <v>842</v>
      </c>
      <c r="BP288" s="146">
        <v>2.74</v>
      </c>
      <c r="BQ288" s="145">
        <v>4332</v>
      </c>
      <c r="BR288" s="145">
        <v>-14</v>
      </c>
      <c r="BS288" s="5"/>
      <c r="BT288" s="5">
        <v>266</v>
      </c>
      <c r="BU288" s="413" t="s">
        <v>718</v>
      </c>
      <c r="BV288" s="145"/>
      <c r="BW288" s="146"/>
      <c r="BX288" s="145"/>
      <c r="BY288" s="145"/>
      <c r="BZ288" s="5"/>
      <c r="CA288" s="5">
        <v>266</v>
      </c>
      <c r="CB288" s="413" t="s">
        <v>718</v>
      </c>
      <c r="CC288" s="145"/>
      <c r="CD288" s="146"/>
      <c r="CE288" s="145"/>
      <c r="CF288" s="145"/>
      <c r="CG288" s="5"/>
      <c r="CH288" s="5"/>
      <c r="CI288" s="5"/>
    </row>
    <row r="289" spans="13:87" x14ac:dyDescent="0.2">
      <c r="M289" s="5">
        <v>267</v>
      </c>
      <c r="N289" s="413" t="str">
        <f t="shared" si="24"/>
        <v xml:space="preserve"> </v>
      </c>
      <c r="O289" s="414">
        <f t="shared" si="25"/>
        <v>0</v>
      </c>
      <c r="P289" s="414">
        <f t="shared" si="26"/>
        <v>0</v>
      </c>
      <c r="Q289" s="145">
        <f t="shared" si="29"/>
        <v>-8</v>
      </c>
      <c r="R289" s="414">
        <f t="shared" si="27"/>
        <v>0</v>
      </c>
      <c r="S289" s="414">
        <f t="shared" si="28"/>
        <v>0</v>
      </c>
      <c r="T289" s="19"/>
      <c r="U289" s="5"/>
      <c r="V289" s="5"/>
      <c r="W289" s="5">
        <v>267</v>
      </c>
      <c r="X289" s="144" t="s">
        <v>718</v>
      </c>
      <c r="Y289" s="145"/>
      <c r="Z289" s="146"/>
      <c r="AA289" s="145"/>
      <c r="AB289" s="145"/>
      <c r="AD289" s="5">
        <v>267</v>
      </c>
      <c r="AE289" s="413" t="s">
        <v>718</v>
      </c>
      <c r="AF289" s="145"/>
      <c r="AG289" s="146"/>
      <c r="AH289" s="145"/>
      <c r="AI289" s="145"/>
      <c r="AK289" s="5">
        <v>267</v>
      </c>
      <c r="AL289" s="413" t="s">
        <v>718</v>
      </c>
      <c r="AM289" s="145"/>
      <c r="AN289" s="146"/>
      <c r="AO289" s="145"/>
      <c r="AP289" s="145"/>
      <c r="AR289" s="5">
        <v>267</v>
      </c>
      <c r="AS289" s="413" t="s">
        <v>619</v>
      </c>
      <c r="AT289" s="145">
        <v>450</v>
      </c>
      <c r="AU289" s="146">
        <v>2.5</v>
      </c>
      <c r="AV289" s="145">
        <v>4199</v>
      </c>
      <c r="AW289" s="145">
        <v>-16</v>
      </c>
      <c r="AY289" s="5">
        <v>267</v>
      </c>
      <c r="AZ289" s="413" t="s">
        <v>620</v>
      </c>
      <c r="BA289" s="145">
        <v>630</v>
      </c>
      <c r="BB289" s="146">
        <v>2.84</v>
      </c>
      <c r="BC289" s="145">
        <v>4203</v>
      </c>
      <c r="BD289" s="145">
        <v>-17</v>
      </c>
      <c r="BF289" s="5">
        <v>267</v>
      </c>
      <c r="BG289" s="413" t="s">
        <v>718</v>
      </c>
      <c r="BH289" s="145"/>
      <c r="BI289" s="146"/>
      <c r="BJ289" s="145"/>
      <c r="BK289" s="145"/>
      <c r="BM289" s="5">
        <v>267</v>
      </c>
      <c r="BN289" s="413" t="s">
        <v>621</v>
      </c>
      <c r="BO289" s="145">
        <v>974</v>
      </c>
      <c r="BP289" s="146">
        <v>2.2799999999999998</v>
      </c>
      <c r="BQ289" s="145">
        <v>4979</v>
      </c>
      <c r="BR289" s="145">
        <v>-17</v>
      </c>
      <c r="BS289" s="5"/>
      <c r="BT289" s="5">
        <v>267</v>
      </c>
      <c r="BU289" s="413" t="s">
        <v>718</v>
      </c>
      <c r="BV289" s="145"/>
      <c r="BW289" s="146"/>
      <c r="BX289" s="145"/>
      <c r="BY289" s="145"/>
      <c r="BZ289" s="5"/>
      <c r="CA289" s="5">
        <v>267</v>
      </c>
      <c r="CB289" s="413" t="s">
        <v>718</v>
      </c>
      <c r="CC289" s="145"/>
      <c r="CD289" s="146"/>
      <c r="CE289" s="145"/>
      <c r="CF289" s="145"/>
      <c r="CG289" s="5"/>
      <c r="CH289" s="5"/>
      <c r="CI289" s="5"/>
    </row>
    <row r="290" spans="13:87" x14ac:dyDescent="0.2">
      <c r="M290" s="5">
        <v>268</v>
      </c>
      <c r="N290" s="413" t="str">
        <f t="shared" si="24"/>
        <v xml:space="preserve"> </v>
      </c>
      <c r="O290" s="414">
        <f t="shared" si="25"/>
        <v>0</v>
      </c>
      <c r="P290" s="414">
        <f t="shared" si="26"/>
        <v>0</v>
      </c>
      <c r="Q290" s="145">
        <f t="shared" si="29"/>
        <v>-8</v>
      </c>
      <c r="R290" s="414">
        <f t="shared" si="27"/>
        <v>0</v>
      </c>
      <c r="S290" s="414">
        <f t="shared" si="28"/>
        <v>0</v>
      </c>
      <c r="T290" s="19"/>
      <c r="U290" s="5"/>
      <c r="V290" s="5"/>
      <c r="W290" s="5">
        <v>268</v>
      </c>
      <c r="X290" s="144" t="s">
        <v>718</v>
      </c>
      <c r="Y290" s="145"/>
      <c r="Z290" s="146"/>
      <c r="AA290" s="145"/>
      <c r="AB290" s="145"/>
      <c r="AD290" s="5">
        <v>268</v>
      </c>
      <c r="AE290" s="413" t="s">
        <v>718</v>
      </c>
      <c r="AF290" s="145"/>
      <c r="AG290" s="146"/>
      <c r="AH290" s="145"/>
      <c r="AI290" s="145"/>
      <c r="AK290" s="5">
        <v>268</v>
      </c>
      <c r="AL290" s="413" t="s">
        <v>718</v>
      </c>
      <c r="AM290" s="145"/>
      <c r="AN290" s="146"/>
      <c r="AO290" s="145"/>
      <c r="AP290" s="145"/>
      <c r="AR290" s="5">
        <v>268</v>
      </c>
      <c r="AS290" s="413" t="s">
        <v>622</v>
      </c>
      <c r="AT290" s="145">
        <v>683</v>
      </c>
      <c r="AU290" s="146">
        <v>2.58</v>
      </c>
      <c r="AV290" s="145">
        <v>4563</v>
      </c>
      <c r="AW290" s="145">
        <v>-17</v>
      </c>
      <c r="AY290" s="5">
        <v>268</v>
      </c>
      <c r="AZ290" s="413" t="s">
        <v>623</v>
      </c>
      <c r="BA290" s="145">
        <v>725</v>
      </c>
      <c r="BB290" s="146">
        <v>2.39</v>
      </c>
      <c r="BC290" s="145">
        <v>4455</v>
      </c>
      <c r="BD290" s="145">
        <v>-15</v>
      </c>
      <c r="BF290" s="5">
        <v>268</v>
      </c>
      <c r="BG290" s="413" t="s">
        <v>718</v>
      </c>
      <c r="BH290" s="145"/>
      <c r="BI290" s="146"/>
      <c r="BJ290" s="145"/>
      <c r="BK290" s="145"/>
      <c r="BM290" s="5">
        <v>268</v>
      </c>
      <c r="BN290" s="413" t="s">
        <v>624</v>
      </c>
      <c r="BO290" s="145">
        <v>640</v>
      </c>
      <c r="BP290" s="146">
        <v>2.29</v>
      </c>
      <c r="BQ290" s="145">
        <v>4498</v>
      </c>
      <c r="BR290" s="145">
        <v>-16</v>
      </c>
      <c r="BS290" s="5"/>
      <c r="BT290" s="5">
        <v>268</v>
      </c>
      <c r="BU290" s="413" t="s">
        <v>718</v>
      </c>
      <c r="BV290" s="145"/>
      <c r="BW290" s="146"/>
      <c r="BX290" s="145"/>
      <c r="BY290" s="145"/>
      <c r="BZ290" s="5"/>
      <c r="CA290" s="5">
        <v>268</v>
      </c>
      <c r="CB290" s="413" t="s">
        <v>718</v>
      </c>
      <c r="CC290" s="145"/>
      <c r="CD290" s="146"/>
      <c r="CE290" s="145"/>
      <c r="CF290" s="145"/>
      <c r="CG290" s="5"/>
      <c r="CH290" s="5"/>
      <c r="CI290" s="5"/>
    </row>
    <row r="291" spans="13:87" x14ac:dyDescent="0.2">
      <c r="M291" s="5">
        <v>269</v>
      </c>
      <c r="N291" s="413" t="str">
        <f t="shared" si="24"/>
        <v xml:space="preserve"> </v>
      </c>
      <c r="O291" s="414">
        <f t="shared" si="25"/>
        <v>0</v>
      </c>
      <c r="P291" s="414">
        <f t="shared" si="26"/>
        <v>0</v>
      </c>
      <c r="Q291" s="145">
        <f t="shared" si="29"/>
        <v>-8</v>
      </c>
      <c r="R291" s="414">
        <f t="shared" si="27"/>
        <v>0</v>
      </c>
      <c r="S291" s="414">
        <f t="shared" si="28"/>
        <v>0</v>
      </c>
      <c r="T291" s="19"/>
      <c r="U291" s="5"/>
      <c r="V291" s="5"/>
      <c r="W291" s="5">
        <v>269</v>
      </c>
      <c r="X291" s="144" t="s">
        <v>718</v>
      </c>
      <c r="Y291" s="145"/>
      <c r="Z291" s="146"/>
      <c r="AA291" s="145"/>
      <c r="AB291" s="145"/>
      <c r="AD291" s="5">
        <v>269</v>
      </c>
      <c r="AE291" s="413" t="s">
        <v>718</v>
      </c>
      <c r="AF291" s="145"/>
      <c r="AG291" s="146"/>
      <c r="AH291" s="145"/>
      <c r="AI291" s="145"/>
      <c r="AK291" s="5">
        <v>269</v>
      </c>
      <c r="AL291" s="413" t="s">
        <v>718</v>
      </c>
      <c r="AM291" s="145"/>
      <c r="AN291" s="146"/>
      <c r="AO291" s="145"/>
      <c r="AP291" s="145"/>
      <c r="AR291" s="5">
        <v>269</v>
      </c>
      <c r="AS291" s="413" t="s">
        <v>625</v>
      </c>
      <c r="AT291" s="145">
        <v>538</v>
      </c>
      <c r="AU291" s="146">
        <v>2.5299999999999998</v>
      </c>
      <c r="AV291" s="145">
        <v>4368</v>
      </c>
      <c r="AW291" s="145">
        <v>-17</v>
      </c>
      <c r="AY291" s="5">
        <v>269</v>
      </c>
      <c r="AZ291" s="413" t="s">
        <v>626</v>
      </c>
      <c r="BA291" s="145">
        <v>584</v>
      </c>
      <c r="BB291" s="146">
        <v>3.07</v>
      </c>
      <c r="BC291" s="145">
        <v>4131</v>
      </c>
      <c r="BD291" s="145">
        <v>-15</v>
      </c>
      <c r="BF291" s="5">
        <v>269</v>
      </c>
      <c r="BG291" s="413" t="s">
        <v>718</v>
      </c>
      <c r="BH291" s="145"/>
      <c r="BI291" s="146"/>
      <c r="BJ291" s="145"/>
      <c r="BK291" s="145"/>
      <c r="BM291" s="5">
        <v>269</v>
      </c>
      <c r="BN291" s="413" t="s">
        <v>627</v>
      </c>
      <c r="BO291" s="145">
        <v>710</v>
      </c>
      <c r="BP291" s="146">
        <v>2.63</v>
      </c>
      <c r="BQ291" s="145">
        <v>4342</v>
      </c>
      <c r="BR291" s="145">
        <v>-15</v>
      </c>
      <c r="BS291" s="5"/>
      <c r="BT291" s="5">
        <v>269</v>
      </c>
      <c r="BU291" s="413" t="s">
        <v>718</v>
      </c>
      <c r="BV291" s="145"/>
      <c r="BW291" s="146"/>
      <c r="BX291" s="145"/>
      <c r="BY291" s="145"/>
      <c r="BZ291" s="5"/>
      <c r="CA291" s="5">
        <v>269</v>
      </c>
      <c r="CB291" s="413" t="s">
        <v>718</v>
      </c>
      <c r="CC291" s="145"/>
      <c r="CD291" s="146"/>
      <c r="CE291" s="145"/>
      <c r="CF291" s="145"/>
      <c r="CG291" s="5"/>
      <c r="CH291" s="5"/>
      <c r="CI291" s="5"/>
    </row>
    <row r="292" spans="13:87" x14ac:dyDescent="0.2">
      <c r="M292" s="5">
        <v>270</v>
      </c>
      <c r="N292" s="413" t="str">
        <f t="shared" si="24"/>
        <v xml:space="preserve"> </v>
      </c>
      <c r="O292" s="414">
        <f t="shared" si="25"/>
        <v>0</v>
      </c>
      <c r="P292" s="414">
        <f t="shared" si="26"/>
        <v>0</v>
      </c>
      <c r="Q292" s="145">
        <f t="shared" si="29"/>
        <v>-8</v>
      </c>
      <c r="R292" s="414">
        <f t="shared" si="27"/>
        <v>0</v>
      </c>
      <c r="S292" s="414">
        <f t="shared" si="28"/>
        <v>0</v>
      </c>
      <c r="T292" s="19"/>
      <c r="U292" s="5"/>
      <c r="V292" s="5"/>
      <c r="W292" s="5">
        <v>270</v>
      </c>
      <c r="X292" s="144" t="s">
        <v>718</v>
      </c>
      <c r="Y292" s="145"/>
      <c r="Z292" s="146"/>
      <c r="AA292" s="145"/>
      <c r="AB292" s="145"/>
      <c r="AD292" s="5">
        <v>270</v>
      </c>
      <c r="AE292" s="413" t="s">
        <v>718</v>
      </c>
      <c r="AF292" s="145"/>
      <c r="AG292" s="146"/>
      <c r="AH292" s="145"/>
      <c r="AI292" s="145"/>
      <c r="AK292" s="5">
        <v>270</v>
      </c>
      <c r="AL292" s="413" t="s">
        <v>718</v>
      </c>
      <c r="AM292" s="145"/>
      <c r="AN292" s="146"/>
      <c r="AO292" s="145"/>
      <c r="AP292" s="145"/>
      <c r="AR292" s="5">
        <v>270</v>
      </c>
      <c r="AS292" s="413" t="s">
        <v>628</v>
      </c>
      <c r="AT292" s="145">
        <v>172</v>
      </c>
      <c r="AU292" s="146">
        <v>3.42</v>
      </c>
      <c r="AV292" s="145">
        <v>3515</v>
      </c>
      <c r="AW292" s="145">
        <v>-13</v>
      </c>
      <c r="AY292" s="5">
        <v>270</v>
      </c>
      <c r="AZ292" s="413" t="s">
        <v>629</v>
      </c>
      <c r="BA292" s="145">
        <v>810</v>
      </c>
      <c r="BB292" s="146">
        <v>2.2599999999999998</v>
      </c>
      <c r="BC292" s="145">
        <v>4755</v>
      </c>
      <c r="BD292" s="145">
        <v>-17</v>
      </c>
      <c r="BF292" s="5">
        <v>270</v>
      </c>
      <c r="BG292" s="413" t="s">
        <v>718</v>
      </c>
      <c r="BH292" s="145"/>
      <c r="BI292" s="146"/>
      <c r="BJ292" s="145"/>
      <c r="BK292" s="145"/>
      <c r="BM292" s="5">
        <v>270</v>
      </c>
      <c r="BN292" s="413" t="s">
        <v>630</v>
      </c>
      <c r="BO292" s="145">
        <v>327</v>
      </c>
      <c r="BP292" s="146">
        <v>2.87</v>
      </c>
      <c r="BQ292" s="145">
        <v>3752</v>
      </c>
      <c r="BR292" s="145">
        <v>-14</v>
      </c>
      <c r="BS292" s="5"/>
      <c r="BT292" s="5">
        <v>270</v>
      </c>
      <c r="BU292" s="413" t="s">
        <v>718</v>
      </c>
      <c r="BV292" s="145"/>
      <c r="BW292" s="146"/>
      <c r="BX292" s="145"/>
      <c r="BY292" s="145"/>
      <c r="BZ292" s="5"/>
      <c r="CA292" s="5">
        <v>270</v>
      </c>
      <c r="CB292" s="413" t="s">
        <v>718</v>
      </c>
      <c r="CC292" s="145"/>
      <c r="CD292" s="146"/>
      <c r="CE292" s="145"/>
      <c r="CF292" s="145"/>
      <c r="CG292" s="5"/>
      <c r="CH292" s="5"/>
      <c r="CI292" s="5"/>
    </row>
    <row r="293" spans="13:87" x14ac:dyDescent="0.2">
      <c r="M293" s="5">
        <v>271</v>
      </c>
      <c r="N293" s="413" t="str">
        <f t="shared" si="24"/>
        <v xml:space="preserve"> </v>
      </c>
      <c r="O293" s="414">
        <f t="shared" si="25"/>
        <v>0</v>
      </c>
      <c r="P293" s="414">
        <f t="shared" si="26"/>
        <v>0</v>
      </c>
      <c r="Q293" s="145">
        <f t="shared" si="29"/>
        <v>-8</v>
      </c>
      <c r="R293" s="414">
        <f t="shared" si="27"/>
        <v>0</v>
      </c>
      <c r="S293" s="414">
        <f t="shared" si="28"/>
        <v>0</v>
      </c>
      <c r="T293" s="19"/>
      <c r="U293" s="5"/>
      <c r="V293" s="5"/>
      <c r="W293" s="5">
        <v>271</v>
      </c>
      <c r="X293" s="144" t="s">
        <v>718</v>
      </c>
      <c r="Y293" s="145"/>
      <c r="Z293" s="146"/>
      <c r="AA293" s="145"/>
      <c r="AB293" s="145"/>
      <c r="AD293" s="5">
        <v>271</v>
      </c>
      <c r="AE293" s="413" t="s">
        <v>718</v>
      </c>
      <c r="AF293" s="145"/>
      <c r="AG293" s="146"/>
      <c r="AH293" s="145"/>
      <c r="AI293" s="145"/>
      <c r="AK293" s="5">
        <v>271</v>
      </c>
      <c r="AL293" s="413" t="s">
        <v>718</v>
      </c>
      <c r="AM293" s="145"/>
      <c r="AN293" s="146"/>
      <c r="AO293" s="145"/>
      <c r="AP293" s="145"/>
      <c r="AR293" s="5">
        <v>271</v>
      </c>
      <c r="AS293" s="413" t="s">
        <v>631</v>
      </c>
      <c r="AT293" s="145">
        <v>217</v>
      </c>
      <c r="AU293" s="146">
        <v>3.16</v>
      </c>
      <c r="AV293" s="145">
        <v>3688</v>
      </c>
      <c r="AW293" s="145">
        <v>-13</v>
      </c>
      <c r="AY293" s="5">
        <v>271</v>
      </c>
      <c r="AZ293" s="413" t="s">
        <v>632</v>
      </c>
      <c r="BA293" s="145">
        <v>338</v>
      </c>
      <c r="BB293" s="146">
        <v>3.18</v>
      </c>
      <c r="BC293" s="145">
        <v>3735</v>
      </c>
      <c r="BD293" s="145">
        <v>-14</v>
      </c>
      <c r="BF293" s="5">
        <v>271</v>
      </c>
      <c r="BG293" s="413" t="s">
        <v>718</v>
      </c>
      <c r="BH293" s="145"/>
      <c r="BI293" s="146"/>
      <c r="BJ293" s="145"/>
      <c r="BK293" s="145"/>
      <c r="BM293" s="5">
        <v>271</v>
      </c>
      <c r="BN293" s="413" t="s">
        <v>633</v>
      </c>
      <c r="BO293" s="145">
        <v>1070</v>
      </c>
      <c r="BP293" s="146">
        <v>2.81</v>
      </c>
      <c r="BQ293" s="145">
        <v>4641</v>
      </c>
      <c r="BR293" s="145">
        <v>-15</v>
      </c>
      <c r="BS293" s="5"/>
      <c r="BT293" s="5">
        <v>271</v>
      </c>
      <c r="BU293" s="413" t="s">
        <v>718</v>
      </c>
      <c r="BV293" s="145"/>
      <c r="BW293" s="146"/>
      <c r="BX293" s="145"/>
      <c r="BY293" s="145"/>
      <c r="BZ293" s="5"/>
      <c r="CA293" s="5">
        <v>271</v>
      </c>
      <c r="CB293" s="413" t="s">
        <v>718</v>
      </c>
      <c r="CC293" s="145"/>
      <c r="CD293" s="146"/>
      <c r="CE293" s="145"/>
      <c r="CF293" s="145"/>
      <c r="CG293" s="5"/>
      <c r="CH293" s="5"/>
      <c r="CI293" s="5"/>
    </row>
    <row r="294" spans="13:87" x14ac:dyDescent="0.2">
      <c r="M294" s="5">
        <v>272</v>
      </c>
      <c r="N294" s="413" t="str">
        <f t="shared" si="24"/>
        <v xml:space="preserve"> </v>
      </c>
      <c r="O294" s="414">
        <f t="shared" si="25"/>
        <v>0</v>
      </c>
      <c r="P294" s="414">
        <f t="shared" si="26"/>
        <v>0</v>
      </c>
      <c r="Q294" s="145">
        <f t="shared" si="29"/>
        <v>-8</v>
      </c>
      <c r="R294" s="414">
        <f t="shared" si="27"/>
        <v>0</v>
      </c>
      <c r="S294" s="414">
        <f t="shared" si="28"/>
        <v>0</v>
      </c>
      <c r="T294" s="19"/>
      <c r="U294" s="5"/>
      <c r="V294" s="5"/>
      <c r="W294" s="5">
        <v>272</v>
      </c>
      <c r="X294" s="144" t="s">
        <v>718</v>
      </c>
      <c r="Y294" s="145"/>
      <c r="Z294" s="146"/>
      <c r="AA294" s="145"/>
      <c r="AB294" s="145"/>
      <c r="AD294" s="5">
        <v>272</v>
      </c>
      <c r="AE294" s="413" t="s">
        <v>718</v>
      </c>
      <c r="AF294" s="145"/>
      <c r="AG294" s="146"/>
      <c r="AH294" s="145"/>
      <c r="AI294" s="145"/>
      <c r="AK294" s="5">
        <v>272</v>
      </c>
      <c r="AL294" s="413" t="s">
        <v>718</v>
      </c>
      <c r="AM294" s="145"/>
      <c r="AN294" s="146"/>
      <c r="AO294" s="145"/>
      <c r="AP294" s="145"/>
      <c r="AR294" s="5">
        <v>272</v>
      </c>
      <c r="AS294" s="413" t="s">
        <v>634</v>
      </c>
      <c r="AT294" s="145">
        <v>179</v>
      </c>
      <c r="AU294" s="146">
        <v>3.35</v>
      </c>
      <c r="AV294" s="145">
        <v>3530</v>
      </c>
      <c r="AW294" s="145">
        <v>-13</v>
      </c>
      <c r="AY294" s="5">
        <v>272</v>
      </c>
      <c r="AZ294" s="413" t="s">
        <v>635</v>
      </c>
      <c r="BA294" s="145">
        <v>315</v>
      </c>
      <c r="BB294" s="146">
        <v>2.9</v>
      </c>
      <c r="BC294" s="145">
        <v>3967</v>
      </c>
      <c r="BD294" s="145">
        <v>-16</v>
      </c>
      <c r="BF294" s="5">
        <v>272</v>
      </c>
      <c r="BG294" s="413" t="s">
        <v>718</v>
      </c>
      <c r="BH294" s="145"/>
      <c r="BI294" s="146"/>
      <c r="BJ294" s="145"/>
      <c r="BK294" s="145"/>
      <c r="BM294" s="5">
        <v>272</v>
      </c>
      <c r="BN294" s="413" t="s">
        <v>636</v>
      </c>
      <c r="BO294" s="145">
        <v>273</v>
      </c>
      <c r="BP294" s="146">
        <v>3.1</v>
      </c>
      <c r="BQ294" s="145">
        <v>3582</v>
      </c>
      <c r="BR294" s="145">
        <v>-13</v>
      </c>
      <c r="BS294" s="5"/>
      <c r="BT294" s="5">
        <v>272</v>
      </c>
      <c r="BU294" s="413" t="s">
        <v>718</v>
      </c>
      <c r="BV294" s="145"/>
      <c r="BW294" s="146"/>
      <c r="BX294" s="145"/>
      <c r="BY294" s="145"/>
      <c r="BZ294" s="5"/>
      <c r="CA294" s="5">
        <v>272</v>
      </c>
      <c r="CB294" s="413" t="s">
        <v>718</v>
      </c>
      <c r="CC294" s="145"/>
      <c r="CD294" s="146"/>
      <c r="CE294" s="145"/>
      <c r="CF294" s="145"/>
      <c r="CG294" s="5"/>
      <c r="CH294" s="5"/>
      <c r="CI294" s="5"/>
    </row>
    <row r="295" spans="13:87" x14ac:dyDescent="0.2">
      <c r="M295" s="5">
        <v>273</v>
      </c>
      <c r="N295" s="413" t="str">
        <f t="shared" si="24"/>
        <v xml:space="preserve"> </v>
      </c>
      <c r="O295" s="414">
        <f t="shared" si="25"/>
        <v>0</v>
      </c>
      <c r="P295" s="414">
        <f t="shared" si="26"/>
        <v>0</v>
      </c>
      <c r="Q295" s="145">
        <f t="shared" si="29"/>
        <v>-8</v>
      </c>
      <c r="R295" s="414">
        <f t="shared" si="27"/>
        <v>0</v>
      </c>
      <c r="S295" s="414">
        <f t="shared" si="28"/>
        <v>0</v>
      </c>
      <c r="T295" s="19"/>
      <c r="U295" s="5"/>
      <c r="V295" s="5"/>
      <c r="W295" s="5">
        <v>273</v>
      </c>
      <c r="X295" s="144" t="s">
        <v>718</v>
      </c>
      <c r="Y295" s="145"/>
      <c r="Z295" s="146"/>
      <c r="AA295" s="145"/>
      <c r="AB295" s="145"/>
      <c r="AD295" s="5">
        <v>273</v>
      </c>
      <c r="AE295" s="413" t="s">
        <v>718</v>
      </c>
      <c r="AF295" s="145"/>
      <c r="AG295" s="146"/>
      <c r="AH295" s="145"/>
      <c r="AI295" s="145"/>
      <c r="AK295" s="5">
        <v>273</v>
      </c>
      <c r="AL295" s="413" t="s">
        <v>718</v>
      </c>
      <c r="AM295" s="145"/>
      <c r="AN295" s="146"/>
      <c r="AO295" s="145"/>
      <c r="AP295" s="145"/>
      <c r="AR295" s="5">
        <v>273</v>
      </c>
      <c r="AS295" s="413" t="s">
        <v>637</v>
      </c>
      <c r="AT295" s="145">
        <v>168</v>
      </c>
      <c r="AU295" s="146">
        <v>3.58</v>
      </c>
      <c r="AV295" s="145">
        <v>3367</v>
      </c>
      <c r="AW295" s="145">
        <v>-13</v>
      </c>
      <c r="AY295" s="5">
        <v>273</v>
      </c>
      <c r="AZ295" s="413" t="s">
        <v>638</v>
      </c>
      <c r="BA295" s="145">
        <v>336</v>
      </c>
      <c r="BB295" s="146">
        <v>3.13</v>
      </c>
      <c r="BC295" s="145">
        <v>3829</v>
      </c>
      <c r="BD295" s="145">
        <v>-15</v>
      </c>
      <c r="BF295" s="5">
        <v>273</v>
      </c>
      <c r="BG295" s="413" t="s">
        <v>718</v>
      </c>
      <c r="BH295" s="145"/>
      <c r="BI295" s="146"/>
      <c r="BJ295" s="145"/>
      <c r="BK295" s="145"/>
      <c r="BM295" s="5">
        <v>273</v>
      </c>
      <c r="BN295" s="413" t="s">
        <v>639</v>
      </c>
      <c r="BO295" s="145">
        <v>360</v>
      </c>
      <c r="BP295" s="146">
        <v>2.97</v>
      </c>
      <c r="BQ295" s="145">
        <v>3712</v>
      </c>
      <c r="BR295" s="145">
        <v>-14</v>
      </c>
      <c r="BS295" s="5"/>
      <c r="BT295" s="5">
        <v>273</v>
      </c>
      <c r="BU295" s="413" t="s">
        <v>718</v>
      </c>
      <c r="BV295" s="145"/>
      <c r="BW295" s="146"/>
      <c r="BX295" s="145"/>
      <c r="BY295" s="145"/>
      <c r="BZ295" s="5"/>
      <c r="CA295" s="5">
        <v>273</v>
      </c>
      <c r="CB295" s="413" t="s">
        <v>718</v>
      </c>
      <c r="CC295" s="145"/>
      <c r="CD295" s="146"/>
      <c r="CE295" s="145"/>
      <c r="CF295" s="145"/>
      <c r="CG295" s="5"/>
      <c r="CH295" s="5"/>
      <c r="CI295" s="5"/>
    </row>
    <row r="296" spans="13:87" x14ac:dyDescent="0.2">
      <c r="M296" s="5">
        <v>274</v>
      </c>
      <c r="N296" s="413" t="str">
        <f t="shared" si="24"/>
        <v xml:space="preserve"> </v>
      </c>
      <c r="O296" s="414">
        <f t="shared" si="25"/>
        <v>0</v>
      </c>
      <c r="P296" s="414">
        <f t="shared" si="26"/>
        <v>0</v>
      </c>
      <c r="Q296" s="145">
        <f t="shared" si="29"/>
        <v>-8</v>
      </c>
      <c r="R296" s="414">
        <f t="shared" si="27"/>
        <v>0</v>
      </c>
      <c r="S296" s="414">
        <f t="shared" si="28"/>
        <v>0</v>
      </c>
      <c r="T296" s="19"/>
      <c r="U296" s="5"/>
      <c r="V296" s="5"/>
      <c r="W296" s="5">
        <v>274</v>
      </c>
      <c r="X296" s="144" t="s">
        <v>718</v>
      </c>
      <c r="Y296" s="145"/>
      <c r="Z296" s="146"/>
      <c r="AA296" s="145"/>
      <c r="AB296" s="145"/>
      <c r="AD296" s="5">
        <v>274</v>
      </c>
      <c r="AE296" s="413" t="s">
        <v>718</v>
      </c>
      <c r="AF296" s="145"/>
      <c r="AG296" s="146"/>
      <c r="AH296" s="145"/>
      <c r="AI296" s="145"/>
      <c r="AK296" s="5">
        <v>274</v>
      </c>
      <c r="AL296" s="413" t="s">
        <v>718</v>
      </c>
      <c r="AM296" s="145"/>
      <c r="AN296" s="146"/>
      <c r="AO296" s="145"/>
      <c r="AP296" s="145"/>
      <c r="AR296" s="5">
        <v>274</v>
      </c>
      <c r="AS296" s="413" t="s">
        <v>640</v>
      </c>
      <c r="AT296" s="145">
        <v>765</v>
      </c>
      <c r="AU296" s="146">
        <v>2.2400000000000002</v>
      </c>
      <c r="AV296" s="145">
        <v>4742</v>
      </c>
      <c r="AW296" s="145">
        <v>-18</v>
      </c>
      <c r="AY296" s="5">
        <v>274</v>
      </c>
      <c r="AZ296" s="413" t="s">
        <v>641</v>
      </c>
      <c r="BA296" s="145">
        <v>385</v>
      </c>
      <c r="BB296" s="146">
        <v>3.1</v>
      </c>
      <c r="BC296" s="145">
        <v>3886</v>
      </c>
      <c r="BD296" s="145">
        <v>-15</v>
      </c>
      <c r="BF296" s="5">
        <v>274</v>
      </c>
      <c r="BG296" s="413" t="s">
        <v>718</v>
      </c>
      <c r="BH296" s="145"/>
      <c r="BI296" s="146"/>
      <c r="BJ296" s="145"/>
      <c r="BK296" s="145"/>
      <c r="BM296" s="5">
        <v>274</v>
      </c>
      <c r="BN296" s="413" t="s">
        <v>642</v>
      </c>
      <c r="BO296" s="145">
        <v>258</v>
      </c>
      <c r="BP296" s="146">
        <v>3.07</v>
      </c>
      <c r="BQ296" s="145">
        <v>3556</v>
      </c>
      <c r="BR296" s="145">
        <v>-13</v>
      </c>
      <c r="BS296" s="5"/>
      <c r="BT296" s="5">
        <v>274</v>
      </c>
      <c r="BU296" s="413" t="s">
        <v>718</v>
      </c>
      <c r="BV296" s="145"/>
      <c r="BW296" s="146"/>
      <c r="BX296" s="145"/>
      <c r="BY296" s="145"/>
      <c r="BZ296" s="5"/>
      <c r="CA296" s="5">
        <v>274</v>
      </c>
      <c r="CB296" s="413" t="s">
        <v>718</v>
      </c>
      <c r="CC296" s="145"/>
      <c r="CD296" s="146"/>
      <c r="CE296" s="145"/>
      <c r="CF296" s="145"/>
      <c r="CG296" s="5"/>
      <c r="CH296" s="5"/>
      <c r="CI296" s="5"/>
    </row>
    <row r="297" spans="13:87" x14ac:dyDescent="0.2">
      <c r="M297" s="5">
        <v>275</v>
      </c>
      <c r="N297" s="413" t="str">
        <f t="shared" si="24"/>
        <v xml:space="preserve"> </v>
      </c>
      <c r="O297" s="414">
        <f t="shared" si="25"/>
        <v>0</v>
      </c>
      <c r="P297" s="414">
        <f t="shared" si="26"/>
        <v>0</v>
      </c>
      <c r="Q297" s="145">
        <f t="shared" si="29"/>
        <v>-8</v>
      </c>
      <c r="R297" s="414">
        <f t="shared" si="27"/>
        <v>0</v>
      </c>
      <c r="S297" s="414">
        <f t="shared" si="28"/>
        <v>0</v>
      </c>
      <c r="T297" s="19"/>
      <c r="U297" s="5"/>
      <c r="V297" s="5"/>
      <c r="W297" s="5">
        <v>275</v>
      </c>
      <c r="X297" s="144" t="s">
        <v>718</v>
      </c>
      <c r="Y297" s="145"/>
      <c r="Z297" s="146"/>
      <c r="AA297" s="145"/>
      <c r="AB297" s="145"/>
      <c r="AD297" s="5">
        <v>275</v>
      </c>
      <c r="AE297" s="413" t="s">
        <v>718</v>
      </c>
      <c r="AF297" s="145"/>
      <c r="AG297" s="146"/>
      <c r="AH297" s="145"/>
      <c r="AI297" s="145"/>
      <c r="AK297" s="5">
        <v>275</v>
      </c>
      <c r="AL297" s="413" t="s">
        <v>718</v>
      </c>
      <c r="AM297" s="145"/>
      <c r="AN297" s="146"/>
      <c r="AO297" s="145"/>
      <c r="AP297" s="145"/>
      <c r="AR297" s="5">
        <v>275</v>
      </c>
      <c r="AS297" s="413" t="s">
        <v>643</v>
      </c>
      <c r="AT297" s="145">
        <v>300</v>
      </c>
      <c r="AU297" s="146">
        <v>3.39</v>
      </c>
      <c r="AV297" s="145">
        <v>3555</v>
      </c>
      <c r="AW297" s="145">
        <v>-14</v>
      </c>
      <c r="AY297" s="5">
        <v>275</v>
      </c>
      <c r="AZ297" s="413" t="s">
        <v>644</v>
      </c>
      <c r="BA297" s="145">
        <v>550</v>
      </c>
      <c r="BB297" s="146">
        <v>2.85</v>
      </c>
      <c r="BC297" s="145">
        <v>4150</v>
      </c>
      <c r="BD297" s="145">
        <v>-15</v>
      </c>
      <c r="BF297" s="5">
        <v>275</v>
      </c>
      <c r="BG297" s="413" t="s">
        <v>718</v>
      </c>
      <c r="BH297" s="145"/>
      <c r="BI297" s="146"/>
      <c r="BJ297" s="145"/>
      <c r="BK297" s="145"/>
      <c r="BM297" s="5">
        <v>275</v>
      </c>
      <c r="BN297" s="413" t="s">
        <v>2610</v>
      </c>
      <c r="BO297" s="145">
        <v>775</v>
      </c>
      <c r="BP297" s="146">
        <v>2.62</v>
      </c>
      <c r="BQ297" s="145">
        <v>4572</v>
      </c>
      <c r="BR297" s="145">
        <v>-16</v>
      </c>
      <c r="BS297" s="5"/>
      <c r="BT297" s="5">
        <v>275</v>
      </c>
      <c r="BU297" s="413" t="s">
        <v>718</v>
      </c>
      <c r="BV297" s="145"/>
      <c r="BW297" s="146"/>
      <c r="BX297" s="145"/>
      <c r="BY297" s="145"/>
      <c r="BZ297" s="5"/>
      <c r="CA297" s="5">
        <v>275</v>
      </c>
      <c r="CB297" s="413" t="s">
        <v>718</v>
      </c>
      <c r="CC297" s="145"/>
      <c r="CD297" s="146"/>
      <c r="CE297" s="145"/>
      <c r="CF297" s="145"/>
      <c r="CG297" s="5"/>
      <c r="CH297" s="5"/>
      <c r="CI297" s="5"/>
    </row>
    <row r="298" spans="13:87" x14ac:dyDescent="0.2">
      <c r="M298" s="5">
        <v>276</v>
      </c>
      <c r="N298" s="413" t="str">
        <f t="shared" si="24"/>
        <v xml:space="preserve"> </v>
      </c>
      <c r="O298" s="414">
        <f t="shared" si="25"/>
        <v>0</v>
      </c>
      <c r="P298" s="414">
        <f t="shared" si="26"/>
        <v>0</v>
      </c>
      <c r="Q298" s="145">
        <f t="shared" si="29"/>
        <v>-8</v>
      </c>
      <c r="R298" s="414">
        <f t="shared" si="27"/>
        <v>0</v>
      </c>
      <c r="S298" s="414">
        <f t="shared" si="28"/>
        <v>0</v>
      </c>
      <c r="T298" s="19"/>
      <c r="U298" s="5"/>
      <c r="V298" s="5"/>
      <c r="W298" s="5">
        <v>276</v>
      </c>
      <c r="X298" s="144" t="s">
        <v>718</v>
      </c>
      <c r="Y298" s="145"/>
      <c r="Z298" s="146"/>
      <c r="AA298" s="145"/>
      <c r="AB298" s="145"/>
      <c r="AD298" s="5">
        <v>276</v>
      </c>
      <c r="AE298" s="413" t="s">
        <v>718</v>
      </c>
      <c r="AF298" s="145"/>
      <c r="AG298" s="146"/>
      <c r="AH298" s="145"/>
      <c r="AI298" s="145"/>
      <c r="AK298" s="5">
        <v>276</v>
      </c>
      <c r="AL298" s="413" t="s">
        <v>718</v>
      </c>
      <c r="AM298" s="145"/>
      <c r="AN298" s="146"/>
      <c r="AO298" s="145"/>
      <c r="AP298" s="145"/>
      <c r="AR298" s="5">
        <v>276</v>
      </c>
      <c r="AS298" s="413" t="s">
        <v>2611</v>
      </c>
      <c r="AT298" s="145">
        <v>148</v>
      </c>
      <c r="AU298" s="146">
        <v>3.24</v>
      </c>
      <c r="AV298" s="145">
        <v>3502</v>
      </c>
      <c r="AW298" s="145">
        <v>-14</v>
      </c>
      <c r="AY298" s="5">
        <v>276</v>
      </c>
      <c r="AZ298" s="413" t="s">
        <v>2612</v>
      </c>
      <c r="BA298" s="145">
        <v>280</v>
      </c>
      <c r="BB298" s="146">
        <v>3.34</v>
      </c>
      <c r="BC298" s="145">
        <v>3682</v>
      </c>
      <c r="BD298" s="145">
        <v>-13</v>
      </c>
      <c r="BF298" s="5">
        <v>276</v>
      </c>
      <c r="BG298" s="413" t="s">
        <v>718</v>
      </c>
      <c r="BH298" s="145"/>
      <c r="BI298" s="146"/>
      <c r="BJ298" s="145"/>
      <c r="BK298" s="145"/>
      <c r="BM298" s="5">
        <v>276</v>
      </c>
      <c r="BN298" s="413" t="s">
        <v>2613</v>
      </c>
      <c r="BO298" s="145">
        <v>885</v>
      </c>
      <c r="BP298" s="146">
        <v>2.09</v>
      </c>
      <c r="BQ298" s="145">
        <v>4765</v>
      </c>
      <c r="BR298" s="145">
        <v>-19</v>
      </c>
      <c r="BS298" s="5"/>
      <c r="BT298" s="5">
        <v>276</v>
      </c>
      <c r="BU298" s="413" t="s">
        <v>718</v>
      </c>
      <c r="BV298" s="145"/>
      <c r="BW298" s="146"/>
      <c r="BX298" s="145"/>
      <c r="BY298" s="145"/>
      <c r="BZ298" s="5"/>
      <c r="CA298" s="5">
        <v>276</v>
      </c>
      <c r="CB298" s="413" t="s">
        <v>718</v>
      </c>
      <c r="CC298" s="145"/>
      <c r="CD298" s="146"/>
      <c r="CE298" s="145"/>
      <c r="CF298" s="145"/>
      <c r="CG298" s="5"/>
      <c r="CH298" s="5"/>
      <c r="CI298" s="5"/>
    </row>
    <row r="299" spans="13:87" x14ac:dyDescent="0.2">
      <c r="M299" s="5">
        <v>277</v>
      </c>
      <c r="N299" s="413" t="str">
        <f t="shared" si="24"/>
        <v xml:space="preserve"> </v>
      </c>
      <c r="O299" s="414">
        <f t="shared" si="25"/>
        <v>0</v>
      </c>
      <c r="P299" s="414">
        <f t="shared" si="26"/>
        <v>0</v>
      </c>
      <c r="Q299" s="145">
        <f t="shared" si="29"/>
        <v>-8</v>
      </c>
      <c r="R299" s="414">
        <f t="shared" si="27"/>
        <v>0</v>
      </c>
      <c r="S299" s="414">
        <f t="shared" si="28"/>
        <v>0</v>
      </c>
      <c r="T299" s="19"/>
      <c r="U299" s="5"/>
      <c r="V299" s="5"/>
      <c r="W299" s="5">
        <v>277</v>
      </c>
      <c r="X299" s="144" t="s">
        <v>718</v>
      </c>
      <c r="Y299" s="145"/>
      <c r="Z299" s="146"/>
      <c r="AA299" s="145"/>
      <c r="AB299" s="145"/>
      <c r="AD299" s="5">
        <v>277</v>
      </c>
      <c r="AE299" s="413" t="s">
        <v>718</v>
      </c>
      <c r="AF299" s="145"/>
      <c r="AG299" s="146"/>
      <c r="AH299" s="145"/>
      <c r="AI299" s="145"/>
      <c r="AK299" s="5">
        <v>277</v>
      </c>
      <c r="AL299" s="413" t="s">
        <v>718</v>
      </c>
      <c r="AM299" s="145"/>
      <c r="AN299" s="146"/>
      <c r="AO299" s="145"/>
      <c r="AP299" s="145"/>
      <c r="AR299" s="5">
        <v>277</v>
      </c>
      <c r="AS299" s="413" t="s">
        <v>2614</v>
      </c>
      <c r="AT299" s="145">
        <v>174</v>
      </c>
      <c r="AU299" s="146">
        <v>3.72</v>
      </c>
      <c r="AV299" s="145">
        <v>3322</v>
      </c>
      <c r="AW299" s="145">
        <v>-13</v>
      </c>
      <c r="AY299" s="5">
        <v>277</v>
      </c>
      <c r="AZ299" s="413" t="s">
        <v>2615</v>
      </c>
      <c r="BA299" s="145">
        <v>609</v>
      </c>
      <c r="BB299" s="146">
        <v>2.46</v>
      </c>
      <c r="BC299" s="145">
        <v>4384</v>
      </c>
      <c r="BD299" s="145">
        <v>-16</v>
      </c>
      <c r="BF299" s="5">
        <v>277</v>
      </c>
      <c r="BG299" s="413" t="s">
        <v>718</v>
      </c>
      <c r="BH299" s="145"/>
      <c r="BI299" s="146"/>
      <c r="BJ299" s="145"/>
      <c r="BK299" s="145"/>
      <c r="BM299" s="5">
        <v>277</v>
      </c>
      <c r="BN299" s="413" t="s">
        <v>2616</v>
      </c>
      <c r="BO299" s="145">
        <v>660</v>
      </c>
      <c r="BP299" s="146">
        <v>2.35</v>
      </c>
      <c r="BQ299" s="145">
        <v>4448</v>
      </c>
      <c r="BR299" s="145">
        <v>-16</v>
      </c>
      <c r="BS299" s="5"/>
      <c r="BT299" s="5">
        <v>277</v>
      </c>
      <c r="BU299" s="413" t="s">
        <v>718</v>
      </c>
      <c r="BV299" s="145"/>
      <c r="BW299" s="146"/>
      <c r="BX299" s="145"/>
      <c r="BY299" s="145"/>
      <c r="BZ299" s="5"/>
      <c r="CA299" s="5">
        <v>277</v>
      </c>
      <c r="CB299" s="413" t="s">
        <v>718</v>
      </c>
      <c r="CC299" s="145"/>
      <c r="CD299" s="146"/>
      <c r="CE299" s="145"/>
      <c r="CF299" s="145"/>
      <c r="CG299" s="5"/>
      <c r="CH299" s="5"/>
      <c r="CI299" s="5"/>
    </row>
    <row r="300" spans="13:87" x14ac:dyDescent="0.2">
      <c r="M300" s="5">
        <v>278</v>
      </c>
      <c r="N300" s="413" t="str">
        <f t="shared" si="24"/>
        <v xml:space="preserve"> </v>
      </c>
      <c r="O300" s="414">
        <f t="shared" si="25"/>
        <v>0</v>
      </c>
      <c r="P300" s="414">
        <f t="shared" si="26"/>
        <v>0</v>
      </c>
      <c r="Q300" s="145">
        <f t="shared" si="29"/>
        <v>-8</v>
      </c>
      <c r="R300" s="414">
        <f t="shared" si="27"/>
        <v>0</v>
      </c>
      <c r="S300" s="414">
        <f t="shared" si="28"/>
        <v>0</v>
      </c>
      <c r="T300" s="19"/>
      <c r="U300" s="5"/>
      <c r="V300" s="5"/>
      <c r="W300" s="5">
        <v>278</v>
      </c>
      <c r="X300" s="144" t="s">
        <v>718</v>
      </c>
      <c r="Y300" s="145"/>
      <c r="Z300" s="146"/>
      <c r="AA300" s="145"/>
      <c r="AB300" s="145"/>
      <c r="AD300" s="5">
        <v>278</v>
      </c>
      <c r="AE300" s="413" t="s">
        <v>718</v>
      </c>
      <c r="AF300" s="145"/>
      <c r="AG300" s="146"/>
      <c r="AH300" s="145"/>
      <c r="AI300" s="145"/>
      <c r="AK300" s="5">
        <v>278</v>
      </c>
      <c r="AL300" s="413" t="s">
        <v>718</v>
      </c>
      <c r="AM300" s="145"/>
      <c r="AN300" s="146"/>
      <c r="AO300" s="145"/>
      <c r="AP300" s="145"/>
      <c r="AR300" s="5">
        <v>278</v>
      </c>
      <c r="AS300" s="413" t="s">
        <v>2617</v>
      </c>
      <c r="AT300" s="145">
        <v>285</v>
      </c>
      <c r="AU300" s="146">
        <v>3.21</v>
      </c>
      <c r="AV300" s="145">
        <v>3811</v>
      </c>
      <c r="AW300" s="145">
        <v>-14</v>
      </c>
      <c r="AY300" s="5">
        <v>278</v>
      </c>
      <c r="AZ300" s="413" t="s">
        <v>2618</v>
      </c>
      <c r="BA300" s="145">
        <v>531</v>
      </c>
      <c r="BB300" s="146">
        <v>3.31</v>
      </c>
      <c r="BC300" s="145">
        <v>3938</v>
      </c>
      <c r="BD300" s="145">
        <v>-14</v>
      </c>
      <c r="BF300" s="5">
        <v>278</v>
      </c>
      <c r="BG300" s="413" t="s">
        <v>718</v>
      </c>
      <c r="BH300" s="145"/>
      <c r="BI300" s="146"/>
      <c r="BJ300" s="145"/>
      <c r="BK300" s="145"/>
      <c r="BM300" s="5">
        <v>278</v>
      </c>
      <c r="BN300" s="413" t="s">
        <v>2619</v>
      </c>
      <c r="BO300" s="145">
        <v>338</v>
      </c>
      <c r="BP300" s="146">
        <v>3.04</v>
      </c>
      <c r="BQ300" s="145">
        <v>3647</v>
      </c>
      <c r="BR300" s="145">
        <v>-14</v>
      </c>
      <c r="BS300" s="5"/>
      <c r="BT300" s="5">
        <v>278</v>
      </c>
      <c r="BU300" s="413" t="s">
        <v>718</v>
      </c>
      <c r="BV300" s="145"/>
      <c r="BW300" s="146"/>
      <c r="BX300" s="145"/>
      <c r="BY300" s="145"/>
      <c r="BZ300" s="5"/>
      <c r="CA300" s="5">
        <v>278</v>
      </c>
      <c r="CB300" s="413" t="s">
        <v>718</v>
      </c>
      <c r="CC300" s="145"/>
      <c r="CD300" s="146"/>
      <c r="CE300" s="145"/>
      <c r="CF300" s="145"/>
      <c r="CG300" s="5"/>
      <c r="CH300" s="5"/>
      <c r="CI300" s="5"/>
    </row>
    <row r="301" spans="13:87" x14ac:dyDescent="0.2">
      <c r="M301" s="5">
        <v>279</v>
      </c>
      <c r="N301" s="413" t="str">
        <f t="shared" si="24"/>
        <v xml:space="preserve"> </v>
      </c>
      <c r="O301" s="414">
        <f t="shared" si="25"/>
        <v>0</v>
      </c>
      <c r="P301" s="414">
        <f t="shared" si="26"/>
        <v>0</v>
      </c>
      <c r="Q301" s="145">
        <f t="shared" si="29"/>
        <v>-8</v>
      </c>
      <c r="R301" s="414">
        <f t="shared" si="27"/>
        <v>0</v>
      </c>
      <c r="S301" s="414">
        <f t="shared" si="28"/>
        <v>0</v>
      </c>
      <c r="T301" s="19"/>
      <c r="U301" s="5"/>
      <c r="V301" s="5"/>
      <c r="W301" s="5">
        <v>279</v>
      </c>
      <c r="X301" s="144" t="s">
        <v>718</v>
      </c>
      <c r="Y301" s="145"/>
      <c r="Z301" s="146"/>
      <c r="AA301" s="145"/>
      <c r="AB301" s="145"/>
      <c r="AD301" s="5">
        <v>279</v>
      </c>
      <c r="AE301" s="413" t="s">
        <v>718</v>
      </c>
      <c r="AF301" s="145"/>
      <c r="AG301" s="146"/>
      <c r="AH301" s="145"/>
      <c r="AI301" s="145"/>
      <c r="AK301" s="5">
        <v>279</v>
      </c>
      <c r="AL301" s="413" t="s">
        <v>718</v>
      </c>
      <c r="AM301" s="145"/>
      <c r="AN301" s="146"/>
      <c r="AO301" s="145"/>
      <c r="AP301" s="145"/>
      <c r="AR301" s="5">
        <v>279</v>
      </c>
      <c r="AS301" s="413" t="s">
        <v>2620</v>
      </c>
      <c r="AT301" s="145">
        <v>220</v>
      </c>
      <c r="AU301" s="146">
        <v>3.26</v>
      </c>
      <c r="AV301" s="145">
        <v>3632</v>
      </c>
      <c r="AW301" s="145">
        <v>-14</v>
      </c>
      <c r="AY301" s="5">
        <v>279</v>
      </c>
      <c r="AZ301" s="413" t="s">
        <v>2621</v>
      </c>
      <c r="BA301" s="145">
        <v>440</v>
      </c>
      <c r="BB301" s="146">
        <v>3.24</v>
      </c>
      <c r="BC301" s="145">
        <v>3838</v>
      </c>
      <c r="BD301" s="145">
        <v>-15</v>
      </c>
      <c r="BF301" s="5">
        <v>279</v>
      </c>
      <c r="BG301" s="413" t="s">
        <v>718</v>
      </c>
      <c r="BH301" s="145"/>
      <c r="BI301" s="146"/>
      <c r="BJ301" s="145"/>
      <c r="BK301" s="145"/>
      <c r="BM301" s="5">
        <v>279</v>
      </c>
      <c r="BN301" s="413" t="s">
        <v>2622</v>
      </c>
      <c r="BO301" s="145">
        <v>398</v>
      </c>
      <c r="BP301" s="146">
        <v>2.86</v>
      </c>
      <c r="BQ301" s="145">
        <v>3943</v>
      </c>
      <c r="BR301" s="145">
        <v>-14</v>
      </c>
      <c r="BS301" s="5"/>
      <c r="BT301" s="5">
        <v>279</v>
      </c>
      <c r="BU301" s="413" t="s">
        <v>718</v>
      </c>
      <c r="BV301" s="145"/>
      <c r="BW301" s="146"/>
      <c r="BX301" s="145"/>
      <c r="BY301" s="145"/>
      <c r="BZ301" s="5"/>
      <c r="CA301" s="5">
        <v>279</v>
      </c>
      <c r="CB301" s="413" t="s">
        <v>718</v>
      </c>
      <c r="CC301" s="145"/>
      <c r="CD301" s="146"/>
      <c r="CE301" s="145"/>
      <c r="CF301" s="145"/>
      <c r="CG301" s="5"/>
      <c r="CH301" s="5"/>
      <c r="CI301" s="5"/>
    </row>
    <row r="302" spans="13:87" x14ac:dyDescent="0.2">
      <c r="M302" s="5">
        <v>280</v>
      </c>
      <c r="N302" s="413" t="str">
        <f t="shared" si="24"/>
        <v xml:space="preserve"> </v>
      </c>
      <c r="O302" s="414">
        <f t="shared" si="25"/>
        <v>0</v>
      </c>
      <c r="P302" s="414">
        <f t="shared" si="26"/>
        <v>0</v>
      </c>
      <c r="Q302" s="145">
        <f t="shared" si="29"/>
        <v>-8</v>
      </c>
      <c r="R302" s="414">
        <f t="shared" si="27"/>
        <v>0</v>
      </c>
      <c r="S302" s="414">
        <f t="shared" si="28"/>
        <v>0</v>
      </c>
      <c r="T302" s="19"/>
      <c r="U302" s="5"/>
      <c r="V302" s="5"/>
      <c r="W302" s="5">
        <v>280</v>
      </c>
      <c r="X302" s="144" t="s">
        <v>718</v>
      </c>
      <c r="Y302" s="145"/>
      <c r="Z302" s="146"/>
      <c r="AA302" s="145"/>
      <c r="AB302" s="145"/>
      <c r="AD302" s="5">
        <v>280</v>
      </c>
      <c r="AE302" s="413" t="s">
        <v>718</v>
      </c>
      <c r="AF302" s="145"/>
      <c r="AG302" s="146"/>
      <c r="AH302" s="145"/>
      <c r="AI302" s="145"/>
      <c r="AK302" s="5">
        <v>280</v>
      </c>
      <c r="AL302" s="413" t="s">
        <v>718</v>
      </c>
      <c r="AM302" s="145"/>
      <c r="AN302" s="146"/>
      <c r="AO302" s="145"/>
      <c r="AP302" s="145"/>
      <c r="AR302" s="5">
        <v>280</v>
      </c>
      <c r="AS302" s="413" t="s">
        <v>2623</v>
      </c>
      <c r="AT302" s="145">
        <v>305</v>
      </c>
      <c r="AU302" s="146">
        <v>3.3</v>
      </c>
      <c r="AV302" s="145">
        <v>3675</v>
      </c>
      <c r="AW302" s="145">
        <v>-13</v>
      </c>
      <c r="AY302" s="5">
        <v>280</v>
      </c>
      <c r="AZ302" s="413" t="s">
        <v>2624</v>
      </c>
      <c r="BA302" s="145">
        <v>365</v>
      </c>
      <c r="BB302" s="146">
        <v>3.15</v>
      </c>
      <c r="BC302" s="145">
        <v>3842</v>
      </c>
      <c r="BD302" s="145">
        <v>-15</v>
      </c>
      <c r="BF302" s="5">
        <v>280</v>
      </c>
      <c r="BG302" s="413" t="s">
        <v>718</v>
      </c>
      <c r="BH302" s="145"/>
      <c r="BI302" s="146"/>
      <c r="BJ302" s="145"/>
      <c r="BK302" s="145"/>
      <c r="BM302" s="5">
        <v>280</v>
      </c>
      <c r="BN302" s="413" t="s">
        <v>2625</v>
      </c>
      <c r="BO302" s="145">
        <v>668</v>
      </c>
      <c r="BP302" s="146">
        <v>2.76</v>
      </c>
      <c r="BQ302" s="145">
        <v>4259</v>
      </c>
      <c r="BR302" s="145">
        <v>-15</v>
      </c>
      <c r="BS302" s="5"/>
      <c r="BT302" s="5">
        <v>280</v>
      </c>
      <c r="BU302" s="413" t="s">
        <v>718</v>
      </c>
      <c r="BV302" s="145"/>
      <c r="BW302" s="146"/>
      <c r="BX302" s="145"/>
      <c r="BY302" s="145"/>
      <c r="BZ302" s="5"/>
      <c r="CA302" s="5">
        <v>280</v>
      </c>
      <c r="CB302" s="413" t="s">
        <v>718</v>
      </c>
      <c r="CC302" s="145"/>
      <c r="CD302" s="146"/>
      <c r="CE302" s="145"/>
      <c r="CF302" s="145"/>
      <c r="CG302" s="5"/>
      <c r="CH302" s="5"/>
      <c r="CI302" s="5"/>
    </row>
    <row r="303" spans="13:87" x14ac:dyDescent="0.2">
      <c r="M303" s="5">
        <v>281</v>
      </c>
      <c r="N303" s="413" t="str">
        <f t="shared" si="24"/>
        <v xml:space="preserve"> </v>
      </c>
      <c r="O303" s="414">
        <f t="shared" si="25"/>
        <v>0</v>
      </c>
      <c r="P303" s="414">
        <f t="shared" si="26"/>
        <v>0</v>
      </c>
      <c r="Q303" s="145">
        <f t="shared" si="29"/>
        <v>-8</v>
      </c>
      <c r="R303" s="414">
        <f t="shared" si="27"/>
        <v>0</v>
      </c>
      <c r="S303" s="414">
        <f t="shared" si="28"/>
        <v>0</v>
      </c>
      <c r="T303" s="19"/>
      <c r="U303" s="5"/>
      <c r="V303" s="5"/>
      <c r="W303" s="5">
        <v>281</v>
      </c>
      <c r="X303" s="144" t="s">
        <v>718</v>
      </c>
      <c r="Y303" s="145"/>
      <c r="Z303" s="146"/>
      <c r="AA303" s="145"/>
      <c r="AB303" s="145"/>
      <c r="AD303" s="5">
        <v>281</v>
      </c>
      <c r="AE303" s="413" t="s">
        <v>718</v>
      </c>
      <c r="AF303" s="145"/>
      <c r="AG303" s="146"/>
      <c r="AH303" s="145"/>
      <c r="AI303" s="145"/>
      <c r="AK303" s="5">
        <v>281</v>
      </c>
      <c r="AL303" s="413" t="s">
        <v>718</v>
      </c>
      <c r="AM303" s="145"/>
      <c r="AN303" s="146"/>
      <c r="AO303" s="145"/>
      <c r="AP303" s="145"/>
      <c r="AR303" s="5">
        <v>281</v>
      </c>
      <c r="AS303" s="413" t="s">
        <v>2626</v>
      </c>
      <c r="AT303" s="145">
        <v>267</v>
      </c>
      <c r="AU303" s="146">
        <v>3.38</v>
      </c>
      <c r="AV303" s="145">
        <v>3539</v>
      </c>
      <c r="AW303" s="145">
        <v>-13</v>
      </c>
      <c r="AY303" s="5">
        <v>281</v>
      </c>
      <c r="AZ303" s="413" t="s">
        <v>2627</v>
      </c>
      <c r="BA303" s="145">
        <v>668</v>
      </c>
      <c r="BB303" s="146">
        <v>2.54</v>
      </c>
      <c r="BC303" s="145">
        <v>4313</v>
      </c>
      <c r="BD303" s="145">
        <v>-15</v>
      </c>
      <c r="BF303" s="5">
        <v>281</v>
      </c>
      <c r="BG303" s="413" t="s">
        <v>718</v>
      </c>
      <c r="BH303" s="145"/>
      <c r="BI303" s="146"/>
      <c r="BJ303" s="145"/>
      <c r="BK303" s="145"/>
      <c r="BM303" s="5">
        <v>281</v>
      </c>
      <c r="BN303" s="413" t="s">
        <v>2628</v>
      </c>
      <c r="BO303" s="145">
        <v>674</v>
      </c>
      <c r="BP303" s="146">
        <v>2.86</v>
      </c>
      <c r="BQ303" s="145">
        <v>4320</v>
      </c>
      <c r="BR303" s="145">
        <v>-15</v>
      </c>
      <c r="BS303" s="5"/>
      <c r="BT303" s="5">
        <v>281</v>
      </c>
      <c r="BU303" s="413" t="s">
        <v>718</v>
      </c>
      <c r="BV303" s="145"/>
      <c r="BW303" s="146"/>
      <c r="BX303" s="145"/>
      <c r="BY303" s="145"/>
      <c r="BZ303" s="5"/>
      <c r="CA303" s="5">
        <v>281</v>
      </c>
      <c r="CB303" s="413" t="s">
        <v>718</v>
      </c>
      <c r="CC303" s="145"/>
      <c r="CD303" s="146"/>
      <c r="CE303" s="145"/>
      <c r="CF303" s="145"/>
      <c r="CG303" s="5"/>
      <c r="CH303" s="5"/>
      <c r="CI303" s="5"/>
    </row>
    <row r="304" spans="13:87" x14ac:dyDescent="0.2">
      <c r="M304" s="5">
        <v>282</v>
      </c>
      <c r="N304" s="413" t="str">
        <f t="shared" si="24"/>
        <v xml:space="preserve"> </v>
      </c>
      <c r="O304" s="414">
        <f t="shared" si="25"/>
        <v>0</v>
      </c>
      <c r="P304" s="414">
        <f t="shared" si="26"/>
        <v>0</v>
      </c>
      <c r="Q304" s="145">
        <f t="shared" si="29"/>
        <v>-8</v>
      </c>
      <c r="R304" s="414">
        <f t="shared" si="27"/>
        <v>0</v>
      </c>
      <c r="S304" s="414">
        <f t="shared" si="28"/>
        <v>0</v>
      </c>
      <c r="T304" s="19"/>
      <c r="U304" s="5"/>
      <c r="V304" s="5"/>
      <c r="W304" s="5">
        <v>282</v>
      </c>
      <c r="X304" s="144" t="s">
        <v>718</v>
      </c>
      <c r="Y304" s="145"/>
      <c r="Z304" s="146"/>
      <c r="AA304" s="145"/>
      <c r="AB304" s="145"/>
      <c r="AD304" s="5">
        <v>282</v>
      </c>
      <c r="AE304" s="413" t="s">
        <v>718</v>
      </c>
      <c r="AF304" s="145"/>
      <c r="AG304" s="146"/>
      <c r="AH304" s="145"/>
      <c r="AI304" s="145"/>
      <c r="AK304" s="5">
        <v>282</v>
      </c>
      <c r="AL304" s="413" t="s">
        <v>718</v>
      </c>
      <c r="AM304" s="145"/>
      <c r="AN304" s="146"/>
      <c r="AO304" s="145"/>
      <c r="AP304" s="145"/>
      <c r="AR304" s="5">
        <v>282</v>
      </c>
      <c r="AS304" s="413" t="s">
        <v>2629</v>
      </c>
      <c r="AT304" s="145">
        <v>179</v>
      </c>
      <c r="AU304" s="146">
        <v>3.59</v>
      </c>
      <c r="AV304" s="145">
        <v>3364</v>
      </c>
      <c r="AW304" s="145">
        <v>-13</v>
      </c>
      <c r="AY304" s="5">
        <v>282</v>
      </c>
      <c r="AZ304" s="413" t="s">
        <v>2630</v>
      </c>
      <c r="BA304" s="145">
        <v>569</v>
      </c>
      <c r="BB304" s="146">
        <v>2.73</v>
      </c>
      <c r="BC304" s="145">
        <v>4180</v>
      </c>
      <c r="BD304" s="145">
        <v>-16</v>
      </c>
      <c r="BF304" s="5">
        <v>282</v>
      </c>
      <c r="BG304" s="413" t="s">
        <v>718</v>
      </c>
      <c r="BH304" s="145"/>
      <c r="BI304" s="146"/>
      <c r="BJ304" s="145"/>
      <c r="BK304" s="145"/>
      <c r="BM304" s="5">
        <v>282</v>
      </c>
      <c r="BN304" s="413" t="s">
        <v>2631</v>
      </c>
      <c r="BO304" s="145">
        <v>815</v>
      </c>
      <c r="BP304" s="146">
        <v>2.84</v>
      </c>
      <c r="BQ304" s="145">
        <v>4495</v>
      </c>
      <c r="BR304" s="145">
        <v>-16</v>
      </c>
      <c r="BS304" s="5"/>
      <c r="BT304" s="5">
        <v>282</v>
      </c>
      <c r="BU304" s="413" t="s">
        <v>718</v>
      </c>
      <c r="BV304" s="145"/>
      <c r="BW304" s="146"/>
      <c r="BX304" s="145"/>
      <c r="BY304" s="145"/>
      <c r="BZ304" s="5"/>
      <c r="CA304" s="5">
        <v>282</v>
      </c>
      <c r="CB304" s="413" t="s">
        <v>718</v>
      </c>
      <c r="CC304" s="145"/>
      <c r="CD304" s="146"/>
      <c r="CE304" s="145"/>
      <c r="CF304" s="145"/>
      <c r="CG304" s="5"/>
      <c r="CH304" s="5"/>
      <c r="CI304" s="5"/>
    </row>
    <row r="305" spans="13:87" x14ac:dyDescent="0.2">
      <c r="M305" s="5">
        <v>283</v>
      </c>
      <c r="N305" s="413" t="str">
        <f t="shared" si="24"/>
        <v xml:space="preserve"> </v>
      </c>
      <c r="O305" s="414">
        <f t="shared" si="25"/>
        <v>0</v>
      </c>
      <c r="P305" s="414">
        <f t="shared" si="26"/>
        <v>0</v>
      </c>
      <c r="Q305" s="145">
        <f t="shared" si="29"/>
        <v>-8</v>
      </c>
      <c r="R305" s="414">
        <f t="shared" si="27"/>
        <v>0</v>
      </c>
      <c r="S305" s="414">
        <f t="shared" si="28"/>
        <v>0</v>
      </c>
      <c r="T305" s="19"/>
      <c r="U305" s="5"/>
      <c r="V305" s="5"/>
      <c r="W305" s="5">
        <v>283</v>
      </c>
      <c r="X305" s="144" t="s">
        <v>718</v>
      </c>
      <c r="Y305" s="145"/>
      <c r="Z305" s="146"/>
      <c r="AA305" s="145"/>
      <c r="AB305" s="145"/>
      <c r="AD305" s="5">
        <v>283</v>
      </c>
      <c r="AE305" s="413" t="s">
        <v>718</v>
      </c>
      <c r="AF305" s="145"/>
      <c r="AG305" s="146"/>
      <c r="AH305" s="145"/>
      <c r="AI305" s="145"/>
      <c r="AK305" s="5">
        <v>283</v>
      </c>
      <c r="AL305" s="413" t="s">
        <v>718</v>
      </c>
      <c r="AM305" s="145"/>
      <c r="AN305" s="146"/>
      <c r="AO305" s="145"/>
      <c r="AP305" s="145"/>
      <c r="AR305" s="5">
        <v>283</v>
      </c>
      <c r="AS305" s="413" t="s">
        <v>2632</v>
      </c>
      <c r="AT305" s="145">
        <v>151</v>
      </c>
      <c r="AU305" s="146">
        <v>3.3</v>
      </c>
      <c r="AV305" s="145">
        <v>3506</v>
      </c>
      <c r="AW305" s="145">
        <v>-14</v>
      </c>
      <c r="AY305" s="5">
        <v>283</v>
      </c>
      <c r="AZ305" s="413" t="s">
        <v>2633</v>
      </c>
      <c r="BA305" s="145">
        <v>393</v>
      </c>
      <c r="BB305" s="146">
        <v>2.89</v>
      </c>
      <c r="BC305" s="145">
        <v>4004</v>
      </c>
      <c r="BD305" s="145">
        <v>-16</v>
      </c>
      <c r="BF305" s="5">
        <v>283</v>
      </c>
      <c r="BG305" s="413" t="s">
        <v>718</v>
      </c>
      <c r="BH305" s="145"/>
      <c r="BI305" s="146"/>
      <c r="BJ305" s="145"/>
      <c r="BK305" s="145"/>
      <c r="BM305" s="5">
        <v>283</v>
      </c>
      <c r="BN305" s="413" t="s">
        <v>2634</v>
      </c>
      <c r="BO305" s="145">
        <v>1100</v>
      </c>
      <c r="BP305" s="146">
        <v>2.75</v>
      </c>
      <c r="BQ305" s="145">
        <v>4727</v>
      </c>
      <c r="BR305" s="145">
        <v>-14</v>
      </c>
      <c r="BS305" s="5"/>
      <c r="BT305" s="5">
        <v>283</v>
      </c>
      <c r="BU305" s="413" t="s">
        <v>718</v>
      </c>
      <c r="BV305" s="145"/>
      <c r="BW305" s="146"/>
      <c r="BX305" s="145"/>
      <c r="BY305" s="145"/>
      <c r="BZ305" s="5"/>
      <c r="CA305" s="5">
        <v>283</v>
      </c>
      <c r="CB305" s="413" t="s">
        <v>718</v>
      </c>
      <c r="CC305" s="145"/>
      <c r="CD305" s="146"/>
      <c r="CE305" s="145"/>
      <c r="CF305" s="145"/>
      <c r="CG305" s="5"/>
      <c r="CH305" s="5"/>
      <c r="CI305" s="5"/>
    </row>
    <row r="306" spans="13:87" x14ac:dyDescent="0.2">
      <c r="M306" s="5">
        <v>284</v>
      </c>
      <c r="N306" s="413" t="str">
        <f t="shared" si="24"/>
        <v xml:space="preserve"> </v>
      </c>
      <c r="O306" s="414">
        <f t="shared" si="25"/>
        <v>0</v>
      </c>
      <c r="P306" s="414">
        <f t="shared" si="26"/>
        <v>0</v>
      </c>
      <c r="Q306" s="145">
        <f t="shared" si="29"/>
        <v>-8</v>
      </c>
      <c r="R306" s="414">
        <f t="shared" si="27"/>
        <v>0</v>
      </c>
      <c r="S306" s="414">
        <f t="shared" si="28"/>
        <v>0</v>
      </c>
      <c r="T306" s="19"/>
      <c r="U306" s="5"/>
      <c r="V306" s="5"/>
      <c r="W306" s="5">
        <v>284</v>
      </c>
      <c r="X306" s="144" t="s">
        <v>718</v>
      </c>
      <c r="Y306" s="145"/>
      <c r="Z306" s="146"/>
      <c r="AA306" s="145"/>
      <c r="AB306" s="145"/>
      <c r="AD306" s="5">
        <v>284</v>
      </c>
      <c r="AE306" s="413" t="s">
        <v>718</v>
      </c>
      <c r="AF306" s="145"/>
      <c r="AG306" s="146"/>
      <c r="AH306" s="145"/>
      <c r="AI306" s="145"/>
      <c r="AK306" s="5">
        <v>284</v>
      </c>
      <c r="AL306" s="413" t="s">
        <v>718</v>
      </c>
      <c r="AM306" s="145"/>
      <c r="AN306" s="146"/>
      <c r="AO306" s="145"/>
      <c r="AP306" s="145"/>
      <c r="AR306" s="5">
        <v>284</v>
      </c>
      <c r="AS306" s="413" t="s">
        <v>2635</v>
      </c>
      <c r="AT306" s="145">
        <v>640</v>
      </c>
      <c r="AU306" s="146">
        <v>2.2599999999999998</v>
      </c>
      <c r="AV306" s="145">
        <v>4630</v>
      </c>
      <c r="AW306" s="145">
        <v>-17</v>
      </c>
      <c r="AY306" s="5">
        <v>284</v>
      </c>
      <c r="AZ306" s="413" t="s">
        <v>2636</v>
      </c>
      <c r="BA306" s="145">
        <v>715</v>
      </c>
      <c r="BB306" s="146">
        <v>2.57</v>
      </c>
      <c r="BC306" s="145">
        <v>4376</v>
      </c>
      <c r="BD306" s="145">
        <v>-16</v>
      </c>
      <c r="BF306" s="5">
        <v>284</v>
      </c>
      <c r="BG306" s="413" t="s">
        <v>718</v>
      </c>
      <c r="BH306" s="145"/>
      <c r="BI306" s="146"/>
      <c r="BJ306" s="145"/>
      <c r="BK306" s="145"/>
      <c r="BM306" s="5">
        <v>284</v>
      </c>
      <c r="BN306" s="413" t="s">
        <v>2637</v>
      </c>
      <c r="BO306" s="145">
        <v>376</v>
      </c>
      <c r="BP306" s="146">
        <v>3.14</v>
      </c>
      <c r="BQ306" s="145">
        <v>3608</v>
      </c>
      <c r="BR306" s="145">
        <v>-13</v>
      </c>
      <c r="BS306" s="5"/>
      <c r="BT306" s="5">
        <v>284</v>
      </c>
      <c r="BU306" s="413" t="s">
        <v>718</v>
      </c>
      <c r="BV306" s="145"/>
      <c r="BW306" s="146"/>
      <c r="BX306" s="145"/>
      <c r="BY306" s="145"/>
      <c r="BZ306" s="5"/>
      <c r="CA306" s="5">
        <v>284</v>
      </c>
      <c r="CB306" s="413" t="s">
        <v>718</v>
      </c>
      <c r="CC306" s="145"/>
      <c r="CD306" s="146"/>
      <c r="CE306" s="145"/>
      <c r="CF306" s="145"/>
      <c r="CG306" s="5"/>
      <c r="CH306" s="5"/>
      <c r="CI306" s="5"/>
    </row>
    <row r="307" spans="13:87" x14ac:dyDescent="0.2">
      <c r="M307" s="5">
        <v>285</v>
      </c>
      <c r="N307" s="413" t="str">
        <f t="shared" si="24"/>
        <v xml:space="preserve"> </v>
      </c>
      <c r="O307" s="414">
        <f t="shared" si="25"/>
        <v>0</v>
      </c>
      <c r="P307" s="414">
        <f t="shared" si="26"/>
        <v>0</v>
      </c>
      <c r="Q307" s="145">
        <f t="shared" si="29"/>
        <v>-8</v>
      </c>
      <c r="R307" s="414">
        <f t="shared" si="27"/>
        <v>0</v>
      </c>
      <c r="S307" s="414">
        <f t="shared" si="28"/>
        <v>0</v>
      </c>
      <c r="T307" s="19"/>
      <c r="U307" s="5"/>
      <c r="V307" s="5"/>
      <c r="W307" s="5">
        <v>285</v>
      </c>
      <c r="X307" s="144" t="s">
        <v>718</v>
      </c>
      <c r="Y307" s="145"/>
      <c r="Z307" s="146"/>
      <c r="AA307" s="145"/>
      <c r="AB307" s="145"/>
      <c r="AD307" s="5">
        <v>285</v>
      </c>
      <c r="AE307" s="413" t="s">
        <v>718</v>
      </c>
      <c r="AF307" s="145"/>
      <c r="AG307" s="146"/>
      <c r="AH307" s="145"/>
      <c r="AI307" s="145"/>
      <c r="AK307" s="5">
        <v>285</v>
      </c>
      <c r="AL307" s="413" t="s">
        <v>718</v>
      </c>
      <c r="AM307" s="145"/>
      <c r="AN307" s="146"/>
      <c r="AO307" s="145"/>
      <c r="AP307" s="145"/>
      <c r="AR307" s="5">
        <v>285</v>
      </c>
      <c r="AS307" s="413" t="s">
        <v>2638</v>
      </c>
      <c r="AT307" s="145">
        <v>770</v>
      </c>
      <c r="AU307" s="146">
        <v>2.72</v>
      </c>
      <c r="AV307" s="145">
        <v>4510</v>
      </c>
      <c r="AW307" s="145">
        <v>-15</v>
      </c>
      <c r="AY307" s="5">
        <v>285</v>
      </c>
      <c r="AZ307" s="413" t="s">
        <v>2639</v>
      </c>
      <c r="BA307" s="145">
        <v>685</v>
      </c>
      <c r="BB307" s="146">
        <v>2.48</v>
      </c>
      <c r="BC307" s="145">
        <v>4380</v>
      </c>
      <c r="BD307" s="145">
        <v>-15</v>
      </c>
      <c r="BF307" s="5">
        <v>285</v>
      </c>
      <c r="BG307" s="413" t="s">
        <v>718</v>
      </c>
      <c r="BH307" s="145"/>
      <c r="BI307" s="146"/>
      <c r="BJ307" s="145"/>
      <c r="BK307" s="145"/>
      <c r="BM307" s="5">
        <v>285</v>
      </c>
      <c r="BN307" s="413" t="s">
        <v>2640</v>
      </c>
      <c r="BO307" s="145">
        <v>845</v>
      </c>
      <c r="BP307" s="146">
        <v>2.5299999999999998</v>
      </c>
      <c r="BQ307" s="145">
        <v>4454</v>
      </c>
      <c r="BR307" s="145">
        <v>-16</v>
      </c>
      <c r="BS307" s="5"/>
      <c r="BT307" s="5">
        <v>285</v>
      </c>
      <c r="BU307" s="413" t="s">
        <v>718</v>
      </c>
      <c r="BV307" s="145"/>
      <c r="BW307" s="146"/>
      <c r="BX307" s="145"/>
      <c r="BY307" s="145"/>
      <c r="BZ307" s="5"/>
      <c r="CA307" s="5">
        <v>285</v>
      </c>
      <c r="CB307" s="413" t="s">
        <v>718</v>
      </c>
      <c r="CC307" s="145"/>
      <c r="CD307" s="146"/>
      <c r="CE307" s="145"/>
      <c r="CF307" s="145"/>
      <c r="CG307" s="5"/>
      <c r="CH307" s="5"/>
      <c r="CI307" s="5"/>
    </row>
    <row r="308" spans="13:87" x14ac:dyDescent="0.2">
      <c r="M308" s="5">
        <v>286</v>
      </c>
      <c r="N308" s="413" t="str">
        <f t="shared" si="24"/>
        <v xml:space="preserve"> </v>
      </c>
      <c r="O308" s="414">
        <f t="shared" si="25"/>
        <v>0</v>
      </c>
      <c r="P308" s="414">
        <f t="shared" si="26"/>
        <v>0</v>
      </c>
      <c r="Q308" s="145">
        <f t="shared" si="29"/>
        <v>-8</v>
      </c>
      <c r="R308" s="414">
        <f t="shared" si="27"/>
        <v>0</v>
      </c>
      <c r="S308" s="414">
        <f t="shared" si="28"/>
        <v>0</v>
      </c>
      <c r="T308" s="19"/>
      <c r="U308" s="5"/>
      <c r="V308" s="5"/>
      <c r="W308" s="5">
        <v>286</v>
      </c>
      <c r="X308" s="144" t="s">
        <v>718</v>
      </c>
      <c r="Y308" s="145"/>
      <c r="Z308" s="146"/>
      <c r="AA308" s="145"/>
      <c r="AB308" s="145"/>
      <c r="AD308" s="5">
        <v>286</v>
      </c>
      <c r="AE308" s="413" t="s">
        <v>718</v>
      </c>
      <c r="AF308" s="145"/>
      <c r="AG308" s="146"/>
      <c r="AH308" s="145"/>
      <c r="AI308" s="145"/>
      <c r="AK308" s="5">
        <v>286</v>
      </c>
      <c r="AL308" s="413" t="s">
        <v>718</v>
      </c>
      <c r="AM308" s="145"/>
      <c r="AN308" s="146"/>
      <c r="AO308" s="145"/>
      <c r="AP308" s="145"/>
      <c r="AR308" s="5">
        <v>286</v>
      </c>
      <c r="AS308" s="413" t="s">
        <v>2641</v>
      </c>
      <c r="AT308" s="145">
        <v>253</v>
      </c>
      <c r="AU308" s="146">
        <v>3.43</v>
      </c>
      <c r="AV308" s="145">
        <v>3480</v>
      </c>
      <c r="AW308" s="145">
        <v>-13</v>
      </c>
      <c r="AY308" s="5">
        <v>286</v>
      </c>
      <c r="AZ308" s="413" t="s">
        <v>2642</v>
      </c>
      <c r="BA308" s="145">
        <v>455</v>
      </c>
      <c r="BB308" s="146">
        <v>2.94</v>
      </c>
      <c r="BC308" s="145">
        <v>4008</v>
      </c>
      <c r="BD308" s="145">
        <v>-16</v>
      </c>
      <c r="BF308" s="5">
        <v>286</v>
      </c>
      <c r="BG308" s="413" t="s">
        <v>718</v>
      </c>
      <c r="BH308" s="145"/>
      <c r="BI308" s="146"/>
      <c r="BJ308" s="145"/>
      <c r="BK308" s="145"/>
      <c r="BM308" s="5">
        <v>286</v>
      </c>
      <c r="BN308" s="413" t="s">
        <v>2643</v>
      </c>
      <c r="BO308" s="145">
        <v>254</v>
      </c>
      <c r="BP308" s="146">
        <v>3.07</v>
      </c>
      <c r="BQ308" s="145">
        <v>3556</v>
      </c>
      <c r="BR308" s="145">
        <v>-13</v>
      </c>
      <c r="BS308" s="5"/>
      <c r="BT308" s="5">
        <v>286</v>
      </c>
      <c r="BU308" s="413" t="s">
        <v>718</v>
      </c>
      <c r="BV308" s="145"/>
      <c r="BW308" s="146"/>
      <c r="BX308" s="145"/>
      <c r="BY308" s="145"/>
      <c r="BZ308" s="5"/>
      <c r="CA308" s="5">
        <v>286</v>
      </c>
      <c r="CB308" s="413" t="s">
        <v>718</v>
      </c>
      <c r="CC308" s="145"/>
      <c r="CD308" s="146"/>
      <c r="CE308" s="145"/>
      <c r="CF308" s="145"/>
      <c r="CG308" s="5"/>
      <c r="CH308" s="5"/>
      <c r="CI308" s="5"/>
    </row>
    <row r="309" spans="13:87" x14ac:dyDescent="0.2">
      <c r="M309" s="5">
        <v>287</v>
      </c>
      <c r="N309" s="413" t="str">
        <f t="shared" si="24"/>
        <v xml:space="preserve"> </v>
      </c>
      <c r="O309" s="414">
        <f t="shared" si="25"/>
        <v>0</v>
      </c>
      <c r="P309" s="414">
        <f t="shared" si="26"/>
        <v>0</v>
      </c>
      <c r="Q309" s="145">
        <f t="shared" si="29"/>
        <v>-8</v>
      </c>
      <c r="R309" s="414">
        <f t="shared" si="27"/>
        <v>0</v>
      </c>
      <c r="S309" s="414">
        <f t="shared" si="28"/>
        <v>0</v>
      </c>
      <c r="T309" s="19"/>
      <c r="U309" s="5"/>
      <c r="V309" s="5"/>
      <c r="W309" s="5">
        <v>287</v>
      </c>
      <c r="X309" s="144" t="s">
        <v>718</v>
      </c>
      <c r="Y309" s="145"/>
      <c r="Z309" s="146"/>
      <c r="AA309" s="145"/>
      <c r="AB309" s="145"/>
      <c r="AD309" s="5">
        <v>287</v>
      </c>
      <c r="AE309" s="413" t="s">
        <v>718</v>
      </c>
      <c r="AF309" s="145"/>
      <c r="AG309" s="146"/>
      <c r="AH309" s="145"/>
      <c r="AI309" s="145"/>
      <c r="AK309" s="5">
        <v>287</v>
      </c>
      <c r="AL309" s="413" t="s">
        <v>718</v>
      </c>
      <c r="AM309" s="145"/>
      <c r="AN309" s="146"/>
      <c r="AO309" s="145"/>
      <c r="AP309" s="145"/>
      <c r="AR309" s="5">
        <v>287</v>
      </c>
      <c r="AS309" s="413" t="s">
        <v>2644</v>
      </c>
      <c r="AT309" s="145">
        <v>385</v>
      </c>
      <c r="AU309" s="146">
        <v>3.38</v>
      </c>
      <c r="AV309" s="145">
        <v>3889</v>
      </c>
      <c r="AW309" s="145">
        <v>-14</v>
      </c>
      <c r="AY309" s="5">
        <v>287</v>
      </c>
      <c r="AZ309" s="413" t="s">
        <v>2645</v>
      </c>
      <c r="BA309" s="145">
        <v>549</v>
      </c>
      <c r="BB309" s="146">
        <v>3.44</v>
      </c>
      <c r="BC309" s="145">
        <v>3942</v>
      </c>
      <c r="BD309" s="145">
        <v>-13</v>
      </c>
      <c r="BF309" s="5">
        <v>287</v>
      </c>
      <c r="BG309" s="413" t="s">
        <v>718</v>
      </c>
      <c r="BH309" s="145"/>
      <c r="BI309" s="146"/>
      <c r="BJ309" s="145"/>
      <c r="BK309" s="145"/>
      <c r="BM309" s="5">
        <v>287</v>
      </c>
      <c r="BN309" s="413" t="s">
        <v>2646</v>
      </c>
      <c r="BO309" s="145">
        <v>451</v>
      </c>
      <c r="BP309" s="146">
        <v>3.03</v>
      </c>
      <c r="BQ309" s="145">
        <v>3785</v>
      </c>
      <c r="BR309" s="145">
        <v>-13</v>
      </c>
      <c r="BS309" s="5"/>
      <c r="BT309" s="5">
        <v>287</v>
      </c>
      <c r="BU309" s="413" t="s">
        <v>718</v>
      </c>
      <c r="BV309" s="145"/>
      <c r="BW309" s="146"/>
      <c r="BX309" s="145"/>
      <c r="BY309" s="145"/>
      <c r="BZ309" s="5"/>
      <c r="CA309" s="5">
        <v>287</v>
      </c>
      <c r="CB309" s="413" t="s">
        <v>718</v>
      </c>
      <c r="CC309" s="145"/>
      <c r="CD309" s="146"/>
      <c r="CE309" s="145"/>
      <c r="CF309" s="145"/>
      <c r="CG309" s="5"/>
      <c r="CH309" s="5"/>
      <c r="CI309" s="5"/>
    </row>
    <row r="310" spans="13:87" x14ac:dyDescent="0.2">
      <c r="M310" s="5">
        <v>288</v>
      </c>
      <c r="N310" s="413" t="str">
        <f t="shared" si="24"/>
        <v xml:space="preserve"> </v>
      </c>
      <c r="O310" s="414">
        <f t="shared" si="25"/>
        <v>0</v>
      </c>
      <c r="P310" s="414">
        <f t="shared" si="26"/>
        <v>0</v>
      </c>
      <c r="Q310" s="145">
        <f t="shared" si="29"/>
        <v>-8</v>
      </c>
      <c r="R310" s="414">
        <f t="shared" si="27"/>
        <v>0</v>
      </c>
      <c r="S310" s="414">
        <f t="shared" si="28"/>
        <v>0</v>
      </c>
      <c r="T310" s="19"/>
      <c r="U310" s="5"/>
      <c r="V310" s="5"/>
      <c r="W310" s="5">
        <v>288</v>
      </c>
      <c r="X310" s="144" t="s">
        <v>718</v>
      </c>
      <c r="Y310" s="145"/>
      <c r="Z310" s="146"/>
      <c r="AA310" s="145"/>
      <c r="AB310" s="145"/>
      <c r="AD310" s="5">
        <v>288</v>
      </c>
      <c r="AE310" s="413" t="s">
        <v>718</v>
      </c>
      <c r="AF310" s="145"/>
      <c r="AG310" s="146"/>
      <c r="AH310" s="145"/>
      <c r="AI310" s="145"/>
      <c r="AK310" s="5">
        <v>288</v>
      </c>
      <c r="AL310" s="413" t="s">
        <v>718</v>
      </c>
      <c r="AM310" s="145"/>
      <c r="AN310" s="146"/>
      <c r="AO310" s="145"/>
      <c r="AP310" s="145"/>
      <c r="AR310" s="5">
        <v>288</v>
      </c>
      <c r="AS310" s="413" t="s">
        <v>2647</v>
      </c>
      <c r="AT310" s="145">
        <v>288</v>
      </c>
      <c r="AU310" s="146">
        <v>3.07</v>
      </c>
      <c r="AV310" s="145">
        <v>3758</v>
      </c>
      <c r="AW310" s="145">
        <v>-14</v>
      </c>
      <c r="AY310" s="5">
        <v>288</v>
      </c>
      <c r="AZ310" s="413" t="s">
        <v>2648</v>
      </c>
      <c r="BA310" s="145">
        <v>559</v>
      </c>
      <c r="BB310" s="146">
        <v>2.74</v>
      </c>
      <c r="BC310" s="145">
        <v>4143</v>
      </c>
      <c r="BD310" s="145">
        <v>-14</v>
      </c>
      <c r="BF310" s="5">
        <v>288</v>
      </c>
      <c r="BG310" s="413" t="s">
        <v>718</v>
      </c>
      <c r="BH310" s="145"/>
      <c r="BI310" s="146"/>
      <c r="BJ310" s="145"/>
      <c r="BK310" s="145"/>
      <c r="BM310" s="5">
        <v>288</v>
      </c>
      <c r="BN310" s="413" t="s">
        <v>2649</v>
      </c>
      <c r="BO310" s="145">
        <v>400</v>
      </c>
      <c r="BP310" s="146">
        <v>3</v>
      </c>
      <c r="BQ310" s="145">
        <v>3775</v>
      </c>
      <c r="BR310" s="145">
        <v>-14</v>
      </c>
      <c r="BS310" s="5"/>
      <c r="BT310" s="5">
        <v>288</v>
      </c>
      <c r="BU310" s="413" t="s">
        <v>718</v>
      </c>
      <c r="BV310" s="145"/>
      <c r="BW310" s="146"/>
      <c r="BX310" s="145"/>
      <c r="BY310" s="145"/>
      <c r="BZ310" s="5"/>
      <c r="CA310" s="5">
        <v>288</v>
      </c>
      <c r="CB310" s="413" t="s">
        <v>718</v>
      </c>
      <c r="CC310" s="145"/>
      <c r="CD310" s="146"/>
      <c r="CE310" s="145"/>
      <c r="CF310" s="145"/>
      <c r="CG310" s="5"/>
      <c r="CH310" s="5"/>
      <c r="CI310" s="5"/>
    </row>
    <row r="311" spans="13:87" x14ac:dyDescent="0.2">
      <c r="M311" s="5">
        <v>289</v>
      </c>
      <c r="N311" s="413" t="str">
        <f t="shared" si="24"/>
        <v xml:space="preserve"> </v>
      </c>
      <c r="O311" s="414">
        <f t="shared" si="25"/>
        <v>0</v>
      </c>
      <c r="P311" s="414">
        <f t="shared" si="26"/>
        <v>0</v>
      </c>
      <c r="Q311" s="145">
        <f t="shared" si="29"/>
        <v>-8</v>
      </c>
      <c r="R311" s="414">
        <f t="shared" si="27"/>
        <v>0</v>
      </c>
      <c r="S311" s="414">
        <f t="shared" si="28"/>
        <v>0</v>
      </c>
      <c r="T311" s="19"/>
      <c r="U311" s="5"/>
      <c r="V311" s="5"/>
      <c r="W311" s="5">
        <v>289</v>
      </c>
      <c r="X311" s="144" t="s">
        <v>718</v>
      </c>
      <c r="Y311" s="145"/>
      <c r="Z311" s="146"/>
      <c r="AA311" s="145"/>
      <c r="AB311" s="145"/>
      <c r="AD311" s="5">
        <v>289</v>
      </c>
      <c r="AE311" s="413" t="s">
        <v>718</v>
      </c>
      <c r="AF311" s="145"/>
      <c r="AG311" s="146"/>
      <c r="AH311" s="145"/>
      <c r="AI311" s="145"/>
      <c r="AK311" s="5">
        <v>289</v>
      </c>
      <c r="AL311" s="413" t="s">
        <v>718</v>
      </c>
      <c r="AM311" s="145"/>
      <c r="AN311" s="146"/>
      <c r="AO311" s="145"/>
      <c r="AP311" s="145"/>
      <c r="AR311" s="5">
        <v>289</v>
      </c>
      <c r="AS311" s="413" t="s">
        <v>2650</v>
      </c>
      <c r="AT311" s="145">
        <v>536</v>
      </c>
      <c r="AU311" s="146">
        <v>2.57</v>
      </c>
      <c r="AV311" s="145">
        <v>4393</v>
      </c>
      <c r="AW311" s="145">
        <v>-17</v>
      </c>
      <c r="AY311" s="5">
        <v>289</v>
      </c>
      <c r="AZ311" s="413" t="s">
        <v>410</v>
      </c>
      <c r="BA311" s="145">
        <v>230</v>
      </c>
      <c r="BB311" s="146">
        <v>3.43</v>
      </c>
      <c r="BC311" s="145">
        <v>3612</v>
      </c>
      <c r="BD311" s="145">
        <v>-13</v>
      </c>
      <c r="BF311" s="5">
        <v>289</v>
      </c>
      <c r="BG311" s="413" t="s">
        <v>718</v>
      </c>
      <c r="BH311" s="145"/>
      <c r="BI311" s="146"/>
      <c r="BJ311" s="145"/>
      <c r="BK311" s="145"/>
      <c r="BM311" s="5">
        <v>289</v>
      </c>
      <c r="BN311" s="413" t="s">
        <v>411</v>
      </c>
      <c r="BO311" s="145">
        <v>320</v>
      </c>
      <c r="BP311" s="146">
        <v>3.23</v>
      </c>
      <c r="BQ311" s="145">
        <v>3504</v>
      </c>
      <c r="BR311" s="145">
        <v>-13</v>
      </c>
      <c r="BS311" s="5"/>
      <c r="BT311" s="5">
        <v>289</v>
      </c>
      <c r="BU311" s="413" t="s">
        <v>718</v>
      </c>
      <c r="BV311" s="145"/>
      <c r="BW311" s="146"/>
      <c r="BX311" s="145"/>
      <c r="BY311" s="145"/>
      <c r="BZ311" s="5"/>
      <c r="CA311" s="5">
        <v>289</v>
      </c>
      <c r="CB311" s="413" t="s">
        <v>718</v>
      </c>
      <c r="CC311" s="145"/>
      <c r="CD311" s="146"/>
      <c r="CE311" s="145"/>
      <c r="CF311" s="145"/>
      <c r="CG311" s="5"/>
      <c r="CH311" s="5"/>
      <c r="CI311" s="5"/>
    </row>
    <row r="312" spans="13:87" x14ac:dyDescent="0.2">
      <c r="M312" s="5">
        <v>290</v>
      </c>
      <c r="N312" s="413" t="str">
        <f t="shared" si="24"/>
        <v xml:space="preserve"> </v>
      </c>
      <c r="O312" s="414">
        <f t="shared" si="25"/>
        <v>0</v>
      </c>
      <c r="P312" s="414">
        <f t="shared" si="26"/>
        <v>0</v>
      </c>
      <c r="Q312" s="145">
        <f t="shared" si="29"/>
        <v>-8</v>
      </c>
      <c r="R312" s="414">
        <f t="shared" si="27"/>
        <v>0</v>
      </c>
      <c r="S312" s="414">
        <f t="shared" si="28"/>
        <v>0</v>
      </c>
      <c r="T312" s="19"/>
      <c r="U312" s="5"/>
      <c r="V312" s="5"/>
      <c r="W312" s="5">
        <v>290</v>
      </c>
      <c r="X312" s="144" t="s">
        <v>718</v>
      </c>
      <c r="Y312" s="145"/>
      <c r="Z312" s="146"/>
      <c r="AA312" s="145"/>
      <c r="AB312" s="145"/>
      <c r="AD312" s="5">
        <v>290</v>
      </c>
      <c r="AE312" s="413" t="s">
        <v>718</v>
      </c>
      <c r="AF312" s="145"/>
      <c r="AG312" s="146"/>
      <c r="AH312" s="145"/>
      <c r="AI312" s="145"/>
      <c r="AK312" s="5">
        <v>290</v>
      </c>
      <c r="AL312" s="413" t="s">
        <v>718</v>
      </c>
      <c r="AM312" s="145"/>
      <c r="AN312" s="146"/>
      <c r="AO312" s="145"/>
      <c r="AP312" s="145"/>
      <c r="AR312" s="5">
        <v>290</v>
      </c>
      <c r="AS312" s="413" t="s">
        <v>412</v>
      </c>
      <c r="AT312" s="145">
        <v>540</v>
      </c>
      <c r="AU312" s="146">
        <v>3.28</v>
      </c>
      <c r="AV312" s="145">
        <v>4080</v>
      </c>
      <c r="AW312" s="145">
        <v>-15</v>
      </c>
      <c r="AY312" s="5">
        <v>290</v>
      </c>
      <c r="AZ312" s="413" t="s">
        <v>413</v>
      </c>
      <c r="BA312" s="145">
        <v>400</v>
      </c>
      <c r="BB312" s="146">
        <v>3.04</v>
      </c>
      <c r="BC312" s="145">
        <v>3798</v>
      </c>
      <c r="BD312" s="145">
        <v>-14</v>
      </c>
      <c r="BF312" s="5">
        <v>290</v>
      </c>
      <c r="BG312" s="413" t="s">
        <v>718</v>
      </c>
      <c r="BH312" s="145"/>
      <c r="BI312" s="146"/>
      <c r="BJ312" s="145"/>
      <c r="BK312" s="145"/>
      <c r="BM312" s="5">
        <v>290</v>
      </c>
      <c r="BN312" s="413" t="s">
        <v>414</v>
      </c>
      <c r="BO312" s="145">
        <v>642</v>
      </c>
      <c r="BP312" s="146">
        <v>2.93</v>
      </c>
      <c r="BQ312" s="145">
        <v>4131</v>
      </c>
      <c r="BR312" s="145">
        <v>-14</v>
      </c>
      <c r="BS312" s="5"/>
      <c r="BT312" s="5">
        <v>290</v>
      </c>
      <c r="BU312" s="413" t="s">
        <v>718</v>
      </c>
      <c r="BV312" s="145"/>
      <c r="BW312" s="146"/>
      <c r="BX312" s="145"/>
      <c r="BY312" s="145"/>
      <c r="BZ312" s="5"/>
      <c r="CA312" s="5">
        <v>290</v>
      </c>
      <c r="CB312" s="413" t="s">
        <v>718</v>
      </c>
      <c r="CC312" s="145"/>
      <c r="CD312" s="146"/>
      <c r="CE312" s="145"/>
      <c r="CF312" s="145"/>
      <c r="CG312" s="5"/>
      <c r="CH312" s="5"/>
      <c r="CI312" s="5"/>
    </row>
    <row r="313" spans="13:87" x14ac:dyDescent="0.2">
      <c r="M313" s="5">
        <v>291</v>
      </c>
      <c r="N313" s="413" t="str">
        <f t="shared" si="24"/>
        <v xml:space="preserve"> </v>
      </c>
      <c r="O313" s="414">
        <f t="shared" si="25"/>
        <v>0</v>
      </c>
      <c r="P313" s="414">
        <f t="shared" si="26"/>
        <v>0</v>
      </c>
      <c r="Q313" s="145">
        <f t="shared" si="29"/>
        <v>-8</v>
      </c>
      <c r="R313" s="414">
        <f t="shared" si="27"/>
        <v>0</v>
      </c>
      <c r="S313" s="414">
        <f t="shared" si="28"/>
        <v>0</v>
      </c>
      <c r="T313" s="19"/>
      <c r="U313" s="5"/>
      <c r="V313" s="5"/>
      <c r="W313" s="5">
        <v>291</v>
      </c>
      <c r="X313" s="144" t="s">
        <v>718</v>
      </c>
      <c r="Y313" s="145"/>
      <c r="Z313" s="146"/>
      <c r="AA313" s="145"/>
      <c r="AB313" s="145"/>
      <c r="AD313" s="5">
        <v>291</v>
      </c>
      <c r="AE313" s="413" t="s">
        <v>718</v>
      </c>
      <c r="AF313" s="145"/>
      <c r="AG313" s="146"/>
      <c r="AH313" s="145"/>
      <c r="AI313" s="145"/>
      <c r="AK313" s="5">
        <v>291</v>
      </c>
      <c r="AL313" s="413" t="s">
        <v>718</v>
      </c>
      <c r="AM313" s="145"/>
      <c r="AN313" s="146"/>
      <c r="AO313" s="145"/>
      <c r="AP313" s="145"/>
      <c r="AR313" s="5">
        <v>291</v>
      </c>
      <c r="AS313" s="413" t="s">
        <v>415</v>
      </c>
      <c r="AT313" s="145">
        <v>230</v>
      </c>
      <c r="AU313" s="146">
        <v>3.38</v>
      </c>
      <c r="AV313" s="145">
        <v>3706</v>
      </c>
      <c r="AW313" s="145">
        <v>-13</v>
      </c>
      <c r="AY313" s="5">
        <v>291</v>
      </c>
      <c r="AZ313" s="413" t="s">
        <v>416</v>
      </c>
      <c r="BA313" s="145">
        <v>242</v>
      </c>
      <c r="BB313" s="146">
        <v>3.08</v>
      </c>
      <c r="BC313" s="145">
        <v>3672</v>
      </c>
      <c r="BD313" s="145">
        <v>-14</v>
      </c>
      <c r="BF313" s="5">
        <v>291</v>
      </c>
      <c r="BG313" s="413" t="s">
        <v>718</v>
      </c>
      <c r="BH313" s="145"/>
      <c r="BI313" s="146"/>
      <c r="BJ313" s="145"/>
      <c r="BK313" s="145"/>
      <c r="BM313" s="5">
        <v>291</v>
      </c>
      <c r="BN313" s="413" t="s">
        <v>417</v>
      </c>
      <c r="BO313" s="145">
        <v>900</v>
      </c>
      <c r="BP313" s="146">
        <v>2.0499999999999998</v>
      </c>
      <c r="BQ313" s="145">
        <v>4900</v>
      </c>
      <c r="BR313" s="145">
        <v>-16</v>
      </c>
      <c r="BS313" s="5"/>
      <c r="BT313" s="5">
        <v>291</v>
      </c>
      <c r="BU313" s="413" t="s">
        <v>718</v>
      </c>
      <c r="BV313" s="145"/>
      <c r="BW313" s="146"/>
      <c r="BX313" s="145"/>
      <c r="BY313" s="145"/>
      <c r="BZ313" s="5"/>
      <c r="CA313" s="5">
        <v>291</v>
      </c>
      <c r="CB313" s="413" t="s">
        <v>718</v>
      </c>
      <c r="CC313" s="145"/>
      <c r="CD313" s="146"/>
      <c r="CE313" s="145"/>
      <c r="CF313" s="145"/>
      <c r="CG313" s="5"/>
      <c r="CH313" s="5"/>
      <c r="CI313" s="5"/>
    </row>
    <row r="314" spans="13:87" x14ac:dyDescent="0.2">
      <c r="M314" s="5">
        <v>292</v>
      </c>
      <c r="N314" s="413" t="str">
        <f t="shared" si="24"/>
        <v xml:space="preserve"> </v>
      </c>
      <c r="O314" s="414">
        <f t="shared" si="25"/>
        <v>0</v>
      </c>
      <c r="P314" s="414">
        <f t="shared" si="26"/>
        <v>0</v>
      </c>
      <c r="Q314" s="145">
        <f t="shared" si="29"/>
        <v>-8</v>
      </c>
      <c r="R314" s="414">
        <f t="shared" si="27"/>
        <v>0</v>
      </c>
      <c r="S314" s="414">
        <f t="shared" si="28"/>
        <v>0</v>
      </c>
      <c r="T314" s="19"/>
      <c r="U314" s="5"/>
      <c r="V314" s="5"/>
      <c r="W314" s="5">
        <v>292</v>
      </c>
      <c r="X314" s="144" t="s">
        <v>718</v>
      </c>
      <c r="Y314" s="145"/>
      <c r="Z314" s="146"/>
      <c r="AA314" s="145"/>
      <c r="AB314" s="145"/>
      <c r="AD314" s="5">
        <v>292</v>
      </c>
      <c r="AE314" s="413" t="s">
        <v>718</v>
      </c>
      <c r="AF314" s="145"/>
      <c r="AG314" s="146"/>
      <c r="AH314" s="145"/>
      <c r="AI314" s="145"/>
      <c r="AK314" s="5">
        <v>292</v>
      </c>
      <c r="AL314" s="413" t="s">
        <v>718</v>
      </c>
      <c r="AM314" s="145"/>
      <c r="AN314" s="146"/>
      <c r="AO314" s="145"/>
      <c r="AP314" s="145"/>
      <c r="AR314" s="5">
        <v>292</v>
      </c>
      <c r="AS314" s="413" t="s">
        <v>418</v>
      </c>
      <c r="AT314" s="145">
        <v>260</v>
      </c>
      <c r="AU314" s="146">
        <v>3.06</v>
      </c>
      <c r="AV314" s="145">
        <v>3675</v>
      </c>
      <c r="AW314" s="145">
        <v>-14</v>
      </c>
      <c r="AY314" s="5">
        <v>292</v>
      </c>
      <c r="AZ314" s="413" t="s">
        <v>419</v>
      </c>
      <c r="BA314" s="145">
        <v>543</v>
      </c>
      <c r="BB314" s="146">
        <v>2.79</v>
      </c>
      <c r="BC314" s="145">
        <v>4131</v>
      </c>
      <c r="BD314" s="145">
        <v>-16</v>
      </c>
      <c r="BF314" s="5">
        <v>292</v>
      </c>
      <c r="BG314" s="413" t="s">
        <v>718</v>
      </c>
      <c r="BH314" s="145"/>
      <c r="BI314" s="146"/>
      <c r="BJ314" s="145"/>
      <c r="BK314" s="145"/>
      <c r="BM314" s="5">
        <v>292</v>
      </c>
      <c r="BN314" s="413" t="s">
        <v>420</v>
      </c>
      <c r="BO314" s="145">
        <v>760</v>
      </c>
      <c r="BP314" s="146">
        <v>2.4900000000000002</v>
      </c>
      <c r="BQ314" s="145">
        <v>4394</v>
      </c>
      <c r="BR314" s="145">
        <v>-15</v>
      </c>
      <c r="BS314" s="5"/>
      <c r="BT314" s="5">
        <v>292</v>
      </c>
      <c r="BU314" s="413" t="s">
        <v>718</v>
      </c>
      <c r="BV314" s="145"/>
      <c r="BW314" s="146"/>
      <c r="BX314" s="145"/>
      <c r="BY314" s="145"/>
      <c r="BZ314" s="5"/>
      <c r="CA314" s="5">
        <v>292</v>
      </c>
      <c r="CB314" s="413" t="s">
        <v>718</v>
      </c>
      <c r="CC314" s="145"/>
      <c r="CD314" s="146"/>
      <c r="CE314" s="145"/>
      <c r="CF314" s="145"/>
      <c r="CG314" s="5"/>
      <c r="CH314" s="5"/>
      <c r="CI314" s="5"/>
    </row>
    <row r="315" spans="13:87" x14ac:dyDescent="0.2">
      <c r="M315" s="5">
        <v>293</v>
      </c>
      <c r="N315" s="413" t="str">
        <f t="shared" si="24"/>
        <v xml:space="preserve"> </v>
      </c>
      <c r="O315" s="414">
        <f t="shared" si="25"/>
        <v>0</v>
      </c>
      <c r="P315" s="414">
        <f t="shared" si="26"/>
        <v>0</v>
      </c>
      <c r="Q315" s="145">
        <f t="shared" si="29"/>
        <v>-8</v>
      </c>
      <c r="R315" s="414">
        <f t="shared" si="27"/>
        <v>0</v>
      </c>
      <c r="S315" s="414">
        <f t="shared" si="28"/>
        <v>0</v>
      </c>
      <c r="T315" s="19"/>
      <c r="U315" s="5"/>
      <c r="V315" s="5"/>
      <c r="W315" s="5">
        <v>293</v>
      </c>
      <c r="X315" s="144" t="s">
        <v>718</v>
      </c>
      <c r="Y315" s="145"/>
      <c r="Z315" s="146"/>
      <c r="AA315" s="145"/>
      <c r="AB315" s="145"/>
      <c r="AD315" s="5">
        <v>293</v>
      </c>
      <c r="AE315" s="413" t="s">
        <v>718</v>
      </c>
      <c r="AF315" s="145"/>
      <c r="AG315" s="146"/>
      <c r="AH315" s="145"/>
      <c r="AI315" s="145"/>
      <c r="AK315" s="5">
        <v>293</v>
      </c>
      <c r="AL315" s="413" t="s">
        <v>718</v>
      </c>
      <c r="AM315" s="145"/>
      <c r="AN315" s="146"/>
      <c r="AO315" s="145"/>
      <c r="AP315" s="145"/>
      <c r="AR315" s="5">
        <v>293</v>
      </c>
      <c r="AS315" s="413" t="s">
        <v>421</v>
      </c>
      <c r="AT315" s="145">
        <v>507</v>
      </c>
      <c r="AU315" s="146">
        <v>2.5299999999999998</v>
      </c>
      <c r="AV315" s="145">
        <v>4246</v>
      </c>
      <c r="AW315" s="145">
        <v>-16</v>
      </c>
      <c r="AY315" s="5">
        <v>293</v>
      </c>
      <c r="AZ315" s="413" t="s">
        <v>422</v>
      </c>
      <c r="BA315" s="145">
        <v>313</v>
      </c>
      <c r="BB315" s="146">
        <v>3.15</v>
      </c>
      <c r="BC315" s="145">
        <v>3791</v>
      </c>
      <c r="BD315" s="145">
        <v>-15</v>
      </c>
      <c r="BF315" s="5">
        <v>293</v>
      </c>
      <c r="BG315" s="413" t="s">
        <v>718</v>
      </c>
      <c r="BH315" s="145"/>
      <c r="BI315" s="146"/>
      <c r="BJ315" s="145"/>
      <c r="BK315" s="145"/>
      <c r="BM315" s="5">
        <v>293</v>
      </c>
      <c r="BN315" s="413" t="s">
        <v>423</v>
      </c>
      <c r="BO315" s="145">
        <v>705</v>
      </c>
      <c r="BP315" s="146">
        <v>2.44</v>
      </c>
      <c r="BQ315" s="145">
        <v>4354</v>
      </c>
      <c r="BR315" s="145">
        <v>-15</v>
      </c>
      <c r="BS315" s="5"/>
      <c r="BT315" s="5">
        <v>293</v>
      </c>
      <c r="BU315" s="413" t="s">
        <v>718</v>
      </c>
      <c r="BV315" s="145"/>
      <c r="BW315" s="146"/>
      <c r="BX315" s="145"/>
      <c r="BY315" s="145"/>
      <c r="BZ315" s="5"/>
      <c r="CA315" s="5">
        <v>293</v>
      </c>
      <c r="CB315" s="413" t="s">
        <v>718</v>
      </c>
      <c r="CC315" s="145"/>
      <c r="CD315" s="146"/>
      <c r="CE315" s="145"/>
      <c r="CF315" s="145"/>
      <c r="CG315" s="5"/>
      <c r="CH315" s="5"/>
      <c r="CI315" s="5"/>
    </row>
    <row r="316" spans="13:87" x14ac:dyDescent="0.2">
      <c r="M316" s="5">
        <v>294</v>
      </c>
      <c r="N316" s="413" t="str">
        <f t="shared" si="24"/>
        <v xml:space="preserve"> </v>
      </c>
      <c r="O316" s="414">
        <f t="shared" si="25"/>
        <v>0</v>
      </c>
      <c r="P316" s="414">
        <f t="shared" si="26"/>
        <v>0</v>
      </c>
      <c r="Q316" s="145">
        <f t="shared" si="29"/>
        <v>-8</v>
      </c>
      <c r="R316" s="414">
        <f t="shared" si="27"/>
        <v>0</v>
      </c>
      <c r="S316" s="414">
        <f t="shared" si="28"/>
        <v>0</v>
      </c>
      <c r="T316" s="19"/>
      <c r="U316" s="5"/>
      <c r="V316" s="5"/>
      <c r="W316" s="5">
        <v>294</v>
      </c>
      <c r="X316" s="144" t="s">
        <v>718</v>
      </c>
      <c r="Y316" s="145"/>
      <c r="Z316" s="146"/>
      <c r="AA316" s="145"/>
      <c r="AB316" s="145"/>
      <c r="AD316" s="5">
        <v>294</v>
      </c>
      <c r="AE316" s="413" t="s">
        <v>718</v>
      </c>
      <c r="AF316" s="145"/>
      <c r="AG316" s="146"/>
      <c r="AH316" s="145"/>
      <c r="AI316" s="145"/>
      <c r="AK316" s="5">
        <v>294</v>
      </c>
      <c r="AL316" s="413" t="s">
        <v>718</v>
      </c>
      <c r="AM316" s="145"/>
      <c r="AN316" s="146"/>
      <c r="AO316" s="145"/>
      <c r="AP316" s="145"/>
      <c r="AR316" s="5">
        <v>294</v>
      </c>
      <c r="AS316" s="413" t="s">
        <v>424</v>
      </c>
      <c r="AT316" s="145">
        <v>645</v>
      </c>
      <c r="AU316" s="146">
        <v>2.59</v>
      </c>
      <c r="AV316" s="145">
        <v>4509</v>
      </c>
      <c r="AW316" s="145">
        <v>-17</v>
      </c>
      <c r="AY316" s="5">
        <v>294</v>
      </c>
      <c r="AZ316" s="413" t="s">
        <v>425</v>
      </c>
      <c r="BA316" s="145">
        <v>488</v>
      </c>
      <c r="BB316" s="146">
        <v>3.09</v>
      </c>
      <c r="BC316" s="145">
        <v>4127</v>
      </c>
      <c r="BD316" s="145">
        <v>-15</v>
      </c>
      <c r="BF316" s="5">
        <v>294</v>
      </c>
      <c r="BG316" s="413" t="s">
        <v>718</v>
      </c>
      <c r="BH316" s="145"/>
      <c r="BI316" s="146"/>
      <c r="BJ316" s="145"/>
      <c r="BK316" s="145"/>
      <c r="BM316" s="5">
        <v>294</v>
      </c>
      <c r="BN316" s="413" t="s">
        <v>426</v>
      </c>
      <c r="BO316" s="145">
        <v>630</v>
      </c>
      <c r="BP316" s="146">
        <v>2.67</v>
      </c>
      <c r="BQ316" s="145">
        <v>4280</v>
      </c>
      <c r="BR316" s="145">
        <v>-15</v>
      </c>
      <c r="BS316" s="5"/>
      <c r="BT316" s="5">
        <v>294</v>
      </c>
      <c r="BU316" s="413" t="s">
        <v>718</v>
      </c>
      <c r="BV316" s="145"/>
      <c r="BW316" s="146"/>
      <c r="BX316" s="145"/>
      <c r="BY316" s="145"/>
      <c r="BZ316" s="5"/>
      <c r="CA316" s="5">
        <v>294</v>
      </c>
      <c r="CB316" s="413" t="s">
        <v>718</v>
      </c>
      <c r="CC316" s="145"/>
      <c r="CD316" s="146"/>
      <c r="CE316" s="145"/>
      <c r="CF316" s="145"/>
      <c r="CG316" s="5"/>
      <c r="CH316" s="5"/>
      <c r="CI316" s="5"/>
    </row>
    <row r="317" spans="13:87" x14ac:dyDescent="0.2">
      <c r="M317" s="5">
        <v>295</v>
      </c>
      <c r="N317" s="413" t="str">
        <f t="shared" si="24"/>
        <v xml:space="preserve"> </v>
      </c>
      <c r="O317" s="414">
        <f t="shared" si="25"/>
        <v>0</v>
      </c>
      <c r="P317" s="414">
        <f t="shared" si="26"/>
        <v>0</v>
      </c>
      <c r="Q317" s="145">
        <f t="shared" si="29"/>
        <v>-8</v>
      </c>
      <c r="R317" s="414">
        <f t="shared" si="27"/>
        <v>0</v>
      </c>
      <c r="S317" s="414">
        <f t="shared" si="28"/>
        <v>0</v>
      </c>
      <c r="T317" s="19"/>
      <c r="U317" s="5"/>
      <c r="V317" s="5"/>
      <c r="W317" s="5">
        <v>295</v>
      </c>
      <c r="X317" s="144" t="s">
        <v>718</v>
      </c>
      <c r="Y317" s="145"/>
      <c r="Z317" s="146"/>
      <c r="AA317" s="145"/>
      <c r="AB317" s="145"/>
      <c r="AD317" s="5">
        <v>295</v>
      </c>
      <c r="AE317" s="413" t="s">
        <v>718</v>
      </c>
      <c r="AF317" s="145"/>
      <c r="AG317" s="146"/>
      <c r="AH317" s="145"/>
      <c r="AI317" s="145"/>
      <c r="AK317" s="5">
        <v>295</v>
      </c>
      <c r="AL317" s="413" t="s">
        <v>718</v>
      </c>
      <c r="AM317" s="145"/>
      <c r="AN317" s="146"/>
      <c r="AO317" s="145"/>
      <c r="AP317" s="145"/>
      <c r="AR317" s="5">
        <v>295</v>
      </c>
      <c r="AS317" s="413" t="s">
        <v>427</v>
      </c>
      <c r="AT317" s="145">
        <v>217</v>
      </c>
      <c r="AU317" s="146">
        <v>3.2</v>
      </c>
      <c r="AV317" s="145">
        <v>3629</v>
      </c>
      <c r="AW317" s="145">
        <v>-14</v>
      </c>
      <c r="AY317" s="5">
        <v>295</v>
      </c>
      <c r="AZ317" s="413" t="s">
        <v>428</v>
      </c>
      <c r="BA317" s="145">
        <v>395</v>
      </c>
      <c r="BB317" s="146">
        <v>3</v>
      </c>
      <c r="BC317" s="145">
        <v>3944</v>
      </c>
      <c r="BD317" s="145">
        <v>-15</v>
      </c>
      <c r="BF317" s="5">
        <v>295</v>
      </c>
      <c r="BG317" s="413" t="s">
        <v>718</v>
      </c>
      <c r="BH317" s="145"/>
      <c r="BI317" s="146"/>
      <c r="BJ317" s="145"/>
      <c r="BK317" s="145"/>
      <c r="BM317" s="5">
        <v>295</v>
      </c>
      <c r="BN317" s="413" t="s">
        <v>429</v>
      </c>
      <c r="BO317" s="145">
        <v>262</v>
      </c>
      <c r="BP317" s="146">
        <v>3.2</v>
      </c>
      <c r="BQ317" s="145">
        <v>3529</v>
      </c>
      <c r="BR317" s="145">
        <v>-13</v>
      </c>
      <c r="BS317" s="5"/>
      <c r="BT317" s="5">
        <v>295</v>
      </c>
      <c r="BU317" s="413" t="s">
        <v>718</v>
      </c>
      <c r="BV317" s="145"/>
      <c r="BW317" s="146"/>
      <c r="BX317" s="145"/>
      <c r="BY317" s="145"/>
      <c r="BZ317" s="5"/>
      <c r="CA317" s="5">
        <v>295</v>
      </c>
      <c r="CB317" s="413" t="s">
        <v>718</v>
      </c>
      <c r="CC317" s="145"/>
      <c r="CD317" s="146"/>
      <c r="CE317" s="145"/>
      <c r="CF317" s="145"/>
      <c r="CG317" s="5"/>
      <c r="CH317" s="5"/>
      <c r="CI317" s="5"/>
    </row>
    <row r="318" spans="13:87" x14ac:dyDescent="0.2">
      <c r="M318" s="5">
        <v>296</v>
      </c>
      <c r="N318" s="413" t="str">
        <f t="shared" si="24"/>
        <v xml:space="preserve"> </v>
      </c>
      <c r="O318" s="414">
        <f t="shared" si="25"/>
        <v>0</v>
      </c>
      <c r="P318" s="414">
        <f t="shared" si="26"/>
        <v>0</v>
      </c>
      <c r="Q318" s="145">
        <f t="shared" si="29"/>
        <v>-8</v>
      </c>
      <c r="R318" s="414">
        <f t="shared" si="27"/>
        <v>0</v>
      </c>
      <c r="S318" s="414">
        <f t="shared" si="28"/>
        <v>0</v>
      </c>
      <c r="T318" s="19"/>
      <c r="U318" s="5"/>
      <c r="V318" s="5"/>
      <c r="W318" s="5">
        <v>296</v>
      </c>
      <c r="X318" s="144" t="s">
        <v>718</v>
      </c>
      <c r="Y318" s="145"/>
      <c r="Z318" s="146"/>
      <c r="AA318" s="145"/>
      <c r="AB318" s="145"/>
      <c r="AD318" s="5">
        <v>296</v>
      </c>
      <c r="AE318" s="413" t="s">
        <v>718</v>
      </c>
      <c r="AF318" s="145"/>
      <c r="AG318" s="146"/>
      <c r="AH318" s="145"/>
      <c r="AI318" s="145"/>
      <c r="AK318" s="5">
        <v>296</v>
      </c>
      <c r="AL318" s="413" t="s">
        <v>718</v>
      </c>
      <c r="AM318" s="145"/>
      <c r="AN318" s="146"/>
      <c r="AO318" s="145"/>
      <c r="AP318" s="145"/>
      <c r="AR318" s="5">
        <v>296</v>
      </c>
      <c r="AS318" s="413" t="s">
        <v>430</v>
      </c>
      <c r="AT318" s="145">
        <v>340</v>
      </c>
      <c r="AU318" s="146">
        <v>2.91</v>
      </c>
      <c r="AV318" s="145">
        <v>3897</v>
      </c>
      <c r="AW318" s="145">
        <v>-14</v>
      </c>
      <c r="AY318" s="5">
        <v>296</v>
      </c>
      <c r="AZ318" s="413" t="s">
        <v>431</v>
      </c>
      <c r="BA318" s="145">
        <v>735</v>
      </c>
      <c r="BB318" s="146">
        <v>2.54</v>
      </c>
      <c r="BC318" s="145">
        <v>4400</v>
      </c>
      <c r="BD318" s="145">
        <v>-16</v>
      </c>
      <c r="BF318" s="5">
        <v>296</v>
      </c>
      <c r="BG318" s="413" t="s">
        <v>718</v>
      </c>
      <c r="BH318" s="145"/>
      <c r="BI318" s="146"/>
      <c r="BJ318" s="145"/>
      <c r="BK318" s="145"/>
      <c r="BM318" s="5">
        <v>296</v>
      </c>
      <c r="BN318" s="413" t="s">
        <v>326</v>
      </c>
      <c r="BO318" s="145">
        <v>623</v>
      </c>
      <c r="BP318" s="146">
        <v>2.83</v>
      </c>
      <c r="BQ318" s="145">
        <v>4138</v>
      </c>
      <c r="BR318" s="145">
        <v>-14</v>
      </c>
      <c r="BS318" s="5"/>
      <c r="BT318" s="5">
        <v>296</v>
      </c>
      <c r="BU318" s="413" t="s">
        <v>718</v>
      </c>
      <c r="BV318" s="145"/>
      <c r="BW318" s="146"/>
      <c r="BX318" s="145"/>
      <c r="BY318" s="145"/>
      <c r="BZ318" s="5"/>
      <c r="CA318" s="5">
        <v>296</v>
      </c>
      <c r="CB318" s="413" t="s">
        <v>718</v>
      </c>
      <c r="CC318" s="145"/>
      <c r="CD318" s="146"/>
      <c r="CE318" s="145"/>
      <c r="CF318" s="145"/>
      <c r="CG318" s="5"/>
      <c r="CH318" s="5"/>
      <c r="CI318" s="5"/>
    </row>
    <row r="319" spans="13:87" x14ac:dyDescent="0.2">
      <c r="M319" s="5">
        <v>297</v>
      </c>
      <c r="N319" s="413" t="str">
        <f t="shared" si="24"/>
        <v xml:space="preserve"> </v>
      </c>
      <c r="O319" s="414">
        <f t="shared" si="25"/>
        <v>0</v>
      </c>
      <c r="P319" s="414">
        <f t="shared" si="26"/>
        <v>0</v>
      </c>
      <c r="Q319" s="145">
        <f t="shared" si="29"/>
        <v>-8</v>
      </c>
      <c r="R319" s="414">
        <f t="shared" si="27"/>
        <v>0</v>
      </c>
      <c r="S319" s="414">
        <f t="shared" si="28"/>
        <v>0</v>
      </c>
      <c r="T319" s="19"/>
      <c r="U319" s="5"/>
      <c r="V319" s="5"/>
      <c r="W319" s="5">
        <v>297</v>
      </c>
      <c r="X319" s="144" t="s">
        <v>718</v>
      </c>
      <c r="Y319" s="145"/>
      <c r="Z319" s="146"/>
      <c r="AA319" s="145"/>
      <c r="AB319" s="145"/>
      <c r="AD319" s="5">
        <v>297</v>
      </c>
      <c r="AE319" s="413" t="s">
        <v>718</v>
      </c>
      <c r="AF319" s="145"/>
      <c r="AG319" s="146"/>
      <c r="AH319" s="145"/>
      <c r="AI319" s="145"/>
      <c r="AK319" s="5">
        <v>297</v>
      </c>
      <c r="AL319" s="413" t="s">
        <v>718</v>
      </c>
      <c r="AM319" s="145"/>
      <c r="AN319" s="146"/>
      <c r="AO319" s="145"/>
      <c r="AP319" s="145"/>
      <c r="AR319" s="5">
        <v>297</v>
      </c>
      <c r="AS319" s="413" t="s">
        <v>327</v>
      </c>
      <c r="AT319" s="145">
        <v>290</v>
      </c>
      <c r="AU319" s="146">
        <v>3.12</v>
      </c>
      <c r="AV319" s="145">
        <v>3866</v>
      </c>
      <c r="AW319" s="145">
        <v>-14</v>
      </c>
      <c r="AY319" s="5">
        <v>297</v>
      </c>
      <c r="AZ319" s="413" t="s">
        <v>328</v>
      </c>
      <c r="BA319" s="145">
        <v>377</v>
      </c>
      <c r="BB319" s="146">
        <v>3.14</v>
      </c>
      <c r="BC319" s="145">
        <v>3794</v>
      </c>
      <c r="BD319" s="145">
        <v>-14</v>
      </c>
      <c r="BF319" s="5">
        <v>297</v>
      </c>
      <c r="BG319" s="413" t="s">
        <v>718</v>
      </c>
      <c r="BH319" s="145"/>
      <c r="BI319" s="146"/>
      <c r="BJ319" s="145"/>
      <c r="BK319" s="145"/>
      <c r="BM319" s="5">
        <v>297</v>
      </c>
      <c r="BN319" s="413" t="s">
        <v>329</v>
      </c>
      <c r="BO319" s="145">
        <v>356</v>
      </c>
      <c r="BP319" s="146">
        <v>2.76</v>
      </c>
      <c r="BQ319" s="145">
        <v>3740</v>
      </c>
      <c r="BR319" s="145">
        <v>-14</v>
      </c>
      <c r="BS319" s="5"/>
      <c r="BT319" s="5">
        <v>297</v>
      </c>
      <c r="BU319" s="413" t="s">
        <v>718</v>
      </c>
      <c r="BV319" s="145"/>
      <c r="BW319" s="146"/>
      <c r="BX319" s="145"/>
      <c r="BY319" s="145"/>
      <c r="BZ319" s="5"/>
      <c r="CA319" s="5">
        <v>297</v>
      </c>
      <c r="CB319" s="413" t="s">
        <v>718</v>
      </c>
      <c r="CC319" s="145"/>
      <c r="CD319" s="146"/>
      <c r="CE319" s="145"/>
      <c r="CF319" s="145"/>
      <c r="CG319" s="5"/>
      <c r="CH319" s="5"/>
      <c r="CI319" s="5"/>
    </row>
    <row r="320" spans="13:87" x14ac:dyDescent="0.2">
      <c r="M320" s="5">
        <v>298</v>
      </c>
      <c r="N320" s="413" t="str">
        <f t="shared" si="24"/>
        <v xml:space="preserve"> </v>
      </c>
      <c r="O320" s="414">
        <f t="shared" si="25"/>
        <v>0</v>
      </c>
      <c r="P320" s="414">
        <f t="shared" si="26"/>
        <v>0</v>
      </c>
      <c r="Q320" s="145">
        <f t="shared" si="29"/>
        <v>-8</v>
      </c>
      <c r="R320" s="414">
        <f t="shared" si="27"/>
        <v>0</v>
      </c>
      <c r="S320" s="414">
        <f t="shared" si="28"/>
        <v>0</v>
      </c>
      <c r="T320" s="19"/>
      <c r="U320" s="5"/>
      <c r="V320" s="5"/>
      <c r="W320" s="5">
        <v>298</v>
      </c>
      <c r="X320" s="144" t="s">
        <v>718</v>
      </c>
      <c r="Y320" s="145"/>
      <c r="Z320" s="146"/>
      <c r="AA320" s="145"/>
      <c r="AB320" s="145"/>
      <c r="AD320" s="5">
        <v>298</v>
      </c>
      <c r="AE320" s="413" t="s">
        <v>718</v>
      </c>
      <c r="AF320" s="145"/>
      <c r="AG320" s="146"/>
      <c r="AH320" s="145"/>
      <c r="AI320" s="145"/>
      <c r="AK320" s="5">
        <v>298</v>
      </c>
      <c r="AL320" s="413" t="s">
        <v>718</v>
      </c>
      <c r="AM320" s="145"/>
      <c r="AN320" s="146"/>
      <c r="AO320" s="145"/>
      <c r="AP320" s="145"/>
      <c r="AR320" s="5">
        <v>298</v>
      </c>
      <c r="AS320" s="413" t="s">
        <v>280</v>
      </c>
      <c r="AT320" s="145">
        <v>200</v>
      </c>
      <c r="AU320" s="146">
        <v>3.43</v>
      </c>
      <c r="AV320" s="145">
        <v>3479</v>
      </c>
      <c r="AW320" s="145">
        <v>-13</v>
      </c>
      <c r="AY320" s="5">
        <v>298</v>
      </c>
      <c r="AZ320" s="413" t="s">
        <v>281</v>
      </c>
      <c r="BA320" s="145">
        <v>460</v>
      </c>
      <c r="BB320" s="146">
        <v>3.06</v>
      </c>
      <c r="BC320" s="145">
        <v>3948</v>
      </c>
      <c r="BD320" s="145">
        <v>-14</v>
      </c>
      <c r="BF320" s="5">
        <v>298</v>
      </c>
      <c r="BG320" s="413" t="s">
        <v>718</v>
      </c>
      <c r="BH320" s="145"/>
      <c r="BI320" s="146"/>
      <c r="BJ320" s="145"/>
      <c r="BK320" s="145"/>
      <c r="BM320" s="5">
        <v>298</v>
      </c>
      <c r="BN320" s="413" t="s">
        <v>2829</v>
      </c>
      <c r="BO320" s="145">
        <v>780</v>
      </c>
      <c r="BP320" s="146">
        <v>2.64</v>
      </c>
      <c r="BQ320" s="145">
        <v>4497</v>
      </c>
      <c r="BR320" s="145">
        <v>-15</v>
      </c>
      <c r="BS320" s="5"/>
      <c r="BT320" s="5">
        <v>298</v>
      </c>
      <c r="BU320" s="413" t="s">
        <v>718</v>
      </c>
      <c r="BV320" s="145"/>
      <c r="BW320" s="146"/>
      <c r="BX320" s="145"/>
      <c r="BY320" s="145"/>
      <c r="BZ320" s="5"/>
      <c r="CA320" s="5">
        <v>298</v>
      </c>
      <c r="CB320" s="413" t="s">
        <v>718</v>
      </c>
      <c r="CC320" s="145"/>
      <c r="CD320" s="146"/>
      <c r="CE320" s="145"/>
      <c r="CF320" s="145"/>
      <c r="CG320" s="5"/>
      <c r="CH320" s="5"/>
      <c r="CI320" s="5"/>
    </row>
    <row r="321" spans="13:87" x14ac:dyDescent="0.2">
      <c r="M321" s="5">
        <v>299</v>
      </c>
      <c r="N321" s="413" t="str">
        <f t="shared" si="24"/>
        <v xml:space="preserve"> </v>
      </c>
      <c r="O321" s="414">
        <f t="shared" si="25"/>
        <v>0</v>
      </c>
      <c r="P321" s="414">
        <f t="shared" si="26"/>
        <v>0</v>
      </c>
      <c r="Q321" s="145">
        <f t="shared" si="29"/>
        <v>-8</v>
      </c>
      <c r="R321" s="414">
        <f t="shared" si="27"/>
        <v>0</v>
      </c>
      <c r="S321" s="414">
        <f t="shared" si="28"/>
        <v>0</v>
      </c>
      <c r="T321" s="19"/>
      <c r="U321" s="5"/>
      <c r="V321" s="5"/>
      <c r="W321" s="5">
        <v>299</v>
      </c>
      <c r="X321" s="144" t="s">
        <v>718</v>
      </c>
      <c r="Y321" s="145"/>
      <c r="Z321" s="146"/>
      <c r="AA321" s="145"/>
      <c r="AB321" s="145"/>
      <c r="AD321" s="5">
        <v>299</v>
      </c>
      <c r="AE321" s="413" t="s">
        <v>718</v>
      </c>
      <c r="AF321" s="145"/>
      <c r="AG321" s="146"/>
      <c r="AH321" s="145"/>
      <c r="AI321" s="145"/>
      <c r="AK321" s="5">
        <v>299</v>
      </c>
      <c r="AL321" s="413" t="s">
        <v>718</v>
      </c>
      <c r="AM321" s="145"/>
      <c r="AN321" s="146"/>
      <c r="AO321" s="145"/>
      <c r="AP321" s="145"/>
      <c r="AR321" s="5">
        <v>299</v>
      </c>
      <c r="AS321" s="413" t="s">
        <v>2830</v>
      </c>
      <c r="AT321" s="145">
        <v>157</v>
      </c>
      <c r="AU321" s="146">
        <v>3.53</v>
      </c>
      <c r="AV321" s="145">
        <v>3377</v>
      </c>
      <c r="AW321" s="145">
        <v>-13</v>
      </c>
      <c r="AY321" s="5">
        <v>299</v>
      </c>
      <c r="AZ321" s="413" t="s">
        <v>2831</v>
      </c>
      <c r="BA321" s="145">
        <v>550</v>
      </c>
      <c r="BB321" s="146">
        <v>2.87</v>
      </c>
      <c r="BC321" s="145">
        <v>4248</v>
      </c>
      <c r="BD321" s="145">
        <v>-17</v>
      </c>
      <c r="BF321" s="5">
        <v>299</v>
      </c>
      <c r="BG321" s="413" t="s">
        <v>718</v>
      </c>
      <c r="BH321" s="145"/>
      <c r="BI321" s="146"/>
      <c r="BJ321" s="145"/>
      <c r="BK321" s="145"/>
      <c r="BM321" s="5">
        <v>299</v>
      </c>
      <c r="BN321" s="413" t="s">
        <v>1118</v>
      </c>
      <c r="BO321" s="145">
        <v>642</v>
      </c>
      <c r="BP321" s="146">
        <v>2.73</v>
      </c>
      <c r="BQ321" s="145">
        <v>4215</v>
      </c>
      <c r="BR321" s="145">
        <v>-15</v>
      </c>
      <c r="BS321" s="5"/>
      <c r="BT321" s="5">
        <v>299</v>
      </c>
      <c r="BU321" s="413" t="s">
        <v>718</v>
      </c>
      <c r="BV321" s="145"/>
      <c r="BW321" s="146"/>
      <c r="BX321" s="145"/>
      <c r="BY321" s="145"/>
      <c r="BZ321" s="5"/>
      <c r="CA321" s="5">
        <v>299</v>
      </c>
      <c r="CB321" s="413" t="s">
        <v>718</v>
      </c>
      <c r="CC321" s="145"/>
      <c r="CD321" s="146"/>
      <c r="CE321" s="145"/>
      <c r="CF321" s="145"/>
      <c r="CG321" s="5"/>
      <c r="CH321" s="5"/>
      <c r="CI321" s="5"/>
    </row>
    <row r="322" spans="13:87" x14ac:dyDescent="0.2">
      <c r="M322" s="5">
        <v>300</v>
      </c>
      <c r="N322" s="413" t="str">
        <f t="shared" si="24"/>
        <v xml:space="preserve"> </v>
      </c>
      <c r="O322" s="414">
        <f t="shared" si="25"/>
        <v>0</v>
      </c>
      <c r="P322" s="414">
        <f t="shared" si="26"/>
        <v>0</v>
      </c>
      <c r="Q322" s="145">
        <f t="shared" si="29"/>
        <v>-8</v>
      </c>
      <c r="R322" s="414">
        <f t="shared" si="27"/>
        <v>0</v>
      </c>
      <c r="S322" s="414">
        <f t="shared" si="28"/>
        <v>0</v>
      </c>
      <c r="T322" s="19"/>
      <c r="U322" s="5"/>
      <c r="V322" s="5"/>
      <c r="W322" s="5">
        <v>300</v>
      </c>
      <c r="X322" s="144" t="s">
        <v>718</v>
      </c>
      <c r="Y322" s="145"/>
      <c r="Z322" s="146"/>
      <c r="AA322" s="145"/>
      <c r="AB322" s="145"/>
      <c r="AD322" s="5">
        <v>300</v>
      </c>
      <c r="AE322" s="413" t="s">
        <v>718</v>
      </c>
      <c r="AF322" s="145"/>
      <c r="AG322" s="146"/>
      <c r="AH322" s="145"/>
      <c r="AI322" s="145"/>
      <c r="AK322" s="5">
        <v>300</v>
      </c>
      <c r="AL322" s="413" t="s">
        <v>718</v>
      </c>
      <c r="AM322" s="145"/>
      <c r="AN322" s="146"/>
      <c r="AO322" s="145"/>
      <c r="AP322" s="145"/>
      <c r="AR322" s="5">
        <v>300</v>
      </c>
      <c r="AS322" s="413" t="s">
        <v>469</v>
      </c>
      <c r="AT322" s="145">
        <v>220</v>
      </c>
      <c r="AU322" s="146">
        <v>3.33</v>
      </c>
      <c r="AV322" s="145">
        <v>3685</v>
      </c>
      <c r="AW322" s="145">
        <v>-14</v>
      </c>
      <c r="AY322" s="5">
        <v>300</v>
      </c>
      <c r="AZ322" s="413" t="s">
        <v>470</v>
      </c>
      <c r="BA322" s="145">
        <v>643</v>
      </c>
      <c r="BB322" s="146">
        <v>2.54</v>
      </c>
      <c r="BC322" s="145">
        <v>4399</v>
      </c>
      <c r="BD322" s="145">
        <v>-16</v>
      </c>
      <c r="BF322" s="5">
        <v>300</v>
      </c>
      <c r="BG322" s="413" t="s">
        <v>718</v>
      </c>
      <c r="BH322" s="145"/>
      <c r="BI322" s="146"/>
      <c r="BJ322" s="145"/>
      <c r="BK322" s="145"/>
      <c r="BM322" s="5">
        <v>300</v>
      </c>
      <c r="BN322" s="413" t="s">
        <v>471</v>
      </c>
      <c r="BO322" s="145">
        <v>278</v>
      </c>
      <c r="BP322" s="146">
        <v>3.15</v>
      </c>
      <c r="BQ322" s="145">
        <v>3521</v>
      </c>
      <c r="BR322" s="145">
        <v>-13</v>
      </c>
      <c r="BS322" s="5"/>
      <c r="BT322" s="5">
        <v>300</v>
      </c>
      <c r="BU322" s="413" t="s">
        <v>718</v>
      </c>
      <c r="BV322" s="145"/>
      <c r="BW322" s="146"/>
      <c r="BX322" s="145"/>
      <c r="BY322" s="145"/>
      <c r="BZ322" s="5"/>
      <c r="CA322" s="5">
        <v>300</v>
      </c>
      <c r="CB322" s="413" t="s">
        <v>718</v>
      </c>
      <c r="CC322" s="145"/>
      <c r="CD322" s="146"/>
      <c r="CE322" s="145"/>
      <c r="CF322" s="145"/>
      <c r="CG322" s="5"/>
      <c r="CH322" s="5"/>
      <c r="CI322" s="5"/>
    </row>
    <row r="323" spans="13:87" x14ac:dyDescent="0.2">
      <c r="M323" s="5">
        <v>301</v>
      </c>
      <c r="N323" s="413" t="str">
        <f t="shared" si="24"/>
        <v xml:space="preserve"> </v>
      </c>
      <c r="O323" s="414">
        <f t="shared" si="25"/>
        <v>0</v>
      </c>
      <c r="P323" s="414">
        <f t="shared" si="26"/>
        <v>0</v>
      </c>
      <c r="Q323" s="145">
        <f t="shared" si="29"/>
        <v>-8</v>
      </c>
      <c r="R323" s="414">
        <f t="shared" si="27"/>
        <v>0</v>
      </c>
      <c r="S323" s="414">
        <f t="shared" si="28"/>
        <v>0</v>
      </c>
      <c r="T323" s="19"/>
      <c r="U323" s="5"/>
      <c r="V323" s="5"/>
      <c r="W323" s="5">
        <v>301</v>
      </c>
      <c r="X323" s="144" t="s">
        <v>718</v>
      </c>
      <c r="Y323" s="145"/>
      <c r="Z323" s="146"/>
      <c r="AA323" s="145"/>
      <c r="AB323" s="145"/>
      <c r="AD323" s="5">
        <v>301</v>
      </c>
      <c r="AE323" s="413" t="s">
        <v>718</v>
      </c>
      <c r="AF323" s="145"/>
      <c r="AG323" s="146"/>
      <c r="AH323" s="145"/>
      <c r="AI323" s="145"/>
      <c r="AK323" s="5">
        <v>301</v>
      </c>
      <c r="AL323" s="413" t="s">
        <v>718</v>
      </c>
      <c r="AM323" s="145"/>
      <c r="AN323" s="146"/>
      <c r="AO323" s="145"/>
      <c r="AP323" s="145"/>
      <c r="AR323" s="5">
        <v>301</v>
      </c>
      <c r="AS323" s="413" t="s">
        <v>472</v>
      </c>
      <c r="AT323" s="145">
        <v>147</v>
      </c>
      <c r="AU323" s="146">
        <v>3.3</v>
      </c>
      <c r="AV323" s="145">
        <v>3474</v>
      </c>
      <c r="AW323" s="145">
        <v>-14</v>
      </c>
      <c r="AY323" s="5">
        <v>301</v>
      </c>
      <c r="AZ323" s="413" t="s">
        <v>473</v>
      </c>
      <c r="BA323" s="145">
        <v>510</v>
      </c>
      <c r="BB323" s="146">
        <v>2.77</v>
      </c>
      <c r="BC323" s="145">
        <v>4222</v>
      </c>
      <c r="BD323" s="145">
        <v>-16</v>
      </c>
      <c r="BF323" s="5">
        <v>301</v>
      </c>
      <c r="BG323" s="413" t="s">
        <v>718</v>
      </c>
      <c r="BH323" s="145"/>
      <c r="BI323" s="146"/>
      <c r="BJ323" s="145"/>
      <c r="BK323" s="145"/>
      <c r="BM323" s="5">
        <v>301</v>
      </c>
      <c r="BN323" s="413" t="s">
        <v>474</v>
      </c>
      <c r="BO323" s="145">
        <v>740</v>
      </c>
      <c r="BP323" s="146">
        <v>2.5299999999999998</v>
      </c>
      <c r="BQ323" s="145">
        <v>4420</v>
      </c>
      <c r="BR323" s="145">
        <v>-15</v>
      </c>
      <c r="BS323" s="5"/>
      <c r="BT323" s="5">
        <v>301</v>
      </c>
      <c r="BU323" s="413" t="s">
        <v>718</v>
      </c>
      <c r="BV323" s="145"/>
      <c r="BW323" s="146"/>
      <c r="BX323" s="145"/>
      <c r="BY323" s="145"/>
      <c r="BZ323" s="5"/>
      <c r="CA323" s="5">
        <v>301</v>
      </c>
      <c r="CB323" s="413" t="s">
        <v>718</v>
      </c>
      <c r="CC323" s="145"/>
      <c r="CD323" s="146"/>
      <c r="CE323" s="145"/>
      <c r="CF323" s="145"/>
      <c r="CG323" s="5"/>
      <c r="CH323" s="5"/>
      <c r="CI323" s="5"/>
    </row>
    <row r="324" spans="13:87" x14ac:dyDescent="0.2">
      <c r="M324" s="5">
        <v>302</v>
      </c>
      <c r="N324" s="413" t="str">
        <f t="shared" si="24"/>
        <v xml:space="preserve"> </v>
      </c>
      <c r="O324" s="414">
        <f t="shared" si="25"/>
        <v>0</v>
      </c>
      <c r="P324" s="414">
        <f t="shared" si="26"/>
        <v>0</v>
      </c>
      <c r="Q324" s="145">
        <f t="shared" si="29"/>
        <v>-8</v>
      </c>
      <c r="R324" s="414">
        <f t="shared" si="27"/>
        <v>0</v>
      </c>
      <c r="S324" s="414">
        <f t="shared" si="28"/>
        <v>0</v>
      </c>
      <c r="T324" s="19"/>
      <c r="U324" s="5"/>
      <c r="V324" s="5"/>
      <c r="W324" s="5">
        <v>302</v>
      </c>
      <c r="X324" s="144" t="s">
        <v>718</v>
      </c>
      <c r="Y324" s="145"/>
      <c r="Z324" s="146"/>
      <c r="AA324" s="145"/>
      <c r="AB324" s="145"/>
      <c r="AD324" s="5">
        <v>302</v>
      </c>
      <c r="AE324" s="413" t="s">
        <v>718</v>
      </c>
      <c r="AF324" s="145"/>
      <c r="AG324" s="146"/>
      <c r="AH324" s="145"/>
      <c r="AI324" s="145"/>
      <c r="AK324" s="5">
        <v>302</v>
      </c>
      <c r="AL324" s="413" t="s">
        <v>718</v>
      </c>
      <c r="AM324" s="145"/>
      <c r="AN324" s="146"/>
      <c r="AO324" s="145"/>
      <c r="AP324" s="145"/>
      <c r="AR324" s="5">
        <v>302</v>
      </c>
      <c r="AS324" s="413" t="s">
        <v>475</v>
      </c>
      <c r="AT324" s="145">
        <v>143</v>
      </c>
      <c r="AU324" s="146">
        <v>3.3</v>
      </c>
      <c r="AV324" s="145">
        <v>3473</v>
      </c>
      <c r="AW324" s="145">
        <v>-14</v>
      </c>
      <c r="AY324" s="5">
        <v>302</v>
      </c>
      <c r="AZ324" s="413" t="s">
        <v>476</v>
      </c>
      <c r="BA324" s="145">
        <v>420</v>
      </c>
      <c r="BB324" s="146">
        <v>3.07</v>
      </c>
      <c r="BC324" s="145">
        <v>3910</v>
      </c>
      <c r="BD324" s="145">
        <v>-15</v>
      </c>
      <c r="BF324" s="5">
        <v>302</v>
      </c>
      <c r="BG324" s="413" t="s">
        <v>718</v>
      </c>
      <c r="BH324" s="145"/>
      <c r="BI324" s="146"/>
      <c r="BJ324" s="145"/>
      <c r="BK324" s="145"/>
      <c r="BM324" s="5">
        <v>302</v>
      </c>
      <c r="BN324" s="413" t="s">
        <v>477</v>
      </c>
      <c r="BO324" s="145">
        <v>708</v>
      </c>
      <c r="BP324" s="146">
        <v>2.57</v>
      </c>
      <c r="BQ324" s="145">
        <v>4341</v>
      </c>
      <c r="BR324" s="145">
        <v>-15</v>
      </c>
      <c r="BS324" s="5"/>
      <c r="BT324" s="5">
        <v>302</v>
      </c>
      <c r="BU324" s="413" t="s">
        <v>718</v>
      </c>
      <c r="BV324" s="145"/>
      <c r="BW324" s="146"/>
      <c r="BX324" s="145"/>
      <c r="BY324" s="145"/>
      <c r="BZ324" s="5"/>
      <c r="CA324" s="5">
        <v>302</v>
      </c>
      <c r="CB324" s="413" t="s">
        <v>718</v>
      </c>
      <c r="CC324" s="145"/>
      <c r="CD324" s="146"/>
      <c r="CE324" s="145"/>
      <c r="CF324" s="145"/>
      <c r="CG324" s="5"/>
      <c r="CH324" s="5"/>
      <c r="CI324" s="5"/>
    </row>
    <row r="325" spans="13:87" x14ac:dyDescent="0.2">
      <c r="M325" s="5">
        <v>303</v>
      </c>
      <c r="N325" s="413" t="str">
        <f t="shared" si="24"/>
        <v xml:space="preserve"> </v>
      </c>
      <c r="O325" s="414">
        <f t="shared" si="25"/>
        <v>0</v>
      </c>
      <c r="P325" s="414">
        <f t="shared" si="26"/>
        <v>0</v>
      </c>
      <c r="Q325" s="145">
        <f t="shared" si="29"/>
        <v>-8</v>
      </c>
      <c r="R325" s="414">
        <f t="shared" si="27"/>
        <v>0</v>
      </c>
      <c r="S325" s="414">
        <f t="shared" si="28"/>
        <v>0</v>
      </c>
      <c r="T325" s="19"/>
      <c r="U325" s="5"/>
      <c r="V325" s="5"/>
      <c r="W325" s="5">
        <v>303</v>
      </c>
      <c r="X325" s="144" t="s">
        <v>718</v>
      </c>
      <c r="Y325" s="145"/>
      <c r="Z325" s="146"/>
      <c r="AA325" s="145"/>
      <c r="AB325" s="145"/>
      <c r="AD325" s="5">
        <v>303</v>
      </c>
      <c r="AE325" s="413" t="s">
        <v>718</v>
      </c>
      <c r="AF325" s="145"/>
      <c r="AG325" s="146"/>
      <c r="AH325" s="145"/>
      <c r="AI325" s="145"/>
      <c r="AK325" s="5">
        <v>303</v>
      </c>
      <c r="AL325" s="413" t="s">
        <v>718</v>
      </c>
      <c r="AM325" s="145"/>
      <c r="AN325" s="146"/>
      <c r="AO325" s="145"/>
      <c r="AP325" s="145"/>
      <c r="AR325" s="5">
        <v>303</v>
      </c>
      <c r="AS325" s="413" t="s">
        <v>478</v>
      </c>
      <c r="AT325" s="145">
        <v>166</v>
      </c>
      <c r="AU325" s="146">
        <v>3.47</v>
      </c>
      <c r="AV325" s="145">
        <v>3406</v>
      </c>
      <c r="AW325" s="145">
        <v>-13</v>
      </c>
      <c r="AY325" s="5">
        <v>303</v>
      </c>
      <c r="AZ325" s="413" t="s">
        <v>479</v>
      </c>
      <c r="BA325" s="145">
        <v>389</v>
      </c>
      <c r="BB325" s="146">
        <v>3.09</v>
      </c>
      <c r="BC325" s="145">
        <v>3856</v>
      </c>
      <c r="BD325" s="145">
        <v>-15</v>
      </c>
      <c r="BF325" s="5">
        <v>303</v>
      </c>
      <c r="BG325" s="413" t="s">
        <v>718</v>
      </c>
      <c r="BH325" s="145"/>
      <c r="BI325" s="146"/>
      <c r="BJ325" s="145"/>
      <c r="BK325" s="145"/>
      <c r="BM325" s="5">
        <v>303</v>
      </c>
      <c r="BN325" s="413" t="s">
        <v>480</v>
      </c>
      <c r="BO325" s="145">
        <v>659</v>
      </c>
      <c r="BP325" s="146">
        <v>2.81</v>
      </c>
      <c r="BQ325" s="145">
        <v>4143</v>
      </c>
      <c r="BR325" s="145">
        <v>-14</v>
      </c>
      <c r="BS325" s="5"/>
      <c r="BT325" s="5">
        <v>303</v>
      </c>
      <c r="BU325" s="413" t="s">
        <v>718</v>
      </c>
      <c r="BV325" s="145"/>
      <c r="BW325" s="146"/>
      <c r="BX325" s="145"/>
      <c r="BY325" s="145"/>
      <c r="BZ325" s="5"/>
      <c r="CA325" s="5">
        <v>303</v>
      </c>
      <c r="CB325" s="413" t="s">
        <v>718</v>
      </c>
      <c r="CC325" s="145"/>
      <c r="CD325" s="146"/>
      <c r="CE325" s="145"/>
      <c r="CF325" s="145"/>
      <c r="CG325" s="5"/>
      <c r="CH325" s="5"/>
      <c r="CI325" s="5"/>
    </row>
    <row r="326" spans="13:87" x14ac:dyDescent="0.2">
      <c r="M326" s="5">
        <v>304</v>
      </c>
      <c r="N326" s="413" t="str">
        <f t="shared" si="24"/>
        <v xml:space="preserve"> </v>
      </c>
      <c r="O326" s="414">
        <f t="shared" si="25"/>
        <v>0</v>
      </c>
      <c r="P326" s="414">
        <f t="shared" si="26"/>
        <v>0</v>
      </c>
      <c r="Q326" s="145">
        <f t="shared" si="29"/>
        <v>-8</v>
      </c>
      <c r="R326" s="414">
        <f t="shared" si="27"/>
        <v>0</v>
      </c>
      <c r="S326" s="414">
        <f t="shared" si="28"/>
        <v>0</v>
      </c>
      <c r="T326" s="19"/>
      <c r="U326" s="5"/>
      <c r="V326" s="5"/>
      <c r="W326" s="5">
        <v>304</v>
      </c>
      <c r="X326" s="144" t="s">
        <v>718</v>
      </c>
      <c r="Y326" s="145"/>
      <c r="Z326" s="146"/>
      <c r="AA326" s="145"/>
      <c r="AB326" s="145"/>
      <c r="AD326" s="5">
        <v>304</v>
      </c>
      <c r="AE326" s="413" t="s">
        <v>718</v>
      </c>
      <c r="AF326" s="145"/>
      <c r="AG326" s="146"/>
      <c r="AH326" s="145"/>
      <c r="AI326" s="145"/>
      <c r="AK326" s="5">
        <v>304</v>
      </c>
      <c r="AL326" s="413" t="s">
        <v>718</v>
      </c>
      <c r="AM326" s="145"/>
      <c r="AN326" s="146"/>
      <c r="AO326" s="145"/>
      <c r="AP326" s="145"/>
      <c r="AR326" s="5">
        <v>304</v>
      </c>
      <c r="AS326" s="413" t="s">
        <v>481</v>
      </c>
      <c r="AT326" s="145">
        <v>167</v>
      </c>
      <c r="AU326" s="146">
        <v>3.36</v>
      </c>
      <c r="AV326" s="145">
        <v>3444</v>
      </c>
      <c r="AW326" s="145">
        <v>-14</v>
      </c>
      <c r="AY326" s="5">
        <v>304</v>
      </c>
      <c r="AZ326" s="413" t="s">
        <v>482</v>
      </c>
      <c r="BA326" s="145">
        <v>758</v>
      </c>
      <c r="BB326" s="146">
        <v>2.39</v>
      </c>
      <c r="BC326" s="145">
        <v>4509</v>
      </c>
      <c r="BD326" s="145">
        <v>-15</v>
      </c>
      <c r="BF326" s="5">
        <v>304</v>
      </c>
      <c r="BG326" s="413" t="s">
        <v>718</v>
      </c>
      <c r="BH326" s="145"/>
      <c r="BI326" s="146"/>
      <c r="BJ326" s="145"/>
      <c r="BK326" s="145"/>
      <c r="BM326" s="5">
        <v>304</v>
      </c>
      <c r="BN326" s="413" t="s">
        <v>483</v>
      </c>
      <c r="BO326" s="145">
        <v>775</v>
      </c>
      <c r="BP326" s="146">
        <v>2.56</v>
      </c>
      <c r="BQ326" s="145">
        <v>4569</v>
      </c>
      <c r="BR326" s="145">
        <v>-16</v>
      </c>
      <c r="BS326" s="5"/>
      <c r="BT326" s="5">
        <v>304</v>
      </c>
      <c r="BU326" s="413" t="s">
        <v>718</v>
      </c>
      <c r="BV326" s="145"/>
      <c r="BW326" s="146"/>
      <c r="BX326" s="145"/>
      <c r="BY326" s="145"/>
      <c r="BZ326" s="5"/>
      <c r="CA326" s="5">
        <v>304</v>
      </c>
      <c r="CB326" s="413" t="s">
        <v>718</v>
      </c>
      <c r="CC326" s="145"/>
      <c r="CD326" s="146"/>
      <c r="CE326" s="145"/>
      <c r="CF326" s="145"/>
      <c r="CG326" s="5"/>
      <c r="CH326" s="5"/>
      <c r="CI326" s="5"/>
    </row>
    <row r="327" spans="13:87" x14ac:dyDescent="0.2">
      <c r="M327" s="5">
        <v>305</v>
      </c>
      <c r="N327" s="413" t="str">
        <f t="shared" si="24"/>
        <v xml:space="preserve"> </v>
      </c>
      <c r="O327" s="414">
        <f t="shared" si="25"/>
        <v>0</v>
      </c>
      <c r="P327" s="414">
        <f t="shared" si="26"/>
        <v>0</v>
      </c>
      <c r="Q327" s="145">
        <f t="shared" si="29"/>
        <v>-8</v>
      </c>
      <c r="R327" s="414">
        <f t="shared" si="27"/>
        <v>0</v>
      </c>
      <c r="S327" s="414">
        <f t="shared" si="28"/>
        <v>0</v>
      </c>
      <c r="T327" s="19"/>
      <c r="U327" s="5"/>
      <c r="V327" s="5"/>
      <c r="W327" s="5">
        <v>305</v>
      </c>
      <c r="X327" s="144" t="s">
        <v>718</v>
      </c>
      <c r="Y327" s="145"/>
      <c r="Z327" s="146"/>
      <c r="AA327" s="145"/>
      <c r="AB327" s="145"/>
      <c r="AD327" s="5">
        <v>305</v>
      </c>
      <c r="AE327" s="413" t="s">
        <v>718</v>
      </c>
      <c r="AF327" s="145"/>
      <c r="AG327" s="146"/>
      <c r="AH327" s="145"/>
      <c r="AI327" s="145"/>
      <c r="AK327" s="5">
        <v>305</v>
      </c>
      <c r="AL327" s="413" t="s">
        <v>718</v>
      </c>
      <c r="AM327" s="145"/>
      <c r="AN327" s="146"/>
      <c r="AO327" s="145"/>
      <c r="AP327" s="145"/>
      <c r="AR327" s="5">
        <v>305</v>
      </c>
      <c r="AS327" s="413" t="s">
        <v>484</v>
      </c>
      <c r="AT327" s="145">
        <v>228</v>
      </c>
      <c r="AU327" s="146">
        <v>3.64</v>
      </c>
      <c r="AV327" s="145">
        <v>3402</v>
      </c>
      <c r="AW327" s="145">
        <v>-13</v>
      </c>
      <c r="AY327" s="5">
        <v>305</v>
      </c>
      <c r="AZ327" s="413" t="s">
        <v>485</v>
      </c>
      <c r="BA327" s="145">
        <v>268</v>
      </c>
      <c r="BB327" s="146">
        <v>3.34</v>
      </c>
      <c r="BC327" s="145">
        <v>3532</v>
      </c>
      <c r="BD327" s="145">
        <v>-13</v>
      </c>
      <c r="BF327" s="5">
        <v>305</v>
      </c>
      <c r="BG327" s="413" t="s">
        <v>718</v>
      </c>
      <c r="BH327" s="145"/>
      <c r="BI327" s="146"/>
      <c r="BJ327" s="145"/>
      <c r="BK327" s="145"/>
      <c r="BM327" s="5">
        <v>305</v>
      </c>
      <c r="BN327" s="413" t="s">
        <v>486</v>
      </c>
      <c r="BO327" s="145">
        <v>1269</v>
      </c>
      <c r="BP327" s="146">
        <v>1.87</v>
      </c>
      <c r="BQ327" s="145">
        <v>5476</v>
      </c>
      <c r="BR327" s="145">
        <v>-19</v>
      </c>
      <c r="BS327" s="5"/>
      <c r="BT327" s="5">
        <v>305</v>
      </c>
      <c r="BU327" s="413" t="s">
        <v>718</v>
      </c>
      <c r="BV327" s="145"/>
      <c r="BW327" s="146"/>
      <c r="BX327" s="145"/>
      <c r="BY327" s="145"/>
      <c r="BZ327" s="5"/>
      <c r="CA327" s="5">
        <v>305</v>
      </c>
      <c r="CB327" s="413" t="s">
        <v>718</v>
      </c>
      <c r="CC327" s="145"/>
      <c r="CD327" s="146"/>
      <c r="CE327" s="145"/>
      <c r="CF327" s="145"/>
      <c r="CG327" s="5"/>
      <c r="CH327" s="5"/>
      <c r="CI327" s="5"/>
    </row>
    <row r="328" spans="13:87" x14ac:dyDescent="0.2">
      <c r="M328" s="5">
        <v>306</v>
      </c>
      <c r="N328" s="413" t="str">
        <f t="shared" si="24"/>
        <v xml:space="preserve"> </v>
      </c>
      <c r="O328" s="414">
        <f t="shared" si="25"/>
        <v>0</v>
      </c>
      <c r="P328" s="414">
        <f t="shared" si="26"/>
        <v>0</v>
      </c>
      <c r="Q328" s="145">
        <f t="shared" si="29"/>
        <v>-8</v>
      </c>
      <c r="R328" s="414">
        <f t="shared" si="27"/>
        <v>0</v>
      </c>
      <c r="S328" s="414">
        <f t="shared" si="28"/>
        <v>0</v>
      </c>
      <c r="T328" s="19"/>
      <c r="U328" s="5"/>
      <c r="V328" s="5"/>
      <c r="W328" s="5">
        <v>306</v>
      </c>
      <c r="X328" s="144" t="s">
        <v>718</v>
      </c>
      <c r="Y328" s="145"/>
      <c r="Z328" s="146"/>
      <c r="AA328" s="145"/>
      <c r="AB328" s="145"/>
      <c r="AD328" s="5">
        <v>306</v>
      </c>
      <c r="AE328" s="413" t="s">
        <v>718</v>
      </c>
      <c r="AF328" s="145"/>
      <c r="AG328" s="146"/>
      <c r="AH328" s="145"/>
      <c r="AI328" s="145"/>
      <c r="AK328" s="5">
        <v>306</v>
      </c>
      <c r="AL328" s="413" t="s">
        <v>718</v>
      </c>
      <c r="AM328" s="145"/>
      <c r="AN328" s="146"/>
      <c r="AO328" s="145"/>
      <c r="AP328" s="145"/>
      <c r="AR328" s="5">
        <v>306</v>
      </c>
      <c r="AS328" s="413" t="s">
        <v>487</v>
      </c>
      <c r="AT328" s="145">
        <v>592</v>
      </c>
      <c r="AU328" s="146">
        <v>2.5099999999999998</v>
      </c>
      <c r="AV328" s="145">
        <v>4425</v>
      </c>
      <c r="AW328" s="145">
        <v>-16</v>
      </c>
      <c r="AY328" s="5">
        <v>306</v>
      </c>
      <c r="AZ328" s="413" t="s">
        <v>488</v>
      </c>
      <c r="BA328" s="145">
        <v>495</v>
      </c>
      <c r="BB328" s="146">
        <v>2.88</v>
      </c>
      <c r="BC328" s="145">
        <v>4178</v>
      </c>
      <c r="BD328" s="145">
        <v>-16</v>
      </c>
      <c r="BF328" s="5">
        <v>306</v>
      </c>
      <c r="BG328" s="413" t="s">
        <v>718</v>
      </c>
      <c r="BH328" s="145"/>
      <c r="BI328" s="146"/>
      <c r="BJ328" s="145"/>
      <c r="BK328" s="145"/>
      <c r="BM328" s="5">
        <v>306</v>
      </c>
      <c r="BN328" s="413" t="s">
        <v>489</v>
      </c>
      <c r="BO328" s="145">
        <v>716</v>
      </c>
      <c r="BP328" s="146">
        <v>2.85</v>
      </c>
      <c r="BQ328" s="145">
        <v>4202</v>
      </c>
      <c r="BR328" s="145">
        <v>-14</v>
      </c>
      <c r="BS328" s="5"/>
      <c r="BT328" s="5">
        <v>306</v>
      </c>
      <c r="BU328" s="413" t="s">
        <v>718</v>
      </c>
      <c r="BV328" s="145"/>
      <c r="BW328" s="146"/>
      <c r="BX328" s="145"/>
      <c r="BY328" s="145"/>
      <c r="BZ328" s="5"/>
      <c r="CA328" s="5">
        <v>306</v>
      </c>
      <c r="CB328" s="413" t="s">
        <v>718</v>
      </c>
      <c r="CC328" s="145"/>
      <c r="CD328" s="146"/>
      <c r="CE328" s="145"/>
      <c r="CF328" s="145"/>
      <c r="CG328" s="5"/>
      <c r="CH328" s="5"/>
      <c r="CI328" s="5"/>
    </row>
    <row r="329" spans="13:87" x14ac:dyDescent="0.2">
      <c r="M329" s="5">
        <v>307</v>
      </c>
      <c r="N329" s="413" t="str">
        <f t="shared" si="24"/>
        <v xml:space="preserve"> </v>
      </c>
      <c r="O329" s="414">
        <f t="shared" si="25"/>
        <v>0</v>
      </c>
      <c r="P329" s="414">
        <f t="shared" si="26"/>
        <v>0</v>
      </c>
      <c r="Q329" s="145">
        <f t="shared" si="29"/>
        <v>-8</v>
      </c>
      <c r="R329" s="414">
        <f t="shared" si="27"/>
        <v>0</v>
      </c>
      <c r="S329" s="414">
        <f t="shared" si="28"/>
        <v>0</v>
      </c>
      <c r="T329" s="19"/>
      <c r="U329" s="5"/>
      <c r="V329" s="5"/>
      <c r="W329" s="5">
        <v>307</v>
      </c>
      <c r="X329" s="144" t="s">
        <v>718</v>
      </c>
      <c r="Y329" s="145"/>
      <c r="Z329" s="146"/>
      <c r="AA329" s="145"/>
      <c r="AB329" s="145"/>
      <c r="AD329" s="5">
        <v>307</v>
      </c>
      <c r="AE329" s="413" t="s">
        <v>718</v>
      </c>
      <c r="AF329" s="145"/>
      <c r="AG329" s="146"/>
      <c r="AH329" s="145"/>
      <c r="AI329" s="145"/>
      <c r="AK329" s="5">
        <v>307</v>
      </c>
      <c r="AL329" s="413" t="s">
        <v>718</v>
      </c>
      <c r="AM329" s="145"/>
      <c r="AN329" s="146"/>
      <c r="AO329" s="145"/>
      <c r="AP329" s="145"/>
      <c r="AR329" s="5">
        <v>307</v>
      </c>
      <c r="AS329" s="413" t="s">
        <v>490</v>
      </c>
      <c r="AT329" s="145">
        <v>760</v>
      </c>
      <c r="AU329" s="146">
        <v>2.94</v>
      </c>
      <c r="AV329" s="145">
        <v>4334</v>
      </c>
      <c r="AW329" s="145">
        <v>-15</v>
      </c>
      <c r="AY329" s="5">
        <v>307</v>
      </c>
      <c r="AZ329" s="413" t="s">
        <v>491</v>
      </c>
      <c r="BA329" s="145">
        <v>367</v>
      </c>
      <c r="BB329" s="146">
        <v>3.2</v>
      </c>
      <c r="BC329" s="145">
        <v>3796</v>
      </c>
      <c r="BD329" s="145">
        <v>-14</v>
      </c>
      <c r="BF329" s="5">
        <v>307</v>
      </c>
      <c r="BG329" s="413" t="s">
        <v>718</v>
      </c>
      <c r="BH329" s="145"/>
      <c r="BI329" s="146"/>
      <c r="BJ329" s="145"/>
      <c r="BK329" s="145"/>
      <c r="BM329" s="5">
        <v>307</v>
      </c>
      <c r="BN329" s="413" t="s">
        <v>492</v>
      </c>
      <c r="BO329" s="145">
        <v>278</v>
      </c>
      <c r="BP329" s="146">
        <v>3.09</v>
      </c>
      <c r="BQ329" s="145">
        <v>3584</v>
      </c>
      <c r="BR329" s="145">
        <v>-13</v>
      </c>
      <c r="BS329" s="5"/>
      <c r="BT329" s="5">
        <v>307</v>
      </c>
      <c r="BU329" s="413" t="s">
        <v>718</v>
      </c>
      <c r="BV329" s="145"/>
      <c r="BW329" s="146"/>
      <c r="BX329" s="145"/>
      <c r="BY329" s="145"/>
      <c r="BZ329" s="5"/>
      <c r="CA329" s="5">
        <v>307</v>
      </c>
      <c r="CB329" s="413" t="s">
        <v>718</v>
      </c>
      <c r="CC329" s="145"/>
      <c r="CD329" s="146"/>
      <c r="CE329" s="145"/>
      <c r="CF329" s="145"/>
      <c r="CG329" s="5"/>
      <c r="CH329" s="5"/>
      <c r="CI329" s="5"/>
    </row>
    <row r="330" spans="13:87" x14ac:dyDescent="0.2">
      <c r="M330" s="5">
        <v>308</v>
      </c>
      <c r="N330" s="413" t="str">
        <f t="shared" si="24"/>
        <v xml:space="preserve"> </v>
      </c>
      <c r="O330" s="414">
        <f t="shared" si="25"/>
        <v>0</v>
      </c>
      <c r="P330" s="414">
        <f t="shared" si="26"/>
        <v>0</v>
      </c>
      <c r="Q330" s="145">
        <f t="shared" si="29"/>
        <v>-8</v>
      </c>
      <c r="R330" s="414">
        <f t="shared" si="27"/>
        <v>0</v>
      </c>
      <c r="S330" s="414">
        <f t="shared" si="28"/>
        <v>0</v>
      </c>
      <c r="T330" s="19"/>
      <c r="U330" s="5"/>
      <c r="V330" s="5"/>
      <c r="W330" s="5">
        <v>308</v>
      </c>
      <c r="X330" s="144" t="s">
        <v>718</v>
      </c>
      <c r="Y330" s="145"/>
      <c r="Z330" s="146"/>
      <c r="AA330" s="145"/>
      <c r="AB330" s="145"/>
      <c r="AD330" s="5">
        <v>308</v>
      </c>
      <c r="AE330" s="413" t="s">
        <v>718</v>
      </c>
      <c r="AF330" s="145"/>
      <c r="AG330" s="146"/>
      <c r="AH330" s="145"/>
      <c r="AI330" s="145"/>
      <c r="AK330" s="5">
        <v>308</v>
      </c>
      <c r="AL330" s="413" t="s">
        <v>718</v>
      </c>
      <c r="AM330" s="145"/>
      <c r="AN330" s="146"/>
      <c r="AO330" s="145"/>
      <c r="AP330" s="145"/>
      <c r="AR330" s="5">
        <v>308</v>
      </c>
      <c r="AS330" s="413" t="s">
        <v>493</v>
      </c>
      <c r="AT330" s="145">
        <v>440</v>
      </c>
      <c r="AU330" s="146">
        <v>2.82</v>
      </c>
      <c r="AV330" s="145">
        <v>4088</v>
      </c>
      <c r="AW330" s="145">
        <v>-15</v>
      </c>
      <c r="AY330" s="5">
        <v>308</v>
      </c>
      <c r="AZ330" s="413" t="s">
        <v>494</v>
      </c>
      <c r="BA330" s="145">
        <v>342</v>
      </c>
      <c r="BB330" s="146">
        <v>3.11</v>
      </c>
      <c r="BC330" s="145">
        <v>3833</v>
      </c>
      <c r="BD330" s="145">
        <v>-15</v>
      </c>
      <c r="BF330" s="5">
        <v>308</v>
      </c>
      <c r="BG330" s="413" t="s">
        <v>718</v>
      </c>
      <c r="BH330" s="145"/>
      <c r="BI330" s="146"/>
      <c r="BJ330" s="145"/>
      <c r="BK330" s="145"/>
      <c r="BM330" s="5">
        <v>308</v>
      </c>
      <c r="BN330" s="413" t="s">
        <v>495</v>
      </c>
      <c r="BO330" s="145">
        <v>340</v>
      </c>
      <c r="BP330" s="146">
        <v>2.71</v>
      </c>
      <c r="BQ330" s="145">
        <v>3769</v>
      </c>
      <c r="BR330" s="145">
        <v>-15</v>
      </c>
      <c r="BS330" s="5"/>
      <c r="BT330" s="5">
        <v>308</v>
      </c>
      <c r="BU330" s="413" t="s">
        <v>718</v>
      </c>
      <c r="BV330" s="145"/>
      <c r="BW330" s="146"/>
      <c r="BX330" s="145"/>
      <c r="BY330" s="145"/>
      <c r="BZ330" s="5"/>
      <c r="CA330" s="5">
        <v>308</v>
      </c>
      <c r="CB330" s="413" t="s">
        <v>718</v>
      </c>
      <c r="CC330" s="145"/>
      <c r="CD330" s="146"/>
      <c r="CE330" s="145"/>
      <c r="CF330" s="145"/>
      <c r="CG330" s="5"/>
      <c r="CH330" s="5"/>
      <c r="CI330" s="5"/>
    </row>
    <row r="331" spans="13:87" x14ac:dyDescent="0.2">
      <c r="M331" s="5">
        <v>309</v>
      </c>
      <c r="N331" s="413" t="str">
        <f t="shared" si="24"/>
        <v xml:space="preserve"> </v>
      </c>
      <c r="O331" s="414">
        <f t="shared" si="25"/>
        <v>0</v>
      </c>
      <c r="P331" s="414">
        <f t="shared" si="26"/>
        <v>0</v>
      </c>
      <c r="Q331" s="145">
        <f t="shared" si="29"/>
        <v>-8</v>
      </c>
      <c r="R331" s="414">
        <f t="shared" si="27"/>
        <v>0</v>
      </c>
      <c r="S331" s="414">
        <f t="shared" si="28"/>
        <v>0</v>
      </c>
      <c r="T331" s="19"/>
      <c r="U331" s="5"/>
      <c r="V331" s="5"/>
      <c r="W331" s="5">
        <v>309</v>
      </c>
      <c r="X331" s="144" t="s">
        <v>718</v>
      </c>
      <c r="Y331" s="145"/>
      <c r="Z331" s="146"/>
      <c r="AA331" s="145"/>
      <c r="AB331" s="145"/>
      <c r="AD331" s="5">
        <v>309</v>
      </c>
      <c r="AE331" s="413" t="s">
        <v>718</v>
      </c>
      <c r="AF331" s="145"/>
      <c r="AG331" s="146"/>
      <c r="AH331" s="145"/>
      <c r="AI331" s="145"/>
      <c r="AK331" s="5">
        <v>309</v>
      </c>
      <c r="AL331" s="413" t="s">
        <v>718</v>
      </c>
      <c r="AM331" s="145"/>
      <c r="AN331" s="146"/>
      <c r="AO331" s="145"/>
      <c r="AP331" s="145"/>
      <c r="AR331" s="5">
        <v>309</v>
      </c>
      <c r="AS331" s="413" t="s">
        <v>496</v>
      </c>
      <c r="AT331" s="145">
        <v>238</v>
      </c>
      <c r="AU331" s="146">
        <v>3.34</v>
      </c>
      <c r="AV331" s="145">
        <v>3615</v>
      </c>
      <c r="AW331" s="145">
        <v>-14</v>
      </c>
      <c r="AY331" s="5">
        <v>309</v>
      </c>
      <c r="AZ331" s="413" t="s">
        <v>2832</v>
      </c>
      <c r="BA331" s="145">
        <v>366</v>
      </c>
      <c r="BB331" s="146">
        <v>3.13</v>
      </c>
      <c r="BC331" s="145">
        <v>3745</v>
      </c>
      <c r="BD331" s="145">
        <v>-14</v>
      </c>
      <c r="BF331" s="5">
        <v>309</v>
      </c>
      <c r="BG331" s="413" t="s">
        <v>718</v>
      </c>
      <c r="BH331" s="145"/>
      <c r="BI331" s="146"/>
      <c r="BJ331" s="145"/>
      <c r="BK331" s="145"/>
      <c r="BM331" s="5">
        <v>309</v>
      </c>
      <c r="BN331" s="413" t="s">
        <v>2833</v>
      </c>
      <c r="BO331" s="145">
        <v>222</v>
      </c>
      <c r="BP331" s="146">
        <v>3.2</v>
      </c>
      <c r="BQ331" s="145">
        <v>3512</v>
      </c>
      <c r="BR331" s="145">
        <v>-13</v>
      </c>
      <c r="BS331" s="5"/>
      <c r="BT331" s="5">
        <v>309</v>
      </c>
      <c r="BU331" s="413" t="s">
        <v>718</v>
      </c>
      <c r="BV331" s="145"/>
      <c r="BW331" s="146"/>
      <c r="BX331" s="145"/>
      <c r="BY331" s="145"/>
      <c r="BZ331" s="5"/>
      <c r="CA331" s="5">
        <v>309</v>
      </c>
      <c r="CB331" s="413" t="s">
        <v>718</v>
      </c>
      <c r="CC331" s="145"/>
      <c r="CD331" s="146"/>
      <c r="CE331" s="145"/>
      <c r="CF331" s="145"/>
      <c r="CG331" s="5"/>
      <c r="CH331" s="5"/>
      <c r="CI331" s="5"/>
    </row>
    <row r="332" spans="13:87" x14ac:dyDescent="0.2">
      <c r="M332" s="5">
        <v>310</v>
      </c>
      <c r="N332" s="413" t="str">
        <f t="shared" si="24"/>
        <v xml:space="preserve"> </v>
      </c>
      <c r="O332" s="414">
        <f t="shared" si="25"/>
        <v>0</v>
      </c>
      <c r="P332" s="414">
        <f t="shared" si="26"/>
        <v>0</v>
      </c>
      <c r="Q332" s="145">
        <f t="shared" si="29"/>
        <v>-8</v>
      </c>
      <c r="R332" s="414">
        <f t="shared" si="27"/>
        <v>0</v>
      </c>
      <c r="S332" s="414">
        <f t="shared" si="28"/>
        <v>0</v>
      </c>
      <c r="T332" s="19"/>
      <c r="U332" s="5"/>
      <c r="V332" s="5"/>
      <c r="W332" s="5">
        <v>310</v>
      </c>
      <c r="X332" s="144" t="s">
        <v>718</v>
      </c>
      <c r="Y332" s="145"/>
      <c r="Z332" s="146"/>
      <c r="AA332" s="145"/>
      <c r="AB332" s="145"/>
      <c r="AD332" s="5">
        <v>310</v>
      </c>
      <c r="AE332" s="413" t="s">
        <v>718</v>
      </c>
      <c r="AF332" s="145"/>
      <c r="AG332" s="146"/>
      <c r="AH332" s="145"/>
      <c r="AI332" s="145"/>
      <c r="AK332" s="5">
        <v>310</v>
      </c>
      <c r="AL332" s="413" t="s">
        <v>718</v>
      </c>
      <c r="AM332" s="145"/>
      <c r="AN332" s="146"/>
      <c r="AO332" s="145"/>
      <c r="AP332" s="145"/>
      <c r="AR332" s="5">
        <v>310</v>
      </c>
      <c r="AS332" s="413" t="s">
        <v>2834</v>
      </c>
      <c r="AT332" s="145">
        <v>171</v>
      </c>
      <c r="AU332" s="146">
        <v>3.58</v>
      </c>
      <c r="AV332" s="145">
        <v>3350</v>
      </c>
      <c r="AW332" s="145">
        <v>-13</v>
      </c>
      <c r="AY332" s="5">
        <v>310</v>
      </c>
      <c r="AZ332" s="413" t="s">
        <v>2835</v>
      </c>
      <c r="BA332" s="145">
        <v>647</v>
      </c>
      <c r="BB332" s="146">
        <v>2.98</v>
      </c>
      <c r="BC332" s="145">
        <v>4188</v>
      </c>
      <c r="BD332" s="145">
        <v>-15</v>
      </c>
      <c r="BF332" s="5">
        <v>310</v>
      </c>
      <c r="BG332" s="413" t="s">
        <v>718</v>
      </c>
      <c r="BH332" s="145"/>
      <c r="BI332" s="146"/>
      <c r="BJ332" s="145"/>
      <c r="BK332" s="145"/>
      <c r="BM332" s="5">
        <v>310</v>
      </c>
      <c r="BN332" s="413" t="s">
        <v>2836</v>
      </c>
      <c r="BO332" s="145">
        <v>350</v>
      </c>
      <c r="BP332" s="146">
        <v>3.38</v>
      </c>
      <c r="BQ332" s="145">
        <v>3474</v>
      </c>
      <c r="BR332" s="145">
        <v>-12</v>
      </c>
      <c r="BS332" s="5"/>
      <c r="BT332" s="5">
        <v>310</v>
      </c>
      <c r="BU332" s="413" t="s">
        <v>718</v>
      </c>
      <c r="BV332" s="145"/>
      <c r="BW332" s="146"/>
      <c r="BX332" s="145"/>
      <c r="BY332" s="145"/>
      <c r="BZ332" s="5"/>
      <c r="CA332" s="5">
        <v>310</v>
      </c>
      <c r="CB332" s="413" t="s">
        <v>718</v>
      </c>
      <c r="CC332" s="145"/>
      <c r="CD332" s="146"/>
      <c r="CE332" s="145"/>
      <c r="CF332" s="145"/>
      <c r="CG332" s="5"/>
      <c r="CH332" s="5"/>
      <c r="CI332" s="5"/>
    </row>
    <row r="333" spans="13:87" x14ac:dyDescent="0.2">
      <c r="M333" s="5">
        <v>311</v>
      </c>
      <c r="N333" s="413" t="str">
        <f t="shared" si="24"/>
        <v xml:space="preserve"> </v>
      </c>
      <c r="O333" s="414">
        <f t="shared" si="25"/>
        <v>0</v>
      </c>
      <c r="P333" s="414">
        <f t="shared" si="26"/>
        <v>0</v>
      </c>
      <c r="Q333" s="145">
        <f t="shared" si="29"/>
        <v>-8</v>
      </c>
      <c r="R333" s="414">
        <f t="shared" si="27"/>
        <v>0</v>
      </c>
      <c r="S333" s="414">
        <f t="shared" si="28"/>
        <v>0</v>
      </c>
      <c r="T333" s="19"/>
      <c r="U333" s="5"/>
      <c r="V333" s="5"/>
      <c r="W333" s="5">
        <v>311</v>
      </c>
      <c r="X333" s="144" t="s">
        <v>718</v>
      </c>
      <c r="Y333" s="145"/>
      <c r="Z333" s="146"/>
      <c r="AA333" s="145"/>
      <c r="AB333" s="145"/>
      <c r="AD333" s="5">
        <v>311</v>
      </c>
      <c r="AE333" s="413" t="s">
        <v>718</v>
      </c>
      <c r="AF333" s="145"/>
      <c r="AG333" s="146"/>
      <c r="AH333" s="145"/>
      <c r="AI333" s="145"/>
      <c r="AK333" s="5">
        <v>311</v>
      </c>
      <c r="AL333" s="413" t="s">
        <v>718</v>
      </c>
      <c r="AM333" s="145"/>
      <c r="AN333" s="146"/>
      <c r="AO333" s="145"/>
      <c r="AP333" s="145"/>
      <c r="AR333" s="5">
        <v>311</v>
      </c>
      <c r="AS333" s="413" t="s">
        <v>2837</v>
      </c>
      <c r="AT333" s="145">
        <v>154</v>
      </c>
      <c r="AU333" s="146">
        <v>3.32</v>
      </c>
      <c r="AV333" s="145">
        <v>3503</v>
      </c>
      <c r="AW333" s="145">
        <v>-14</v>
      </c>
      <c r="AY333" s="5">
        <v>311</v>
      </c>
      <c r="AZ333" s="413" t="s">
        <v>2838</v>
      </c>
      <c r="BA333" s="145">
        <v>370</v>
      </c>
      <c r="BB333" s="146">
        <v>2.94</v>
      </c>
      <c r="BC333" s="145">
        <v>3923</v>
      </c>
      <c r="BD333" s="145">
        <v>-15</v>
      </c>
      <c r="BF333" s="5">
        <v>311</v>
      </c>
      <c r="BG333" s="413" t="s">
        <v>718</v>
      </c>
      <c r="BH333" s="145"/>
      <c r="BI333" s="146"/>
      <c r="BJ333" s="145"/>
      <c r="BK333" s="145"/>
      <c r="BM333" s="5">
        <v>311</v>
      </c>
      <c r="BN333" s="413" t="s">
        <v>2839</v>
      </c>
      <c r="BO333" s="145">
        <v>745</v>
      </c>
      <c r="BP333" s="146">
        <v>2.57</v>
      </c>
      <c r="BQ333" s="145">
        <v>4410</v>
      </c>
      <c r="BR333" s="145">
        <v>-15</v>
      </c>
      <c r="BS333" s="5"/>
      <c r="BT333" s="5">
        <v>311</v>
      </c>
      <c r="BU333" s="413" t="s">
        <v>718</v>
      </c>
      <c r="BV333" s="145"/>
      <c r="BW333" s="146"/>
      <c r="BX333" s="145"/>
      <c r="BY333" s="145"/>
      <c r="BZ333" s="5"/>
      <c r="CA333" s="5">
        <v>311</v>
      </c>
      <c r="CB333" s="413" t="s">
        <v>718</v>
      </c>
      <c r="CC333" s="145"/>
      <c r="CD333" s="146"/>
      <c r="CE333" s="145"/>
      <c r="CF333" s="145"/>
      <c r="CG333" s="5"/>
      <c r="CH333" s="5"/>
      <c r="CI333" s="5"/>
    </row>
    <row r="334" spans="13:87" x14ac:dyDescent="0.2">
      <c r="M334" s="5">
        <v>312</v>
      </c>
      <c r="N334" s="413" t="str">
        <f t="shared" si="24"/>
        <v xml:space="preserve"> </v>
      </c>
      <c r="O334" s="414">
        <f t="shared" si="25"/>
        <v>0</v>
      </c>
      <c r="P334" s="414">
        <f t="shared" si="26"/>
        <v>0</v>
      </c>
      <c r="Q334" s="145">
        <f t="shared" si="29"/>
        <v>-8</v>
      </c>
      <c r="R334" s="414">
        <f t="shared" si="27"/>
        <v>0</v>
      </c>
      <c r="S334" s="414">
        <f t="shared" si="28"/>
        <v>0</v>
      </c>
      <c r="T334" s="19"/>
      <c r="U334" s="5"/>
      <c r="V334" s="5"/>
      <c r="W334" s="5">
        <v>312</v>
      </c>
      <c r="X334" s="144" t="s">
        <v>718</v>
      </c>
      <c r="Y334" s="145"/>
      <c r="Z334" s="146"/>
      <c r="AA334" s="145"/>
      <c r="AB334" s="145"/>
      <c r="AD334" s="5">
        <v>312</v>
      </c>
      <c r="AE334" s="413" t="s">
        <v>718</v>
      </c>
      <c r="AF334" s="145"/>
      <c r="AG334" s="146"/>
      <c r="AH334" s="145"/>
      <c r="AI334" s="145"/>
      <c r="AK334" s="5">
        <v>312</v>
      </c>
      <c r="AL334" s="413" t="s">
        <v>718</v>
      </c>
      <c r="AM334" s="145"/>
      <c r="AN334" s="146"/>
      <c r="AO334" s="145"/>
      <c r="AP334" s="145"/>
      <c r="AR334" s="5">
        <v>312</v>
      </c>
      <c r="AS334" s="413" t="s">
        <v>2840</v>
      </c>
      <c r="AT334" s="145">
        <v>816</v>
      </c>
      <c r="AU334" s="146">
        <v>1.77</v>
      </c>
      <c r="AV334" s="145">
        <v>5069</v>
      </c>
      <c r="AW334" s="145">
        <v>-18</v>
      </c>
      <c r="AY334" s="5">
        <v>312</v>
      </c>
      <c r="AZ334" s="413" t="s">
        <v>126</v>
      </c>
      <c r="BA334" s="145">
        <v>515</v>
      </c>
      <c r="BB334" s="146">
        <v>2.68</v>
      </c>
      <c r="BC334" s="145">
        <v>4296</v>
      </c>
      <c r="BD334" s="145">
        <v>-14</v>
      </c>
      <c r="BF334" s="5">
        <v>312</v>
      </c>
      <c r="BG334" s="413" t="s">
        <v>718</v>
      </c>
      <c r="BH334" s="145"/>
      <c r="BI334" s="146"/>
      <c r="BJ334" s="145"/>
      <c r="BK334" s="145"/>
      <c r="BM334" s="5">
        <v>312</v>
      </c>
      <c r="BN334" s="413" t="s">
        <v>2841</v>
      </c>
      <c r="BO334" s="145">
        <v>394</v>
      </c>
      <c r="BP334" s="146">
        <v>2.89</v>
      </c>
      <c r="BQ334" s="145">
        <v>3935</v>
      </c>
      <c r="BR334" s="145">
        <v>-14</v>
      </c>
      <c r="BS334" s="5"/>
      <c r="BT334" s="5">
        <v>312</v>
      </c>
      <c r="BU334" s="413" t="s">
        <v>718</v>
      </c>
      <c r="BV334" s="145"/>
      <c r="BW334" s="146"/>
      <c r="BX334" s="145"/>
      <c r="BY334" s="145"/>
      <c r="BZ334" s="5"/>
      <c r="CA334" s="5">
        <v>312</v>
      </c>
      <c r="CB334" s="413" t="s">
        <v>718</v>
      </c>
      <c r="CC334" s="145"/>
      <c r="CD334" s="146"/>
      <c r="CE334" s="145"/>
      <c r="CF334" s="145"/>
      <c r="CG334" s="5"/>
      <c r="CH334" s="5"/>
      <c r="CI334" s="5"/>
    </row>
    <row r="335" spans="13:87" x14ac:dyDescent="0.2">
      <c r="M335" s="5">
        <v>313</v>
      </c>
      <c r="N335" s="413" t="str">
        <f t="shared" si="24"/>
        <v xml:space="preserve"> </v>
      </c>
      <c r="O335" s="414">
        <f t="shared" si="25"/>
        <v>0</v>
      </c>
      <c r="P335" s="414">
        <f t="shared" si="26"/>
        <v>0</v>
      </c>
      <c r="Q335" s="145">
        <f t="shared" si="29"/>
        <v>-8</v>
      </c>
      <c r="R335" s="414">
        <f t="shared" si="27"/>
        <v>0</v>
      </c>
      <c r="S335" s="414">
        <f t="shared" si="28"/>
        <v>0</v>
      </c>
      <c r="T335" s="19"/>
      <c r="U335" s="5"/>
      <c r="V335" s="5"/>
      <c r="W335" s="5">
        <v>313</v>
      </c>
      <c r="X335" s="144" t="s">
        <v>718</v>
      </c>
      <c r="Y335" s="145"/>
      <c r="Z335" s="146"/>
      <c r="AA335" s="145"/>
      <c r="AB335" s="145"/>
      <c r="AD335" s="5">
        <v>313</v>
      </c>
      <c r="AE335" s="413" t="s">
        <v>718</v>
      </c>
      <c r="AF335" s="145"/>
      <c r="AG335" s="146"/>
      <c r="AH335" s="145"/>
      <c r="AI335" s="145"/>
      <c r="AK335" s="5">
        <v>313</v>
      </c>
      <c r="AL335" s="413" t="s">
        <v>718</v>
      </c>
      <c r="AM335" s="145"/>
      <c r="AN335" s="146"/>
      <c r="AO335" s="145"/>
      <c r="AP335" s="145"/>
      <c r="AR335" s="5">
        <v>313</v>
      </c>
      <c r="AS335" s="413" t="s">
        <v>2842</v>
      </c>
      <c r="AT335" s="145">
        <v>180</v>
      </c>
      <c r="AU335" s="146">
        <v>3.32</v>
      </c>
      <c r="AV335" s="145">
        <v>3553</v>
      </c>
      <c r="AW335" s="145">
        <v>-14</v>
      </c>
      <c r="AY335" s="5">
        <v>313</v>
      </c>
      <c r="AZ335" s="413" t="s">
        <v>2843</v>
      </c>
      <c r="BA335" s="145">
        <v>510</v>
      </c>
      <c r="BB335" s="146">
        <v>3.14</v>
      </c>
      <c r="BC335" s="145">
        <v>4080</v>
      </c>
      <c r="BD335" s="145">
        <v>-14</v>
      </c>
      <c r="BF335" s="5">
        <v>313</v>
      </c>
      <c r="BG335" s="413" t="s">
        <v>718</v>
      </c>
      <c r="BH335" s="145"/>
      <c r="BI335" s="146"/>
      <c r="BJ335" s="145"/>
      <c r="BK335" s="145"/>
      <c r="BM335" s="5">
        <v>313</v>
      </c>
      <c r="BN335" s="413" t="s">
        <v>2844</v>
      </c>
      <c r="BO335" s="145">
        <v>660</v>
      </c>
      <c r="BP335" s="146">
        <v>2.94</v>
      </c>
      <c r="BQ335" s="145">
        <v>4077</v>
      </c>
      <c r="BR335" s="145">
        <v>-14</v>
      </c>
      <c r="BS335" s="5"/>
      <c r="BT335" s="5">
        <v>313</v>
      </c>
      <c r="BU335" s="413" t="s">
        <v>718</v>
      </c>
      <c r="BV335" s="145"/>
      <c r="BW335" s="146"/>
      <c r="BX335" s="145"/>
      <c r="BY335" s="145"/>
      <c r="BZ335" s="5"/>
      <c r="CA335" s="5">
        <v>313</v>
      </c>
      <c r="CB335" s="413" t="s">
        <v>718</v>
      </c>
      <c r="CC335" s="145"/>
      <c r="CD335" s="146"/>
      <c r="CE335" s="145"/>
      <c r="CF335" s="145"/>
      <c r="CG335" s="5"/>
      <c r="CH335" s="5"/>
      <c r="CI335" s="5"/>
    </row>
    <row r="336" spans="13:87" x14ac:dyDescent="0.2">
      <c r="M336" s="5">
        <v>314</v>
      </c>
      <c r="N336" s="413" t="str">
        <f t="shared" si="24"/>
        <v xml:space="preserve"> </v>
      </c>
      <c r="O336" s="414">
        <f t="shared" si="25"/>
        <v>0</v>
      </c>
      <c r="P336" s="414">
        <f t="shared" si="26"/>
        <v>0</v>
      </c>
      <c r="Q336" s="145">
        <f t="shared" si="29"/>
        <v>-8</v>
      </c>
      <c r="R336" s="414">
        <f t="shared" si="27"/>
        <v>0</v>
      </c>
      <c r="S336" s="414">
        <f t="shared" si="28"/>
        <v>0</v>
      </c>
      <c r="T336" s="19"/>
      <c r="U336" s="5"/>
      <c r="V336" s="5"/>
      <c r="W336" s="5">
        <v>314</v>
      </c>
      <c r="X336" s="144" t="s">
        <v>718</v>
      </c>
      <c r="Y336" s="145"/>
      <c r="Z336" s="146"/>
      <c r="AA336" s="145"/>
      <c r="AB336" s="145"/>
      <c r="AD336" s="5">
        <v>314</v>
      </c>
      <c r="AE336" s="413" t="s">
        <v>718</v>
      </c>
      <c r="AF336" s="145"/>
      <c r="AG336" s="146"/>
      <c r="AH336" s="145"/>
      <c r="AI336" s="145"/>
      <c r="AK336" s="5">
        <v>314</v>
      </c>
      <c r="AL336" s="413" t="s">
        <v>718</v>
      </c>
      <c r="AM336" s="145"/>
      <c r="AN336" s="146"/>
      <c r="AO336" s="145"/>
      <c r="AP336" s="145"/>
      <c r="AR336" s="5">
        <v>314</v>
      </c>
      <c r="AS336" s="413" t="s">
        <v>2845</v>
      </c>
      <c r="AT336" s="145">
        <v>237</v>
      </c>
      <c r="AU336" s="146">
        <v>3.28</v>
      </c>
      <c r="AV336" s="145">
        <v>3762</v>
      </c>
      <c r="AW336" s="145">
        <v>-14</v>
      </c>
      <c r="AY336" s="5">
        <v>314</v>
      </c>
      <c r="AZ336" s="413" t="s">
        <v>2846</v>
      </c>
      <c r="BA336" s="145">
        <v>547</v>
      </c>
      <c r="BB336" s="146">
        <v>2.94</v>
      </c>
      <c r="BC336" s="145">
        <v>4230</v>
      </c>
      <c r="BD336" s="145">
        <v>-15</v>
      </c>
      <c r="BF336" s="5">
        <v>314</v>
      </c>
      <c r="BG336" s="413" t="s">
        <v>718</v>
      </c>
      <c r="BH336" s="145"/>
      <c r="BI336" s="146"/>
      <c r="BJ336" s="145"/>
      <c r="BK336" s="145"/>
      <c r="BM336" s="5">
        <v>314</v>
      </c>
      <c r="BN336" s="413" t="s">
        <v>2847</v>
      </c>
      <c r="BO336" s="145">
        <v>825</v>
      </c>
      <c r="BP336" s="146">
        <v>2.57</v>
      </c>
      <c r="BQ336" s="145">
        <v>4567</v>
      </c>
      <c r="BR336" s="145">
        <v>-15</v>
      </c>
      <c r="BS336" s="5"/>
      <c r="BT336" s="5">
        <v>314</v>
      </c>
      <c r="BU336" s="413" t="s">
        <v>718</v>
      </c>
      <c r="BV336" s="145"/>
      <c r="BW336" s="146"/>
      <c r="BX336" s="145"/>
      <c r="BY336" s="145"/>
      <c r="BZ336" s="5"/>
      <c r="CA336" s="5">
        <v>314</v>
      </c>
      <c r="CB336" s="413" t="s">
        <v>718</v>
      </c>
      <c r="CC336" s="145"/>
      <c r="CD336" s="146"/>
      <c r="CE336" s="145"/>
      <c r="CF336" s="145"/>
      <c r="CG336" s="5"/>
      <c r="CH336" s="5"/>
      <c r="CI336" s="5"/>
    </row>
    <row r="337" spans="13:87" x14ac:dyDescent="0.2">
      <c r="M337" s="5">
        <v>315</v>
      </c>
      <c r="N337" s="413" t="str">
        <f t="shared" si="24"/>
        <v xml:space="preserve"> </v>
      </c>
      <c r="O337" s="414">
        <f t="shared" si="25"/>
        <v>0</v>
      </c>
      <c r="P337" s="414">
        <f t="shared" si="26"/>
        <v>0</v>
      </c>
      <c r="Q337" s="145">
        <f t="shared" si="29"/>
        <v>-8</v>
      </c>
      <c r="R337" s="414">
        <f t="shared" si="27"/>
        <v>0</v>
      </c>
      <c r="S337" s="414">
        <f t="shared" si="28"/>
        <v>0</v>
      </c>
      <c r="T337" s="19"/>
      <c r="U337" s="5"/>
      <c r="V337" s="5"/>
      <c r="W337" s="5">
        <v>315</v>
      </c>
      <c r="X337" s="144" t="s">
        <v>718</v>
      </c>
      <c r="Y337" s="145"/>
      <c r="Z337" s="146"/>
      <c r="AA337" s="145"/>
      <c r="AB337" s="145"/>
      <c r="AD337" s="5">
        <v>315</v>
      </c>
      <c r="AE337" s="413" t="s">
        <v>718</v>
      </c>
      <c r="AF337" s="145"/>
      <c r="AG337" s="146"/>
      <c r="AH337" s="145"/>
      <c r="AI337" s="145"/>
      <c r="AK337" s="5">
        <v>315</v>
      </c>
      <c r="AL337" s="413" t="s">
        <v>718</v>
      </c>
      <c r="AM337" s="145"/>
      <c r="AN337" s="146"/>
      <c r="AO337" s="145"/>
      <c r="AP337" s="145"/>
      <c r="AR337" s="5">
        <v>315</v>
      </c>
      <c r="AS337" s="413" t="s">
        <v>2848</v>
      </c>
      <c r="AT337" s="145">
        <v>280</v>
      </c>
      <c r="AU337" s="146">
        <v>3.26</v>
      </c>
      <c r="AV337" s="145">
        <v>3667</v>
      </c>
      <c r="AW337" s="145">
        <v>-14</v>
      </c>
      <c r="AY337" s="5">
        <v>315</v>
      </c>
      <c r="AZ337" s="413" t="s">
        <v>2849</v>
      </c>
      <c r="BA337" s="145">
        <v>381</v>
      </c>
      <c r="BB337" s="146">
        <v>3.11</v>
      </c>
      <c r="BC337" s="145">
        <v>3867</v>
      </c>
      <c r="BD337" s="145">
        <v>-14</v>
      </c>
      <c r="BF337" s="5">
        <v>315</v>
      </c>
      <c r="BG337" s="413" t="s">
        <v>718</v>
      </c>
      <c r="BH337" s="145"/>
      <c r="BI337" s="146"/>
      <c r="BJ337" s="145"/>
      <c r="BK337" s="145"/>
      <c r="BM337" s="5">
        <v>315</v>
      </c>
      <c r="BN337" s="413" t="s">
        <v>2850</v>
      </c>
      <c r="BO337" s="145">
        <v>267</v>
      </c>
      <c r="BP337" s="146">
        <v>3.01</v>
      </c>
      <c r="BQ337" s="145">
        <v>3568</v>
      </c>
      <c r="BR337" s="145">
        <v>-14</v>
      </c>
      <c r="BS337" s="5"/>
      <c r="BT337" s="5">
        <v>315</v>
      </c>
      <c r="BU337" s="413" t="s">
        <v>718</v>
      </c>
      <c r="BV337" s="145"/>
      <c r="BW337" s="146"/>
      <c r="BX337" s="145"/>
      <c r="BY337" s="145"/>
      <c r="BZ337" s="5"/>
      <c r="CA337" s="5">
        <v>315</v>
      </c>
      <c r="CB337" s="413" t="s">
        <v>718</v>
      </c>
      <c r="CC337" s="145"/>
      <c r="CD337" s="146"/>
      <c r="CE337" s="145"/>
      <c r="CF337" s="145"/>
      <c r="CG337" s="5"/>
      <c r="CH337" s="5"/>
      <c r="CI337" s="5"/>
    </row>
    <row r="338" spans="13:87" x14ac:dyDescent="0.2">
      <c r="M338" s="5">
        <v>316</v>
      </c>
      <c r="N338" s="413" t="str">
        <f t="shared" si="24"/>
        <v xml:space="preserve"> </v>
      </c>
      <c r="O338" s="414">
        <f t="shared" si="25"/>
        <v>0</v>
      </c>
      <c r="P338" s="414">
        <f t="shared" si="26"/>
        <v>0</v>
      </c>
      <c r="Q338" s="145">
        <f t="shared" si="29"/>
        <v>-8</v>
      </c>
      <c r="R338" s="414">
        <f t="shared" si="27"/>
        <v>0</v>
      </c>
      <c r="S338" s="414">
        <f t="shared" si="28"/>
        <v>0</v>
      </c>
      <c r="T338" s="19"/>
      <c r="U338" s="5"/>
      <c r="V338" s="5"/>
      <c r="W338" s="5">
        <v>316</v>
      </c>
      <c r="X338" s="144" t="s">
        <v>718</v>
      </c>
      <c r="Y338" s="145"/>
      <c r="Z338" s="146"/>
      <c r="AA338" s="145"/>
      <c r="AB338" s="145"/>
      <c r="AD338" s="5">
        <v>316</v>
      </c>
      <c r="AE338" s="413" t="s">
        <v>718</v>
      </c>
      <c r="AF338" s="145"/>
      <c r="AG338" s="146"/>
      <c r="AH338" s="145"/>
      <c r="AI338" s="145"/>
      <c r="AK338" s="5">
        <v>316</v>
      </c>
      <c r="AL338" s="413" t="s">
        <v>718</v>
      </c>
      <c r="AM338" s="145"/>
      <c r="AN338" s="146"/>
      <c r="AO338" s="145"/>
      <c r="AP338" s="145"/>
      <c r="AR338" s="5">
        <v>316</v>
      </c>
      <c r="AS338" s="413" t="s">
        <v>2851</v>
      </c>
      <c r="AT338" s="145">
        <v>309</v>
      </c>
      <c r="AU338" s="146">
        <v>3.29</v>
      </c>
      <c r="AV338" s="145">
        <v>3676</v>
      </c>
      <c r="AW338" s="145">
        <v>-13</v>
      </c>
      <c r="AY338" s="5">
        <v>316</v>
      </c>
      <c r="AZ338" s="413" t="s">
        <v>2852</v>
      </c>
      <c r="BA338" s="145">
        <v>378</v>
      </c>
      <c r="BB338" s="146">
        <v>3.37</v>
      </c>
      <c r="BC338" s="145">
        <v>3741</v>
      </c>
      <c r="BD338" s="145">
        <v>-13</v>
      </c>
      <c r="BF338" s="5">
        <v>316</v>
      </c>
      <c r="BG338" s="413" t="s">
        <v>718</v>
      </c>
      <c r="BH338" s="145"/>
      <c r="BI338" s="146"/>
      <c r="BJ338" s="145"/>
      <c r="BK338" s="145"/>
      <c r="BM338" s="5">
        <v>316</v>
      </c>
      <c r="BN338" s="413" t="s">
        <v>2853</v>
      </c>
      <c r="BO338" s="145">
        <v>843</v>
      </c>
      <c r="BP338" s="146">
        <v>2.29</v>
      </c>
      <c r="BQ338" s="145">
        <v>4834</v>
      </c>
      <c r="BR338" s="145">
        <v>-16</v>
      </c>
      <c r="BS338" s="5"/>
      <c r="BT338" s="5">
        <v>316</v>
      </c>
      <c r="BU338" s="413" t="s">
        <v>718</v>
      </c>
      <c r="BV338" s="145"/>
      <c r="BW338" s="146"/>
      <c r="BX338" s="145"/>
      <c r="BY338" s="145"/>
      <c r="BZ338" s="5"/>
      <c r="CA338" s="5">
        <v>316</v>
      </c>
      <c r="CB338" s="413" t="s">
        <v>718</v>
      </c>
      <c r="CC338" s="145"/>
      <c r="CD338" s="146"/>
      <c r="CE338" s="145"/>
      <c r="CF338" s="145"/>
      <c r="CG338" s="5"/>
      <c r="CH338" s="5"/>
      <c r="CI338" s="5"/>
    </row>
    <row r="339" spans="13:87" x14ac:dyDescent="0.2">
      <c r="M339" s="5">
        <v>317</v>
      </c>
      <c r="N339" s="413" t="str">
        <f t="shared" si="24"/>
        <v xml:space="preserve"> </v>
      </c>
      <c r="O339" s="414">
        <f t="shared" si="25"/>
        <v>0</v>
      </c>
      <c r="P339" s="414">
        <f t="shared" si="26"/>
        <v>0</v>
      </c>
      <c r="Q339" s="145">
        <f t="shared" si="29"/>
        <v>-8</v>
      </c>
      <c r="R339" s="414">
        <f t="shared" si="27"/>
        <v>0</v>
      </c>
      <c r="S339" s="414">
        <f t="shared" si="28"/>
        <v>0</v>
      </c>
      <c r="T339" s="19"/>
      <c r="U339" s="5"/>
      <c r="V339" s="5"/>
      <c r="W339" s="5">
        <v>317</v>
      </c>
      <c r="X339" s="144" t="s">
        <v>718</v>
      </c>
      <c r="Y339" s="145"/>
      <c r="Z339" s="146"/>
      <c r="AA339" s="145"/>
      <c r="AB339" s="145"/>
      <c r="AD339" s="5">
        <v>317</v>
      </c>
      <c r="AE339" s="413" t="s">
        <v>718</v>
      </c>
      <c r="AF339" s="145"/>
      <c r="AG339" s="146"/>
      <c r="AH339" s="145"/>
      <c r="AI339" s="145"/>
      <c r="AK339" s="5">
        <v>317</v>
      </c>
      <c r="AL339" s="413" t="s">
        <v>718</v>
      </c>
      <c r="AM339" s="145"/>
      <c r="AN339" s="146"/>
      <c r="AO339" s="145"/>
      <c r="AP339" s="145"/>
      <c r="AR339" s="5">
        <v>317</v>
      </c>
      <c r="AS339" s="413" t="s">
        <v>2854</v>
      </c>
      <c r="AT339" s="145">
        <v>205</v>
      </c>
      <c r="AU339" s="146">
        <v>3.72</v>
      </c>
      <c r="AV339" s="145">
        <v>3369</v>
      </c>
      <c r="AW339" s="145">
        <v>-12</v>
      </c>
      <c r="AY339" s="5">
        <v>317</v>
      </c>
      <c r="AZ339" s="413" t="s">
        <v>2855</v>
      </c>
      <c r="BA339" s="145">
        <v>300</v>
      </c>
      <c r="BB339" s="146">
        <v>3.4</v>
      </c>
      <c r="BC339" s="145">
        <v>3653</v>
      </c>
      <c r="BD339" s="145">
        <v>-14</v>
      </c>
      <c r="BF339" s="5">
        <v>317</v>
      </c>
      <c r="BG339" s="413" t="s">
        <v>718</v>
      </c>
      <c r="BH339" s="145"/>
      <c r="BI339" s="146"/>
      <c r="BJ339" s="145"/>
      <c r="BK339" s="145"/>
      <c r="BM339" s="5">
        <v>317</v>
      </c>
      <c r="BN339" s="413" t="s">
        <v>2856</v>
      </c>
      <c r="BO339" s="145">
        <v>623</v>
      </c>
      <c r="BP339" s="146">
        <v>2.86</v>
      </c>
      <c r="BQ339" s="145">
        <v>4114</v>
      </c>
      <c r="BR339" s="145">
        <v>-15</v>
      </c>
      <c r="BS339" s="5"/>
      <c r="BT339" s="5">
        <v>317</v>
      </c>
      <c r="BU339" s="413" t="s">
        <v>718</v>
      </c>
      <c r="BV339" s="145"/>
      <c r="BW339" s="146"/>
      <c r="BX339" s="145"/>
      <c r="BY339" s="145"/>
      <c r="BZ339" s="5"/>
      <c r="CA339" s="5">
        <v>317</v>
      </c>
      <c r="CB339" s="413" t="s">
        <v>718</v>
      </c>
      <c r="CC339" s="145"/>
      <c r="CD339" s="146"/>
      <c r="CE339" s="145"/>
      <c r="CF339" s="145"/>
      <c r="CG339" s="5"/>
      <c r="CH339" s="5"/>
      <c r="CI339" s="5"/>
    </row>
    <row r="340" spans="13:87" x14ac:dyDescent="0.2">
      <c r="M340" s="5">
        <v>318</v>
      </c>
      <c r="N340" s="413" t="str">
        <f t="shared" si="24"/>
        <v xml:space="preserve"> </v>
      </c>
      <c r="O340" s="414">
        <f t="shared" si="25"/>
        <v>0</v>
      </c>
      <c r="P340" s="414">
        <f t="shared" si="26"/>
        <v>0</v>
      </c>
      <c r="Q340" s="145">
        <f t="shared" si="29"/>
        <v>-8</v>
      </c>
      <c r="R340" s="414">
        <f t="shared" si="27"/>
        <v>0</v>
      </c>
      <c r="S340" s="414">
        <f t="shared" si="28"/>
        <v>0</v>
      </c>
      <c r="T340" s="19"/>
      <c r="U340" s="5"/>
      <c r="V340" s="5"/>
      <c r="W340" s="5">
        <v>318</v>
      </c>
      <c r="X340" s="144" t="s">
        <v>718</v>
      </c>
      <c r="Y340" s="145"/>
      <c r="Z340" s="146"/>
      <c r="AA340" s="145"/>
      <c r="AB340" s="145"/>
      <c r="AD340" s="5">
        <v>318</v>
      </c>
      <c r="AE340" s="413" t="s">
        <v>718</v>
      </c>
      <c r="AF340" s="145"/>
      <c r="AG340" s="146"/>
      <c r="AH340" s="145"/>
      <c r="AI340" s="145"/>
      <c r="AK340" s="5">
        <v>318</v>
      </c>
      <c r="AL340" s="413" t="s">
        <v>718</v>
      </c>
      <c r="AM340" s="145"/>
      <c r="AN340" s="146"/>
      <c r="AO340" s="145"/>
      <c r="AP340" s="145"/>
      <c r="AR340" s="5">
        <v>318</v>
      </c>
      <c r="AS340" s="413" t="s">
        <v>2857</v>
      </c>
      <c r="AT340" s="145">
        <v>220</v>
      </c>
      <c r="AU340" s="146">
        <v>3.4</v>
      </c>
      <c r="AV340" s="145">
        <v>3685</v>
      </c>
      <c r="AW340" s="145">
        <v>-13</v>
      </c>
      <c r="AY340" s="5">
        <v>318</v>
      </c>
      <c r="AZ340" s="413" t="s">
        <v>2858</v>
      </c>
      <c r="BA340" s="145">
        <v>259</v>
      </c>
      <c r="BB340" s="146">
        <v>3.46</v>
      </c>
      <c r="BC340" s="145">
        <v>3522</v>
      </c>
      <c r="BD340" s="145">
        <v>-12</v>
      </c>
      <c r="BF340" s="5">
        <v>318</v>
      </c>
      <c r="BG340" s="413" t="s">
        <v>718</v>
      </c>
      <c r="BH340" s="145"/>
      <c r="BI340" s="146"/>
      <c r="BJ340" s="145"/>
      <c r="BK340" s="145"/>
      <c r="BM340" s="5">
        <v>318</v>
      </c>
      <c r="BN340" s="413" t="s">
        <v>2859</v>
      </c>
      <c r="BO340" s="145">
        <v>488</v>
      </c>
      <c r="BP340" s="146">
        <v>2.91</v>
      </c>
      <c r="BQ340" s="145">
        <v>3913</v>
      </c>
      <c r="BR340" s="145">
        <v>-14</v>
      </c>
      <c r="BS340" s="5"/>
      <c r="BT340" s="5">
        <v>318</v>
      </c>
      <c r="BU340" s="413" t="s">
        <v>718</v>
      </c>
      <c r="BV340" s="145"/>
      <c r="BW340" s="146"/>
      <c r="BX340" s="145"/>
      <c r="BY340" s="145"/>
      <c r="BZ340" s="5"/>
      <c r="CA340" s="5">
        <v>318</v>
      </c>
      <c r="CB340" s="413" t="s">
        <v>718</v>
      </c>
      <c r="CC340" s="145"/>
      <c r="CD340" s="146"/>
      <c r="CE340" s="145"/>
      <c r="CF340" s="145"/>
      <c r="CG340" s="5"/>
      <c r="CH340" s="5"/>
      <c r="CI340" s="5"/>
    </row>
    <row r="341" spans="13:87" x14ac:dyDescent="0.2">
      <c r="M341" s="5">
        <v>319</v>
      </c>
      <c r="N341" s="413" t="str">
        <f t="shared" si="24"/>
        <v xml:space="preserve"> </v>
      </c>
      <c r="O341" s="414">
        <f t="shared" si="25"/>
        <v>0</v>
      </c>
      <c r="P341" s="414">
        <f t="shared" si="26"/>
        <v>0</v>
      </c>
      <c r="Q341" s="145">
        <f t="shared" si="29"/>
        <v>-8</v>
      </c>
      <c r="R341" s="414">
        <f t="shared" si="27"/>
        <v>0</v>
      </c>
      <c r="S341" s="414">
        <f t="shared" si="28"/>
        <v>0</v>
      </c>
      <c r="T341" s="19"/>
      <c r="U341" s="5"/>
      <c r="V341" s="5"/>
      <c r="W341" s="5">
        <v>319</v>
      </c>
      <c r="X341" s="144" t="s">
        <v>718</v>
      </c>
      <c r="Y341" s="145"/>
      <c r="Z341" s="146"/>
      <c r="AA341" s="145"/>
      <c r="AB341" s="145"/>
      <c r="AD341" s="5">
        <v>319</v>
      </c>
      <c r="AE341" s="413" t="s">
        <v>718</v>
      </c>
      <c r="AF341" s="145"/>
      <c r="AG341" s="146"/>
      <c r="AH341" s="145"/>
      <c r="AI341" s="145"/>
      <c r="AK341" s="5">
        <v>319</v>
      </c>
      <c r="AL341" s="413" t="s">
        <v>718</v>
      </c>
      <c r="AM341" s="145"/>
      <c r="AN341" s="146"/>
      <c r="AO341" s="145"/>
      <c r="AP341" s="145"/>
      <c r="AR341" s="5">
        <v>319</v>
      </c>
      <c r="AS341" s="413" t="s">
        <v>2860</v>
      </c>
      <c r="AT341" s="145">
        <v>467</v>
      </c>
      <c r="AU341" s="146">
        <v>2.58</v>
      </c>
      <c r="AV341" s="145">
        <v>4216</v>
      </c>
      <c r="AW341" s="145">
        <v>-16</v>
      </c>
      <c r="AY341" s="5">
        <v>319</v>
      </c>
      <c r="AZ341" s="413" t="s">
        <v>2861</v>
      </c>
      <c r="BA341" s="145">
        <v>430</v>
      </c>
      <c r="BB341" s="146">
        <v>3.26</v>
      </c>
      <c r="BC341" s="145">
        <v>3850</v>
      </c>
      <c r="BD341" s="145">
        <v>-14</v>
      </c>
      <c r="BF341" s="5">
        <v>319</v>
      </c>
      <c r="BG341" s="413" t="s">
        <v>718</v>
      </c>
      <c r="BH341" s="145"/>
      <c r="BI341" s="146"/>
      <c r="BJ341" s="145"/>
      <c r="BK341" s="145"/>
      <c r="BM341" s="5">
        <v>319</v>
      </c>
      <c r="BN341" s="413" t="s">
        <v>2862</v>
      </c>
      <c r="BO341" s="145">
        <v>290</v>
      </c>
      <c r="BP341" s="146">
        <v>3.3</v>
      </c>
      <c r="BQ341" s="145">
        <v>3473</v>
      </c>
      <c r="BR341" s="145">
        <v>-12</v>
      </c>
      <c r="BS341" s="5"/>
      <c r="BT341" s="5">
        <v>319</v>
      </c>
      <c r="BU341" s="413" t="s">
        <v>718</v>
      </c>
      <c r="BV341" s="145"/>
      <c r="BW341" s="146"/>
      <c r="BX341" s="145"/>
      <c r="BY341" s="145"/>
      <c r="BZ341" s="5"/>
      <c r="CA341" s="5">
        <v>319</v>
      </c>
      <c r="CB341" s="413" t="s">
        <v>718</v>
      </c>
      <c r="CC341" s="145"/>
      <c r="CD341" s="146"/>
      <c r="CE341" s="145"/>
      <c r="CF341" s="145"/>
      <c r="CG341" s="5"/>
      <c r="CH341" s="5"/>
      <c r="CI341" s="5"/>
    </row>
    <row r="342" spans="13:87" x14ac:dyDescent="0.2">
      <c r="M342" s="5">
        <v>320</v>
      </c>
      <c r="N342" s="413" t="str">
        <f t="shared" si="24"/>
        <v xml:space="preserve"> </v>
      </c>
      <c r="O342" s="414">
        <f t="shared" si="25"/>
        <v>0</v>
      </c>
      <c r="P342" s="414">
        <f t="shared" si="26"/>
        <v>0</v>
      </c>
      <c r="Q342" s="145">
        <f t="shared" si="29"/>
        <v>-8</v>
      </c>
      <c r="R342" s="414">
        <f t="shared" si="27"/>
        <v>0</v>
      </c>
      <c r="S342" s="414">
        <f t="shared" si="28"/>
        <v>0</v>
      </c>
      <c r="T342" s="19"/>
      <c r="U342" s="5"/>
      <c r="V342" s="5"/>
      <c r="W342" s="5">
        <v>320</v>
      </c>
      <c r="X342" s="144" t="s">
        <v>718</v>
      </c>
      <c r="Y342" s="145"/>
      <c r="Z342" s="146"/>
      <c r="AA342" s="145"/>
      <c r="AB342" s="145"/>
      <c r="AD342" s="5">
        <v>320</v>
      </c>
      <c r="AE342" s="413" t="s">
        <v>718</v>
      </c>
      <c r="AF342" s="145"/>
      <c r="AG342" s="146"/>
      <c r="AH342" s="145"/>
      <c r="AI342" s="145"/>
      <c r="AK342" s="5">
        <v>320</v>
      </c>
      <c r="AL342" s="413" t="s">
        <v>718</v>
      </c>
      <c r="AM342" s="145"/>
      <c r="AN342" s="146"/>
      <c r="AO342" s="145"/>
      <c r="AP342" s="145"/>
      <c r="AR342" s="5">
        <v>320</v>
      </c>
      <c r="AS342" s="413" t="s">
        <v>2863</v>
      </c>
      <c r="AT342" s="145">
        <v>375</v>
      </c>
      <c r="AU342" s="146">
        <v>3.23</v>
      </c>
      <c r="AV342" s="145">
        <v>3873</v>
      </c>
      <c r="AW342" s="145">
        <v>-14</v>
      </c>
      <c r="AY342" s="5">
        <v>320</v>
      </c>
      <c r="AZ342" s="413" t="s">
        <v>2864</v>
      </c>
      <c r="BA342" s="145">
        <v>520</v>
      </c>
      <c r="BB342" s="146">
        <v>3.1</v>
      </c>
      <c r="BC342" s="145">
        <v>4091</v>
      </c>
      <c r="BD342" s="145">
        <v>-14</v>
      </c>
      <c r="BF342" s="5">
        <v>320</v>
      </c>
      <c r="BG342" s="413" t="s">
        <v>718</v>
      </c>
      <c r="BH342" s="145"/>
      <c r="BI342" s="146"/>
      <c r="BJ342" s="145"/>
      <c r="BK342" s="145"/>
      <c r="BM342" s="5">
        <v>320</v>
      </c>
      <c r="BN342" s="413" t="s">
        <v>2865</v>
      </c>
      <c r="BO342" s="145">
        <v>575</v>
      </c>
      <c r="BP342" s="146">
        <v>2.92</v>
      </c>
      <c r="BQ342" s="145">
        <v>4185</v>
      </c>
      <c r="BR342" s="145">
        <v>-15</v>
      </c>
      <c r="BS342" s="5"/>
      <c r="BT342" s="5">
        <v>320</v>
      </c>
      <c r="BU342" s="413" t="s">
        <v>718</v>
      </c>
      <c r="BV342" s="145"/>
      <c r="BW342" s="146"/>
      <c r="BX342" s="145"/>
      <c r="BY342" s="145"/>
      <c r="BZ342" s="5"/>
      <c r="CA342" s="5">
        <v>320</v>
      </c>
      <c r="CB342" s="413" t="s">
        <v>718</v>
      </c>
      <c r="CC342" s="145"/>
      <c r="CD342" s="146"/>
      <c r="CE342" s="145"/>
      <c r="CF342" s="145"/>
      <c r="CG342" s="5"/>
      <c r="CH342" s="5"/>
      <c r="CI342" s="5"/>
    </row>
    <row r="343" spans="13:87" x14ac:dyDescent="0.2">
      <c r="M343" s="5">
        <v>321</v>
      </c>
      <c r="N343" s="413" t="str">
        <f t="shared" ref="N343:N406" si="30">INDEX(X$23:CG$723,$M343,(Bundesland-1)*7+1)</f>
        <v xml:space="preserve"> </v>
      </c>
      <c r="O343" s="414">
        <f t="shared" ref="O343:O406" si="31">INDEX(Y$23:CH$723,$M343,(Bundesland-1)*7+1)</f>
        <v>0</v>
      </c>
      <c r="P343" s="414">
        <f t="shared" ref="P343:P406" si="32">INDEX(Z$23:CI$723,$M343,(Bundesland-1)*7+1)</f>
        <v>0</v>
      </c>
      <c r="Q343" s="145">
        <f t="shared" si="29"/>
        <v>-8</v>
      </c>
      <c r="R343" s="414">
        <f t="shared" ref="R343:R406" si="33">INDEX(AA$23:CK$723,$M343,(Bundesland-1)*7+1)</f>
        <v>0</v>
      </c>
      <c r="S343" s="414">
        <f t="shared" ref="S343:S406" si="34">INDEX(AB$23:CL$723,$M343,(Bundesland-1)*7+1)</f>
        <v>0</v>
      </c>
      <c r="T343" s="19"/>
      <c r="U343" s="5"/>
      <c r="V343" s="5"/>
      <c r="W343" s="5">
        <v>321</v>
      </c>
      <c r="X343" s="144" t="s">
        <v>718</v>
      </c>
      <c r="Y343" s="145"/>
      <c r="Z343" s="146"/>
      <c r="AA343" s="145"/>
      <c r="AB343" s="145"/>
      <c r="AD343" s="5">
        <v>321</v>
      </c>
      <c r="AE343" s="413" t="s">
        <v>718</v>
      </c>
      <c r="AF343" s="145"/>
      <c r="AG343" s="146"/>
      <c r="AH343" s="145"/>
      <c r="AI343" s="145"/>
      <c r="AK343" s="5">
        <v>321</v>
      </c>
      <c r="AL343" s="413" t="s">
        <v>718</v>
      </c>
      <c r="AM343" s="145"/>
      <c r="AN343" s="146"/>
      <c r="AO343" s="145"/>
      <c r="AP343" s="145"/>
      <c r="AR343" s="5">
        <v>321</v>
      </c>
      <c r="AS343" s="413" t="s">
        <v>2866</v>
      </c>
      <c r="AT343" s="145">
        <v>195</v>
      </c>
      <c r="AU343" s="146">
        <v>3.31</v>
      </c>
      <c r="AV343" s="145">
        <v>3555</v>
      </c>
      <c r="AW343" s="145">
        <v>-14</v>
      </c>
      <c r="AY343" s="5">
        <v>321</v>
      </c>
      <c r="AZ343" s="413" t="s">
        <v>2867</v>
      </c>
      <c r="BA343" s="145">
        <v>579</v>
      </c>
      <c r="BB343" s="146">
        <v>2.67</v>
      </c>
      <c r="BC343" s="145">
        <v>4314</v>
      </c>
      <c r="BD343" s="145">
        <v>-16</v>
      </c>
      <c r="BF343" s="5">
        <v>321</v>
      </c>
      <c r="BG343" s="413" t="s">
        <v>718</v>
      </c>
      <c r="BH343" s="145"/>
      <c r="BI343" s="146"/>
      <c r="BJ343" s="145"/>
      <c r="BK343" s="145"/>
      <c r="BM343" s="5">
        <v>321</v>
      </c>
      <c r="BN343" s="413" t="s">
        <v>2868</v>
      </c>
      <c r="BO343" s="145">
        <v>722</v>
      </c>
      <c r="BP343" s="146">
        <v>2.3199999999999998</v>
      </c>
      <c r="BQ343" s="145">
        <v>4402</v>
      </c>
      <c r="BR343" s="145">
        <v>-15</v>
      </c>
      <c r="BS343" s="5"/>
      <c r="BT343" s="5">
        <v>321</v>
      </c>
      <c r="BU343" s="413" t="s">
        <v>718</v>
      </c>
      <c r="BV343" s="145"/>
      <c r="BW343" s="146"/>
      <c r="BX343" s="145"/>
      <c r="BY343" s="145"/>
      <c r="BZ343" s="5"/>
      <c r="CA343" s="5">
        <v>321</v>
      </c>
      <c r="CB343" s="413" t="s">
        <v>718</v>
      </c>
      <c r="CC343" s="145"/>
      <c r="CD343" s="146"/>
      <c r="CE343" s="145"/>
      <c r="CF343" s="145"/>
      <c r="CG343" s="5"/>
      <c r="CH343" s="5"/>
      <c r="CI343" s="5"/>
    </row>
    <row r="344" spans="13:87" x14ac:dyDescent="0.2">
      <c r="M344" s="5">
        <v>322</v>
      </c>
      <c r="N344" s="413" t="str">
        <f t="shared" si="30"/>
        <v xml:space="preserve"> </v>
      </c>
      <c r="O344" s="414">
        <f t="shared" si="31"/>
        <v>0</v>
      </c>
      <c r="P344" s="414">
        <f t="shared" si="32"/>
        <v>0</v>
      </c>
      <c r="Q344" s="145">
        <f t="shared" ref="Q344:Q407" si="35">MIN(S344+Zuschlag_A,-8)</f>
        <v>-8</v>
      </c>
      <c r="R344" s="414">
        <f t="shared" si="33"/>
        <v>0</v>
      </c>
      <c r="S344" s="414">
        <f t="shared" si="34"/>
        <v>0</v>
      </c>
      <c r="T344" s="19"/>
      <c r="U344" s="5"/>
      <c r="V344" s="5"/>
      <c r="W344" s="5">
        <v>322</v>
      </c>
      <c r="X344" s="144" t="s">
        <v>718</v>
      </c>
      <c r="Y344" s="145"/>
      <c r="Z344" s="146"/>
      <c r="AA344" s="145"/>
      <c r="AB344" s="145"/>
      <c r="AD344" s="5">
        <v>322</v>
      </c>
      <c r="AE344" s="413" t="s">
        <v>718</v>
      </c>
      <c r="AF344" s="145"/>
      <c r="AG344" s="146"/>
      <c r="AH344" s="145"/>
      <c r="AI344" s="145"/>
      <c r="AK344" s="5">
        <v>322</v>
      </c>
      <c r="AL344" s="413" t="s">
        <v>718</v>
      </c>
      <c r="AM344" s="145"/>
      <c r="AN344" s="146"/>
      <c r="AO344" s="145"/>
      <c r="AP344" s="145"/>
      <c r="AR344" s="5">
        <v>322</v>
      </c>
      <c r="AS344" s="413" t="s">
        <v>2869</v>
      </c>
      <c r="AT344" s="145">
        <v>460</v>
      </c>
      <c r="AU344" s="146">
        <v>3.2</v>
      </c>
      <c r="AV344" s="145">
        <v>3898</v>
      </c>
      <c r="AW344" s="145">
        <v>-14</v>
      </c>
      <c r="AY344" s="5">
        <v>322</v>
      </c>
      <c r="AZ344" s="413" t="s">
        <v>2870</v>
      </c>
      <c r="BA344" s="145">
        <v>490</v>
      </c>
      <c r="BB344" s="146">
        <v>2.83</v>
      </c>
      <c r="BC344" s="145">
        <v>4121</v>
      </c>
      <c r="BD344" s="145">
        <v>-16</v>
      </c>
      <c r="BF344" s="5">
        <v>322</v>
      </c>
      <c r="BG344" s="413" t="s">
        <v>718</v>
      </c>
      <c r="BH344" s="145"/>
      <c r="BI344" s="146"/>
      <c r="BJ344" s="145"/>
      <c r="BK344" s="145"/>
      <c r="BM344" s="5">
        <v>322</v>
      </c>
      <c r="BN344" s="413" t="s">
        <v>2871</v>
      </c>
      <c r="BO344" s="145">
        <v>818</v>
      </c>
      <c r="BP344" s="146">
        <v>2.77</v>
      </c>
      <c r="BQ344" s="145">
        <v>4567</v>
      </c>
      <c r="BR344" s="145">
        <v>-16</v>
      </c>
      <c r="BS344" s="5"/>
      <c r="BT344" s="5">
        <v>322</v>
      </c>
      <c r="BU344" s="413" t="s">
        <v>718</v>
      </c>
      <c r="BV344" s="145"/>
      <c r="BW344" s="146"/>
      <c r="BX344" s="145"/>
      <c r="BY344" s="145"/>
      <c r="BZ344" s="5"/>
      <c r="CA344" s="5">
        <v>322</v>
      </c>
      <c r="CB344" s="413" t="s">
        <v>718</v>
      </c>
      <c r="CC344" s="145"/>
      <c r="CD344" s="146"/>
      <c r="CE344" s="145"/>
      <c r="CF344" s="145"/>
      <c r="CG344" s="5"/>
      <c r="CH344" s="5"/>
      <c r="CI344" s="5"/>
    </row>
    <row r="345" spans="13:87" x14ac:dyDescent="0.2">
      <c r="M345" s="5">
        <v>323</v>
      </c>
      <c r="N345" s="413" t="str">
        <f t="shared" si="30"/>
        <v xml:space="preserve"> </v>
      </c>
      <c r="O345" s="414">
        <f t="shared" si="31"/>
        <v>0</v>
      </c>
      <c r="P345" s="414">
        <f t="shared" si="32"/>
        <v>0</v>
      </c>
      <c r="Q345" s="145">
        <f t="shared" si="35"/>
        <v>-8</v>
      </c>
      <c r="R345" s="414">
        <f t="shared" si="33"/>
        <v>0</v>
      </c>
      <c r="S345" s="414">
        <f t="shared" si="34"/>
        <v>0</v>
      </c>
      <c r="T345" s="19"/>
      <c r="U345" s="5"/>
      <c r="V345" s="5"/>
      <c r="W345" s="5">
        <v>323</v>
      </c>
      <c r="X345" s="144" t="s">
        <v>718</v>
      </c>
      <c r="Y345" s="145"/>
      <c r="Z345" s="146"/>
      <c r="AA345" s="145"/>
      <c r="AB345" s="145"/>
      <c r="AD345" s="5">
        <v>323</v>
      </c>
      <c r="AE345" s="413" t="s">
        <v>718</v>
      </c>
      <c r="AF345" s="145"/>
      <c r="AG345" s="146"/>
      <c r="AH345" s="145"/>
      <c r="AI345" s="145"/>
      <c r="AK345" s="5">
        <v>323</v>
      </c>
      <c r="AL345" s="413" t="s">
        <v>718</v>
      </c>
      <c r="AM345" s="145"/>
      <c r="AN345" s="146"/>
      <c r="AO345" s="145"/>
      <c r="AP345" s="145"/>
      <c r="AR345" s="5">
        <v>323</v>
      </c>
      <c r="AS345" s="413" t="s">
        <v>2872</v>
      </c>
      <c r="AT345" s="145">
        <v>208</v>
      </c>
      <c r="AU345" s="146">
        <v>3.08</v>
      </c>
      <c r="AV345" s="145">
        <v>3620</v>
      </c>
      <c r="AW345" s="145">
        <v>-14</v>
      </c>
      <c r="AY345" s="5">
        <v>323</v>
      </c>
      <c r="AZ345" s="413" t="s">
        <v>2873</v>
      </c>
      <c r="BA345" s="145">
        <v>326</v>
      </c>
      <c r="BB345" s="146">
        <v>3.12</v>
      </c>
      <c r="BC345" s="145">
        <v>3816</v>
      </c>
      <c r="BD345" s="145">
        <v>-15</v>
      </c>
      <c r="BF345" s="5">
        <v>323</v>
      </c>
      <c r="BG345" s="413" t="s">
        <v>718</v>
      </c>
      <c r="BH345" s="145"/>
      <c r="BI345" s="146"/>
      <c r="BJ345" s="145"/>
      <c r="BK345" s="145"/>
      <c r="BM345" s="5">
        <v>323</v>
      </c>
      <c r="BN345" s="413" t="s">
        <v>3149</v>
      </c>
      <c r="BO345" s="145">
        <v>677</v>
      </c>
      <c r="BP345" s="146">
        <v>2.74</v>
      </c>
      <c r="BQ345" s="145">
        <v>4350</v>
      </c>
      <c r="BR345" s="145">
        <v>-16</v>
      </c>
      <c r="BS345" s="5"/>
      <c r="BT345" s="5">
        <v>323</v>
      </c>
      <c r="BU345" s="413" t="s">
        <v>718</v>
      </c>
      <c r="BV345" s="145"/>
      <c r="BW345" s="146"/>
      <c r="BX345" s="145"/>
      <c r="BY345" s="145"/>
      <c r="BZ345" s="5"/>
      <c r="CA345" s="5">
        <v>323</v>
      </c>
      <c r="CB345" s="413" t="s">
        <v>718</v>
      </c>
      <c r="CC345" s="145"/>
      <c r="CD345" s="146"/>
      <c r="CE345" s="145"/>
      <c r="CF345" s="145"/>
      <c r="CG345" s="5"/>
      <c r="CH345" s="5"/>
      <c r="CI345" s="5"/>
    </row>
    <row r="346" spans="13:87" x14ac:dyDescent="0.2">
      <c r="M346" s="5">
        <v>324</v>
      </c>
      <c r="N346" s="413" t="str">
        <f t="shared" si="30"/>
        <v xml:space="preserve"> </v>
      </c>
      <c r="O346" s="414">
        <f t="shared" si="31"/>
        <v>0</v>
      </c>
      <c r="P346" s="414">
        <f t="shared" si="32"/>
        <v>0</v>
      </c>
      <c r="Q346" s="145">
        <f t="shared" si="35"/>
        <v>-8</v>
      </c>
      <c r="R346" s="414">
        <f t="shared" si="33"/>
        <v>0</v>
      </c>
      <c r="S346" s="414">
        <f t="shared" si="34"/>
        <v>0</v>
      </c>
      <c r="T346" s="19"/>
      <c r="U346" s="5"/>
      <c r="V346" s="5"/>
      <c r="W346" s="5">
        <v>324</v>
      </c>
      <c r="X346" s="144" t="s">
        <v>718</v>
      </c>
      <c r="Y346" s="145"/>
      <c r="Z346" s="146"/>
      <c r="AA346" s="145"/>
      <c r="AB346" s="145"/>
      <c r="AD346" s="5">
        <v>324</v>
      </c>
      <c r="AE346" s="413" t="s">
        <v>718</v>
      </c>
      <c r="AF346" s="145"/>
      <c r="AG346" s="146"/>
      <c r="AH346" s="145"/>
      <c r="AI346" s="145"/>
      <c r="AK346" s="5">
        <v>324</v>
      </c>
      <c r="AL346" s="413" t="s">
        <v>718</v>
      </c>
      <c r="AM346" s="145"/>
      <c r="AN346" s="146"/>
      <c r="AO346" s="145"/>
      <c r="AP346" s="145"/>
      <c r="AR346" s="5">
        <v>324</v>
      </c>
      <c r="AS346" s="413" t="s">
        <v>3150</v>
      </c>
      <c r="AT346" s="145">
        <v>205</v>
      </c>
      <c r="AU346" s="146">
        <v>3.6</v>
      </c>
      <c r="AV346" s="145">
        <v>3526</v>
      </c>
      <c r="AW346" s="145">
        <v>-13</v>
      </c>
      <c r="AY346" s="5">
        <v>324</v>
      </c>
      <c r="AZ346" s="413" t="s">
        <v>3151</v>
      </c>
      <c r="BA346" s="145">
        <v>480</v>
      </c>
      <c r="BB346" s="146">
        <v>3.1</v>
      </c>
      <c r="BC346" s="145">
        <v>3989</v>
      </c>
      <c r="BD346" s="145">
        <v>-15</v>
      </c>
      <c r="BF346" s="5">
        <v>324</v>
      </c>
      <c r="BG346" s="413" t="s">
        <v>718</v>
      </c>
      <c r="BH346" s="145"/>
      <c r="BI346" s="146"/>
      <c r="BJ346" s="145"/>
      <c r="BK346" s="145"/>
      <c r="BM346" s="5">
        <v>324</v>
      </c>
      <c r="BN346" s="413" t="s">
        <v>3152</v>
      </c>
      <c r="BO346" s="145">
        <v>445</v>
      </c>
      <c r="BP346" s="146">
        <v>3.08</v>
      </c>
      <c r="BQ346" s="145">
        <v>4044</v>
      </c>
      <c r="BR346" s="145">
        <v>-14</v>
      </c>
      <c r="BS346" s="5"/>
      <c r="BT346" s="5">
        <v>324</v>
      </c>
      <c r="BU346" s="413" t="s">
        <v>718</v>
      </c>
      <c r="BV346" s="145"/>
      <c r="BW346" s="146"/>
      <c r="BX346" s="145"/>
      <c r="BY346" s="145"/>
      <c r="BZ346" s="5"/>
      <c r="CA346" s="5">
        <v>324</v>
      </c>
      <c r="CB346" s="413" t="s">
        <v>718</v>
      </c>
      <c r="CC346" s="145"/>
      <c r="CD346" s="146"/>
      <c r="CE346" s="145"/>
      <c r="CF346" s="145"/>
      <c r="CG346" s="5"/>
      <c r="CH346" s="5"/>
      <c r="CI346" s="5"/>
    </row>
    <row r="347" spans="13:87" x14ac:dyDescent="0.2">
      <c r="M347" s="5">
        <v>325</v>
      </c>
      <c r="N347" s="413" t="str">
        <f t="shared" si="30"/>
        <v xml:space="preserve"> </v>
      </c>
      <c r="O347" s="414">
        <f t="shared" si="31"/>
        <v>0</v>
      </c>
      <c r="P347" s="414">
        <f t="shared" si="32"/>
        <v>0</v>
      </c>
      <c r="Q347" s="145">
        <f t="shared" si="35"/>
        <v>-8</v>
      </c>
      <c r="R347" s="414">
        <f t="shared" si="33"/>
        <v>0</v>
      </c>
      <c r="S347" s="414">
        <f t="shared" si="34"/>
        <v>0</v>
      </c>
      <c r="T347" s="19"/>
      <c r="U347" s="5"/>
      <c r="V347" s="5"/>
      <c r="W347" s="5">
        <v>325</v>
      </c>
      <c r="X347" s="144" t="s">
        <v>718</v>
      </c>
      <c r="Y347" s="145"/>
      <c r="Z347" s="146"/>
      <c r="AA347" s="145"/>
      <c r="AB347" s="145"/>
      <c r="AD347" s="5">
        <v>325</v>
      </c>
      <c r="AE347" s="413" t="s">
        <v>718</v>
      </c>
      <c r="AF347" s="145"/>
      <c r="AG347" s="146"/>
      <c r="AH347" s="145"/>
      <c r="AI347" s="145"/>
      <c r="AK347" s="5">
        <v>325</v>
      </c>
      <c r="AL347" s="413" t="s">
        <v>718</v>
      </c>
      <c r="AM347" s="145"/>
      <c r="AN347" s="146"/>
      <c r="AO347" s="145"/>
      <c r="AP347" s="145"/>
      <c r="AR347" s="5">
        <v>325</v>
      </c>
      <c r="AS347" s="413" t="s">
        <v>3153</v>
      </c>
      <c r="AT347" s="145">
        <v>791</v>
      </c>
      <c r="AU347" s="146">
        <v>2.87</v>
      </c>
      <c r="AV347" s="145">
        <v>4506</v>
      </c>
      <c r="AW347" s="145">
        <v>-15</v>
      </c>
      <c r="AY347" s="5">
        <v>325</v>
      </c>
      <c r="AZ347" s="413" t="s">
        <v>3154</v>
      </c>
      <c r="BA347" s="145">
        <v>338</v>
      </c>
      <c r="BB347" s="146">
        <v>3.15</v>
      </c>
      <c r="BC347" s="145">
        <v>3825</v>
      </c>
      <c r="BD347" s="145">
        <v>-15</v>
      </c>
      <c r="BF347" s="5">
        <v>325</v>
      </c>
      <c r="BG347" s="413" t="s">
        <v>718</v>
      </c>
      <c r="BH347" s="145"/>
      <c r="BI347" s="146"/>
      <c r="BJ347" s="145"/>
      <c r="BK347" s="145"/>
      <c r="BM347" s="5">
        <v>325</v>
      </c>
      <c r="BN347" s="413" t="s">
        <v>3155</v>
      </c>
      <c r="BO347" s="145">
        <v>688</v>
      </c>
      <c r="BP347" s="146">
        <v>2.13</v>
      </c>
      <c r="BQ347" s="145">
        <v>4414</v>
      </c>
      <c r="BR347" s="145">
        <v>-16</v>
      </c>
      <c r="BS347" s="5"/>
      <c r="BT347" s="5">
        <v>325</v>
      </c>
      <c r="BU347" s="413" t="s">
        <v>718</v>
      </c>
      <c r="BV347" s="145"/>
      <c r="BW347" s="146"/>
      <c r="BX347" s="145"/>
      <c r="BY347" s="145"/>
      <c r="BZ347" s="5"/>
      <c r="CA347" s="5">
        <v>325</v>
      </c>
      <c r="CB347" s="413" t="s">
        <v>718</v>
      </c>
      <c r="CC347" s="145"/>
      <c r="CD347" s="146"/>
      <c r="CE347" s="145"/>
      <c r="CF347" s="145"/>
      <c r="CG347" s="5"/>
      <c r="CH347" s="5"/>
      <c r="CI347" s="5"/>
    </row>
    <row r="348" spans="13:87" x14ac:dyDescent="0.2">
      <c r="M348" s="5">
        <v>326</v>
      </c>
      <c r="N348" s="413" t="str">
        <f t="shared" si="30"/>
        <v xml:space="preserve"> </v>
      </c>
      <c r="O348" s="414">
        <f t="shared" si="31"/>
        <v>0</v>
      </c>
      <c r="P348" s="414">
        <f t="shared" si="32"/>
        <v>0</v>
      </c>
      <c r="Q348" s="145">
        <f t="shared" si="35"/>
        <v>-8</v>
      </c>
      <c r="R348" s="414">
        <f t="shared" si="33"/>
        <v>0</v>
      </c>
      <c r="S348" s="414">
        <f t="shared" si="34"/>
        <v>0</v>
      </c>
      <c r="T348" s="19"/>
      <c r="U348" s="5"/>
      <c r="V348" s="5"/>
      <c r="W348" s="5">
        <v>326</v>
      </c>
      <c r="X348" s="144" t="s">
        <v>718</v>
      </c>
      <c r="Y348" s="145"/>
      <c r="Z348" s="146"/>
      <c r="AA348" s="145"/>
      <c r="AB348" s="145"/>
      <c r="AD348" s="5">
        <v>326</v>
      </c>
      <c r="AE348" s="413" t="s">
        <v>718</v>
      </c>
      <c r="AF348" s="145"/>
      <c r="AG348" s="146"/>
      <c r="AH348" s="145"/>
      <c r="AI348" s="145"/>
      <c r="AK348" s="5">
        <v>326</v>
      </c>
      <c r="AL348" s="413" t="s">
        <v>718</v>
      </c>
      <c r="AM348" s="145"/>
      <c r="AN348" s="146"/>
      <c r="AO348" s="145"/>
      <c r="AP348" s="145"/>
      <c r="AR348" s="5">
        <v>326</v>
      </c>
      <c r="AS348" s="413" t="s">
        <v>3156</v>
      </c>
      <c r="AT348" s="145">
        <v>184</v>
      </c>
      <c r="AU348" s="146">
        <v>3.42</v>
      </c>
      <c r="AV348" s="145">
        <v>3466</v>
      </c>
      <c r="AW348" s="145">
        <v>-14</v>
      </c>
      <c r="AY348" s="5">
        <v>326</v>
      </c>
      <c r="AZ348" s="413" t="s">
        <v>3157</v>
      </c>
      <c r="BA348" s="145">
        <v>377</v>
      </c>
      <c r="BB348" s="146">
        <v>3.2</v>
      </c>
      <c r="BC348" s="145">
        <v>3729</v>
      </c>
      <c r="BD348" s="145">
        <v>-15</v>
      </c>
      <c r="BF348" s="5">
        <v>326</v>
      </c>
      <c r="BG348" s="413" t="s">
        <v>718</v>
      </c>
      <c r="BH348" s="145"/>
      <c r="BI348" s="146"/>
      <c r="BJ348" s="145"/>
      <c r="BK348" s="145"/>
      <c r="BM348" s="5">
        <v>326</v>
      </c>
      <c r="BN348" s="413" t="s">
        <v>3158</v>
      </c>
      <c r="BO348" s="145">
        <v>470</v>
      </c>
      <c r="BP348" s="146">
        <v>3.19</v>
      </c>
      <c r="BQ348" s="145">
        <v>3714</v>
      </c>
      <c r="BR348" s="145">
        <v>-13</v>
      </c>
      <c r="BS348" s="5"/>
      <c r="BT348" s="5">
        <v>326</v>
      </c>
      <c r="BU348" s="413" t="s">
        <v>718</v>
      </c>
      <c r="BV348" s="145"/>
      <c r="BW348" s="146"/>
      <c r="BX348" s="145"/>
      <c r="BY348" s="145"/>
      <c r="BZ348" s="5"/>
      <c r="CA348" s="5">
        <v>326</v>
      </c>
      <c r="CB348" s="413" t="s">
        <v>718</v>
      </c>
      <c r="CC348" s="145"/>
      <c r="CD348" s="146"/>
      <c r="CE348" s="145"/>
      <c r="CF348" s="145"/>
      <c r="CG348" s="5"/>
      <c r="CH348" s="5"/>
      <c r="CI348" s="5"/>
    </row>
    <row r="349" spans="13:87" x14ac:dyDescent="0.2">
      <c r="M349" s="5">
        <v>327</v>
      </c>
      <c r="N349" s="413" t="str">
        <f t="shared" si="30"/>
        <v xml:space="preserve"> </v>
      </c>
      <c r="O349" s="414">
        <f t="shared" si="31"/>
        <v>0</v>
      </c>
      <c r="P349" s="414">
        <f t="shared" si="32"/>
        <v>0</v>
      </c>
      <c r="Q349" s="145">
        <f t="shared" si="35"/>
        <v>-8</v>
      </c>
      <c r="R349" s="414">
        <f t="shared" si="33"/>
        <v>0</v>
      </c>
      <c r="S349" s="414">
        <f t="shared" si="34"/>
        <v>0</v>
      </c>
      <c r="T349" s="19"/>
      <c r="U349" s="5"/>
      <c r="V349" s="5"/>
      <c r="W349" s="5">
        <v>327</v>
      </c>
      <c r="X349" s="144" t="s">
        <v>718</v>
      </c>
      <c r="Y349" s="145"/>
      <c r="Z349" s="146"/>
      <c r="AA349" s="145"/>
      <c r="AB349" s="145"/>
      <c r="AD349" s="5">
        <v>327</v>
      </c>
      <c r="AE349" s="413" t="s">
        <v>718</v>
      </c>
      <c r="AF349" s="145"/>
      <c r="AG349" s="146"/>
      <c r="AH349" s="145"/>
      <c r="AI349" s="145"/>
      <c r="AK349" s="5">
        <v>327</v>
      </c>
      <c r="AL349" s="413" t="s">
        <v>718</v>
      </c>
      <c r="AM349" s="145"/>
      <c r="AN349" s="146"/>
      <c r="AO349" s="145"/>
      <c r="AP349" s="145"/>
      <c r="AR349" s="5">
        <v>327</v>
      </c>
      <c r="AS349" s="413" t="s">
        <v>3159</v>
      </c>
      <c r="AT349" s="145">
        <v>240</v>
      </c>
      <c r="AU349" s="146">
        <v>3.57</v>
      </c>
      <c r="AV349" s="145">
        <v>3417</v>
      </c>
      <c r="AW349" s="145">
        <v>-13</v>
      </c>
      <c r="AY349" s="5">
        <v>327</v>
      </c>
      <c r="AZ349" s="413" t="s">
        <v>3160</v>
      </c>
      <c r="BA349" s="145">
        <v>330</v>
      </c>
      <c r="BB349" s="146">
        <v>3.55</v>
      </c>
      <c r="BC349" s="145">
        <v>3734</v>
      </c>
      <c r="BD349" s="145">
        <v>-14</v>
      </c>
      <c r="BF349" s="5">
        <v>327</v>
      </c>
      <c r="BG349" s="413" t="s">
        <v>718</v>
      </c>
      <c r="BH349" s="145"/>
      <c r="BI349" s="146"/>
      <c r="BJ349" s="145"/>
      <c r="BK349" s="145"/>
      <c r="BM349" s="5">
        <v>327</v>
      </c>
      <c r="BN349" s="413" t="s">
        <v>3161</v>
      </c>
      <c r="BO349" s="145">
        <v>828</v>
      </c>
      <c r="BP349" s="146">
        <v>2.59</v>
      </c>
      <c r="BQ349" s="145">
        <v>4458</v>
      </c>
      <c r="BR349" s="145">
        <v>-16</v>
      </c>
      <c r="BS349" s="5"/>
      <c r="BT349" s="5">
        <v>327</v>
      </c>
      <c r="BU349" s="413" t="s">
        <v>718</v>
      </c>
      <c r="BV349" s="145"/>
      <c r="BW349" s="146"/>
      <c r="BX349" s="145"/>
      <c r="BY349" s="145"/>
      <c r="BZ349" s="5"/>
      <c r="CA349" s="5">
        <v>327</v>
      </c>
      <c r="CB349" s="413" t="s">
        <v>718</v>
      </c>
      <c r="CC349" s="145"/>
      <c r="CD349" s="146"/>
      <c r="CE349" s="145"/>
      <c r="CF349" s="145"/>
      <c r="CG349" s="5"/>
      <c r="CH349" s="5"/>
      <c r="CI349" s="5"/>
    </row>
    <row r="350" spans="13:87" x14ac:dyDescent="0.2">
      <c r="M350" s="5">
        <v>328</v>
      </c>
      <c r="N350" s="413" t="str">
        <f t="shared" si="30"/>
        <v xml:space="preserve"> </v>
      </c>
      <c r="O350" s="414">
        <f t="shared" si="31"/>
        <v>0</v>
      </c>
      <c r="P350" s="414">
        <f t="shared" si="32"/>
        <v>0</v>
      </c>
      <c r="Q350" s="145">
        <f t="shared" si="35"/>
        <v>-8</v>
      </c>
      <c r="R350" s="414">
        <f t="shared" si="33"/>
        <v>0</v>
      </c>
      <c r="S350" s="414">
        <f t="shared" si="34"/>
        <v>0</v>
      </c>
      <c r="T350" s="19"/>
      <c r="U350" s="5"/>
      <c r="V350" s="5"/>
      <c r="W350" s="5">
        <v>328</v>
      </c>
      <c r="X350" s="144" t="s">
        <v>718</v>
      </c>
      <c r="Y350" s="145"/>
      <c r="Z350" s="146"/>
      <c r="AA350" s="145"/>
      <c r="AB350" s="145"/>
      <c r="AD350" s="5">
        <v>328</v>
      </c>
      <c r="AE350" s="413" t="s">
        <v>718</v>
      </c>
      <c r="AF350" s="145"/>
      <c r="AG350" s="146"/>
      <c r="AH350" s="145"/>
      <c r="AI350" s="145"/>
      <c r="AK350" s="5">
        <v>328</v>
      </c>
      <c r="AL350" s="413" t="s">
        <v>718</v>
      </c>
      <c r="AM350" s="145"/>
      <c r="AN350" s="146"/>
      <c r="AO350" s="145"/>
      <c r="AP350" s="145"/>
      <c r="AR350" s="5">
        <v>328</v>
      </c>
      <c r="AS350" s="413" t="s">
        <v>3162</v>
      </c>
      <c r="AT350" s="145">
        <v>196</v>
      </c>
      <c r="AU350" s="146">
        <v>3.71</v>
      </c>
      <c r="AV350" s="145">
        <v>3275</v>
      </c>
      <c r="AW350" s="145">
        <v>-13</v>
      </c>
      <c r="AY350" s="5">
        <v>328</v>
      </c>
      <c r="AZ350" s="413" t="s">
        <v>3177</v>
      </c>
      <c r="BA350" s="145">
        <v>322</v>
      </c>
      <c r="BB350" s="146">
        <v>3.11</v>
      </c>
      <c r="BC350" s="145">
        <v>3732</v>
      </c>
      <c r="BD350" s="145">
        <v>-14</v>
      </c>
      <c r="BF350" s="5">
        <v>328</v>
      </c>
      <c r="BG350" s="413" t="s">
        <v>718</v>
      </c>
      <c r="BH350" s="145"/>
      <c r="BI350" s="146"/>
      <c r="BJ350" s="145"/>
      <c r="BK350" s="145"/>
      <c r="BM350" s="5">
        <v>328</v>
      </c>
      <c r="BN350" s="413" t="s">
        <v>3178</v>
      </c>
      <c r="BO350" s="145">
        <v>309</v>
      </c>
      <c r="BP350" s="146">
        <v>2.94</v>
      </c>
      <c r="BQ350" s="145">
        <v>3633</v>
      </c>
      <c r="BR350" s="145">
        <v>-14</v>
      </c>
      <c r="BS350" s="5"/>
      <c r="BT350" s="5">
        <v>328</v>
      </c>
      <c r="BU350" s="413" t="s">
        <v>718</v>
      </c>
      <c r="BV350" s="145"/>
      <c r="BW350" s="146"/>
      <c r="BX350" s="145"/>
      <c r="BY350" s="145"/>
      <c r="BZ350" s="5"/>
      <c r="CA350" s="5">
        <v>328</v>
      </c>
      <c r="CB350" s="413" t="s">
        <v>718</v>
      </c>
      <c r="CC350" s="145"/>
      <c r="CD350" s="146"/>
      <c r="CE350" s="145"/>
      <c r="CF350" s="145"/>
      <c r="CG350" s="5"/>
      <c r="CH350" s="5"/>
      <c r="CI350" s="5"/>
    </row>
    <row r="351" spans="13:87" x14ac:dyDescent="0.2">
      <c r="M351" s="5">
        <v>329</v>
      </c>
      <c r="N351" s="413" t="str">
        <f t="shared" si="30"/>
        <v xml:space="preserve"> </v>
      </c>
      <c r="O351" s="414">
        <f t="shared" si="31"/>
        <v>0</v>
      </c>
      <c r="P351" s="414">
        <f t="shared" si="32"/>
        <v>0</v>
      </c>
      <c r="Q351" s="145">
        <f t="shared" si="35"/>
        <v>-8</v>
      </c>
      <c r="R351" s="414">
        <f t="shared" si="33"/>
        <v>0</v>
      </c>
      <c r="S351" s="414">
        <f t="shared" si="34"/>
        <v>0</v>
      </c>
      <c r="T351" s="19"/>
      <c r="U351" s="5"/>
      <c r="V351" s="5"/>
      <c r="W351" s="5">
        <v>329</v>
      </c>
      <c r="X351" s="144" t="s">
        <v>718</v>
      </c>
      <c r="Y351" s="145"/>
      <c r="Z351" s="146"/>
      <c r="AA351" s="145"/>
      <c r="AB351" s="145"/>
      <c r="AD351" s="5">
        <v>329</v>
      </c>
      <c r="AE351" s="413" t="s">
        <v>718</v>
      </c>
      <c r="AF351" s="145"/>
      <c r="AG351" s="146"/>
      <c r="AH351" s="145"/>
      <c r="AI351" s="145"/>
      <c r="AK351" s="5">
        <v>329</v>
      </c>
      <c r="AL351" s="413" t="s">
        <v>718</v>
      </c>
      <c r="AM351" s="145"/>
      <c r="AN351" s="146"/>
      <c r="AO351" s="145"/>
      <c r="AP351" s="145"/>
      <c r="AR351" s="5">
        <v>329</v>
      </c>
      <c r="AS351" s="413" t="s">
        <v>3179</v>
      </c>
      <c r="AT351" s="145">
        <v>955</v>
      </c>
      <c r="AU351" s="146">
        <v>2.62</v>
      </c>
      <c r="AV351" s="145">
        <v>4536</v>
      </c>
      <c r="AW351" s="145">
        <v>-15</v>
      </c>
      <c r="AY351" s="5">
        <v>329</v>
      </c>
      <c r="AZ351" s="413" t="s">
        <v>3180</v>
      </c>
      <c r="BA351" s="145">
        <v>578</v>
      </c>
      <c r="BB351" s="146">
        <v>3.09</v>
      </c>
      <c r="BC351" s="145">
        <v>3941</v>
      </c>
      <c r="BD351" s="145">
        <v>-15</v>
      </c>
      <c r="BF351" s="5">
        <v>329</v>
      </c>
      <c r="BG351" s="413" t="s">
        <v>718</v>
      </c>
      <c r="BH351" s="145"/>
      <c r="BI351" s="146"/>
      <c r="BJ351" s="145"/>
      <c r="BK351" s="145"/>
      <c r="BM351" s="5">
        <v>329</v>
      </c>
      <c r="BN351" s="413" t="s">
        <v>3181</v>
      </c>
      <c r="BO351" s="145">
        <v>299</v>
      </c>
      <c r="BP351" s="146">
        <v>3.13</v>
      </c>
      <c r="BQ351" s="145">
        <v>3576</v>
      </c>
      <c r="BR351" s="145">
        <v>-14</v>
      </c>
      <c r="BS351" s="5"/>
      <c r="BT351" s="5">
        <v>329</v>
      </c>
      <c r="BU351" s="413" t="s">
        <v>718</v>
      </c>
      <c r="BV351" s="145"/>
      <c r="BW351" s="146"/>
      <c r="BX351" s="145"/>
      <c r="BY351" s="145"/>
      <c r="BZ351" s="5"/>
      <c r="CA351" s="5">
        <v>329</v>
      </c>
      <c r="CB351" s="413" t="s">
        <v>718</v>
      </c>
      <c r="CC351" s="145"/>
      <c r="CD351" s="146"/>
      <c r="CE351" s="145"/>
      <c r="CF351" s="145"/>
      <c r="CG351" s="5"/>
      <c r="CH351" s="5"/>
      <c r="CI351" s="5"/>
    </row>
    <row r="352" spans="13:87" x14ac:dyDescent="0.2">
      <c r="M352" s="5">
        <v>330</v>
      </c>
      <c r="N352" s="413" t="str">
        <f t="shared" si="30"/>
        <v xml:space="preserve"> </v>
      </c>
      <c r="O352" s="414">
        <f t="shared" si="31"/>
        <v>0</v>
      </c>
      <c r="P352" s="414">
        <f t="shared" si="32"/>
        <v>0</v>
      </c>
      <c r="Q352" s="145">
        <f t="shared" si="35"/>
        <v>-8</v>
      </c>
      <c r="R352" s="414">
        <f t="shared" si="33"/>
        <v>0</v>
      </c>
      <c r="S352" s="414">
        <f t="shared" si="34"/>
        <v>0</v>
      </c>
      <c r="T352" s="19"/>
      <c r="U352" s="5"/>
      <c r="V352" s="5"/>
      <c r="W352" s="5">
        <v>330</v>
      </c>
      <c r="X352" s="144" t="s">
        <v>718</v>
      </c>
      <c r="Y352" s="145"/>
      <c r="Z352" s="146"/>
      <c r="AA352" s="145"/>
      <c r="AB352" s="145"/>
      <c r="AD352" s="5">
        <v>330</v>
      </c>
      <c r="AE352" s="413" t="s">
        <v>718</v>
      </c>
      <c r="AF352" s="145"/>
      <c r="AG352" s="146"/>
      <c r="AH352" s="145"/>
      <c r="AI352" s="145"/>
      <c r="AK352" s="5">
        <v>330</v>
      </c>
      <c r="AL352" s="413" t="s">
        <v>718</v>
      </c>
      <c r="AM352" s="145"/>
      <c r="AN352" s="146"/>
      <c r="AO352" s="145"/>
      <c r="AP352" s="145"/>
      <c r="AR352" s="5">
        <v>330</v>
      </c>
      <c r="AS352" s="413" t="s">
        <v>3182</v>
      </c>
      <c r="AT352" s="145">
        <v>350</v>
      </c>
      <c r="AU352" s="146">
        <v>2.82</v>
      </c>
      <c r="AV352" s="145">
        <v>3969</v>
      </c>
      <c r="AW352" s="145">
        <v>-14</v>
      </c>
      <c r="AY352" s="5">
        <v>330</v>
      </c>
      <c r="AZ352" s="413" t="s">
        <v>3183</v>
      </c>
      <c r="BA352" s="145">
        <v>450</v>
      </c>
      <c r="BB352" s="146">
        <v>2.79</v>
      </c>
      <c r="BC352" s="145">
        <v>4166</v>
      </c>
      <c r="BD352" s="145">
        <v>-16</v>
      </c>
      <c r="BF352" s="5">
        <v>330</v>
      </c>
      <c r="BG352" s="413" t="s">
        <v>718</v>
      </c>
      <c r="BH352" s="145"/>
      <c r="BI352" s="146"/>
      <c r="BJ352" s="145"/>
      <c r="BK352" s="145"/>
      <c r="BM352" s="5">
        <v>330</v>
      </c>
      <c r="BN352" s="413" t="s">
        <v>3184</v>
      </c>
      <c r="BO352" s="145">
        <v>341</v>
      </c>
      <c r="BP352" s="146">
        <v>3.12</v>
      </c>
      <c r="BQ352" s="145">
        <v>3612</v>
      </c>
      <c r="BR352" s="145">
        <v>-14</v>
      </c>
      <c r="BS352" s="5"/>
      <c r="BT352" s="5">
        <v>330</v>
      </c>
      <c r="BU352" s="413" t="s">
        <v>718</v>
      </c>
      <c r="BV352" s="145"/>
      <c r="BW352" s="146"/>
      <c r="BX352" s="145"/>
      <c r="BY352" s="145"/>
      <c r="BZ352" s="5"/>
      <c r="CA352" s="5">
        <v>330</v>
      </c>
      <c r="CB352" s="413" t="s">
        <v>718</v>
      </c>
      <c r="CC352" s="145"/>
      <c r="CD352" s="146"/>
      <c r="CE352" s="145"/>
      <c r="CF352" s="145"/>
      <c r="CG352" s="5"/>
      <c r="CH352" s="5"/>
      <c r="CI352" s="5"/>
    </row>
    <row r="353" spans="13:87" x14ac:dyDescent="0.2">
      <c r="M353" s="5">
        <v>331</v>
      </c>
      <c r="N353" s="413" t="str">
        <f t="shared" si="30"/>
        <v xml:space="preserve"> </v>
      </c>
      <c r="O353" s="414">
        <f t="shared" si="31"/>
        <v>0</v>
      </c>
      <c r="P353" s="414">
        <f t="shared" si="32"/>
        <v>0</v>
      </c>
      <c r="Q353" s="145">
        <f t="shared" si="35"/>
        <v>-8</v>
      </c>
      <c r="R353" s="414">
        <f t="shared" si="33"/>
        <v>0</v>
      </c>
      <c r="S353" s="414">
        <f t="shared" si="34"/>
        <v>0</v>
      </c>
      <c r="T353" s="19"/>
      <c r="U353" s="5"/>
      <c r="V353" s="5"/>
      <c r="W353" s="5">
        <v>331</v>
      </c>
      <c r="X353" s="144" t="s">
        <v>718</v>
      </c>
      <c r="Y353" s="145"/>
      <c r="Z353" s="146"/>
      <c r="AA353" s="145"/>
      <c r="AB353" s="145"/>
      <c r="AD353" s="5">
        <v>331</v>
      </c>
      <c r="AE353" s="413" t="s">
        <v>718</v>
      </c>
      <c r="AF353" s="145"/>
      <c r="AG353" s="146"/>
      <c r="AH353" s="145"/>
      <c r="AI353" s="145"/>
      <c r="AK353" s="5">
        <v>331</v>
      </c>
      <c r="AL353" s="413" t="s">
        <v>718</v>
      </c>
      <c r="AM353" s="145"/>
      <c r="AN353" s="146"/>
      <c r="AO353" s="145"/>
      <c r="AP353" s="145"/>
      <c r="AR353" s="5">
        <v>331</v>
      </c>
      <c r="AS353" s="413" t="s">
        <v>1307</v>
      </c>
      <c r="AT353" s="145">
        <v>350</v>
      </c>
      <c r="AU353" s="146">
        <v>3.16</v>
      </c>
      <c r="AV353" s="145">
        <v>3806</v>
      </c>
      <c r="AW353" s="145">
        <v>-14</v>
      </c>
      <c r="AY353" s="5">
        <v>331</v>
      </c>
      <c r="AZ353" s="413" t="s">
        <v>3185</v>
      </c>
      <c r="BA353" s="145">
        <v>855</v>
      </c>
      <c r="BB353" s="146">
        <v>2.1800000000000002</v>
      </c>
      <c r="BC353" s="145">
        <v>4739</v>
      </c>
      <c r="BD353" s="145">
        <v>-16</v>
      </c>
      <c r="BF353" s="5">
        <v>331</v>
      </c>
      <c r="BG353" s="413" t="s">
        <v>718</v>
      </c>
      <c r="BH353" s="145"/>
      <c r="BI353" s="146"/>
      <c r="BJ353" s="145"/>
      <c r="BK353" s="145"/>
      <c r="BM353" s="5">
        <v>331</v>
      </c>
      <c r="BN353" s="413" t="s">
        <v>3186</v>
      </c>
      <c r="BO353" s="145">
        <v>600</v>
      </c>
      <c r="BP353" s="146">
        <v>2.88</v>
      </c>
      <c r="BQ353" s="145">
        <v>4195</v>
      </c>
      <c r="BR353" s="145">
        <v>-15</v>
      </c>
      <c r="BS353" s="5"/>
      <c r="BT353" s="5">
        <v>331</v>
      </c>
      <c r="BU353" s="413" t="s">
        <v>718</v>
      </c>
      <c r="BV353" s="145"/>
      <c r="BW353" s="146"/>
      <c r="BX353" s="145"/>
      <c r="BY353" s="145"/>
      <c r="BZ353" s="5"/>
      <c r="CA353" s="5">
        <v>331</v>
      </c>
      <c r="CB353" s="413" t="s">
        <v>718</v>
      </c>
      <c r="CC353" s="145"/>
      <c r="CD353" s="146"/>
      <c r="CE353" s="145"/>
      <c r="CF353" s="145"/>
      <c r="CG353" s="5"/>
      <c r="CH353" s="5"/>
      <c r="CI353" s="5"/>
    </row>
    <row r="354" spans="13:87" x14ac:dyDescent="0.2">
      <c r="M354" s="5">
        <v>332</v>
      </c>
      <c r="N354" s="413" t="str">
        <f t="shared" si="30"/>
        <v xml:space="preserve"> </v>
      </c>
      <c r="O354" s="414">
        <f t="shared" si="31"/>
        <v>0</v>
      </c>
      <c r="P354" s="414">
        <f t="shared" si="32"/>
        <v>0</v>
      </c>
      <c r="Q354" s="145">
        <f t="shared" si="35"/>
        <v>-8</v>
      </c>
      <c r="R354" s="414">
        <f t="shared" si="33"/>
        <v>0</v>
      </c>
      <c r="S354" s="414">
        <f t="shared" si="34"/>
        <v>0</v>
      </c>
      <c r="T354" s="19"/>
      <c r="U354" s="5"/>
      <c r="V354" s="5"/>
      <c r="W354" s="5">
        <v>332</v>
      </c>
      <c r="X354" s="144" t="s">
        <v>718</v>
      </c>
      <c r="Y354" s="145"/>
      <c r="Z354" s="146"/>
      <c r="AA354" s="145"/>
      <c r="AB354" s="145"/>
      <c r="AD354" s="5">
        <v>332</v>
      </c>
      <c r="AE354" s="413" t="s">
        <v>718</v>
      </c>
      <c r="AF354" s="145"/>
      <c r="AG354" s="146"/>
      <c r="AH354" s="145"/>
      <c r="AI354" s="145"/>
      <c r="AK354" s="5">
        <v>332</v>
      </c>
      <c r="AL354" s="413" t="s">
        <v>718</v>
      </c>
      <c r="AM354" s="145"/>
      <c r="AN354" s="146"/>
      <c r="AO354" s="145"/>
      <c r="AP354" s="145"/>
      <c r="AR354" s="5">
        <v>332</v>
      </c>
      <c r="AS354" s="413" t="s">
        <v>3187</v>
      </c>
      <c r="AT354" s="145">
        <v>186</v>
      </c>
      <c r="AU354" s="146">
        <v>3.64</v>
      </c>
      <c r="AV354" s="145">
        <v>3386</v>
      </c>
      <c r="AW354" s="145">
        <v>-13</v>
      </c>
      <c r="AY354" s="5">
        <v>332</v>
      </c>
      <c r="AZ354" s="413" t="s">
        <v>3188</v>
      </c>
      <c r="BA354" s="145">
        <v>489</v>
      </c>
      <c r="BB354" s="146">
        <v>3.08</v>
      </c>
      <c r="BC354" s="145">
        <v>3841</v>
      </c>
      <c r="BD354" s="145">
        <v>-14</v>
      </c>
      <c r="BF354" s="5">
        <v>332</v>
      </c>
      <c r="BG354" s="413" t="s">
        <v>718</v>
      </c>
      <c r="BH354" s="145"/>
      <c r="BI354" s="146"/>
      <c r="BJ354" s="145"/>
      <c r="BK354" s="145"/>
      <c r="BM354" s="5">
        <v>332</v>
      </c>
      <c r="BN354" s="413" t="s">
        <v>3189</v>
      </c>
      <c r="BO354" s="145">
        <v>314</v>
      </c>
      <c r="BP354" s="146">
        <v>3.09</v>
      </c>
      <c r="BQ354" s="145">
        <v>3585</v>
      </c>
      <c r="BR354" s="145">
        <v>-14</v>
      </c>
      <c r="BS354" s="5"/>
      <c r="BT354" s="5">
        <v>332</v>
      </c>
      <c r="BU354" s="413" t="s">
        <v>718</v>
      </c>
      <c r="BV354" s="145"/>
      <c r="BW354" s="146"/>
      <c r="BX354" s="145"/>
      <c r="BY354" s="145"/>
      <c r="BZ354" s="5"/>
      <c r="CA354" s="5">
        <v>332</v>
      </c>
      <c r="CB354" s="413" t="s">
        <v>718</v>
      </c>
      <c r="CC354" s="145"/>
      <c r="CD354" s="146"/>
      <c r="CE354" s="145"/>
      <c r="CF354" s="145"/>
      <c r="CG354" s="5"/>
      <c r="CH354" s="5"/>
      <c r="CI354" s="5"/>
    </row>
    <row r="355" spans="13:87" x14ac:dyDescent="0.2">
      <c r="M355" s="5">
        <v>333</v>
      </c>
      <c r="N355" s="413" t="str">
        <f t="shared" si="30"/>
        <v xml:space="preserve"> </v>
      </c>
      <c r="O355" s="414">
        <f t="shared" si="31"/>
        <v>0</v>
      </c>
      <c r="P355" s="414">
        <f t="shared" si="32"/>
        <v>0</v>
      </c>
      <c r="Q355" s="145">
        <f t="shared" si="35"/>
        <v>-8</v>
      </c>
      <c r="R355" s="414">
        <f t="shared" si="33"/>
        <v>0</v>
      </c>
      <c r="S355" s="414">
        <f t="shared" si="34"/>
        <v>0</v>
      </c>
      <c r="T355" s="19"/>
      <c r="U355" s="5"/>
      <c r="V355" s="5"/>
      <c r="W355" s="5">
        <v>333</v>
      </c>
      <c r="X355" s="144" t="s">
        <v>718</v>
      </c>
      <c r="Y355" s="145"/>
      <c r="Z355" s="146"/>
      <c r="AA355" s="145"/>
      <c r="AB355" s="145"/>
      <c r="AD355" s="5">
        <v>333</v>
      </c>
      <c r="AE355" s="413" t="s">
        <v>718</v>
      </c>
      <c r="AF355" s="145"/>
      <c r="AG355" s="146"/>
      <c r="AH355" s="145"/>
      <c r="AI355" s="145"/>
      <c r="AK355" s="5">
        <v>333</v>
      </c>
      <c r="AL355" s="413" t="s">
        <v>718</v>
      </c>
      <c r="AM355" s="145"/>
      <c r="AN355" s="146"/>
      <c r="AO355" s="145"/>
      <c r="AP355" s="145"/>
      <c r="AR355" s="5">
        <v>333</v>
      </c>
      <c r="AS355" s="413" t="s">
        <v>3190</v>
      </c>
      <c r="AT355" s="145">
        <v>650</v>
      </c>
      <c r="AU355" s="146">
        <v>2.41</v>
      </c>
      <c r="AV355" s="145">
        <v>4539</v>
      </c>
      <c r="AW355" s="145">
        <v>-16</v>
      </c>
      <c r="AY355" s="5">
        <v>333</v>
      </c>
      <c r="AZ355" s="413" t="s">
        <v>3191</v>
      </c>
      <c r="BA355" s="145">
        <v>372</v>
      </c>
      <c r="BB355" s="146">
        <v>3.48</v>
      </c>
      <c r="BC355" s="145">
        <v>3800</v>
      </c>
      <c r="BD355" s="145">
        <v>-14</v>
      </c>
      <c r="BF355" s="5">
        <v>333</v>
      </c>
      <c r="BG355" s="413" t="s">
        <v>718</v>
      </c>
      <c r="BH355" s="145"/>
      <c r="BI355" s="146"/>
      <c r="BJ355" s="145"/>
      <c r="BK355" s="145"/>
      <c r="BM355" s="5">
        <v>333</v>
      </c>
      <c r="BN355" s="413" t="s">
        <v>3192</v>
      </c>
      <c r="BO355" s="145">
        <v>290</v>
      </c>
      <c r="BP355" s="146">
        <v>3.11</v>
      </c>
      <c r="BQ355" s="145">
        <v>3547</v>
      </c>
      <c r="BR355" s="145">
        <v>-13</v>
      </c>
      <c r="BS355" s="5"/>
      <c r="BT355" s="5">
        <v>333</v>
      </c>
      <c r="BU355" s="413" t="s">
        <v>718</v>
      </c>
      <c r="BV355" s="145"/>
      <c r="BW355" s="146"/>
      <c r="BX355" s="145"/>
      <c r="BY355" s="145"/>
      <c r="BZ355" s="5"/>
      <c r="CA355" s="5">
        <v>333</v>
      </c>
      <c r="CB355" s="413" t="s">
        <v>718</v>
      </c>
      <c r="CC355" s="145"/>
      <c r="CD355" s="146"/>
      <c r="CE355" s="145"/>
      <c r="CF355" s="145"/>
      <c r="CG355" s="5"/>
      <c r="CH355" s="5"/>
      <c r="CI355" s="5"/>
    </row>
    <row r="356" spans="13:87" x14ac:dyDescent="0.2">
      <c r="M356" s="5">
        <v>334</v>
      </c>
      <c r="N356" s="413" t="str">
        <f t="shared" si="30"/>
        <v xml:space="preserve"> </v>
      </c>
      <c r="O356" s="414">
        <f t="shared" si="31"/>
        <v>0</v>
      </c>
      <c r="P356" s="414">
        <f t="shared" si="32"/>
        <v>0</v>
      </c>
      <c r="Q356" s="145">
        <f t="shared" si="35"/>
        <v>-8</v>
      </c>
      <c r="R356" s="414">
        <f t="shared" si="33"/>
        <v>0</v>
      </c>
      <c r="S356" s="414">
        <f t="shared" si="34"/>
        <v>0</v>
      </c>
      <c r="T356" s="19"/>
      <c r="U356" s="5"/>
      <c r="V356" s="5"/>
      <c r="W356" s="5">
        <v>334</v>
      </c>
      <c r="X356" s="144" t="s">
        <v>718</v>
      </c>
      <c r="Y356" s="145"/>
      <c r="Z356" s="146"/>
      <c r="AA356" s="145"/>
      <c r="AB356" s="145"/>
      <c r="AD356" s="5">
        <v>334</v>
      </c>
      <c r="AE356" s="413" t="s">
        <v>718</v>
      </c>
      <c r="AF356" s="145"/>
      <c r="AG356" s="146"/>
      <c r="AH356" s="145"/>
      <c r="AI356" s="145"/>
      <c r="AK356" s="5">
        <v>334</v>
      </c>
      <c r="AL356" s="413" t="s">
        <v>718</v>
      </c>
      <c r="AM356" s="145"/>
      <c r="AN356" s="146"/>
      <c r="AO356" s="145"/>
      <c r="AP356" s="145"/>
      <c r="AR356" s="5">
        <v>334</v>
      </c>
      <c r="AS356" s="413" t="s">
        <v>3193</v>
      </c>
      <c r="AT356" s="145">
        <v>400</v>
      </c>
      <c r="AU356" s="146">
        <v>3.22</v>
      </c>
      <c r="AV356" s="145">
        <v>3775</v>
      </c>
      <c r="AW356" s="145">
        <v>-14</v>
      </c>
      <c r="AY356" s="5">
        <v>334</v>
      </c>
      <c r="AZ356" s="413" t="s">
        <v>3194</v>
      </c>
      <c r="BA356" s="145">
        <v>276</v>
      </c>
      <c r="BB356" s="146">
        <v>3.23</v>
      </c>
      <c r="BC356" s="145">
        <v>3640</v>
      </c>
      <c r="BD356" s="145">
        <v>-14</v>
      </c>
      <c r="BF356" s="5">
        <v>334</v>
      </c>
      <c r="BG356" s="413" t="s">
        <v>718</v>
      </c>
      <c r="BH356" s="145"/>
      <c r="BI356" s="146"/>
      <c r="BJ356" s="145"/>
      <c r="BK356" s="145"/>
      <c r="BM356" s="5">
        <v>334</v>
      </c>
      <c r="BN356" s="413" t="s">
        <v>3195</v>
      </c>
      <c r="BO356" s="145">
        <v>650</v>
      </c>
      <c r="BP356" s="146">
        <v>2.25</v>
      </c>
      <c r="BQ356" s="145">
        <v>4473</v>
      </c>
      <c r="BR356" s="145">
        <v>-16</v>
      </c>
      <c r="BS356" s="5"/>
      <c r="BT356" s="5">
        <v>334</v>
      </c>
      <c r="BU356" s="413" t="s">
        <v>718</v>
      </c>
      <c r="BV356" s="145"/>
      <c r="BW356" s="146"/>
      <c r="BX356" s="145"/>
      <c r="BY356" s="145"/>
      <c r="BZ356" s="5"/>
      <c r="CA356" s="5">
        <v>334</v>
      </c>
      <c r="CB356" s="413" t="s">
        <v>718</v>
      </c>
      <c r="CC356" s="145"/>
      <c r="CD356" s="146"/>
      <c r="CE356" s="145"/>
      <c r="CF356" s="145"/>
      <c r="CG356" s="5"/>
      <c r="CH356" s="5"/>
      <c r="CI356" s="5"/>
    </row>
    <row r="357" spans="13:87" x14ac:dyDescent="0.2">
      <c r="M357" s="5">
        <v>335</v>
      </c>
      <c r="N357" s="413" t="str">
        <f t="shared" si="30"/>
        <v xml:space="preserve"> </v>
      </c>
      <c r="O357" s="414">
        <f t="shared" si="31"/>
        <v>0</v>
      </c>
      <c r="P357" s="414">
        <f t="shared" si="32"/>
        <v>0</v>
      </c>
      <c r="Q357" s="145">
        <f t="shared" si="35"/>
        <v>-8</v>
      </c>
      <c r="R357" s="414">
        <f t="shared" si="33"/>
        <v>0</v>
      </c>
      <c r="S357" s="414">
        <f t="shared" si="34"/>
        <v>0</v>
      </c>
      <c r="T357" s="19"/>
      <c r="U357" s="5"/>
      <c r="V357" s="5"/>
      <c r="W357" s="5">
        <v>335</v>
      </c>
      <c r="X357" s="144" t="s">
        <v>718</v>
      </c>
      <c r="Y357" s="145"/>
      <c r="Z357" s="146"/>
      <c r="AA357" s="145"/>
      <c r="AB357" s="145"/>
      <c r="AD357" s="5">
        <v>335</v>
      </c>
      <c r="AE357" s="413" t="s">
        <v>718</v>
      </c>
      <c r="AF357" s="145"/>
      <c r="AG357" s="146"/>
      <c r="AH357" s="145"/>
      <c r="AI357" s="145"/>
      <c r="AK357" s="5">
        <v>335</v>
      </c>
      <c r="AL357" s="413" t="s">
        <v>718</v>
      </c>
      <c r="AM357" s="145"/>
      <c r="AN357" s="146"/>
      <c r="AO357" s="145"/>
      <c r="AP357" s="145"/>
      <c r="AR357" s="5">
        <v>335</v>
      </c>
      <c r="AS357" s="413" t="s">
        <v>3196</v>
      </c>
      <c r="AT357" s="145">
        <v>508</v>
      </c>
      <c r="AU357" s="146">
        <v>2.62</v>
      </c>
      <c r="AV357" s="145">
        <v>4294</v>
      </c>
      <c r="AW357" s="145">
        <v>-17</v>
      </c>
      <c r="AY357" s="5">
        <v>335</v>
      </c>
      <c r="AZ357" s="413" t="s">
        <v>3197</v>
      </c>
      <c r="BA357" s="145">
        <v>432</v>
      </c>
      <c r="BB357" s="146">
        <v>3.37</v>
      </c>
      <c r="BC357" s="145">
        <v>3825</v>
      </c>
      <c r="BD357" s="145">
        <v>-13</v>
      </c>
      <c r="BF357" s="5">
        <v>335</v>
      </c>
      <c r="BG357" s="413" t="s">
        <v>718</v>
      </c>
      <c r="BH357" s="145"/>
      <c r="BI357" s="146"/>
      <c r="BJ357" s="145"/>
      <c r="BK357" s="145"/>
      <c r="BM357" s="5">
        <v>335</v>
      </c>
      <c r="BN357" s="413" t="s">
        <v>3198</v>
      </c>
      <c r="BO357" s="145">
        <v>305</v>
      </c>
      <c r="BP357" s="146">
        <v>3.45</v>
      </c>
      <c r="BQ357" s="145">
        <v>3425</v>
      </c>
      <c r="BR357" s="145">
        <v>-12</v>
      </c>
      <c r="BS357" s="5"/>
      <c r="BT357" s="5">
        <v>335</v>
      </c>
      <c r="BU357" s="413" t="s">
        <v>718</v>
      </c>
      <c r="BV357" s="145"/>
      <c r="BW357" s="146"/>
      <c r="BX357" s="145"/>
      <c r="BY357" s="145"/>
      <c r="BZ357" s="5"/>
      <c r="CA357" s="5">
        <v>335</v>
      </c>
      <c r="CB357" s="413" t="s">
        <v>718</v>
      </c>
      <c r="CC357" s="145"/>
      <c r="CD357" s="146"/>
      <c r="CE357" s="145"/>
      <c r="CF357" s="145"/>
      <c r="CG357" s="5"/>
      <c r="CH357" s="5"/>
      <c r="CI357" s="5"/>
    </row>
    <row r="358" spans="13:87" x14ac:dyDescent="0.2">
      <c r="M358" s="5">
        <v>336</v>
      </c>
      <c r="N358" s="413" t="str">
        <f t="shared" si="30"/>
        <v xml:space="preserve"> </v>
      </c>
      <c r="O358" s="414">
        <f t="shared" si="31"/>
        <v>0</v>
      </c>
      <c r="P358" s="414">
        <f t="shared" si="32"/>
        <v>0</v>
      </c>
      <c r="Q358" s="145">
        <f t="shared" si="35"/>
        <v>-8</v>
      </c>
      <c r="R358" s="414">
        <f t="shared" si="33"/>
        <v>0</v>
      </c>
      <c r="S358" s="414">
        <f t="shared" si="34"/>
        <v>0</v>
      </c>
      <c r="T358" s="19"/>
      <c r="U358" s="5"/>
      <c r="V358" s="5"/>
      <c r="W358" s="5">
        <v>336</v>
      </c>
      <c r="X358" s="144" t="s">
        <v>718</v>
      </c>
      <c r="Y358" s="145"/>
      <c r="Z358" s="146"/>
      <c r="AA358" s="145"/>
      <c r="AB358" s="145"/>
      <c r="AD358" s="5">
        <v>336</v>
      </c>
      <c r="AE358" s="413" t="s">
        <v>718</v>
      </c>
      <c r="AF358" s="145"/>
      <c r="AG358" s="146"/>
      <c r="AH358" s="145"/>
      <c r="AI358" s="145"/>
      <c r="AK358" s="5">
        <v>336</v>
      </c>
      <c r="AL358" s="413" t="s">
        <v>718</v>
      </c>
      <c r="AM358" s="145"/>
      <c r="AN358" s="146"/>
      <c r="AO358" s="145"/>
      <c r="AP358" s="145"/>
      <c r="AR358" s="5">
        <v>336</v>
      </c>
      <c r="AS358" s="413" t="s">
        <v>3199</v>
      </c>
      <c r="AT358" s="145">
        <v>232</v>
      </c>
      <c r="AU358" s="146">
        <v>3.26</v>
      </c>
      <c r="AV358" s="145">
        <v>3632</v>
      </c>
      <c r="AW358" s="145">
        <v>-14</v>
      </c>
      <c r="AY358" s="5">
        <v>336</v>
      </c>
      <c r="AZ358" s="413" t="s">
        <v>3200</v>
      </c>
      <c r="BA358" s="145">
        <v>417</v>
      </c>
      <c r="BB358" s="146">
        <v>3.13</v>
      </c>
      <c r="BC358" s="145">
        <v>3864</v>
      </c>
      <c r="BD358" s="145">
        <v>-15</v>
      </c>
      <c r="BF358" s="5">
        <v>336</v>
      </c>
      <c r="BG358" s="413" t="s">
        <v>718</v>
      </c>
      <c r="BH358" s="145"/>
      <c r="BI358" s="146"/>
      <c r="BJ358" s="145"/>
      <c r="BK358" s="145"/>
      <c r="BM358" s="5">
        <v>336</v>
      </c>
      <c r="BN358" s="413" t="s">
        <v>3201</v>
      </c>
      <c r="BO358" s="145">
        <v>319</v>
      </c>
      <c r="BP358" s="146">
        <v>2.78</v>
      </c>
      <c r="BQ358" s="145">
        <v>3703</v>
      </c>
      <c r="BR358" s="145">
        <v>-14</v>
      </c>
      <c r="BS358" s="5"/>
      <c r="BT358" s="5">
        <v>336</v>
      </c>
      <c r="BU358" s="413" t="s">
        <v>718</v>
      </c>
      <c r="BV358" s="145"/>
      <c r="BW358" s="146"/>
      <c r="BX358" s="145"/>
      <c r="BY358" s="145"/>
      <c r="BZ358" s="5"/>
      <c r="CA358" s="5">
        <v>336</v>
      </c>
      <c r="CB358" s="413" t="s">
        <v>718</v>
      </c>
      <c r="CC358" s="145"/>
      <c r="CD358" s="146"/>
      <c r="CE358" s="145"/>
      <c r="CF358" s="145"/>
      <c r="CG358" s="5"/>
      <c r="CH358" s="5"/>
      <c r="CI358" s="5"/>
    </row>
    <row r="359" spans="13:87" x14ac:dyDescent="0.2">
      <c r="M359" s="5">
        <v>337</v>
      </c>
      <c r="N359" s="413" t="str">
        <f t="shared" si="30"/>
        <v xml:space="preserve"> </v>
      </c>
      <c r="O359" s="414">
        <f t="shared" si="31"/>
        <v>0</v>
      </c>
      <c r="P359" s="414">
        <f t="shared" si="32"/>
        <v>0</v>
      </c>
      <c r="Q359" s="145">
        <f t="shared" si="35"/>
        <v>-8</v>
      </c>
      <c r="R359" s="414">
        <f t="shared" si="33"/>
        <v>0</v>
      </c>
      <c r="S359" s="414">
        <f t="shared" si="34"/>
        <v>0</v>
      </c>
      <c r="T359" s="19"/>
      <c r="U359" s="5"/>
      <c r="V359" s="5"/>
      <c r="W359" s="5">
        <v>337</v>
      </c>
      <c r="X359" s="144" t="s">
        <v>718</v>
      </c>
      <c r="Y359" s="145"/>
      <c r="Z359" s="146"/>
      <c r="AA359" s="145"/>
      <c r="AB359" s="145"/>
      <c r="AD359" s="5">
        <v>337</v>
      </c>
      <c r="AE359" s="413" t="s">
        <v>718</v>
      </c>
      <c r="AF359" s="145"/>
      <c r="AG359" s="146"/>
      <c r="AH359" s="145"/>
      <c r="AI359" s="145"/>
      <c r="AK359" s="5">
        <v>337</v>
      </c>
      <c r="AL359" s="413" t="s">
        <v>718</v>
      </c>
      <c r="AM359" s="145"/>
      <c r="AN359" s="146"/>
      <c r="AO359" s="145"/>
      <c r="AP359" s="145"/>
      <c r="AR359" s="5">
        <v>337</v>
      </c>
      <c r="AS359" s="413" t="s">
        <v>3202</v>
      </c>
      <c r="AT359" s="145">
        <v>610</v>
      </c>
      <c r="AU359" s="146">
        <v>3.05</v>
      </c>
      <c r="AV359" s="145">
        <v>4373</v>
      </c>
      <c r="AW359" s="145">
        <v>-15</v>
      </c>
      <c r="AY359" s="5">
        <v>337</v>
      </c>
      <c r="AZ359" s="413" t="s">
        <v>3203</v>
      </c>
      <c r="BA359" s="145">
        <v>626</v>
      </c>
      <c r="BB359" s="146">
        <v>2.58</v>
      </c>
      <c r="BC359" s="145">
        <v>4251</v>
      </c>
      <c r="BD359" s="145">
        <v>-15</v>
      </c>
      <c r="BF359" s="5">
        <v>337</v>
      </c>
      <c r="BG359" s="413" t="s">
        <v>718</v>
      </c>
      <c r="BH359" s="145"/>
      <c r="BI359" s="146"/>
      <c r="BJ359" s="145"/>
      <c r="BK359" s="145"/>
      <c r="BM359" s="5">
        <v>337</v>
      </c>
      <c r="BN359" s="413" t="s">
        <v>3204</v>
      </c>
      <c r="BO359" s="145">
        <v>670</v>
      </c>
      <c r="BP359" s="146">
        <v>2.0699999999999998</v>
      </c>
      <c r="BQ359" s="145">
        <v>4411</v>
      </c>
      <c r="BR359" s="145">
        <v>-16</v>
      </c>
      <c r="BS359" s="5"/>
      <c r="BT359" s="5">
        <v>337</v>
      </c>
      <c r="BU359" s="413" t="s">
        <v>718</v>
      </c>
      <c r="BV359" s="145"/>
      <c r="BW359" s="146"/>
      <c r="BX359" s="145"/>
      <c r="BY359" s="145"/>
      <c r="BZ359" s="5"/>
      <c r="CA359" s="5">
        <v>337</v>
      </c>
      <c r="CB359" s="413" t="s">
        <v>718</v>
      </c>
      <c r="CC359" s="145"/>
      <c r="CD359" s="146"/>
      <c r="CE359" s="145"/>
      <c r="CF359" s="145"/>
      <c r="CG359" s="5"/>
      <c r="CH359" s="5"/>
      <c r="CI359" s="5"/>
    </row>
    <row r="360" spans="13:87" x14ac:dyDescent="0.2">
      <c r="M360" s="5">
        <v>338</v>
      </c>
      <c r="N360" s="413" t="str">
        <f t="shared" si="30"/>
        <v xml:space="preserve"> </v>
      </c>
      <c r="O360" s="414">
        <f t="shared" si="31"/>
        <v>0</v>
      </c>
      <c r="P360" s="414">
        <f t="shared" si="32"/>
        <v>0</v>
      </c>
      <c r="Q360" s="145">
        <f t="shared" si="35"/>
        <v>-8</v>
      </c>
      <c r="R360" s="414">
        <f t="shared" si="33"/>
        <v>0</v>
      </c>
      <c r="S360" s="414">
        <f t="shared" si="34"/>
        <v>0</v>
      </c>
      <c r="T360" s="19"/>
      <c r="U360" s="5"/>
      <c r="V360" s="5"/>
      <c r="W360" s="5">
        <v>338</v>
      </c>
      <c r="X360" s="144" t="s">
        <v>718</v>
      </c>
      <c r="Y360" s="145"/>
      <c r="Z360" s="146"/>
      <c r="AA360" s="145"/>
      <c r="AB360" s="145"/>
      <c r="AD360" s="5">
        <v>338</v>
      </c>
      <c r="AE360" s="413" t="s">
        <v>718</v>
      </c>
      <c r="AF360" s="145"/>
      <c r="AG360" s="146"/>
      <c r="AH360" s="145"/>
      <c r="AI360" s="145"/>
      <c r="AK360" s="5">
        <v>338</v>
      </c>
      <c r="AL360" s="413" t="s">
        <v>718</v>
      </c>
      <c r="AM360" s="145"/>
      <c r="AN360" s="146"/>
      <c r="AO360" s="145"/>
      <c r="AP360" s="145"/>
      <c r="AR360" s="5">
        <v>338</v>
      </c>
      <c r="AS360" s="413" t="s">
        <v>3205</v>
      </c>
      <c r="AT360" s="145">
        <v>304</v>
      </c>
      <c r="AU360" s="146">
        <v>2.97</v>
      </c>
      <c r="AV360" s="145">
        <v>3781</v>
      </c>
      <c r="AW360" s="145">
        <v>-14</v>
      </c>
      <c r="AY360" s="5">
        <v>338</v>
      </c>
      <c r="AZ360" s="413" t="s">
        <v>3206</v>
      </c>
      <c r="BA360" s="145">
        <v>486</v>
      </c>
      <c r="BB360" s="146">
        <v>2.97</v>
      </c>
      <c r="BC360" s="145">
        <v>4018</v>
      </c>
      <c r="BD360" s="145">
        <v>-16</v>
      </c>
      <c r="BF360" s="5">
        <v>338</v>
      </c>
      <c r="BG360" s="413" t="s">
        <v>718</v>
      </c>
      <c r="BH360" s="145"/>
      <c r="BI360" s="146"/>
      <c r="BJ360" s="145"/>
      <c r="BK360" s="145"/>
      <c r="BM360" s="5">
        <v>338</v>
      </c>
      <c r="BN360" s="413" t="s">
        <v>718</v>
      </c>
      <c r="BO360" s="145"/>
      <c r="BP360" s="146"/>
      <c r="BQ360" s="145"/>
      <c r="BR360" s="145"/>
      <c r="BS360" s="5"/>
      <c r="BT360" s="5">
        <v>338</v>
      </c>
      <c r="BU360" s="413" t="s">
        <v>718</v>
      </c>
      <c r="BV360" s="145"/>
      <c r="BW360" s="146"/>
      <c r="BX360" s="145"/>
      <c r="BY360" s="145"/>
      <c r="BZ360" s="5"/>
      <c r="CA360" s="5">
        <v>338</v>
      </c>
      <c r="CB360" s="413" t="s">
        <v>718</v>
      </c>
      <c r="CC360" s="145"/>
      <c r="CD360" s="146"/>
      <c r="CE360" s="145"/>
      <c r="CF360" s="145"/>
      <c r="CG360" s="5"/>
      <c r="CH360" s="5"/>
      <c r="CI360" s="5"/>
    </row>
    <row r="361" spans="13:87" x14ac:dyDescent="0.2">
      <c r="M361" s="5">
        <v>339</v>
      </c>
      <c r="N361" s="413" t="str">
        <f t="shared" si="30"/>
        <v xml:space="preserve"> </v>
      </c>
      <c r="O361" s="414">
        <f t="shared" si="31"/>
        <v>0</v>
      </c>
      <c r="P361" s="414">
        <f t="shared" si="32"/>
        <v>0</v>
      </c>
      <c r="Q361" s="145">
        <f t="shared" si="35"/>
        <v>-8</v>
      </c>
      <c r="R361" s="414">
        <f t="shared" si="33"/>
        <v>0</v>
      </c>
      <c r="S361" s="414">
        <f t="shared" si="34"/>
        <v>0</v>
      </c>
      <c r="T361" s="19"/>
      <c r="U361" s="5"/>
      <c r="V361" s="5"/>
      <c r="W361" s="5">
        <v>339</v>
      </c>
      <c r="X361" s="144" t="s">
        <v>718</v>
      </c>
      <c r="Y361" s="145"/>
      <c r="Z361" s="146"/>
      <c r="AA361" s="145"/>
      <c r="AB361" s="145"/>
      <c r="AD361" s="5">
        <v>339</v>
      </c>
      <c r="AE361" s="413" t="s">
        <v>718</v>
      </c>
      <c r="AF361" s="145"/>
      <c r="AG361" s="146"/>
      <c r="AH361" s="145"/>
      <c r="AI361" s="145"/>
      <c r="AK361" s="5">
        <v>339</v>
      </c>
      <c r="AL361" s="413" t="s">
        <v>718</v>
      </c>
      <c r="AM361" s="145"/>
      <c r="AN361" s="146"/>
      <c r="AO361" s="145"/>
      <c r="AP361" s="145"/>
      <c r="AR361" s="5">
        <v>339</v>
      </c>
      <c r="AS361" s="413" t="s">
        <v>3207</v>
      </c>
      <c r="AT361" s="145">
        <v>214</v>
      </c>
      <c r="AU361" s="146">
        <v>3.25</v>
      </c>
      <c r="AV361" s="145">
        <v>3701</v>
      </c>
      <c r="AW361" s="145">
        <v>-14</v>
      </c>
      <c r="AY361" s="5">
        <v>339</v>
      </c>
      <c r="AZ361" s="413" t="s">
        <v>3208</v>
      </c>
      <c r="BA361" s="145">
        <v>479</v>
      </c>
      <c r="BB361" s="146">
        <v>3.42</v>
      </c>
      <c r="BC361" s="145">
        <v>3897</v>
      </c>
      <c r="BD361" s="145">
        <v>-14</v>
      </c>
      <c r="BF361" s="5">
        <v>339</v>
      </c>
      <c r="BG361" s="413" t="s">
        <v>718</v>
      </c>
      <c r="BH361" s="145"/>
      <c r="BI361" s="146"/>
      <c r="BJ361" s="145"/>
      <c r="BK361" s="145"/>
      <c r="BM361" s="5">
        <v>339</v>
      </c>
      <c r="BN361" s="413" t="s">
        <v>718</v>
      </c>
      <c r="BO361" s="145"/>
      <c r="BP361" s="146"/>
      <c r="BQ361" s="145"/>
      <c r="BR361" s="145"/>
      <c r="BS361" s="5"/>
      <c r="BT361" s="5">
        <v>339</v>
      </c>
      <c r="BU361" s="413" t="s">
        <v>718</v>
      </c>
      <c r="BV361" s="145"/>
      <c r="BW361" s="146"/>
      <c r="BX361" s="145"/>
      <c r="BY361" s="145"/>
      <c r="BZ361" s="5"/>
      <c r="CA361" s="5">
        <v>339</v>
      </c>
      <c r="CB361" s="413" t="s">
        <v>718</v>
      </c>
      <c r="CC361" s="145"/>
      <c r="CD361" s="146"/>
      <c r="CE361" s="145"/>
      <c r="CF361" s="145"/>
      <c r="CG361" s="5"/>
      <c r="CH361" s="5"/>
      <c r="CI361" s="5"/>
    </row>
    <row r="362" spans="13:87" x14ac:dyDescent="0.2">
      <c r="M362" s="5">
        <v>340</v>
      </c>
      <c r="N362" s="413" t="str">
        <f t="shared" si="30"/>
        <v xml:space="preserve"> </v>
      </c>
      <c r="O362" s="414">
        <f t="shared" si="31"/>
        <v>0</v>
      </c>
      <c r="P362" s="414">
        <f t="shared" si="32"/>
        <v>0</v>
      </c>
      <c r="Q362" s="145">
        <f t="shared" si="35"/>
        <v>-8</v>
      </c>
      <c r="R362" s="414">
        <f t="shared" si="33"/>
        <v>0</v>
      </c>
      <c r="S362" s="414">
        <f t="shared" si="34"/>
        <v>0</v>
      </c>
      <c r="T362" s="19"/>
      <c r="U362" s="5"/>
      <c r="V362" s="5"/>
      <c r="W362" s="5">
        <v>340</v>
      </c>
      <c r="X362" s="144" t="s">
        <v>718</v>
      </c>
      <c r="Y362" s="145"/>
      <c r="Z362" s="146"/>
      <c r="AA362" s="145"/>
      <c r="AB362" s="145"/>
      <c r="AD362" s="5">
        <v>340</v>
      </c>
      <c r="AE362" s="413" t="s">
        <v>718</v>
      </c>
      <c r="AF362" s="145"/>
      <c r="AG362" s="146"/>
      <c r="AH362" s="145"/>
      <c r="AI362" s="145"/>
      <c r="AK362" s="5">
        <v>340</v>
      </c>
      <c r="AL362" s="413" t="s">
        <v>718</v>
      </c>
      <c r="AM362" s="145"/>
      <c r="AN362" s="146"/>
      <c r="AO362" s="145"/>
      <c r="AP362" s="145"/>
      <c r="AR362" s="5">
        <v>340</v>
      </c>
      <c r="AS362" s="413" t="s">
        <v>3209</v>
      </c>
      <c r="AT362" s="145">
        <v>203</v>
      </c>
      <c r="AU362" s="146">
        <v>3.14</v>
      </c>
      <c r="AV362" s="145">
        <v>3575</v>
      </c>
      <c r="AW362" s="145">
        <v>-14</v>
      </c>
      <c r="AY362" s="5">
        <v>340</v>
      </c>
      <c r="AZ362" s="413" t="s">
        <v>3210</v>
      </c>
      <c r="BA362" s="145">
        <v>380</v>
      </c>
      <c r="BB362" s="146">
        <v>3.13</v>
      </c>
      <c r="BC362" s="145">
        <v>3746</v>
      </c>
      <c r="BD362" s="145">
        <v>-13</v>
      </c>
      <c r="BF362" s="5">
        <v>340</v>
      </c>
      <c r="BG362" s="413" t="s">
        <v>718</v>
      </c>
      <c r="BH362" s="145"/>
      <c r="BI362" s="146"/>
      <c r="BJ362" s="145"/>
      <c r="BK362" s="145"/>
      <c r="BM362" s="5">
        <v>340</v>
      </c>
      <c r="BN362" s="413" t="s">
        <v>718</v>
      </c>
      <c r="BO362" s="145"/>
      <c r="BP362" s="146"/>
      <c r="BQ362" s="145"/>
      <c r="BR362" s="145"/>
      <c r="BS362" s="5"/>
      <c r="BT362" s="5">
        <v>340</v>
      </c>
      <c r="BU362" s="413" t="s">
        <v>718</v>
      </c>
      <c r="BV362" s="145"/>
      <c r="BW362" s="146"/>
      <c r="BX362" s="145"/>
      <c r="BY362" s="145"/>
      <c r="BZ362" s="5"/>
      <c r="CA362" s="5">
        <v>340</v>
      </c>
      <c r="CB362" s="413" t="s">
        <v>718</v>
      </c>
      <c r="CC362" s="145"/>
      <c r="CD362" s="146"/>
      <c r="CE362" s="145"/>
      <c r="CF362" s="145"/>
      <c r="CG362" s="5"/>
      <c r="CH362" s="5"/>
      <c r="CI362" s="5"/>
    </row>
    <row r="363" spans="13:87" x14ac:dyDescent="0.2">
      <c r="M363" s="5">
        <v>341</v>
      </c>
      <c r="N363" s="413" t="str">
        <f t="shared" si="30"/>
        <v xml:space="preserve"> </v>
      </c>
      <c r="O363" s="414">
        <f t="shared" si="31"/>
        <v>0</v>
      </c>
      <c r="P363" s="414">
        <f t="shared" si="32"/>
        <v>0</v>
      </c>
      <c r="Q363" s="145">
        <f t="shared" si="35"/>
        <v>-8</v>
      </c>
      <c r="R363" s="414">
        <f t="shared" si="33"/>
        <v>0</v>
      </c>
      <c r="S363" s="414">
        <f t="shared" si="34"/>
        <v>0</v>
      </c>
      <c r="T363" s="19"/>
      <c r="U363" s="5"/>
      <c r="V363" s="5"/>
      <c r="W363" s="5">
        <v>341</v>
      </c>
      <c r="X363" s="144" t="s">
        <v>718</v>
      </c>
      <c r="Y363" s="145"/>
      <c r="Z363" s="146"/>
      <c r="AA363" s="145"/>
      <c r="AB363" s="145"/>
      <c r="AD363" s="5">
        <v>341</v>
      </c>
      <c r="AE363" s="413" t="s">
        <v>718</v>
      </c>
      <c r="AF363" s="145"/>
      <c r="AG363" s="146"/>
      <c r="AH363" s="145"/>
      <c r="AI363" s="145"/>
      <c r="AK363" s="5">
        <v>341</v>
      </c>
      <c r="AL363" s="413" t="s">
        <v>718</v>
      </c>
      <c r="AM363" s="145"/>
      <c r="AN363" s="146"/>
      <c r="AO363" s="145"/>
      <c r="AP363" s="145"/>
      <c r="AR363" s="5">
        <v>341</v>
      </c>
      <c r="AS363" s="413" t="s">
        <v>3211</v>
      </c>
      <c r="AT363" s="145">
        <v>398</v>
      </c>
      <c r="AU363" s="146">
        <v>2.99</v>
      </c>
      <c r="AV363" s="145">
        <v>4031</v>
      </c>
      <c r="AW363" s="145">
        <v>-15</v>
      </c>
      <c r="AY363" s="5">
        <v>341</v>
      </c>
      <c r="AZ363" s="413" t="s">
        <v>3212</v>
      </c>
      <c r="BA363" s="145">
        <v>630</v>
      </c>
      <c r="BB363" s="146">
        <v>2.46</v>
      </c>
      <c r="BC363" s="145">
        <v>4438</v>
      </c>
      <c r="BD363" s="145">
        <v>-16</v>
      </c>
      <c r="BF363" s="5">
        <v>341</v>
      </c>
      <c r="BG363" s="413" t="s">
        <v>718</v>
      </c>
      <c r="BH363" s="145"/>
      <c r="BI363" s="146"/>
      <c r="BJ363" s="145"/>
      <c r="BK363" s="145"/>
      <c r="BM363" s="5">
        <v>341</v>
      </c>
      <c r="BN363" s="413" t="s">
        <v>718</v>
      </c>
      <c r="BO363" s="145"/>
      <c r="BP363" s="146"/>
      <c r="BQ363" s="145"/>
      <c r="BR363" s="145"/>
      <c r="BS363" s="5"/>
      <c r="BT363" s="5">
        <v>341</v>
      </c>
      <c r="BU363" s="413" t="s">
        <v>718</v>
      </c>
      <c r="BV363" s="145"/>
      <c r="BW363" s="146"/>
      <c r="BX363" s="145"/>
      <c r="BY363" s="145"/>
      <c r="BZ363" s="5"/>
      <c r="CA363" s="5">
        <v>341</v>
      </c>
      <c r="CB363" s="413" t="s">
        <v>718</v>
      </c>
      <c r="CC363" s="145"/>
      <c r="CD363" s="146"/>
      <c r="CE363" s="145"/>
      <c r="CF363" s="145"/>
      <c r="CG363" s="5"/>
      <c r="CH363" s="5"/>
      <c r="CI363" s="5"/>
    </row>
    <row r="364" spans="13:87" x14ac:dyDescent="0.2">
      <c r="M364" s="5">
        <v>342</v>
      </c>
      <c r="N364" s="413" t="str">
        <f t="shared" si="30"/>
        <v xml:space="preserve"> </v>
      </c>
      <c r="O364" s="414">
        <f t="shared" si="31"/>
        <v>0</v>
      </c>
      <c r="P364" s="414">
        <f t="shared" si="32"/>
        <v>0</v>
      </c>
      <c r="Q364" s="145">
        <f t="shared" si="35"/>
        <v>-8</v>
      </c>
      <c r="R364" s="414">
        <f t="shared" si="33"/>
        <v>0</v>
      </c>
      <c r="S364" s="414">
        <f t="shared" si="34"/>
        <v>0</v>
      </c>
      <c r="T364" s="19"/>
      <c r="U364" s="5"/>
      <c r="V364" s="5"/>
      <c r="W364" s="5">
        <v>342</v>
      </c>
      <c r="X364" s="144" t="s">
        <v>718</v>
      </c>
      <c r="Y364" s="145"/>
      <c r="Z364" s="146"/>
      <c r="AA364" s="145"/>
      <c r="AB364" s="145"/>
      <c r="AD364" s="5">
        <v>342</v>
      </c>
      <c r="AE364" s="413" t="s">
        <v>718</v>
      </c>
      <c r="AF364" s="145"/>
      <c r="AG364" s="146"/>
      <c r="AH364" s="145"/>
      <c r="AI364" s="145"/>
      <c r="AK364" s="5">
        <v>342</v>
      </c>
      <c r="AL364" s="413" t="s">
        <v>718</v>
      </c>
      <c r="AM364" s="145"/>
      <c r="AN364" s="146"/>
      <c r="AO364" s="145"/>
      <c r="AP364" s="145"/>
      <c r="AR364" s="5">
        <v>342</v>
      </c>
      <c r="AS364" s="413" t="s">
        <v>3213</v>
      </c>
      <c r="AT364" s="145">
        <v>310</v>
      </c>
      <c r="AU364" s="146">
        <v>3.34</v>
      </c>
      <c r="AV364" s="145">
        <v>3716</v>
      </c>
      <c r="AW364" s="145">
        <v>-13</v>
      </c>
      <c r="AY364" s="5">
        <v>342</v>
      </c>
      <c r="AZ364" s="413" t="s">
        <v>2758</v>
      </c>
      <c r="BA364" s="145">
        <v>418</v>
      </c>
      <c r="BB364" s="146">
        <v>3.04</v>
      </c>
      <c r="BC364" s="145">
        <v>3900</v>
      </c>
      <c r="BD364" s="145">
        <v>-15</v>
      </c>
      <c r="BF364" s="5">
        <v>342</v>
      </c>
      <c r="BG364" s="413" t="s">
        <v>718</v>
      </c>
      <c r="BH364" s="145"/>
      <c r="BI364" s="146"/>
      <c r="BJ364" s="145"/>
      <c r="BK364" s="145"/>
      <c r="BM364" s="5">
        <v>342</v>
      </c>
      <c r="BN364" s="413" t="s">
        <v>718</v>
      </c>
      <c r="BO364" s="145"/>
      <c r="BP364" s="146"/>
      <c r="BQ364" s="145"/>
      <c r="BR364" s="145"/>
      <c r="BS364" s="5"/>
      <c r="BT364" s="5">
        <v>342</v>
      </c>
      <c r="BU364" s="413" t="s">
        <v>718</v>
      </c>
      <c r="BV364" s="145"/>
      <c r="BW364" s="146"/>
      <c r="BX364" s="145"/>
      <c r="BY364" s="145"/>
      <c r="BZ364" s="5"/>
      <c r="CA364" s="5">
        <v>342</v>
      </c>
      <c r="CB364" s="413" t="s">
        <v>718</v>
      </c>
      <c r="CC364" s="145"/>
      <c r="CD364" s="146"/>
      <c r="CE364" s="145"/>
      <c r="CF364" s="145"/>
      <c r="CG364" s="5"/>
      <c r="CH364" s="5"/>
      <c r="CI364" s="5"/>
    </row>
    <row r="365" spans="13:87" x14ac:dyDescent="0.2">
      <c r="M365" s="5">
        <v>343</v>
      </c>
      <c r="N365" s="413" t="str">
        <f t="shared" si="30"/>
        <v xml:space="preserve"> </v>
      </c>
      <c r="O365" s="414">
        <f t="shared" si="31"/>
        <v>0</v>
      </c>
      <c r="P365" s="414">
        <f t="shared" si="32"/>
        <v>0</v>
      </c>
      <c r="Q365" s="145">
        <f t="shared" si="35"/>
        <v>-8</v>
      </c>
      <c r="R365" s="414">
        <f t="shared" si="33"/>
        <v>0</v>
      </c>
      <c r="S365" s="414">
        <f t="shared" si="34"/>
        <v>0</v>
      </c>
      <c r="T365" s="19"/>
      <c r="U365" s="5"/>
      <c r="V365" s="5"/>
      <c r="W365" s="5">
        <v>343</v>
      </c>
      <c r="X365" s="144" t="s">
        <v>718</v>
      </c>
      <c r="Y365" s="145"/>
      <c r="Z365" s="146"/>
      <c r="AA365" s="145"/>
      <c r="AB365" s="145"/>
      <c r="AD365" s="5">
        <v>343</v>
      </c>
      <c r="AE365" s="413" t="s">
        <v>718</v>
      </c>
      <c r="AF365" s="145"/>
      <c r="AG365" s="146"/>
      <c r="AH365" s="145"/>
      <c r="AI365" s="145"/>
      <c r="AK365" s="5">
        <v>343</v>
      </c>
      <c r="AL365" s="413" t="s">
        <v>718</v>
      </c>
      <c r="AM365" s="145"/>
      <c r="AN365" s="146"/>
      <c r="AO365" s="145"/>
      <c r="AP365" s="145"/>
      <c r="AR365" s="5">
        <v>343</v>
      </c>
      <c r="AS365" s="413" t="s">
        <v>3214</v>
      </c>
      <c r="AT365" s="145">
        <v>245</v>
      </c>
      <c r="AU365" s="146">
        <v>3.24</v>
      </c>
      <c r="AV365" s="145">
        <v>3636</v>
      </c>
      <c r="AW365" s="145">
        <v>-14</v>
      </c>
      <c r="AY365" s="5">
        <v>343</v>
      </c>
      <c r="AZ365" s="413" t="s">
        <v>3215</v>
      </c>
      <c r="BA365" s="145">
        <v>395</v>
      </c>
      <c r="BB365" s="146">
        <v>3.13</v>
      </c>
      <c r="BC365" s="145">
        <v>3897</v>
      </c>
      <c r="BD365" s="145">
        <v>-15</v>
      </c>
      <c r="BF365" s="5">
        <v>343</v>
      </c>
      <c r="BG365" s="413" t="s">
        <v>718</v>
      </c>
      <c r="BH365" s="145"/>
      <c r="BI365" s="146"/>
      <c r="BJ365" s="145"/>
      <c r="BK365" s="145"/>
      <c r="BM365" s="5">
        <v>343</v>
      </c>
      <c r="BN365" s="413" t="s">
        <v>718</v>
      </c>
      <c r="BO365" s="145"/>
      <c r="BP365" s="146"/>
      <c r="BQ365" s="145"/>
      <c r="BR365" s="145"/>
      <c r="BS365" s="5"/>
      <c r="BT365" s="5">
        <v>343</v>
      </c>
      <c r="BU365" s="413" t="s">
        <v>718</v>
      </c>
      <c r="BV365" s="145"/>
      <c r="BW365" s="146"/>
      <c r="BX365" s="145"/>
      <c r="BY365" s="145"/>
      <c r="BZ365" s="5"/>
      <c r="CA365" s="5">
        <v>343</v>
      </c>
      <c r="CB365" s="413" t="s">
        <v>718</v>
      </c>
      <c r="CC365" s="145"/>
      <c r="CD365" s="146"/>
      <c r="CE365" s="145"/>
      <c r="CF365" s="145"/>
      <c r="CG365" s="5"/>
      <c r="CH365" s="5"/>
      <c r="CI365" s="5"/>
    </row>
    <row r="366" spans="13:87" x14ac:dyDescent="0.2">
      <c r="M366" s="5">
        <v>344</v>
      </c>
      <c r="N366" s="413" t="str">
        <f t="shared" si="30"/>
        <v xml:space="preserve"> </v>
      </c>
      <c r="O366" s="414">
        <f t="shared" si="31"/>
        <v>0</v>
      </c>
      <c r="P366" s="414">
        <f t="shared" si="32"/>
        <v>0</v>
      </c>
      <c r="Q366" s="145">
        <f t="shared" si="35"/>
        <v>-8</v>
      </c>
      <c r="R366" s="414">
        <f t="shared" si="33"/>
        <v>0</v>
      </c>
      <c r="S366" s="414">
        <f t="shared" si="34"/>
        <v>0</v>
      </c>
      <c r="T366" s="19"/>
      <c r="U366" s="5"/>
      <c r="V366" s="5"/>
      <c r="W366" s="5">
        <v>344</v>
      </c>
      <c r="X366" s="144" t="s">
        <v>718</v>
      </c>
      <c r="Y366" s="145"/>
      <c r="Z366" s="146"/>
      <c r="AA366" s="145"/>
      <c r="AB366" s="145"/>
      <c r="AD366" s="5">
        <v>344</v>
      </c>
      <c r="AE366" s="413" t="s">
        <v>718</v>
      </c>
      <c r="AF366" s="145"/>
      <c r="AG366" s="146"/>
      <c r="AH366" s="145"/>
      <c r="AI366" s="145"/>
      <c r="AK366" s="5">
        <v>344</v>
      </c>
      <c r="AL366" s="413" t="s">
        <v>718</v>
      </c>
      <c r="AM366" s="145"/>
      <c r="AN366" s="146"/>
      <c r="AO366" s="145"/>
      <c r="AP366" s="145"/>
      <c r="AR366" s="5">
        <v>344</v>
      </c>
      <c r="AS366" s="413" t="s">
        <v>3216</v>
      </c>
      <c r="AT366" s="145">
        <v>235</v>
      </c>
      <c r="AU366" s="146">
        <v>3.34</v>
      </c>
      <c r="AV366" s="145">
        <v>3698</v>
      </c>
      <c r="AW366" s="145">
        <v>-13</v>
      </c>
      <c r="AY366" s="5">
        <v>344</v>
      </c>
      <c r="AZ366" s="413" t="s">
        <v>3217</v>
      </c>
      <c r="BA366" s="145">
        <v>565</v>
      </c>
      <c r="BB366" s="146">
        <v>2.72</v>
      </c>
      <c r="BC366" s="145">
        <v>4181</v>
      </c>
      <c r="BD366" s="145">
        <v>-15</v>
      </c>
      <c r="BF366" s="5">
        <v>344</v>
      </c>
      <c r="BG366" s="413" t="s">
        <v>718</v>
      </c>
      <c r="BH366" s="145"/>
      <c r="BI366" s="146"/>
      <c r="BJ366" s="145"/>
      <c r="BK366" s="145"/>
      <c r="BM366" s="5">
        <v>344</v>
      </c>
      <c r="BN366" s="413" t="s">
        <v>718</v>
      </c>
      <c r="BO366" s="145"/>
      <c r="BP366" s="146"/>
      <c r="BQ366" s="145"/>
      <c r="BR366" s="145"/>
      <c r="BS366" s="5"/>
      <c r="BT366" s="5">
        <v>344</v>
      </c>
      <c r="BU366" s="413" t="s">
        <v>718</v>
      </c>
      <c r="BV366" s="145"/>
      <c r="BW366" s="146"/>
      <c r="BX366" s="145"/>
      <c r="BY366" s="145"/>
      <c r="BZ366" s="5"/>
      <c r="CA366" s="5">
        <v>344</v>
      </c>
      <c r="CB366" s="413" t="s">
        <v>718</v>
      </c>
      <c r="CC366" s="145"/>
      <c r="CD366" s="146"/>
      <c r="CE366" s="145"/>
      <c r="CF366" s="145"/>
      <c r="CG366" s="5"/>
      <c r="CH366" s="5"/>
      <c r="CI366" s="5"/>
    </row>
    <row r="367" spans="13:87" x14ac:dyDescent="0.2">
      <c r="M367" s="5">
        <v>345</v>
      </c>
      <c r="N367" s="413" t="str">
        <f t="shared" si="30"/>
        <v xml:space="preserve"> </v>
      </c>
      <c r="O367" s="414">
        <f t="shared" si="31"/>
        <v>0</v>
      </c>
      <c r="P367" s="414">
        <f t="shared" si="32"/>
        <v>0</v>
      </c>
      <c r="Q367" s="145">
        <f t="shared" si="35"/>
        <v>-8</v>
      </c>
      <c r="R367" s="414">
        <f t="shared" si="33"/>
        <v>0</v>
      </c>
      <c r="S367" s="414">
        <f t="shared" si="34"/>
        <v>0</v>
      </c>
      <c r="T367" s="19"/>
      <c r="U367" s="5"/>
      <c r="V367" s="5"/>
      <c r="W367" s="5">
        <v>345</v>
      </c>
      <c r="X367" s="144" t="s">
        <v>718</v>
      </c>
      <c r="Y367" s="145"/>
      <c r="Z367" s="146"/>
      <c r="AA367" s="145"/>
      <c r="AB367" s="145"/>
      <c r="AD367" s="5">
        <v>345</v>
      </c>
      <c r="AE367" s="413" t="s">
        <v>718</v>
      </c>
      <c r="AF367" s="145"/>
      <c r="AG367" s="146"/>
      <c r="AH367" s="145"/>
      <c r="AI367" s="145"/>
      <c r="AK367" s="5">
        <v>345</v>
      </c>
      <c r="AL367" s="413" t="s">
        <v>718</v>
      </c>
      <c r="AM367" s="145"/>
      <c r="AN367" s="146"/>
      <c r="AO367" s="145"/>
      <c r="AP367" s="145"/>
      <c r="AR367" s="5">
        <v>345</v>
      </c>
      <c r="AS367" s="413" t="s">
        <v>3218</v>
      </c>
      <c r="AT367" s="145">
        <v>371</v>
      </c>
      <c r="AU367" s="146">
        <v>3.27</v>
      </c>
      <c r="AV367" s="145">
        <v>3697</v>
      </c>
      <c r="AW367" s="145">
        <v>-14</v>
      </c>
      <c r="AY367" s="5">
        <v>345</v>
      </c>
      <c r="AZ367" s="413" t="s">
        <v>3219</v>
      </c>
      <c r="BA367" s="145">
        <v>429</v>
      </c>
      <c r="BB367" s="146">
        <v>2.88</v>
      </c>
      <c r="BC367" s="145">
        <v>4125</v>
      </c>
      <c r="BD367" s="145">
        <v>-15</v>
      </c>
      <c r="BF367" s="5">
        <v>345</v>
      </c>
      <c r="BG367" s="413" t="s">
        <v>718</v>
      </c>
      <c r="BH367" s="145"/>
      <c r="BI367" s="146"/>
      <c r="BJ367" s="145"/>
      <c r="BK367" s="145"/>
      <c r="BM367" s="5">
        <v>345</v>
      </c>
      <c r="BN367" s="413" t="s">
        <v>718</v>
      </c>
      <c r="BO367" s="145"/>
      <c r="BP367" s="146"/>
      <c r="BQ367" s="145"/>
      <c r="BR367" s="145"/>
      <c r="BS367" s="5"/>
      <c r="BT367" s="5">
        <v>345</v>
      </c>
      <c r="BU367" s="413" t="s">
        <v>718</v>
      </c>
      <c r="BV367" s="145"/>
      <c r="BW367" s="146"/>
      <c r="BX367" s="145"/>
      <c r="BY367" s="145"/>
      <c r="BZ367" s="5"/>
      <c r="CA367" s="5">
        <v>345</v>
      </c>
      <c r="CB367" s="413" t="s">
        <v>718</v>
      </c>
      <c r="CC367" s="145"/>
      <c r="CD367" s="146"/>
      <c r="CE367" s="145"/>
      <c r="CF367" s="145"/>
      <c r="CG367" s="5"/>
      <c r="CH367" s="5"/>
      <c r="CI367" s="5"/>
    </row>
    <row r="368" spans="13:87" x14ac:dyDescent="0.2">
      <c r="M368" s="5">
        <v>346</v>
      </c>
      <c r="N368" s="413" t="str">
        <f t="shared" si="30"/>
        <v xml:space="preserve"> </v>
      </c>
      <c r="O368" s="414">
        <f t="shared" si="31"/>
        <v>0</v>
      </c>
      <c r="P368" s="414">
        <f t="shared" si="32"/>
        <v>0</v>
      </c>
      <c r="Q368" s="145">
        <f t="shared" si="35"/>
        <v>-8</v>
      </c>
      <c r="R368" s="414">
        <f t="shared" si="33"/>
        <v>0</v>
      </c>
      <c r="S368" s="414">
        <f t="shared" si="34"/>
        <v>0</v>
      </c>
      <c r="T368" s="19"/>
      <c r="U368" s="5"/>
      <c r="V368" s="5"/>
      <c r="W368" s="5">
        <v>346</v>
      </c>
      <c r="X368" s="144" t="s">
        <v>718</v>
      </c>
      <c r="Y368" s="145"/>
      <c r="Z368" s="146"/>
      <c r="AA368" s="145"/>
      <c r="AB368" s="145"/>
      <c r="AD368" s="5">
        <v>346</v>
      </c>
      <c r="AE368" s="413" t="s">
        <v>718</v>
      </c>
      <c r="AF368" s="145"/>
      <c r="AG368" s="146"/>
      <c r="AH368" s="145"/>
      <c r="AI368" s="145"/>
      <c r="AK368" s="5">
        <v>346</v>
      </c>
      <c r="AL368" s="413" t="s">
        <v>718</v>
      </c>
      <c r="AM368" s="145"/>
      <c r="AN368" s="146"/>
      <c r="AO368" s="145"/>
      <c r="AP368" s="145"/>
      <c r="AR368" s="5">
        <v>346</v>
      </c>
      <c r="AS368" s="413" t="s">
        <v>3220</v>
      </c>
      <c r="AT368" s="145">
        <v>475</v>
      </c>
      <c r="AU368" s="146">
        <v>2.56</v>
      </c>
      <c r="AV368" s="145">
        <v>4238</v>
      </c>
      <c r="AW368" s="145">
        <v>-16</v>
      </c>
      <c r="AY368" s="5">
        <v>346</v>
      </c>
      <c r="AZ368" s="413" t="s">
        <v>432</v>
      </c>
      <c r="BA368" s="145">
        <v>488</v>
      </c>
      <c r="BB368" s="146">
        <v>2.79</v>
      </c>
      <c r="BC368" s="145">
        <v>4267</v>
      </c>
      <c r="BD368" s="145">
        <v>-17</v>
      </c>
      <c r="BF368" s="5">
        <v>346</v>
      </c>
      <c r="BG368" s="413" t="s">
        <v>718</v>
      </c>
      <c r="BH368" s="145"/>
      <c r="BI368" s="146"/>
      <c r="BJ368" s="145"/>
      <c r="BK368" s="145"/>
      <c r="BM368" s="5">
        <v>346</v>
      </c>
      <c r="BN368" s="413" t="s">
        <v>718</v>
      </c>
      <c r="BO368" s="145"/>
      <c r="BP368" s="146"/>
      <c r="BQ368" s="145"/>
      <c r="BR368" s="145"/>
      <c r="BS368" s="5"/>
      <c r="BT368" s="5">
        <v>346</v>
      </c>
      <c r="BU368" s="413" t="s">
        <v>718</v>
      </c>
      <c r="BV368" s="145"/>
      <c r="BW368" s="146"/>
      <c r="BX368" s="145"/>
      <c r="BY368" s="145"/>
      <c r="BZ368" s="5"/>
      <c r="CA368" s="5">
        <v>346</v>
      </c>
      <c r="CB368" s="413" t="s">
        <v>718</v>
      </c>
      <c r="CC368" s="145"/>
      <c r="CD368" s="146"/>
      <c r="CE368" s="145"/>
      <c r="CF368" s="145"/>
      <c r="CG368" s="5"/>
      <c r="CH368" s="5"/>
      <c r="CI368" s="5"/>
    </row>
    <row r="369" spans="13:87" x14ac:dyDescent="0.2">
      <c r="M369" s="5">
        <v>347</v>
      </c>
      <c r="N369" s="413" t="str">
        <f t="shared" si="30"/>
        <v xml:space="preserve"> </v>
      </c>
      <c r="O369" s="414">
        <f t="shared" si="31"/>
        <v>0</v>
      </c>
      <c r="P369" s="414">
        <f t="shared" si="32"/>
        <v>0</v>
      </c>
      <c r="Q369" s="145">
        <f t="shared" si="35"/>
        <v>-8</v>
      </c>
      <c r="R369" s="414">
        <f t="shared" si="33"/>
        <v>0</v>
      </c>
      <c r="S369" s="414">
        <f t="shared" si="34"/>
        <v>0</v>
      </c>
      <c r="T369" s="19"/>
      <c r="U369" s="5"/>
      <c r="V369" s="5"/>
      <c r="W369" s="5">
        <v>347</v>
      </c>
      <c r="X369" s="144" t="s">
        <v>718</v>
      </c>
      <c r="Y369" s="145"/>
      <c r="Z369" s="146"/>
      <c r="AA369" s="145"/>
      <c r="AB369" s="145"/>
      <c r="AD369" s="5">
        <v>347</v>
      </c>
      <c r="AE369" s="413" t="s">
        <v>718</v>
      </c>
      <c r="AF369" s="145"/>
      <c r="AG369" s="146"/>
      <c r="AH369" s="145"/>
      <c r="AI369" s="145"/>
      <c r="AK369" s="5">
        <v>347</v>
      </c>
      <c r="AL369" s="413" t="s">
        <v>718</v>
      </c>
      <c r="AM369" s="145"/>
      <c r="AN369" s="146"/>
      <c r="AO369" s="145"/>
      <c r="AP369" s="145"/>
      <c r="AR369" s="5">
        <v>347</v>
      </c>
      <c r="AS369" s="413" t="s">
        <v>433</v>
      </c>
      <c r="AT369" s="145">
        <v>170</v>
      </c>
      <c r="AU369" s="146">
        <v>3.23</v>
      </c>
      <c r="AV369" s="145">
        <v>3588</v>
      </c>
      <c r="AW369" s="145">
        <v>-14</v>
      </c>
      <c r="AY369" s="5">
        <v>347</v>
      </c>
      <c r="AZ369" s="413" t="s">
        <v>434</v>
      </c>
      <c r="BA369" s="145">
        <v>413</v>
      </c>
      <c r="BB369" s="146">
        <v>3.1</v>
      </c>
      <c r="BC369" s="145">
        <v>3887</v>
      </c>
      <c r="BD369" s="145">
        <v>-14</v>
      </c>
      <c r="BF369" s="5">
        <v>347</v>
      </c>
      <c r="BG369" s="413" t="s">
        <v>718</v>
      </c>
      <c r="BH369" s="145"/>
      <c r="BI369" s="146"/>
      <c r="BJ369" s="145"/>
      <c r="BK369" s="145"/>
      <c r="BM369" s="5">
        <v>347</v>
      </c>
      <c r="BN369" s="413" t="s">
        <v>718</v>
      </c>
      <c r="BO369" s="145"/>
      <c r="BP369" s="146"/>
      <c r="BQ369" s="145"/>
      <c r="BR369" s="145"/>
      <c r="BS369" s="5"/>
      <c r="BT369" s="5">
        <v>347</v>
      </c>
      <c r="BU369" s="413" t="s">
        <v>718</v>
      </c>
      <c r="BV369" s="145"/>
      <c r="BW369" s="146"/>
      <c r="BX369" s="145"/>
      <c r="BY369" s="145"/>
      <c r="BZ369" s="5"/>
      <c r="CA369" s="5">
        <v>347</v>
      </c>
      <c r="CB369" s="413" t="s">
        <v>718</v>
      </c>
      <c r="CC369" s="145"/>
      <c r="CD369" s="146"/>
      <c r="CE369" s="145"/>
      <c r="CF369" s="145"/>
      <c r="CG369" s="5"/>
      <c r="CH369" s="5"/>
      <c r="CI369" s="5"/>
    </row>
    <row r="370" spans="13:87" x14ac:dyDescent="0.2">
      <c r="M370" s="5">
        <v>348</v>
      </c>
      <c r="N370" s="413" t="str">
        <f t="shared" si="30"/>
        <v xml:space="preserve"> </v>
      </c>
      <c r="O370" s="414">
        <f t="shared" si="31"/>
        <v>0</v>
      </c>
      <c r="P370" s="414">
        <f t="shared" si="32"/>
        <v>0</v>
      </c>
      <c r="Q370" s="145">
        <f t="shared" si="35"/>
        <v>-8</v>
      </c>
      <c r="R370" s="414">
        <f t="shared" si="33"/>
        <v>0</v>
      </c>
      <c r="S370" s="414">
        <f t="shared" si="34"/>
        <v>0</v>
      </c>
      <c r="T370" s="19"/>
      <c r="U370" s="5"/>
      <c r="V370" s="5"/>
      <c r="W370" s="5">
        <v>348</v>
      </c>
      <c r="X370" s="144" t="s">
        <v>718</v>
      </c>
      <c r="Y370" s="145"/>
      <c r="Z370" s="146"/>
      <c r="AA370" s="145"/>
      <c r="AB370" s="145"/>
      <c r="AD370" s="5">
        <v>348</v>
      </c>
      <c r="AE370" s="413" t="s">
        <v>718</v>
      </c>
      <c r="AF370" s="145"/>
      <c r="AG370" s="146"/>
      <c r="AH370" s="145"/>
      <c r="AI370" s="145"/>
      <c r="AK370" s="5">
        <v>348</v>
      </c>
      <c r="AL370" s="413" t="s">
        <v>718</v>
      </c>
      <c r="AM370" s="145"/>
      <c r="AN370" s="146"/>
      <c r="AO370" s="145"/>
      <c r="AP370" s="145"/>
      <c r="AR370" s="5">
        <v>348</v>
      </c>
      <c r="AS370" s="413" t="s">
        <v>435</v>
      </c>
      <c r="AT370" s="145">
        <v>510</v>
      </c>
      <c r="AU370" s="146">
        <v>2.95</v>
      </c>
      <c r="AV370" s="145">
        <v>4058</v>
      </c>
      <c r="AW370" s="145">
        <v>-14</v>
      </c>
      <c r="AY370" s="5">
        <v>348</v>
      </c>
      <c r="AZ370" s="413" t="s">
        <v>436</v>
      </c>
      <c r="BA370" s="145">
        <v>805</v>
      </c>
      <c r="BB370" s="146">
        <v>2.82</v>
      </c>
      <c r="BC370" s="145">
        <v>4381</v>
      </c>
      <c r="BD370" s="145">
        <v>-15</v>
      </c>
      <c r="BF370" s="5">
        <v>348</v>
      </c>
      <c r="BG370" s="413" t="s">
        <v>718</v>
      </c>
      <c r="BH370" s="145"/>
      <c r="BI370" s="146"/>
      <c r="BJ370" s="145"/>
      <c r="BK370" s="145"/>
      <c r="BM370" s="5">
        <v>348</v>
      </c>
      <c r="BN370" s="413" t="s">
        <v>718</v>
      </c>
      <c r="BO370" s="145"/>
      <c r="BP370" s="146"/>
      <c r="BQ370" s="145"/>
      <c r="BR370" s="145"/>
      <c r="BS370" s="5"/>
      <c r="BT370" s="5">
        <v>348</v>
      </c>
      <c r="BU370" s="413" t="s">
        <v>718</v>
      </c>
      <c r="BV370" s="145"/>
      <c r="BW370" s="146"/>
      <c r="BX370" s="145"/>
      <c r="BY370" s="145"/>
      <c r="BZ370" s="5"/>
      <c r="CA370" s="5">
        <v>348</v>
      </c>
      <c r="CB370" s="413" t="s">
        <v>718</v>
      </c>
      <c r="CC370" s="145"/>
      <c r="CD370" s="146"/>
      <c r="CE370" s="145"/>
      <c r="CF370" s="145"/>
      <c r="CG370" s="5"/>
      <c r="CH370" s="5"/>
      <c r="CI370" s="5"/>
    </row>
    <row r="371" spans="13:87" x14ac:dyDescent="0.2">
      <c r="M371" s="5">
        <v>349</v>
      </c>
      <c r="N371" s="413" t="str">
        <f t="shared" si="30"/>
        <v xml:space="preserve"> </v>
      </c>
      <c r="O371" s="414">
        <f t="shared" si="31"/>
        <v>0</v>
      </c>
      <c r="P371" s="414">
        <f t="shared" si="32"/>
        <v>0</v>
      </c>
      <c r="Q371" s="145">
        <f t="shared" si="35"/>
        <v>-8</v>
      </c>
      <c r="R371" s="414">
        <f t="shared" si="33"/>
        <v>0</v>
      </c>
      <c r="S371" s="414">
        <f t="shared" si="34"/>
        <v>0</v>
      </c>
      <c r="T371" s="19"/>
      <c r="U371" s="5"/>
      <c r="V371" s="5"/>
      <c r="W371" s="5">
        <v>349</v>
      </c>
      <c r="X371" s="144" t="s">
        <v>718</v>
      </c>
      <c r="Y371" s="145"/>
      <c r="Z371" s="146"/>
      <c r="AA371" s="145"/>
      <c r="AB371" s="145"/>
      <c r="AD371" s="5">
        <v>349</v>
      </c>
      <c r="AE371" s="413" t="s">
        <v>718</v>
      </c>
      <c r="AF371" s="145"/>
      <c r="AG371" s="146"/>
      <c r="AH371" s="145"/>
      <c r="AI371" s="145"/>
      <c r="AK371" s="5">
        <v>349</v>
      </c>
      <c r="AL371" s="413" t="s">
        <v>718</v>
      </c>
      <c r="AM371" s="145"/>
      <c r="AN371" s="146"/>
      <c r="AO371" s="145"/>
      <c r="AP371" s="145"/>
      <c r="AR371" s="5">
        <v>349</v>
      </c>
      <c r="AS371" s="413" t="s">
        <v>437</v>
      </c>
      <c r="AT371" s="145">
        <v>168</v>
      </c>
      <c r="AU371" s="146">
        <v>3.32</v>
      </c>
      <c r="AV371" s="145">
        <v>3603</v>
      </c>
      <c r="AW371" s="145">
        <v>-14</v>
      </c>
      <c r="AY371" s="5">
        <v>349</v>
      </c>
      <c r="AZ371" s="413" t="s">
        <v>438</v>
      </c>
      <c r="BA371" s="145">
        <v>701</v>
      </c>
      <c r="BB371" s="146">
        <v>2.48</v>
      </c>
      <c r="BC371" s="145">
        <v>4398</v>
      </c>
      <c r="BD371" s="145">
        <v>-15</v>
      </c>
      <c r="BF371" s="5">
        <v>349</v>
      </c>
      <c r="BG371" s="413" t="s">
        <v>718</v>
      </c>
      <c r="BH371" s="145"/>
      <c r="BI371" s="146"/>
      <c r="BJ371" s="145"/>
      <c r="BK371" s="145"/>
      <c r="BM371" s="5">
        <v>349</v>
      </c>
      <c r="BN371" s="413" t="s">
        <v>718</v>
      </c>
      <c r="BO371" s="145"/>
      <c r="BP371" s="146"/>
      <c r="BQ371" s="145"/>
      <c r="BR371" s="145"/>
      <c r="BS371" s="5"/>
      <c r="BT371" s="5">
        <v>349</v>
      </c>
      <c r="BU371" s="413" t="s">
        <v>718</v>
      </c>
      <c r="BV371" s="145"/>
      <c r="BW371" s="146"/>
      <c r="BX371" s="145"/>
      <c r="BY371" s="145"/>
      <c r="BZ371" s="5"/>
      <c r="CA371" s="5">
        <v>349</v>
      </c>
      <c r="CB371" s="413" t="s">
        <v>718</v>
      </c>
      <c r="CC371" s="145"/>
      <c r="CD371" s="146"/>
      <c r="CE371" s="145"/>
      <c r="CF371" s="145"/>
      <c r="CG371" s="5"/>
      <c r="CH371" s="5"/>
      <c r="CI371" s="5"/>
    </row>
    <row r="372" spans="13:87" x14ac:dyDescent="0.2">
      <c r="M372" s="5">
        <v>350</v>
      </c>
      <c r="N372" s="413" t="str">
        <f t="shared" si="30"/>
        <v xml:space="preserve"> </v>
      </c>
      <c r="O372" s="414">
        <f t="shared" si="31"/>
        <v>0</v>
      </c>
      <c r="P372" s="414">
        <f t="shared" si="32"/>
        <v>0</v>
      </c>
      <c r="Q372" s="145">
        <f t="shared" si="35"/>
        <v>-8</v>
      </c>
      <c r="R372" s="414">
        <f t="shared" si="33"/>
        <v>0</v>
      </c>
      <c r="S372" s="414">
        <f t="shared" si="34"/>
        <v>0</v>
      </c>
      <c r="T372" s="19"/>
      <c r="U372" s="5"/>
      <c r="V372" s="5"/>
      <c r="W372" s="5">
        <v>350</v>
      </c>
      <c r="X372" s="144" t="s">
        <v>718</v>
      </c>
      <c r="Y372" s="145"/>
      <c r="Z372" s="146"/>
      <c r="AA372" s="145"/>
      <c r="AB372" s="145"/>
      <c r="AD372" s="5">
        <v>350</v>
      </c>
      <c r="AE372" s="413" t="s">
        <v>718</v>
      </c>
      <c r="AF372" s="145"/>
      <c r="AG372" s="146"/>
      <c r="AH372" s="145"/>
      <c r="AI372" s="145"/>
      <c r="AK372" s="5">
        <v>350</v>
      </c>
      <c r="AL372" s="413" t="s">
        <v>718</v>
      </c>
      <c r="AM372" s="145"/>
      <c r="AN372" s="146"/>
      <c r="AO372" s="145"/>
      <c r="AP372" s="145"/>
      <c r="AR372" s="5">
        <v>350</v>
      </c>
      <c r="AS372" s="413" t="s">
        <v>439</v>
      </c>
      <c r="AT372" s="145">
        <v>406</v>
      </c>
      <c r="AU372" s="146">
        <v>2.69</v>
      </c>
      <c r="AV372" s="145">
        <v>4034</v>
      </c>
      <c r="AW372" s="145">
        <v>-15</v>
      </c>
      <c r="AY372" s="5">
        <v>350</v>
      </c>
      <c r="AZ372" s="413" t="s">
        <v>440</v>
      </c>
      <c r="BA372" s="145">
        <v>367</v>
      </c>
      <c r="BB372" s="146">
        <v>2.92</v>
      </c>
      <c r="BC372" s="145">
        <v>3980</v>
      </c>
      <c r="BD372" s="145">
        <v>-16</v>
      </c>
      <c r="BF372" s="5">
        <v>350</v>
      </c>
      <c r="BG372" s="413" t="s">
        <v>718</v>
      </c>
      <c r="BH372" s="145"/>
      <c r="BI372" s="146"/>
      <c r="BJ372" s="145"/>
      <c r="BK372" s="145"/>
      <c r="BM372" s="5">
        <v>350</v>
      </c>
      <c r="BN372" s="413" t="s">
        <v>718</v>
      </c>
      <c r="BO372" s="145"/>
      <c r="BP372" s="146"/>
      <c r="BQ372" s="145"/>
      <c r="BR372" s="145"/>
      <c r="BS372" s="5"/>
      <c r="BT372" s="5">
        <v>350</v>
      </c>
      <c r="BU372" s="413" t="s">
        <v>718</v>
      </c>
      <c r="BV372" s="145"/>
      <c r="BW372" s="146"/>
      <c r="BX372" s="145"/>
      <c r="BY372" s="145"/>
      <c r="BZ372" s="5"/>
      <c r="CA372" s="5">
        <v>350</v>
      </c>
      <c r="CB372" s="413" t="s">
        <v>718</v>
      </c>
      <c r="CC372" s="145"/>
      <c r="CD372" s="146"/>
      <c r="CE372" s="145"/>
      <c r="CF372" s="145"/>
      <c r="CG372" s="5"/>
      <c r="CH372" s="5"/>
      <c r="CI372" s="5"/>
    </row>
    <row r="373" spans="13:87" x14ac:dyDescent="0.2">
      <c r="M373" s="5">
        <v>351</v>
      </c>
      <c r="N373" s="413" t="str">
        <f t="shared" si="30"/>
        <v xml:space="preserve"> </v>
      </c>
      <c r="O373" s="414">
        <f t="shared" si="31"/>
        <v>0</v>
      </c>
      <c r="P373" s="414">
        <f t="shared" si="32"/>
        <v>0</v>
      </c>
      <c r="Q373" s="145">
        <f t="shared" si="35"/>
        <v>-8</v>
      </c>
      <c r="R373" s="414">
        <f t="shared" si="33"/>
        <v>0</v>
      </c>
      <c r="S373" s="414">
        <f t="shared" si="34"/>
        <v>0</v>
      </c>
      <c r="T373" s="19"/>
      <c r="U373" s="5"/>
      <c r="V373" s="5"/>
      <c r="W373" s="5">
        <v>351</v>
      </c>
      <c r="X373" s="144" t="s">
        <v>718</v>
      </c>
      <c r="Y373" s="145"/>
      <c r="Z373" s="146"/>
      <c r="AA373" s="145"/>
      <c r="AB373" s="145"/>
      <c r="AD373" s="5">
        <v>351</v>
      </c>
      <c r="AE373" s="413" t="s">
        <v>718</v>
      </c>
      <c r="AF373" s="145"/>
      <c r="AG373" s="146"/>
      <c r="AH373" s="145"/>
      <c r="AI373" s="145"/>
      <c r="AK373" s="5">
        <v>351</v>
      </c>
      <c r="AL373" s="413" t="s">
        <v>718</v>
      </c>
      <c r="AM373" s="145"/>
      <c r="AN373" s="146"/>
      <c r="AO373" s="145"/>
      <c r="AP373" s="145"/>
      <c r="AR373" s="5">
        <v>351</v>
      </c>
      <c r="AS373" s="413" t="s">
        <v>441</v>
      </c>
      <c r="AT373" s="145">
        <v>220</v>
      </c>
      <c r="AU373" s="146">
        <v>3.27</v>
      </c>
      <c r="AV373" s="145">
        <v>3648</v>
      </c>
      <c r="AW373" s="145">
        <v>-14</v>
      </c>
      <c r="AY373" s="5">
        <v>351</v>
      </c>
      <c r="AZ373" s="413" t="s">
        <v>442</v>
      </c>
      <c r="BA373" s="145">
        <v>475</v>
      </c>
      <c r="BB373" s="146">
        <v>2.94</v>
      </c>
      <c r="BC373" s="145">
        <v>4026</v>
      </c>
      <c r="BD373" s="145">
        <v>-15</v>
      </c>
      <c r="BF373" s="5">
        <v>351</v>
      </c>
      <c r="BG373" s="413" t="s">
        <v>718</v>
      </c>
      <c r="BH373" s="145"/>
      <c r="BI373" s="146"/>
      <c r="BJ373" s="145"/>
      <c r="BK373" s="145"/>
      <c r="BM373" s="5">
        <v>351</v>
      </c>
      <c r="BN373" s="413" t="s">
        <v>718</v>
      </c>
      <c r="BO373" s="145"/>
      <c r="BP373" s="146"/>
      <c r="BQ373" s="145"/>
      <c r="BR373" s="145"/>
      <c r="BS373" s="5"/>
      <c r="BT373" s="5">
        <v>351</v>
      </c>
      <c r="BU373" s="413" t="s">
        <v>718</v>
      </c>
      <c r="BV373" s="145"/>
      <c r="BW373" s="146"/>
      <c r="BX373" s="145"/>
      <c r="BY373" s="145"/>
      <c r="BZ373" s="5"/>
      <c r="CA373" s="5">
        <v>351</v>
      </c>
      <c r="CB373" s="413" t="s">
        <v>718</v>
      </c>
      <c r="CC373" s="145"/>
      <c r="CD373" s="146"/>
      <c r="CE373" s="145"/>
      <c r="CF373" s="145"/>
      <c r="CG373" s="5"/>
      <c r="CH373" s="5"/>
      <c r="CI373" s="5"/>
    </row>
    <row r="374" spans="13:87" x14ac:dyDescent="0.2">
      <c r="M374" s="5">
        <v>352</v>
      </c>
      <c r="N374" s="413" t="str">
        <f t="shared" si="30"/>
        <v xml:space="preserve"> </v>
      </c>
      <c r="O374" s="414">
        <f t="shared" si="31"/>
        <v>0</v>
      </c>
      <c r="P374" s="414">
        <f t="shared" si="32"/>
        <v>0</v>
      </c>
      <c r="Q374" s="145">
        <f t="shared" si="35"/>
        <v>-8</v>
      </c>
      <c r="R374" s="414">
        <f t="shared" si="33"/>
        <v>0</v>
      </c>
      <c r="S374" s="414">
        <f t="shared" si="34"/>
        <v>0</v>
      </c>
      <c r="T374" s="19"/>
      <c r="U374" s="5"/>
      <c r="V374" s="5"/>
      <c r="W374" s="5">
        <v>352</v>
      </c>
      <c r="X374" s="144" t="s">
        <v>718</v>
      </c>
      <c r="Y374" s="145"/>
      <c r="Z374" s="146"/>
      <c r="AA374" s="145"/>
      <c r="AB374" s="145"/>
      <c r="AD374" s="5">
        <v>352</v>
      </c>
      <c r="AE374" s="413" t="s">
        <v>718</v>
      </c>
      <c r="AF374" s="145"/>
      <c r="AG374" s="146"/>
      <c r="AH374" s="145"/>
      <c r="AI374" s="145"/>
      <c r="AK374" s="5">
        <v>352</v>
      </c>
      <c r="AL374" s="413" t="s">
        <v>718</v>
      </c>
      <c r="AM374" s="145"/>
      <c r="AN374" s="146"/>
      <c r="AO374" s="145"/>
      <c r="AP374" s="145"/>
      <c r="AR374" s="5">
        <v>352</v>
      </c>
      <c r="AS374" s="413" t="s">
        <v>443</v>
      </c>
      <c r="AT374" s="145">
        <v>223</v>
      </c>
      <c r="AU374" s="146">
        <v>3.18</v>
      </c>
      <c r="AV374" s="145">
        <v>3667</v>
      </c>
      <c r="AW374" s="145">
        <v>-14</v>
      </c>
      <c r="AY374" s="5">
        <v>352</v>
      </c>
      <c r="AZ374" s="413" t="s">
        <v>444</v>
      </c>
      <c r="BA374" s="145">
        <v>303</v>
      </c>
      <c r="BB374" s="146">
        <v>3.05</v>
      </c>
      <c r="BC374" s="145">
        <v>3712</v>
      </c>
      <c r="BD374" s="145">
        <v>-14</v>
      </c>
      <c r="BF374" s="5">
        <v>352</v>
      </c>
      <c r="BG374" s="413" t="s">
        <v>718</v>
      </c>
      <c r="BH374" s="145"/>
      <c r="BI374" s="146"/>
      <c r="BJ374" s="145"/>
      <c r="BK374" s="145"/>
      <c r="BM374" s="5">
        <v>352</v>
      </c>
      <c r="BN374" s="413" t="s">
        <v>718</v>
      </c>
      <c r="BO374" s="145"/>
      <c r="BP374" s="146"/>
      <c r="BQ374" s="145"/>
      <c r="BR374" s="145"/>
      <c r="BS374" s="5"/>
      <c r="BT374" s="5">
        <v>352</v>
      </c>
      <c r="BU374" s="413" t="s">
        <v>718</v>
      </c>
      <c r="BV374" s="145"/>
      <c r="BW374" s="146"/>
      <c r="BX374" s="145"/>
      <c r="BY374" s="145"/>
      <c r="BZ374" s="5"/>
      <c r="CA374" s="5">
        <v>352</v>
      </c>
      <c r="CB374" s="413" t="s">
        <v>718</v>
      </c>
      <c r="CC374" s="145"/>
      <c r="CD374" s="146"/>
      <c r="CE374" s="145"/>
      <c r="CF374" s="145"/>
      <c r="CG374" s="5"/>
      <c r="CH374" s="5"/>
      <c r="CI374" s="5"/>
    </row>
    <row r="375" spans="13:87" x14ac:dyDescent="0.2">
      <c r="M375" s="5">
        <v>353</v>
      </c>
      <c r="N375" s="413" t="str">
        <f t="shared" si="30"/>
        <v xml:space="preserve"> </v>
      </c>
      <c r="O375" s="414">
        <f t="shared" si="31"/>
        <v>0</v>
      </c>
      <c r="P375" s="414">
        <f t="shared" si="32"/>
        <v>0</v>
      </c>
      <c r="Q375" s="145">
        <f t="shared" si="35"/>
        <v>-8</v>
      </c>
      <c r="R375" s="414">
        <f t="shared" si="33"/>
        <v>0</v>
      </c>
      <c r="S375" s="414">
        <f t="shared" si="34"/>
        <v>0</v>
      </c>
      <c r="T375" s="19"/>
      <c r="U375" s="5"/>
      <c r="V375" s="5"/>
      <c r="W375" s="5">
        <v>353</v>
      </c>
      <c r="X375" s="144" t="s">
        <v>718</v>
      </c>
      <c r="Y375" s="145"/>
      <c r="Z375" s="146"/>
      <c r="AA375" s="145"/>
      <c r="AB375" s="145"/>
      <c r="AD375" s="5">
        <v>353</v>
      </c>
      <c r="AE375" s="413" t="s">
        <v>718</v>
      </c>
      <c r="AF375" s="145"/>
      <c r="AG375" s="146"/>
      <c r="AH375" s="145"/>
      <c r="AI375" s="145"/>
      <c r="AK375" s="5">
        <v>353</v>
      </c>
      <c r="AL375" s="413" t="s">
        <v>718</v>
      </c>
      <c r="AM375" s="145"/>
      <c r="AN375" s="146"/>
      <c r="AO375" s="145"/>
      <c r="AP375" s="145"/>
      <c r="AR375" s="5">
        <v>353</v>
      </c>
      <c r="AS375" s="413" t="s">
        <v>445</v>
      </c>
      <c r="AT375" s="145">
        <v>254</v>
      </c>
      <c r="AU375" s="146">
        <v>3.13</v>
      </c>
      <c r="AV375" s="145">
        <v>3678</v>
      </c>
      <c r="AW375" s="145">
        <v>-14</v>
      </c>
      <c r="AY375" s="5">
        <v>353</v>
      </c>
      <c r="AZ375" s="413" t="s">
        <v>446</v>
      </c>
      <c r="BA375" s="145">
        <v>446</v>
      </c>
      <c r="BB375" s="146">
        <v>3.25</v>
      </c>
      <c r="BC375" s="145">
        <v>3920</v>
      </c>
      <c r="BD375" s="145">
        <v>-14</v>
      </c>
      <c r="BF375" s="5">
        <v>353</v>
      </c>
      <c r="BG375" s="413" t="s">
        <v>718</v>
      </c>
      <c r="BH375" s="145"/>
      <c r="BI375" s="146"/>
      <c r="BJ375" s="145"/>
      <c r="BK375" s="145"/>
      <c r="BM375" s="5">
        <v>353</v>
      </c>
      <c r="BN375" s="413" t="s">
        <v>718</v>
      </c>
      <c r="BO375" s="145"/>
      <c r="BP375" s="146"/>
      <c r="BQ375" s="145"/>
      <c r="BR375" s="145"/>
      <c r="BS375" s="5"/>
      <c r="BT375" s="5">
        <v>353</v>
      </c>
      <c r="BU375" s="413" t="s">
        <v>718</v>
      </c>
      <c r="BV375" s="145"/>
      <c r="BW375" s="146"/>
      <c r="BX375" s="145"/>
      <c r="BY375" s="145"/>
      <c r="BZ375" s="5"/>
      <c r="CA375" s="5">
        <v>353</v>
      </c>
      <c r="CB375" s="413" t="s">
        <v>718</v>
      </c>
      <c r="CC375" s="145"/>
      <c r="CD375" s="146"/>
      <c r="CE375" s="145"/>
      <c r="CF375" s="145"/>
      <c r="CG375" s="5"/>
      <c r="CH375" s="5"/>
      <c r="CI375" s="5"/>
    </row>
    <row r="376" spans="13:87" x14ac:dyDescent="0.2">
      <c r="M376" s="5">
        <v>354</v>
      </c>
      <c r="N376" s="413" t="str">
        <f t="shared" si="30"/>
        <v xml:space="preserve"> </v>
      </c>
      <c r="O376" s="414">
        <f t="shared" si="31"/>
        <v>0</v>
      </c>
      <c r="P376" s="414">
        <f t="shared" si="32"/>
        <v>0</v>
      </c>
      <c r="Q376" s="145">
        <f t="shared" si="35"/>
        <v>-8</v>
      </c>
      <c r="R376" s="414">
        <f t="shared" si="33"/>
        <v>0</v>
      </c>
      <c r="S376" s="414">
        <f t="shared" si="34"/>
        <v>0</v>
      </c>
      <c r="T376" s="19"/>
      <c r="U376" s="5"/>
      <c r="V376" s="5"/>
      <c r="W376" s="5">
        <v>354</v>
      </c>
      <c r="X376" s="144" t="s">
        <v>718</v>
      </c>
      <c r="Y376" s="145"/>
      <c r="Z376" s="146"/>
      <c r="AA376" s="145"/>
      <c r="AB376" s="145"/>
      <c r="AD376" s="5">
        <v>354</v>
      </c>
      <c r="AE376" s="413" t="s">
        <v>718</v>
      </c>
      <c r="AF376" s="145"/>
      <c r="AG376" s="146"/>
      <c r="AH376" s="145"/>
      <c r="AI376" s="145"/>
      <c r="AK376" s="5">
        <v>354</v>
      </c>
      <c r="AL376" s="413" t="s">
        <v>718</v>
      </c>
      <c r="AM376" s="145"/>
      <c r="AN376" s="146"/>
      <c r="AO376" s="145"/>
      <c r="AP376" s="145"/>
      <c r="AR376" s="5">
        <v>354</v>
      </c>
      <c r="AS376" s="413" t="s">
        <v>447</v>
      </c>
      <c r="AT376" s="145">
        <v>586</v>
      </c>
      <c r="AU376" s="146">
        <v>2.37</v>
      </c>
      <c r="AV376" s="145">
        <v>4601</v>
      </c>
      <c r="AW376" s="145">
        <v>-17</v>
      </c>
      <c r="AY376" s="5">
        <v>354</v>
      </c>
      <c r="AZ376" s="413" t="s">
        <v>448</v>
      </c>
      <c r="BA376" s="145">
        <v>522</v>
      </c>
      <c r="BB376" s="146">
        <v>2.97</v>
      </c>
      <c r="BC376" s="145">
        <v>4054</v>
      </c>
      <c r="BD376" s="145">
        <v>-16</v>
      </c>
      <c r="BF376" s="5">
        <v>354</v>
      </c>
      <c r="BG376" s="413" t="s">
        <v>718</v>
      </c>
      <c r="BH376" s="145"/>
      <c r="BI376" s="146"/>
      <c r="BJ376" s="145"/>
      <c r="BK376" s="145"/>
      <c r="BM376" s="5">
        <v>354</v>
      </c>
      <c r="BN376" s="413" t="s">
        <v>718</v>
      </c>
      <c r="BO376" s="145"/>
      <c r="BP376" s="146"/>
      <c r="BQ376" s="145"/>
      <c r="BR376" s="145"/>
      <c r="BS376" s="5"/>
      <c r="BT376" s="5">
        <v>354</v>
      </c>
      <c r="BU376" s="413" t="s">
        <v>718</v>
      </c>
      <c r="BV376" s="145"/>
      <c r="BW376" s="146"/>
      <c r="BX376" s="145"/>
      <c r="BY376" s="145"/>
      <c r="BZ376" s="5"/>
      <c r="CA376" s="5">
        <v>354</v>
      </c>
      <c r="CB376" s="413" t="s">
        <v>718</v>
      </c>
      <c r="CC376" s="145"/>
      <c r="CD376" s="146"/>
      <c r="CE376" s="145"/>
      <c r="CF376" s="145"/>
      <c r="CG376" s="5"/>
      <c r="CH376" s="5"/>
      <c r="CI376" s="5"/>
    </row>
    <row r="377" spans="13:87" x14ac:dyDescent="0.2">
      <c r="M377" s="5">
        <v>355</v>
      </c>
      <c r="N377" s="413" t="str">
        <f t="shared" si="30"/>
        <v xml:space="preserve"> </v>
      </c>
      <c r="O377" s="414">
        <f t="shared" si="31"/>
        <v>0</v>
      </c>
      <c r="P377" s="414">
        <f t="shared" si="32"/>
        <v>0</v>
      </c>
      <c r="Q377" s="145">
        <f t="shared" si="35"/>
        <v>-8</v>
      </c>
      <c r="R377" s="414">
        <f t="shared" si="33"/>
        <v>0</v>
      </c>
      <c r="S377" s="414">
        <f t="shared" si="34"/>
        <v>0</v>
      </c>
      <c r="T377" s="19"/>
      <c r="U377" s="5"/>
      <c r="V377" s="5"/>
      <c r="W377" s="5">
        <v>355</v>
      </c>
      <c r="X377" s="144" t="s">
        <v>718</v>
      </c>
      <c r="Y377" s="145"/>
      <c r="Z377" s="146"/>
      <c r="AA377" s="145"/>
      <c r="AB377" s="145"/>
      <c r="AD377" s="5">
        <v>355</v>
      </c>
      <c r="AE377" s="413" t="s">
        <v>718</v>
      </c>
      <c r="AF377" s="145"/>
      <c r="AG377" s="146"/>
      <c r="AH377" s="145"/>
      <c r="AI377" s="145"/>
      <c r="AK377" s="5">
        <v>355</v>
      </c>
      <c r="AL377" s="413" t="s">
        <v>718</v>
      </c>
      <c r="AM377" s="145"/>
      <c r="AN377" s="146"/>
      <c r="AO377" s="145"/>
      <c r="AP377" s="145"/>
      <c r="AR377" s="5">
        <v>355</v>
      </c>
      <c r="AS377" s="413" t="s">
        <v>449</v>
      </c>
      <c r="AT377" s="145">
        <v>240</v>
      </c>
      <c r="AU377" s="146">
        <v>3.15</v>
      </c>
      <c r="AV377" s="145">
        <v>3758</v>
      </c>
      <c r="AW377" s="145">
        <v>-14</v>
      </c>
      <c r="AY377" s="5">
        <v>355</v>
      </c>
      <c r="AZ377" s="413" t="s">
        <v>450</v>
      </c>
      <c r="BA377" s="145">
        <v>298</v>
      </c>
      <c r="BB377" s="146">
        <v>2.96</v>
      </c>
      <c r="BC377" s="145">
        <v>3954</v>
      </c>
      <c r="BD377" s="145">
        <v>-15</v>
      </c>
      <c r="BF377" s="5">
        <v>355</v>
      </c>
      <c r="BG377" s="413" t="s">
        <v>718</v>
      </c>
      <c r="BH377" s="145"/>
      <c r="BI377" s="146"/>
      <c r="BJ377" s="145"/>
      <c r="BK377" s="145"/>
      <c r="BM377" s="5">
        <v>355</v>
      </c>
      <c r="BN377" s="413" t="s">
        <v>718</v>
      </c>
      <c r="BO377" s="145"/>
      <c r="BP377" s="146"/>
      <c r="BQ377" s="145"/>
      <c r="BR377" s="145"/>
      <c r="BS377" s="5"/>
      <c r="BT377" s="5">
        <v>355</v>
      </c>
      <c r="BU377" s="413" t="s">
        <v>718</v>
      </c>
      <c r="BV377" s="145"/>
      <c r="BW377" s="146"/>
      <c r="BX377" s="145"/>
      <c r="BY377" s="145"/>
      <c r="BZ377" s="5"/>
      <c r="CA377" s="5">
        <v>355</v>
      </c>
      <c r="CB377" s="413" t="s">
        <v>718</v>
      </c>
      <c r="CC377" s="145"/>
      <c r="CD377" s="146"/>
      <c r="CE377" s="145"/>
      <c r="CF377" s="145"/>
      <c r="CG377" s="5"/>
      <c r="CH377" s="5"/>
      <c r="CI377" s="5"/>
    </row>
    <row r="378" spans="13:87" x14ac:dyDescent="0.2">
      <c r="M378" s="5">
        <v>356</v>
      </c>
      <c r="N378" s="413" t="str">
        <f t="shared" si="30"/>
        <v xml:space="preserve"> </v>
      </c>
      <c r="O378" s="414">
        <f t="shared" si="31"/>
        <v>0</v>
      </c>
      <c r="P378" s="414">
        <f t="shared" si="32"/>
        <v>0</v>
      </c>
      <c r="Q378" s="145">
        <f t="shared" si="35"/>
        <v>-8</v>
      </c>
      <c r="R378" s="414">
        <f t="shared" si="33"/>
        <v>0</v>
      </c>
      <c r="S378" s="414">
        <f t="shared" si="34"/>
        <v>0</v>
      </c>
      <c r="T378" s="19"/>
      <c r="U378" s="5"/>
      <c r="V378" s="5"/>
      <c r="W378" s="5">
        <v>356</v>
      </c>
      <c r="X378" s="144" t="s">
        <v>718</v>
      </c>
      <c r="Y378" s="145"/>
      <c r="Z378" s="146"/>
      <c r="AA378" s="145"/>
      <c r="AB378" s="145"/>
      <c r="AD378" s="5">
        <v>356</v>
      </c>
      <c r="AE378" s="413" t="s">
        <v>718</v>
      </c>
      <c r="AF378" s="145"/>
      <c r="AG378" s="146"/>
      <c r="AH378" s="145"/>
      <c r="AI378" s="145"/>
      <c r="AK378" s="5">
        <v>356</v>
      </c>
      <c r="AL378" s="413" t="s">
        <v>718</v>
      </c>
      <c r="AM378" s="145"/>
      <c r="AN378" s="146"/>
      <c r="AO378" s="145"/>
      <c r="AP378" s="145"/>
      <c r="AR378" s="5">
        <v>356</v>
      </c>
      <c r="AS378" s="413" t="s">
        <v>451</v>
      </c>
      <c r="AT378" s="145">
        <v>530</v>
      </c>
      <c r="AU378" s="146">
        <v>2.79</v>
      </c>
      <c r="AV378" s="145">
        <v>4181</v>
      </c>
      <c r="AW378" s="145">
        <v>-15</v>
      </c>
      <c r="AY378" s="5">
        <v>356</v>
      </c>
      <c r="AZ378" s="413" t="s">
        <v>452</v>
      </c>
      <c r="BA378" s="145">
        <v>385</v>
      </c>
      <c r="BB378" s="146">
        <v>3.12</v>
      </c>
      <c r="BC378" s="145">
        <v>3781</v>
      </c>
      <c r="BD378" s="145">
        <v>-14</v>
      </c>
      <c r="BF378" s="5">
        <v>356</v>
      </c>
      <c r="BG378" s="413" t="s">
        <v>718</v>
      </c>
      <c r="BH378" s="145"/>
      <c r="BI378" s="146"/>
      <c r="BJ378" s="145"/>
      <c r="BK378" s="145"/>
      <c r="BM378" s="5">
        <v>356</v>
      </c>
      <c r="BN378" s="413" t="s">
        <v>718</v>
      </c>
      <c r="BO378" s="145"/>
      <c r="BP378" s="146"/>
      <c r="BQ378" s="145"/>
      <c r="BR378" s="145"/>
      <c r="BS378" s="5"/>
      <c r="BT378" s="5">
        <v>356</v>
      </c>
      <c r="BU378" s="413" t="s">
        <v>718</v>
      </c>
      <c r="BV378" s="145"/>
      <c r="BW378" s="146"/>
      <c r="BX378" s="145"/>
      <c r="BY378" s="145"/>
      <c r="BZ378" s="5"/>
      <c r="CA378" s="5">
        <v>356</v>
      </c>
      <c r="CB378" s="413" t="s">
        <v>718</v>
      </c>
      <c r="CC378" s="145"/>
      <c r="CD378" s="146"/>
      <c r="CE378" s="145"/>
      <c r="CF378" s="145"/>
      <c r="CG378" s="5"/>
      <c r="CH378" s="5"/>
      <c r="CI378" s="5"/>
    </row>
    <row r="379" spans="13:87" x14ac:dyDescent="0.2">
      <c r="M379" s="5">
        <v>357</v>
      </c>
      <c r="N379" s="413" t="str">
        <f t="shared" si="30"/>
        <v xml:space="preserve"> </v>
      </c>
      <c r="O379" s="414">
        <f t="shared" si="31"/>
        <v>0</v>
      </c>
      <c r="P379" s="414">
        <f t="shared" si="32"/>
        <v>0</v>
      </c>
      <c r="Q379" s="145">
        <f t="shared" si="35"/>
        <v>-8</v>
      </c>
      <c r="R379" s="414">
        <f t="shared" si="33"/>
        <v>0</v>
      </c>
      <c r="S379" s="414">
        <f t="shared" si="34"/>
        <v>0</v>
      </c>
      <c r="T379" s="19"/>
      <c r="U379" s="5"/>
      <c r="V379" s="5"/>
      <c r="W379" s="5">
        <v>357</v>
      </c>
      <c r="X379" s="144" t="s">
        <v>718</v>
      </c>
      <c r="Y379" s="145"/>
      <c r="Z379" s="146"/>
      <c r="AA379" s="145"/>
      <c r="AB379" s="145"/>
      <c r="AD379" s="5">
        <v>357</v>
      </c>
      <c r="AE379" s="413" t="s">
        <v>718</v>
      </c>
      <c r="AF379" s="145"/>
      <c r="AG379" s="146"/>
      <c r="AH379" s="145"/>
      <c r="AI379" s="145"/>
      <c r="AK379" s="5">
        <v>357</v>
      </c>
      <c r="AL379" s="413" t="s">
        <v>718</v>
      </c>
      <c r="AM379" s="145"/>
      <c r="AN379" s="146"/>
      <c r="AO379" s="145"/>
      <c r="AP379" s="145"/>
      <c r="AR379" s="5">
        <v>357</v>
      </c>
      <c r="AS379" s="413" t="s">
        <v>453</v>
      </c>
      <c r="AT379" s="145">
        <v>280</v>
      </c>
      <c r="AU379" s="146">
        <v>3.28</v>
      </c>
      <c r="AV379" s="145">
        <v>3696</v>
      </c>
      <c r="AW379" s="145">
        <v>-14</v>
      </c>
      <c r="AY379" s="5">
        <v>357</v>
      </c>
      <c r="AZ379" s="413" t="s">
        <v>454</v>
      </c>
      <c r="BA379" s="145">
        <v>477</v>
      </c>
      <c r="BB379" s="146">
        <v>3.02</v>
      </c>
      <c r="BC379" s="145">
        <v>3906</v>
      </c>
      <c r="BD379" s="145">
        <v>-14</v>
      </c>
      <c r="BF379" s="5">
        <v>357</v>
      </c>
      <c r="BG379" s="413" t="s">
        <v>718</v>
      </c>
      <c r="BH379" s="145"/>
      <c r="BI379" s="146"/>
      <c r="BJ379" s="145"/>
      <c r="BK379" s="145"/>
      <c r="BM379" s="5">
        <v>357</v>
      </c>
      <c r="BN379" s="413" t="s">
        <v>718</v>
      </c>
      <c r="BO379" s="145"/>
      <c r="BP379" s="146"/>
      <c r="BQ379" s="145"/>
      <c r="BR379" s="145"/>
      <c r="BS379" s="5"/>
      <c r="BT379" s="5">
        <v>357</v>
      </c>
      <c r="BU379" s="413" t="s">
        <v>718</v>
      </c>
      <c r="BV379" s="145"/>
      <c r="BW379" s="146"/>
      <c r="BX379" s="145"/>
      <c r="BY379" s="145"/>
      <c r="BZ379" s="5"/>
      <c r="CA379" s="5">
        <v>357</v>
      </c>
      <c r="CB379" s="413" t="s">
        <v>718</v>
      </c>
      <c r="CC379" s="145"/>
      <c r="CD379" s="146"/>
      <c r="CE379" s="145"/>
      <c r="CF379" s="145"/>
      <c r="CG379" s="5"/>
      <c r="CH379" s="5"/>
      <c r="CI379" s="5"/>
    </row>
    <row r="380" spans="13:87" x14ac:dyDescent="0.2">
      <c r="M380" s="5">
        <v>358</v>
      </c>
      <c r="N380" s="413" t="str">
        <f t="shared" si="30"/>
        <v xml:space="preserve"> </v>
      </c>
      <c r="O380" s="414">
        <f t="shared" si="31"/>
        <v>0</v>
      </c>
      <c r="P380" s="414">
        <f t="shared" si="32"/>
        <v>0</v>
      </c>
      <c r="Q380" s="145">
        <f t="shared" si="35"/>
        <v>-8</v>
      </c>
      <c r="R380" s="414">
        <f t="shared" si="33"/>
        <v>0</v>
      </c>
      <c r="S380" s="414">
        <f t="shared" si="34"/>
        <v>0</v>
      </c>
      <c r="T380" s="19"/>
      <c r="U380" s="5"/>
      <c r="V380" s="5"/>
      <c r="W380" s="5">
        <v>358</v>
      </c>
      <c r="X380" s="144" t="s">
        <v>718</v>
      </c>
      <c r="Y380" s="145"/>
      <c r="Z380" s="146"/>
      <c r="AA380" s="145"/>
      <c r="AB380" s="145"/>
      <c r="AD380" s="5">
        <v>358</v>
      </c>
      <c r="AE380" s="413" t="s">
        <v>718</v>
      </c>
      <c r="AF380" s="145"/>
      <c r="AG380" s="146"/>
      <c r="AH380" s="145"/>
      <c r="AI380" s="145"/>
      <c r="AK380" s="5">
        <v>358</v>
      </c>
      <c r="AL380" s="413" t="s">
        <v>718</v>
      </c>
      <c r="AM380" s="145"/>
      <c r="AN380" s="146"/>
      <c r="AO380" s="145"/>
      <c r="AP380" s="145"/>
      <c r="AR380" s="5">
        <v>358</v>
      </c>
      <c r="AS380" s="413" t="s">
        <v>455</v>
      </c>
      <c r="AT380" s="145">
        <v>360</v>
      </c>
      <c r="AU380" s="146">
        <v>3.1</v>
      </c>
      <c r="AV380" s="145">
        <v>3869</v>
      </c>
      <c r="AW380" s="145">
        <v>-14</v>
      </c>
      <c r="AY380" s="5">
        <v>358</v>
      </c>
      <c r="AZ380" s="413" t="s">
        <v>3959</v>
      </c>
      <c r="BA380" s="145">
        <v>748</v>
      </c>
      <c r="BB380" s="146">
        <v>2.35</v>
      </c>
      <c r="BC380" s="145">
        <v>4502</v>
      </c>
      <c r="BD380" s="145">
        <v>-16</v>
      </c>
      <c r="BF380" s="5">
        <v>358</v>
      </c>
      <c r="BG380" s="413" t="s">
        <v>718</v>
      </c>
      <c r="BH380" s="145"/>
      <c r="BI380" s="146"/>
      <c r="BJ380" s="145"/>
      <c r="BK380" s="145"/>
      <c r="BM380" s="5">
        <v>358</v>
      </c>
      <c r="BN380" s="413" t="s">
        <v>718</v>
      </c>
      <c r="BO380" s="145"/>
      <c r="BP380" s="146"/>
      <c r="BQ380" s="145"/>
      <c r="BR380" s="145"/>
      <c r="BS380" s="5"/>
      <c r="BT380" s="5">
        <v>358</v>
      </c>
      <c r="BU380" s="413" t="s">
        <v>718</v>
      </c>
      <c r="BV380" s="145"/>
      <c r="BW380" s="146"/>
      <c r="BX380" s="145"/>
      <c r="BY380" s="145"/>
      <c r="BZ380" s="5"/>
      <c r="CA380" s="5">
        <v>358</v>
      </c>
      <c r="CB380" s="413" t="s">
        <v>718</v>
      </c>
      <c r="CC380" s="145"/>
      <c r="CD380" s="146"/>
      <c r="CE380" s="145"/>
      <c r="CF380" s="145"/>
      <c r="CG380" s="5"/>
      <c r="CH380" s="5"/>
      <c r="CI380" s="5"/>
    </row>
    <row r="381" spans="13:87" x14ac:dyDescent="0.2">
      <c r="M381" s="5">
        <v>359</v>
      </c>
      <c r="N381" s="413" t="str">
        <f t="shared" si="30"/>
        <v xml:space="preserve"> </v>
      </c>
      <c r="O381" s="414">
        <f t="shared" si="31"/>
        <v>0</v>
      </c>
      <c r="P381" s="414">
        <f t="shared" si="32"/>
        <v>0</v>
      </c>
      <c r="Q381" s="145">
        <f t="shared" si="35"/>
        <v>-8</v>
      </c>
      <c r="R381" s="414">
        <f t="shared" si="33"/>
        <v>0</v>
      </c>
      <c r="S381" s="414">
        <f t="shared" si="34"/>
        <v>0</v>
      </c>
      <c r="T381" s="19"/>
      <c r="U381" s="5"/>
      <c r="V381" s="5"/>
      <c r="W381" s="5">
        <v>359</v>
      </c>
      <c r="X381" s="144" t="s">
        <v>718</v>
      </c>
      <c r="Y381" s="145"/>
      <c r="Z381" s="146"/>
      <c r="AA381" s="145"/>
      <c r="AB381" s="145"/>
      <c r="AD381" s="5">
        <v>359</v>
      </c>
      <c r="AE381" s="413" t="s">
        <v>718</v>
      </c>
      <c r="AF381" s="145"/>
      <c r="AG381" s="146"/>
      <c r="AH381" s="145"/>
      <c r="AI381" s="145"/>
      <c r="AK381" s="5">
        <v>359</v>
      </c>
      <c r="AL381" s="413" t="s">
        <v>718</v>
      </c>
      <c r="AM381" s="145"/>
      <c r="AN381" s="146"/>
      <c r="AO381" s="145"/>
      <c r="AP381" s="145"/>
      <c r="AR381" s="5">
        <v>359</v>
      </c>
      <c r="AS381" s="413" t="s">
        <v>3960</v>
      </c>
      <c r="AT381" s="145">
        <v>300</v>
      </c>
      <c r="AU381" s="146">
        <v>3.18</v>
      </c>
      <c r="AV381" s="145">
        <v>3835</v>
      </c>
      <c r="AW381" s="145">
        <v>-14</v>
      </c>
      <c r="AY381" s="5">
        <v>359</v>
      </c>
      <c r="AZ381" s="413" t="s">
        <v>3961</v>
      </c>
      <c r="BA381" s="145">
        <v>441</v>
      </c>
      <c r="BB381" s="146">
        <v>3.21</v>
      </c>
      <c r="BC381" s="145">
        <v>3812</v>
      </c>
      <c r="BD381" s="145">
        <v>-15</v>
      </c>
      <c r="BF381" s="5">
        <v>359</v>
      </c>
      <c r="BG381" s="413" t="s">
        <v>718</v>
      </c>
      <c r="BH381" s="145"/>
      <c r="BI381" s="146"/>
      <c r="BJ381" s="145"/>
      <c r="BK381" s="145"/>
      <c r="BM381" s="5">
        <v>359</v>
      </c>
      <c r="BN381" s="413" t="s">
        <v>718</v>
      </c>
      <c r="BO381" s="145"/>
      <c r="BP381" s="146"/>
      <c r="BQ381" s="145"/>
      <c r="BR381" s="145"/>
      <c r="BS381" s="5"/>
      <c r="BT381" s="5">
        <v>359</v>
      </c>
      <c r="BU381" s="413" t="s">
        <v>718</v>
      </c>
      <c r="BV381" s="145"/>
      <c r="BW381" s="146"/>
      <c r="BX381" s="145"/>
      <c r="BY381" s="145"/>
      <c r="BZ381" s="5"/>
      <c r="CA381" s="5">
        <v>359</v>
      </c>
      <c r="CB381" s="413" t="s">
        <v>718</v>
      </c>
      <c r="CC381" s="145"/>
      <c r="CD381" s="146"/>
      <c r="CE381" s="145"/>
      <c r="CF381" s="145"/>
      <c r="CG381" s="5"/>
      <c r="CH381" s="5"/>
      <c r="CI381" s="5"/>
    </row>
    <row r="382" spans="13:87" x14ac:dyDescent="0.2">
      <c r="M382" s="5">
        <v>360</v>
      </c>
      <c r="N382" s="413" t="str">
        <f t="shared" si="30"/>
        <v xml:space="preserve"> </v>
      </c>
      <c r="O382" s="414">
        <f t="shared" si="31"/>
        <v>0</v>
      </c>
      <c r="P382" s="414">
        <f t="shared" si="32"/>
        <v>0</v>
      </c>
      <c r="Q382" s="145">
        <f t="shared" si="35"/>
        <v>-8</v>
      </c>
      <c r="R382" s="414">
        <f t="shared" si="33"/>
        <v>0</v>
      </c>
      <c r="S382" s="414">
        <f t="shared" si="34"/>
        <v>0</v>
      </c>
      <c r="T382" s="19"/>
      <c r="U382" s="5"/>
      <c r="V382" s="5"/>
      <c r="W382" s="5">
        <v>360</v>
      </c>
      <c r="X382" s="144" t="s">
        <v>718</v>
      </c>
      <c r="Y382" s="145"/>
      <c r="Z382" s="146"/>
      <c r="AA382" s="145"/>
      <c r="AB382" s="145"/>
      <c r="AD382" s="5">
        <v>360</v>
      </c>
      <c r="AE382" s="413" t="s">
        <v>718</v>
      </c>
      <c r="AF382" s="145"/>
      <c r="AG382" s="146"/>
      <c r="AH382" s="145"/>
      <c r="AI382" s="145"/>
      <c r="AK382" s="5">
        <v>360</v>
      </c>
      <c r="AL382" s="413" t="s">
        <v>718</v>
      </c>
      <c r="AM382" s="145"/>
      <c r="AN382" s="146"/>
      <c r="AO382" s="145"/>
      <c r="AP382" s="145"/>
      <c r="AR382" s="5">
        <v>360</v>
      </c>
      <c r="AS382" s="413" t="s">
        <v>3962</v>
      </c>
      <c r="AT382" s="145">
        <v>190</v>
      </c>
      <c r="AU382" s="146">
        <v>3.42</v>
      </c>
      <c r="AV382" s="145">
        <v>3516</v>
      </c>
      <c r="AW382" s="145">
        <v>-13</v>
      </c>
      <c r="AY382" s="5">
        <v>360</v>
      </c>
      <c r="AZ382" s="413" t="s">
        <v>3963</v>
      </c>
      <c r="BA382" s="145">
        <v>384</v>
      </c>
      <c r="BB382" s="146">
        <v>3.1</v>
      </c>
      <c r="BC382" s="145">
        <v>3886</v>
      </c>
      <c r="BD382" s="145">
        <v>-15</v>
      </c>
      <c r="BF382" s="5">
        <v>360</v>
      </c>
      <c r="BG382" s="413" t="s">
        <v>718</v>
      </c>
      <c r="BH382" s="145"/>
      <c r="BI382" s="146"/>
      <c r="BJ382" s="145"/>
      <c r="BK382" s="145"/>
      <c r="BM382" s="5">
        <v>360</v>
      </c>
      <c r="BN382" s="413" t="s">
        <v>718</v>
      </c>
      <c r="BO382" s="145"/>
      <c r="BP382" s="146"/>
      <c r="BQ382" s="145"/>
      <c r="BR382" s="145"/>
      <c r="BS382" s="5"/>
      <c r="BT382" s="5">
        <v>360</v>
      </c>
      <c r="BU382" s="413" t="s">
        <v>718</v>
      </c>
      <c r="BV382" s="145"/>
      <c r="BW382" s="146"/>
      <c r="BX382" s="145"/>
      <c r="BY382" s="145"/>
      <c r="BZ382" s="5"/>
      <c r="CA382" s="5">
        <v>360</v>
      </c>
      <c r="CB382" s="413" t="s">
        <v>718</v>
      </c>
      <c r="CC382" s="145"/>
      <c r="CD382" s="146"/>
      <c r="CE382" s="145"/>
      <c r="CF382" s="145"/>
      <c r="CG382" s="5"/>
      <c r="CH382" s="5"/>
      <c r="CI382" s="5"/>
    </row>
    <row r="383" spans="13:87" x14ac:dyDescent="0.2">
      <c r="M383" s="5">
        <v>361</v>
      </c>
      <c r="N383" s="413" t="str">
        <f t="shared" si="30"/>
        <v xml:space="preserve"> </v>
      </c>
      <c r="O383" s="414">
        <f t="shared" si="31"/>
        <v>0</v>
      </c>
      <c r="P383" s="414">
        <f t="shared" si="32"/>
        <v>0</v>
      </c>
      <c r="Q383" s="145">
        <f t="shared" si="35"/>
        <v>-8</v>
      </c>
      <c r="R383" s="414">
        <f t="shared" si="33"/>
        <v>0</v>
      </c>
      <c r="S383" s="414">
        <f t="shared" si="34"/>
        <v>0</v>
      </c>
      <c r="T383" s="19"/>
      <c r="U383" s="5"/>
      <c r="V383" s="5"/>
      <c r="W383" s="5">
        <v>361</v>
      </c>
      <c r="X383" s="144" t="s">
        <v>718</v>
      </c>
      <c r="Y383" s="145"/>
      <c r="Z383" s="146"/>
      <c r="AA383" s="145"/>
      <c r="AB383" s="145"/>
      <c r="AD383" s="5">
        <v>361</v>
      </c>
      <c r="AE383" s="413" t="s">
        <v>718</v>
      </c>
      <c r="AF383" s="145"/>
      <c r="AG383" s="146"/>
      <c r="AH383" s="145"/>
      <c r="AI383" s="145"/>
      <c r="AK383" s="5">
        <v>361</v>
      </c>
      <c r="AL383" s="413" t="s">
        <v>718</v>
      </c>
      <c r="AM383" s="145"/>
      <c r="AN383" s="146"/>
      <c r="AO383" s="145"/>
      <c r="AP383" s="145"/>
      <c r="AR383" s="5">
        <v>361</v>
      </c>
      <c r="AS383" s="413" t="s">
        <v>3964</v>
      </c>
      <c r="AT383" s="145">
        <v>151</v>
      </c>
      <c r="AU383" s="146">
        <v>3.3</v>
      </c>
      <c r="AV383" s="145">
        <v>3507</v>
      </c>
      <c r="AW383" s="145">
        <v>-14</v>
      </c>
      <c r="AY383" s="5">
        <v>361</v>
      </c>
      <c r="AZ383" s="413" t="s">
        <v>3965</v>
      </c>
      <c r="BA383" s="145">
        <v>472</v>
      </c>
      <c r="BB383" s="146">
        <v>3.3</v>
      </c>
      <c r="BC383" s="145">
        <v>3925</v>
      </c>
      <c r="BD383" s="145">
        <v>-14</v>
      </c>
      <c r="BF383" s="5">
        <v>361</v>
      </c>
      <c r="BG383" s="413" t="s">
        <v>718</v>
      </c>
      <c r="BH383" s="145"/>
      <c r="BI383" s="146"/>
      <c r="BJ383" s="145"/>
      <c r="BK383" s="145"/>
      <c r="BM383" s="5">
        <v>361</v>
      </c>
      <c r="BN383" s="413" t="s">
        <v>718</v>
      </c>
      <c r="BO383" s="145"/>
      <c r="BP383" s="146"/>
      <c r="BQ383" s="145"/>
      <c r="BR383" s="145"/>
      <c r="BS383" s="5"/>
      <c r="BT383" s="5">
        <v>361</v>
      </c>
      <c r="BU383" s="413" t="s">
        <v>718</v>
      </c>
      <c r="BV383" s="145"/>
      <c r="BW383" s="146"/>
      <c r="BX383" s="145"/>
      <c r="BY383" s="145"/>
      <c r="BZ383" s="5"/>
      <c r="CA383" s="5">
        <v>361</v>
      </c>
      <c r="CB383" s="413" t="s">
        <v>718</v>
      </c>
      <c r="CC383" s="145"/>
      <c r="CD383" s="146"/>
      <c r="CE383" s="145"/>
      <c r="CF383" s="145"/>
      <c r="CG383" s="5"/>
      <c r="CH383" s="5"/>
      <c r="CI383" s="5"/>
    </row>
    <row r="384" spans="13:87" x14ac:dyDescent="0.2">
      <c r="M384" s="5">
        <v>362</v>
      </c>
      <c r="N384" s="413" t="str">
        <f t="shared" si="30"/>
        <v xml:space="preserve"> </v>
      </c>
      <c r="O384" s="414">
        <f t="shared" si="31"/>
        <v>0</v>
      </c>
      <c r="P384" s="414">
        <f t="shared" si="32"/>
        <v>0</v>
      </c>
      <c r="Q384" s="145">
        <f t="shared" si="35"/>
        <v>-8</v>
      </c>
      <c r="R384" s="414">
        <f t="shared" si="33"/>
        <v>0</v>
      </c>
      <c r="S384" s="414">
        <f t="shared" si="34"/>
        <v>0</v>
      </c>
      <c r="T384" s="19"/>
      <c r="U384" s="5"/>
      <c r="V384" s="5"/>
      <c r="W384" s="5">
        <v>362</v>
      </c>
      <c r="X384" s="144" t="s">
        <v>718</v>
      </c>
      <c r="Y384" s="145"/>
      <c r="Z384" s="146"/>
      <c r="AA384" s="145"/>
      <c r="AB384" s="145"/>
      <c r="AD384" s="5">
        <v>362</v>
      </c>
      <c r="AE384" s="413" t="s">
        <v>718</v>
      </c>
      <c r="AF384" s="145"/>
      <c r="AG384" s="146"/>
      <c r="AH384" s="145"/>
      <c r="AI384" s="145"/>
      <c r="AK384" s="5">
        <v>362</v>
      </c>
      <c r="AL384" s="413" t="s">
        <v>718</v>
      </c>
      <c r="AM384" s="145"/>
      <c r="AN384" s="146"/>
      <c r="AO384" s="145"/>
      <c r="AP384" s="145"/>
      <c r="AR384" s="5">
        <v>362</v>
      </c>
      <c r="AS384" s="413" t="s">
        <v>3966</v>
      </c>
      <c r="AT384" s="145">
        <v>200</v>
      </c>
      <c r="AU384" s="146">
        <v>3.15</v>
      </c>
      <c r="AV384" s="145">
        <v>3605</v>
      </c>
      <c r="AW384" s="145">
        <v>-14</v>
      </c>
      <c r="AY384" s="5">
        <v>362</v>
      </c>
      <c r="AZ384" s="413" t="s">
        <v>3967</v>
      </c>
      <c r="BA384" s="145">
        <v>305</v>
      </c>
      <c r="BB384" s="146">
        <v>3.28</v>
      </c>
      <c r="BC384" s="145">
        <v>3678</v>
      </c>
      <c r="BD384" s="145">
        <v>-14</v>
      </c>
      <c r="BF384" s="5">
        <v>362</v>
      </c>
      <c r="BG384" s="413" t="s">
        <v>718</v>
      </c>
      <c r="BH384" s="145"/>
      <c r="BI384" s="146"/>
      <c r="BJ384" s="145"/>
      <c r="BK384" s="145"/>
      <c r="BM384" s="5">
        <v>362</v>
      </c>
      <c r="BN384" s="413" t="s">
        <v>718</v>
      </c>
      <c r="BO384" s="145"/>
      <c r="BP384" s="146"/>
      <c r="BQ384" s="145"/>
      <c r="BR384" s="145"/>
      <c r="BS384" s="5"/>
      <c r="BT384" s="5">
        <v>362</v>
      </c>
      <c r="BU384" s="413" t="s">
        <v>718</v>
      </c>
      <c r="BV384" s="145"/>
      <c r="BW384" s="146"/>
      <c r="BX384" s="145"/>
      <c r="BY384" s="145"/>
      <c r="BZ384" s="5"/>
      <c r="CA384" s="5">
        <v>362</v>
      </c>
      <c r="CB384" s="413" t="s">
        <v>718</v>
      </c>
      <c r="CC384" s="145"/>
      <c r="CD384" s="146"/>
      <c r="CE384" s="145"/>
      <c r="CF384" s="145"/>
      <c r="CG384" s="5"/>
      <c r="CH384" s="5"/>
      <c r="CI384" s="5"/>
    </row>
    <row r="385" spans="13:87" x14ac:dyDescent="0.2">
      <c r="M385" s="5">
        <v>363</v>
      </c>
      <c r="N385" s="413" t="str">
        <f t="shared" si="30"/>
        <v xml:space="preserve"> </v>
      </c>
      <c r="O385" s="414">
        <f t="shared" si="31"/>
        <v>0</v>
      </c>
      <c r="P385" s="414">
        <f t="shared" si="32"/>
        <v>0</v>
      </c>
      <c r="Q385" s="145">
        <f t="shared" si="35"/>
        <v>-8</v>
      </c>
      <c r="R385" s="414">
        <f t="shared" si="33"/>
        <v>0</v>
      </c>
      <c r="S385" s="414">
        <f t="shared" si="34"/>
        <v>0</v>
      </c>
      <c r="T385" s="19"/>
      <c r="U385" s="5"/>
      <c r="V385" s="5"/>
      <c r="W385" s="5">
        <v>363</v>
      </c>
      <c r="X385" s="144" t="s">
        <v>718</v>
      </c>
      <c r="Y385" s="145"/>
      <c r="Z385" s="146"/>
      <c r="AA385" s="145"/>
      <c r="AB385" s="145"/>
      <c r="AD385" s="5">
        <v>363</v>
      </c>
      <c r="AE385" s="413" t="s">
        <v>718</v>
      </c>
      <c r="AF385" s="145"/>
      <c r="AG385" s="146"/>
      <c r="AH385" s="145"/>
      <c r="AI385" s="145"/>
      <c r="AK385" s="5">
        <v>363</v>
      </c>
      <c r="AL385" s="413" t="s">
        <v>718</v>
      </c>
      <c r="AM385" s="145"/>
      <c r="AN385" s="146"/>
      <c r="AO385" s="145"/>
      <c r="AP385" s="145"/>
      <c r="AR385" s="5">
        <v>363</v>
      </c>
      <c r="AS385" s="413" t="s">
        <v>3968</v>
      </c>
      <c r="AT385" s="145">
        <v>214</v>
      </c>
      <c r="AU385" s="146">
        <v>3.64</v>
      </c>
      <c r="AV385" s="145">
        <v>3370</v>
      </c>
      <c r="AW385" s="145">
        <v>-13</v>
      </c>
      <c r="AY385" s="5">
        <v>363</v>
      </c>
      <c r="AZ385" s="413" t="s">
        <v>3969</v>
      </c>
      <c r="BA385" s="145">
        <v>726</v>
      </c>
      <c r="BB385" s="146">
        <v>2.34</v>
      </c>
      <c r="BC385" s="145">
        <v>4592</v>
      </c>
      <c r="BD385" s="145">
        <v>-16</v>
      </c>
      <c r="BF385" s="5">
        <v>363</v>
      </c>
      <c r="BG385" s="413" t="s">
        <v>718</v>
      </c>
      <c r="BH385" s="145"/>
      <c r="BI385" s="146"/>
      <c r="BJ385" s="145"/>
      <c r="BK385" s="145"/>
      <c r="BM385" s="5">
        <v>363</v>
      </c>
      <c r="BN385" s="413" t="s">
        <v>718</v>
      </c>
      <c r="BO385" s="145"/>
      <c r="BP385" s="146"/>
      <c r="BQ385" s="145"/>
      <c r="BR385" s="145"/>
      <c r="BS385" s="5"/>
      <c r="BT385" s="5">
        <v>363</v>
      </c>
      <c r="BU385" s="413" t="s">
        <v>718</v>
      </c>
      <c r="BV385" s="145"/>
      <c r="BW385" s="146"/>
      <c r="BX385" s="145"/>
      <c r="BY385" s="145"/>
      <c r="BZ385" s="5"/>
      <c r="CA385" s="5">
        <v>363</v>
      </c>
      <c r="CB385" s="413" t="s">
        <v>718</v>
      </c>
      <c r="CC385" s="145"/>
      <c r="CD385" s="146"/>
      <c r="CE385" s="145"/>
      <c r="CF385" s="145"/>
      <c r="CG385" s="5"/>
      <c r="CH385" s="5"/>
      <c r="CI385" s="5"/>
    </row>
    <row r="386" spans="13:87" x14ac:dyDescent="0.2">
      <c r="M386" s="5">
        <v>364</v>
      </c>
      <c r="N386" s="413" t="str">
        <f t="shared" si="30"/>
        <v xml:space="preserve"> </v>
      </c>
      <c r="O386" s="414">
        <f t="shared" si="31"/>
        <v>0</v>
      </c>
      <c r="P386" s="414">
        <f t="shared" si="32"/>
        <v>0</v>
      </c>
      <c r="Q386" s="145">
        <f t="shared" si="35"/>
        <v>-8</v>
      </c>
      <c r="R386" s="414">
        <f t="shared" si="33"/>
        <v>0</v>
      </c>
      <c r="S386" s="414">
        <f t="shared" si="34"/>
        <v>0</v>
      </c>
      <c r="T386" s="19"/>
      <c r="U386" s="5"/>
      <c r="V386" s="5"/>
      <c r="W386" s="5">
        <v>364</v>
      </c>
      <c r="X386" s="144" t="s">
        <v>718</v>
      </c>
      <c r="Y386" s="145"/>
      <c r="Z386" s="146"/>
      <c r="AA386" s="145"/>
      <c r="AB386" s="145"/>
      <c r="AD386" s="5">
        <v>364</v>
      </c>
      <c r="AE386" s="413" t="s">
        <v>718</v>
      </c>
      <c r="AF386" s="145"/>
      <c r="AG386" s="146"/>
      <c r="AH386" s="145"/>
      <c r="AI386" s="145"/>
      <c r="AK386" s="5">
        <v>364</v>
      </c>
      <c r="AL386" s="413" t="s">
        <v>718</v>
      </c>
      <c r="AM386" s="145"/>
      <c r="AN386" s="146"/>
      <c r="AO386" s="145"/>
      <c r="AP386" s="145"/>
      <c r="AR386" s="5">
        <v>364</v>
      </c>
      <c r="AS386" s="413" t="s">
        <v>3970</v>
      </c>
      <c r="AT386" s="145">
        <v>162</v>
      </c>
      <c r="AU386" s="146">
        <v>3.28</v>
      </c>
      <c r="AV386" s="145">
        <v>3512</v>
      </c>
      <c r="AW386" s="145">
        <v>-14</v>
      </c>
      <c r="AY386" s="5">
        <v>364</v>
      </c>
      <c r="AZ386" s="413" t="s">
        <v>3971</v>
      </c>
      <c r="BA386" s="145">
        <v>317</v>
      </c>
      <c r="BB386" s="146">
        <v>3.59</v>
      </c>
      <c r="BC386" s="145">
        <v>3644</v>
      </c>
      <c r="BD386" s="145">
        <v>-13</v>
      </c>
      <c r="BF386" s="5">
        <v>364</v>
      </c>
      <c r="BG386" s="413" t="s">
        <v>718</v>
      </c>
      <c r="BH386" s="145"/>
      <c r="BI386" s="146"/>
      <c r="BJ386" s="145"/>
      <c r="BK386" s="145"/>
      <c r="BM386" s="5">
        <v>364</v>
      </c>
      <c r="BN386" s="413" t="s">
        <v>718</v>
      </c>
      <c r="BO386" s="145"/>
      <c r="BP386" s="146"/>
      <c r="BQ386" s="145"/>
      <c r="BR386" s="145"/>
      <c r="BS386" s="5"/>
      <c r="BT386" s="5">
        <v>364</v>
      </c>
      <c r="BU386" s="413" t="s">
        <v>718</v>
      </c>
      <c r="BV386" s="145"/>
      <c r="BW386" s="146"/>
      <c r="BX386" s="145"/>
      <c r="BY386" s="145"/>
      <c r="BZ386" s="5"/>
      <c r="CA386" s="5">
        <v>364</v>
      </c>
      <c r="CB386" s="413" t="s">
        <v>718</v>
      </c>
      <c r="CC386" s="145"/>
      <c r="CD386" s="146"/>
      <c r="CE386" s="145"/>
      <c r="CF386" s="145"/>
      <c r="CG386" s="5"/>
      <c r="CH386" s="5"/>
      <c r="CI386" s="5"/>
    </row>
    <row r="387" spans="13:87" x14ac:dyDescent="0.2">
      <c r="M387" s="5">
        <v>365</v>
      </c>
      <c r="N387" s="413" t="str">
        <f t="shared" si="30"/>
        <v xml:space="preserve"> </v>
      </c>
      <c r="O387" s="414">
        <f t="shared" si="31"/>
        <v>0</v>
      </c>
      <c r="P387" s="414">
        <f t="shared" si="32"/>
        <v>0</v>
      </c>
      <c r="Q387" s="145">
        <f t="shared" si="35"/>
        <v>-8</v>
      </c>
      <c r="R387" s="414">
        <f t="shared" si="33"/>
        <v>0</v>
      </c>
      <c r="S387" s="414">
        <f t="shared" si="34"/>
        <v>0</v>
      </c>
      <c r="T387" s="19"/>
      <c r="U387" s="5"/>
      <c r="V387" s="5"/>
      <c r="W387" s="5">
        <v>365</v>
      </c>
      <c r="X387" s="144" t="s">
        <v>718</v>
      </c>
      <c r="Y387" s="145"/>
      <c r="Z387" s="146"/>
      <c r="AA387" s="145"/>
      <c r="AB387" s="145"/>
      <c r="AD387" s="5">
        <v>365</v>
      </c>
      <c r="AE387" s="413" t="s">
        <v>718</v>
      </c>
      <c r="AF387" s="145"/>
      <c r="AG387" s="146"/>
      <c r="AH387" s="145"/>
      <c r="AI387" s="145"/>
      <c r="AK387" s="5">
        <v>365</v>
      </c>
      <c r="AL387" s="413" t="s">
        <v>718</v>
      </c>
      <c r="AM387" s="145"/>
      <c r="AN387" s="146"/>
      <c r="AO387" s="145"/>
      <c r="AP387" s="145"/>
      <c r="AR387" s="5">
        <v>365</v>
      </c>
      <c r="AS387" s="413" t="s">
        <v>3972</v>
      </c>
      <c r="AT387" s="145">
        <v>330</v>
      </c>
      <c r="AU387" s="146">
        <v>3.28</v>
      </c>
      <c r="AV387" s="145">
        <v>3728</v>
      </c>
      <c r="AW387" s="145">
        <v>-14</v>
      </c>
      <c r="AY387" s="5">
        <v>365</v>
      </c>
      <c r="AZ387" s="413" t="s">
        <v>3973</v>
      </c>
      <c r="BA387" s="145">
        <v>405</v>
      </c>
      <c r="BB387" s="146">
        <v>3.21</v>
      </c>
      <c r="BC387" s="145">
        <v>3812</v>
      </c>
      <c r="BD387" s="145">
        <v>-15</v>
      </c>
      <c r="BF387" s="5">
        <v>365</v>
      </c>
      <c r="BG387" s="413" t="s">
        <v>718</v>
      </c>
      <c r="BH387" s="145"/>
      <c r="BI387" s="146"/>
      <c r="BJ387" s="145"/>
      <c r="BK387" s="145"/>
      <c r="BM387" s="5">
        <v>365</v>
      </c>
      <c r="BN387" s="413" t="s">
        <v>718</v>
      </c>
      <c r="BO387" s="145"/>
      <c r="BP387" s="146"/>
      <c r="BQ387" s="145"/>
      <c r="BR387" s="145"/>
      <c r="BS387" s="5"/>
      <c r="BT387" s="5">
        <v>365</v>
      </c>
      <c r="BU387" s="413" t="s">
        <v>718</v>
      </c>
      <c r="BV387" s="145"/>
      <c r="BW387" s="146"/>
      <c r="BX387" s="145"/>
      <c r="BY387" s="145"/>
      <c r="BZ387" s="5"/>
      <c r="CA387" s="5">
        <v>365</v>
      </c>
      <c r="CB387" s="413" t="s">
        <v>718</v>
      </c>
      <c r="CC387" s="145"/>
      <c r="CD387" s="146"/>
      <c r="CE387" s="145"/>
      <c r="CF387" s="145"/>
      <c r="CG387" s="5"/>
      <c r="CH387" s="5"/>
      <c r="CI387" s="5"/>
    </row>
    <row r="388" spans="13:87" x14ac:dyDescent="0.2">
      <c r="M388" s="5">
        <v>366</v>
      </c>
      <c r="N388" s="413" t="str">
        <f t="shared" si="30"/>
        <v xml:space="preserve"> </v>
      </c>
      <c r="O388" s="414">
        <f t="shared" si="31"/>
        <v>0</v>
      </c>
      <c r="P388" s="414">
        <f t="shared" si="32"/>
        <v>0</v>
      </c>
      <c r="Q388" s="145">
        <f t="shared" si="35"/>
        <v>-8</v>
      </c>
      <c r="R388" s="414">
        <f t="shared" si="33"/>
        <v>0</v>
      </c>
      <c r="S388" s="414">
        <f t="shared" si="34"/>
        <v>0</v>
      </c>
      <c r="T388" s="19"/>
      <c r="U388" s="5"/>
      <c r="V388" s="5"/>
      <c r="W388" s="5">
        <v>366</v>
      </c>
      <c r="X388" s="144" t="s">
        <v>718</v>
      </c>
      <c r="Y388" s="145"/>
      <c r="Z388" s="146"/>
      <c r="AA388" s="145"/>
      <c r="AB388" s="145"/>
      <c r="AD388" s="5">
        <v>366</v>
      </c>
      <c r="AE388" s="413" t="s">
        <v>718</v>
      </c>
      <c r="AF388" s="145"/>
      <c r="AG388" s="146"/>
      <c r="AH388" s="145"/>
      <c r="AI388" s="145"/>
      <c r="AK388" s="5">
        <v>366</v>
      </c>
      <c r="AL388" s="413" t="s">
        <v>718</v>
      </c>
      <c r="AM388" s="145"/>
      <c r="AN388" s="146"/>
      <c r="AO388" s="145"/>
      <c r="AP388" s="145"/>
      <c r="AR388" s="5">
        <v>366</v>
      </c>
      <c r="AS388" s="413" t="s">
        <v>1935</v>
      </c>
      <c r="AT388" s="145">
        <v>366</v>
      </c>
      <c r="AU388" s="146">
        <v>3.1</v>
      </c>
      <c r="AV388" s="145">
        <v>3854</v>
      </c>
      <c r="AW388" s="145">
        <v>-14</v>
      </c>
      <c r="AY388" s="5">
        <v>366</v>
      </c>
      <c r="AZ388" s="413" t="s">
        <v>1936</v>
      </c>
      <c r="BA388" s="145">
        <v>372</v>
      </c>
      <c r="BB388" s="146">
        <v>3.15</v>
      </c>
      <c r="BC388" s="145">
        <v>3826</v>
      </c>
      <c r="BD388" s="145">
        <v>-15</v>
      </c>
      <c r="BF388" s="5">
        <v>366</v>
      </c>
      <c r="BG388" s="413" t="s">
        <v>718</v>
      </c>
      <c r="BH388" s="145"/>
      <c r="BI388" s="146"/>
      <c r="BJ388" s="145"/>
      <c r="BK388" s="145"/>
      <c r="BM388" s="5">
        <v>366</v>
      </c>
      <c r="BN388" s="413" t="s">
        <v>718</v>
      </c>
      <c r="BO388" s="145"/>
      <c r="BP388" s="146"/>
      <c r="BQ388" s="145"/>
      <c r="BR388" s="145"/>
      <c r="BS388" s="5"/>
      <c r="BT388" s="5">
        <v>366</v>
      </c>
      <c r="BU388" s="413" t="s">
        <v>718</v>
      </c>
      <c r="BV388" s="145"/>
      <c r="BW388" s="146"/>
      <c r="BX388" s="145"/>
      <c r="BY388" s="145"/>
      <c r="BZ388" s="5"/>
      <c r="CA388" s="5">
        <v>366</v>
      </c>
      <c r="CB388" s="413" t="s">
        <v>718</v>
      </c>
      <c r="CC388" s="145"/>
      <c r="CD388" s="146"/>
      <c r="CE388" s="145"/>
      <c r="CF388" s="145"/>
      <c r="CG388" s="5"/>
      <c r="CH388" s="5"/>
      <c r="CI388" s="5"/>
    </row>
    <row r="389" spans="13:87" x14ac:dyDescent="0.2">
      <c r="M389" s="5">
        <v>367</v>
      </c>
      <c r="N389" s="413" t="str">
        <f t="shared" si="30"/>
        <v xml:space="preserve"> </v>
      </c>
      <c r="O389" s="414">
        <f t="shared" si="31"/>
        <v>0</v>
      </c>
      <c r="P389" s="414">
        <f t="shared" si="32"/>
        <v>0</v>
      </c>
      <c r="Q389" s="145">
        <f t="shared" si="35"/>
        <v>-8</v>
      </c>
      <c r="R389" s="414">
        <f t="shared" si="33"/>
        <v>0</v>
      </c>
      <c r="S389" s="414">
        <f t="shared" si="34"/>
        <v>0</v>
      </c>
      <c r="T389" s="19"/>
      <c r="U389" s="5"/>
      <c r="V389" s="5"/>
      <c r="W389" s="5">
        <v>367</v>
      </c>
      <c r="X389" s="144" t="s">
        <v>718</v>
      </c>
      <c r="Y389" s="145"/>
      <c r="Z389" s="146"/>
      <c r="AA389" s="145"/>
      <c r="AB389" s="145"/>
      <c r="AD389" s="5">
        <v>367</v>
      </c>
      <c r="AE389" s="413" t="s">
        <v>718</v>
      </c>
      <c r="AF389" s="145"/>
      <c r="AG389" s="146"/>
      <c r="AH389" s="145"/>
      <c r="AI389" s="145"/>
      <c r="AK389" s="5">
        <v>367</v>
      </c>
      <c r="AL389" s="413" t="s">
        <v>718</v>
      </c>
      <c r="AM389" s="145"/>
      <c r="AN389" s="146"/>
      <c r="AO389" s="145"/>
      <c r="AP389" s="145"/>
      <c r="AR389" s="5">
        <v>367</v>
      </c>
      <c r="AS389" s="413" t="s">
        <v>1937</v>
      </c>
      <c r="AT389" s="145">
        <v>392</v>
      </c>
      <c r="AU389" s="146">
        <v>3.13</v>
      </c>
      <c r="AV389" s="145">
        <v>3830</v>
      </c>
      <c r="AW389" s="145">
        <v>-14</v>
      </c>
      <c r="AY389" s="5">
        <v>367</v>
      </c>
      <c r="AZ389" s="413" t="s">
        <v>1938</v>
      </c>
      <c r="BA389" s="145">
        <v>315</v>
      </c>
      <c r="BB389" s="146">
        <v>3.16</v>
      </c>
      <c r="BC389" s="145">
        <v>3788</v>
      </c>
      <c r="BD389" s="145">
        <v>-15</v>
      </c>
      <c r="BF389" s="5">
        <v>367</v>
      </c>
      <c r="BG389" s="413" t="s">
        <v>718</v>
      </c>
      <c r="BH389" s="145"/>
      <c r="BI389" s="146"/>
      <c r="BJ389" s="145"/>
      <c r="BK389" s="145"/>
      <c r="BM389" s="5">
        <v>367</v>
      </c>
      <c r="BN389" s="413" t="s">
        <v>718</v>
      </c>
      <c r="BO389" s="145"/>
      <c r="BP389" s="146"/>
      <c r="BQ389" s="145"/>
      <c r="BR389" s="145"/>
      <c r="BS389" s="5"/>
      <c r="BT389" s="5">
        <v>367</v>
      </c>
      <c r="BU389" s="413" t="s">
        <v>718</v>
      </c>
      <c r="BV389" s="145"/>
      <c r="BW389" s="146"/>
      <c r="BX389" s="145"/>
      <c r="BY389" s="145"/>
      <c r="BZ389" s="5"/>
      <c r="CA389" s="5">
        <v>367</v>
      </c>
      <c r="CB389" s="413" t="s">
        <v>718</v>
      </c>
      <c r="CC389" s="145"/>
      <c r="CD389" s="146"/>
      <c r="CE389" s="145"/>
      <c r="CF389" s="145"/>
      <c r="CG389" s="5"/>
      <c r="CH389" s="5"/>
      <c r="CI389" s="5"/>
    </row>
    <row r="390" spans="13:87" x14ac:dyDescent="0.2">
      <c r="M390" s="5">
        <v>368</v>
      </c>
      <c r="N390" s="413" t="str">
        <f t="shared" si="30"/>
        <v xml:space="preserve"> </v>
      </c>
      <c r="O390" s="414">
        <f t="shared" si="31"/>
        <v>0</v>
      </c>
      <c r="P390" s="414">
        <f t="shared" si="32"/>
        <v>0</v>
      </c>
      <c r="Q390" s="145">
        <f t="shared" si="35"/>
        <v>-8</v>
      </c>
      <c r="R390" s="414">
        <f t="shared" si="33"/>
        <v>0</v>
      </c>
      <c r="S390" s="414">
        <f t="shared" si="34"/>
        <v>0</v>
      </c>
      <c r="T390" s="19"/>
      <c r="U390" s="5"/>
      <c r="V390" s="5"/>
      <c r="W390" s="5">
        <v>368</v>
      </c>
      <c r="X390" s="144" t="s">
        <v>718</v>
      </c>
      <c r="Y390" s="145"/>
      <c r="Z390" s="146"/>
      <c r="AA390" s="145"/>
      <c r="AB390" s="145"/>
      <c r="AD390" s="5">
        <v>368</v>
      </c>
      <c r="AE390" s="413" t="s">
        <v>718</v>
      </c>
      <c r="AF390" s="145"/>
      <c r="AG390" s="146"/>
      <c r="AH390" s="145"/>
      <c r="AI390" s="145"/>
      <c r="AK390" s="5">
        <v>368</v>
      </c>
      <c r="AL390" s="413" t="s">
        <v>718</v>
      </c>
      <c r="AM390" s="145"/>
      <c r="AN390" s="146"/>
      <c r="AO390" s="145"/>
      <c r="AP390" s="145"/>
      <c r="AR390" s="5">
        <v>368</v>
      </c>
      <c r="AS390" s="413" t="s">
        <v>1937</v>
      </c>
      <c r="AT390" s="145">
        <v>390</v>
      </c>
      <c r="AU390" s="146">
        <v>2.88</v>
      </c>
      <c r="AV390" s="145">
        <v>3920</v>
      </c>
      <c r="AW390" s="145">
        <v>-15</v>
      </c>
      <c r="AY390" s="5">
        <v>368</v>
      </c>
      <c r="AZ390" s="413" t="s">
        <v>1939</v>
      </c>
      <c r="BA390" s="145">
        <v>280</v>
      </c>
      <c r="BB390" s="146">
        <v>3.21</v>
      </c>
      <c r="BC390" s="145">
        <v>3762</v>
      </c>
      <c r="BD390" s="145">
        <v>-15</v>
      </c>
      <c r="BF390" s="5">
        <v>368</v>
      </c>
      <c r="BG390" s="413" t="s">
        <v>718</v>
      </c>
      <c r="BH390" s="145"/>
      <c r="BI390" s="146"/>
      <c r="BJ390" s="145"/>
      <c r="BK390" s="145"/>
      <c r="BM390" s="5">
        <v>368</v>
      </c>
      <c r="BN390" s="413" t="s">
        <v>718</v>
      </c>
      <c r="BO390" s="145"/>
      <c r="BP390" s="146"/>
      <c r="BQ390" s="145"/>
      <c r="BR390" s="145"/>
      <c r="BS390" s="5"/>
      <c r="BT390" s="5">
        <v>368</v>
      </c>
      <c r="BU390" s="413" t="s">
        <v>718</v>
      </c>
      <c r="BV390" s="145"/>
      <c r="BW390" s="146"/>
      <c r="BX390" s="145"/>
      <c r="BY390" s="145"/>
      <c r="BZ390" s="5"/>
      <c r="CA390" s="5">
        <v>368</v>
      </c>
      <c r="CB390" s="413" t="s">
        <v>718</v>
      </c>
      <c r="CC390" s="145"/>
      <c r="CD390" s="146"/>
      <c r="CE390" s="145"/>
      <c r="CF390" s="145"/>
      <c r="CG390" s="5"/>
      <c r="CH390" s="5"/>
      <c r="CI390" s="5"/>
    </row>
    <row r="391" spans="13:87" x14ac:dyDescent="0.2">
      <c r="M391" s="5">
        <v>369</v>
      </c>
      <c r="N391" s="413" t="str">
        <f t="shared" si="30"/>
        <v xml:space="preserve"> </v>
      </c>
      <c r="O391" s="414">
        <f t="shared" si="31"/>
        <v>0</v>
      </c>
      <c r="P391" s="414">
        <f t="shared" si="32"/>
        <v>0</v>
      </c>
      <c r="Q391" s="145">
        <f t="shared" si="35"/>
        <v>-8</v>
      </c>
      <c r="R391" s="414">
        <f t="shared" si="33"/>
        <v>0</v>
      </c>
      <c r="S391" s="414">
        <f t="shared" si="34"/>
        <v>0</v>
      </c>
      <c r="T391" s="19"/>
      <c r="U391" s="5"/>
      <c r="V391" s="5"/>
      <c r="W391" s="5">
        <v>369</v>
      </c>
      <c r="X391" s="144" t="s">
        <v>718</v>
      </c>
      <c r="Y391" s="145"/>
      <c r="Z391" s="146"/>
      <c r="AA391" s="145"/>
      <c r="AB391" s="145"/>
      <c r="AD391" s="5">
        <v>369</v>
      </c>
      <c r="AE391" s="413" t="s">
        <v>718</v>
      </c>
      <c r="AF391" s="145"/>
      <c r="AG391" s="146"/>
      <c r="AH391" s="145"/>
      <c r="AI391" s="145"/>
      <c r="AK391" s="5">
        <v>369</v>
      </c>
      <c r="AL391" s="413" t="s">
        <v>718</v>
      </c>
      <c r="AM391" s="145"/>
      <c r="AN391" s="146"/>
      <c r="AO391" s="145"/>
      <c r="AP391" s="145"/>
      <c r="AR391" s="5">
        <v>369</v>
      </c>
      <c r="AS391" s="413" t="s">
        <v>1940</v>
      </c>
      <c r="AT391" s="145">
        <v>265</v>
      </c>
      <c r="AU391" s="146">
        <v>3.25</v>
      </c>
      <c r="AV391" s="145">
        <v>3668</v>
      </c>
      <c r="AW391" s="145">
        <v>-14</v>
      </c>
      <c r="AY391" s="5">
        <v>369</v>
      </c>
      <c r="AZ391" s="413" t="s">
        <v>1941</v>
      </c>
      <c r="BA391" s="145">
        <v>397</v>
      </c>
      <c r="BB391" s="146">
        <v>3.51</v>
      </c>
      <c r="BC391" s="145">
        <v>3892</v>
      </c>
      <c r="BD391" s="145">
        <v>-14</v>
      </c>
      <c r="BF391" s="5">
        <v>369</v>
      </c>
      <c r="BG391" s="413" t="s">
        <v>718</v>
      </c>
      <c r="BH391" s="145"/>
      <c r="BI391" s="146"/>
      <c r="BJ391" s="145"/>
      <c r="BK391" s="145"/>
      <c r="BM391" s="5">
        <v>369</v>
      </c>
      <c r="BN391" s="413" t="s">
        <v>718</v>
      </c>
      <c r="BO391" s="145"/>
      <c r="BP391" s="146"/>
      <c r="BQ391" s="145"/>
      <c r="BR391" s="145"/>
      <c r="BS391" s="5"/>
      <c r="BT391" s="5">
        <v>369</v>
      </c>
      <c r="BU391" s="413" t="s">
        <v>718</v>
      </c>
      <c r="BV391" s="145"/>
      <c r="BW391" s="146"/>
      <c r="BX391" s="145"/>
      <c r="BY391" s="145"/>
      <c r="BZ391" s="5"/>
      <c r="CA391" s="5">
        <v>369</v>
      </c>
      <c r="CB391" s="413" t="s">
        <v>718</v>
      </c>
      <c r="CC391" s="145"/>
      <c r="CD391" s="146"/>
      <c r="CE391" s="145"/>
      <c r="CF391" s="145"/>
      <c r="CG391" s="5"/>
      <c r="CH391" s="5"/>
      <c r="CI391" s="5"/>
    </row>
    <row r="392" spans="13:87" x14ac:dyDescent="0.2">
      <c r="M392" s="5">
        <v>370</v>
      </c>
      <c r="N392" s="413" t="str">
        <f t="shared" si="30"/>
        <v xml:space="preserve"> </v>
      </c>
      <c r="O392" s="414">
        <f t="shared" si="31"/>
        <v>0</v>
      </c>
      <c r="P392" s="414">
        <f t="shared" si="32"/>
        <v>0</v>
      </c>
      <c r="Q392" s="145">
        <f t="shared" si="35"/>
        <v>-8</v>
      </c>
      <c r="R392" s="414">
        <f t="shared" si="33"/>
        <v>0</v>
      </c>
      <c r="S392" s="414">
        <f t="shared" si="34"/>
        <v>0</v>
      </c>
      <c r="T392" s="19"/>
      <c r="U392" s="5"/>
      <c r="V392" s="5"/>
      <c r="W392" s="5">
        <v>370</v>
      </c>
      <c r="X392" s="144" t="s">
        <v>718</v>
      </c>
      <c r="Y392" s="145"/>
      <c r="Z392" s="146"/>
      <c r="AA392" s="145"/>
      <c r="AB392" s="145"/>
      <c r="AD392" s="5">
        <v>370</v>
      </c>
      <c r="AE392" s="413" t="s">
        <v>718</v>
      </c>
      <c r="AF392" s="145"/>
      <c r="AG392" s="146"/>
      <c r="AH392" s="145"/>
      <c r="AI392" s="145"/>
      <c r="AK392" s="5">
        <v>370</v>
      </c>
      <c r="AL392" s="413" t="s">
        <v>718</v>
      </c>
      <c r="AM392" s="145"/>
      <c r="AN392" s="146"/>
      <c r="AO392" s="145"/>
      <c r="AP392" s="145"/>
      <c r="AR392" s="5">
        <v>370</v>
      </c>
      <c r="AS392" s="413" t="s">
        <v>1942</v>
      </c>
      <c r="AT392" s="145">
        <v>160</v>
      </c>
      <c r="AU392" s="146">
        <v>3.33</v>
      </c>
      <c r="AV392" s="145">
        <v>3517</v>
      </c>
      <c r="AW392" s="145">
        <v>-14</v>
      </c>
      <c r="AY392" s="5">
        <v>370</v>
      </c>
      <c r="AZ392" s="413" t="s">
        <v>1943</v>
      </c>
      <c r="BA392" s="145">
        <v>480</v>
      </c>
      <c r="BB392" s="146">
        <v>3.22</v>
      </c>
      <c r="BC392" s="145">
        <v>4043</v>
      </c>
      <c r="BD392" s="145">
        <v>-15</v>
      </c>
      <c r="BF392" s="5">
        <v>370</v>
      </c>
      <c r="BG392" s="413" t="s">
        <v>718</v>
      </c>
      <c r="BH392" s="145"/>
      <c r="BI392" s="146"/>
      <c r="BJ392" s="145"/>
      <c r="BK392" s="145"/>
      <c r="BM392" s="5">
        <v>370</v>
      </c>
      <c r="BN392" s="413" t="s">
        <v>718</v>
      </c>
      <c r="BO392" s="145"/>
      <c r="BP392" s="146"/>
      <c r="BQ392" s="145"/>
      <c r="BR392" s="145"/>
      <c r="BS392" s="5"/>
      <c r="BT392" s="5">
        <v>370</v>
      </c>
      <c r="BU392" s="413" t="s">
        <v>718</v>
      </c>
      <c r="BV392" s="145"/>
      <c r="BW392" s="146"/>
      <c r="BX392" s="145"/>
      <c r="BY392" s="145"/>
      <c r="BZ392" s="5"/>
      <c r="CA392" s="5">
        <v>370</v>
      </c>
      <c r="CB392" s="413" t="s">
        <v>718</v>
      </c>
      <c r="CC392" s="145"/>
      <c r="CD392" s="146"/>
      <c r="CE392" s="145"/>
      <c r="CF392" s="145"/>
      <c r="CG392" s="5"/>
      <c r="CH392" s="5"/>
      <c r="CI392" s="5"/>
    </row>
    <row r="393" spans="13:87" x14ac:dyDescent="0.2">
      <c r="M393" s="5">
        <v>371</v>
      </c>
      <c r="N393" s="413" t="str">
        <f t="shared" si="30"/>
        <v xml:space="preserve"> </v>
      </c>
      <c r="O393" s="414">
        <f t="shared" si="31"/>
        <v>0</v>
      </c>
      <c r="P393" s="414">
        <f t="shared" si="32"/>
        <v>0</v>
      </c>
      <c r="Q393" s="145">
        <f t="shared" si="35"/>
        <v>-8</v>
      </c>
      <c r="R393" s="414">
        <f t="shared" si="33"/>
        <v>0</v>
      </c>
      <c r="S393" s="414">
        <f t="shared" si="34"/>
        <v>0</v>
      </c>
      <c r="T393" s="19"/>
      <c r="U393" s="5"/>
      <c r="V393" s="5"/>
      <c r="W393" s="5">
        <v>371</v>
      </c>
      <c r="X393" s="144" t="s">
        <v>718</v>
      </c>
      <c r="Y393" s="145"/>
      <c r="Z393" s="146"/>
      <c r="AA393" s="145"/>
      <c r="AB393" s="145"/>
      <c r="AD393" s="5">
        <v>371</v>
      </c>
      <c r="AE393" s="413" t="s">
        <v>718</v>
      </c>
      <c r="AF393" s="145"/>
      <c r="AG393" s="146"/>
      <c r="AH393" s="145"/>
      <c r="AI393" s="145"/>
      <c r="AK393" s="5">
        <v>371</v>
      </c>
      <c r="AL393" s="413" t="s">
        <v>718</v>
      </c>
      <c r="AM393" s="145"/>
      <c r="AN393" s="146"/>
      <c r="AO393" s="145"/>
      <c r="AP393" s="145"/>
      <c r="AR393" s="5">
        <v>371</v>
      </c>
      <c r="AS393" s="413" t="s">
        <v>1944</v>
      </c>
      <c r="AT393" s="145">
        <v>422</v>
      </c>
      <c r="AU393" s="146">
        <v>3.21</v>
      </c>
      <c r="AV393" s="145">
        <v>3945</v>
      </c>
      <c r="AW393" s="145">
        <v>-15</v>
      </c>
      <c r="AY393" s="5">
        <v>371</v>
      </c>
      <c r="AZ393" s="413" t="s">
        <v>1945</v>
      </c>
      <c r="BA393" s="145">
        <v>416</v>
      </c>
      <c r="BB393" s="146">
        <v>3.16</v>
      </c>
      <c r="BC393" s="145">
        <v>3857</v>
      </c>
      <c r="BD393" s="145">
        <v>-15</v>
      </c>
      <c r="BF393" s="5">
        <v>371</v>
      </c>
      <c r="BG393" s="413" t="s">
        <v>718</v>
      </c>
      <c r="BH393" s="145"/>
      <c r="BI393" s="146"/>
      <c r="BJ393" s="145"/>
      <c r="BK393" s="145"/>
      <c r="BM393" s="5">
        <v>371</v>
      </c>
      <c r="BN393" s="413" t="s">
        <v>718</v>
      </c>
      <c r="BO393" s="145"/>
      <c r="BP393" s="146"/>
      <c r="BQ393" s="145"/>
      <c r="BR393" s="145"/>
      <c r="BS393" s="5"/>
      <c r="BT393" s="5">
        <v>371</v>
      </c>
      <c r="BU393" s="413" t="s">
        <v>718</v>
      </c>
      <c r="BV393" s="145"/>
      <c r="BW393" s="146"/>
      <c r="BX393" s="145"/>
      <c r="BY393" s="145"/>
      <c r="BZ393" s="5"/>
      <c r="CA393" s="5">
        <v>371</v>
      </c>
      <c r="CB393" s="413" t="s">
        <v>718</v>
      </c>
      <c r="CC393" s="145"/>
      <c r="CD393" s="146"/>
      <c r="CE393" s="145"/>
      <c r="CF393" s="145"/>
      <c r="CG393" s="5"/>
      <c r="CH393" s="5"/>
      <c r="CI393" s="5"/>
    </row>
    <row r="394" spans="13:87" x14ac:dyDescent="0.2">
      <c r="M394" s="5">
        <v>372</v>
      </c>
      <c r="N394" s="413" t="str">
        <f t="shared" si="30"/>
        <v xml:space="preserve"> </v>
      </c>
      <c r="O394" s="414">
        <f t="shared" si="31"/>
        <v>0</v>
      </c>
      <c r="P394" s="414">
        <f t="shared" si="32"/>
        <v>0</v>
      </c>
      <c r="Q394" s="145">
        <f t="shared" si="35"/>
        <v>-8</v>
      </c>
      <c r="R394" s="414">
        <f t="shared" si="33"/>
        <v>0</v>
      </c>
      <c r="S394" s="414">
        <f t="shared" si="34"/>
        <v>0</v>
      </c>
      <c r="T394" s="19"/>
      <c r="U394" s="5"/>
      <c r="V394" s="5"/>
      <c r="W394" s="5">
        <v>372</v>
      </c>
      <c r="X394" s="144" t="s">
        <v>718</v>
      </c>
      <c r="Y394" s="145"/>
      <c r="Z394" s="146"/>
      <c r="AA394" s="145"/>
      <c r="AB394" s="145"/>
      <c r="AD394" s="5">
        <v>372</v>
      </c>
      <c r="AE394" s="413" t="s">
        <v>718</v>
      </c>
      <c r="AF394" s="145"/>
      <c r="AG394" s="146"/>
      <c r="AH394" s="145"/>
      <c r="AI394" s="145"/>
      <c r="AK394" s="5">
        <v>372</v>
      </c>
      <c r="AL394" s="413" t="s">
        <v>718</v>
      </c>
      <c r="AM394" s="145"/>
      <c r="AN394" s="146"/>
      <c r="AO394" s="145"/>
      <c r="AP394" s="145"/>
      <c r="AR394" s="5">
        <v>372</v>
      </c>
      <c r="AS394" s="413" t="s">
        <v>1946</v>
      </c>
      <c r="AT394" s="145">
        <v>145</v>
      </c>
      <c r="AU394" s="146">
        <v>3.3</v>
      </c>
      <c r="AV394" s="145">
        <v>3474</v>
      </c>
      <c r="AW394" s="145">
        <v>-14</v>
      </c>
      <c r="AY394" s="5">
        <v>372</v>
      </c>
      <c r="AZ394" s="413" t="s">
        <v>1947</v>
      </c>
      <c r="BA394" s="145">
        <v>269</v>
      </c>
      <c r="BB394" s="146">
        <v>3.08</v>
      </c>
      <c r="BC394" s="145">
        <v>3671</v>
      </c>
      <c r="BD394" s="145">
        <v>-14</v>
      </c>
      <c r="BF394" s="5">
        <v>372</v>
      </c>
      <c r="BG394" s="413" t="s">
        <v>718</v>
      </c>
      <c r="BH394" s="145"/>
      <c r="BI394" s="146"/>
      <c r="BJ394" s="145"/>
      <c r="BK394" s="145"/>
      <c r="BM394" s="5">
        <v>372</v>
      </c>
      <c r="BN394" s="413" t="s">
        <v>718</v>
      </c>
      <c r="BO394" s="145"/>
      <c r="BP394" s="146"/>
      <c r="BQ394" s="145"/>
      <c r="BR394" s="145"/>
      <c r="BS394" s="5"/>
      <c r="BT394" s="5">
        <v>372</v>
      </c>
      <c r="BU394" s="413" t="s">
        <v>718</v>
      </c>
      <c r="BV394" s="145"/>
      <c r="BW394" s="146"/>
      <c r="BX394" s="145"/>
      <c r="BY394" s="145"/>
      <c r="BZ394" s="5"/>
      <c r="CA394" s="5">
        <v>372</v>
      </c>
      <c r="CB394" s="413" t="s">
        <v>718</v>
      </c>
      <c r="CC394" s="145"/>
      <c r="CD394" s="146"/>
      <c r="CE394" s="145"/>
      <c r="CF394" s="145"/>
      <c r="CG394" s="5"/>
      <c r="CH394" s="5"/>
      <c r="CI394" s="5"/>
    </row>
    <row r="395" spans="13:87" x14ac:dyDescent="0.2">
      <c r="M395" s="5">
        <v>373</v>
      </c>
      <c r="N395" s="413" t="str">
        <f t="shared" si="30"/>
        <v xml:space="preserve"> </v>
      </c>
      <c r="O395" s="414">
        <f t="shared" si="31"/>
        <v>0</v>
      </c>
      <c r="P395" s="414">
        <f t="shared" si="32"/>
        <v>0</v>
      </c>
      <c r="Q395" s="145">
        <f t="shared" si="35"/>
        <v>-8</v>
      </c>
      <c r="R395" s="414">
        <f t="shared" si="33"/>
        <v>0</v>
      </c>
      <c r="S395" s="414">
        <f t="shared" si="34"/>
        <v>0</v>
      </c>
      <c r="T395" s="19"/>
      <c r="U395" s="5"/>
      <c r="V395" s="5"/>
      <c r="W395" s="5">
        <v>373</v>
      </c>
      <c r="X395" s="144" t="s">
        <v>718</v>
      </c>
      <c r="Y395" s="145"/>
      <c r="Z395" s="146"/>
      <c r="AA395" s="145"/>
      <c r="AB395" s="145"/>
      <c r="AD395" s="5">
        <v>373</v>
      </c>
      <c r="AE395" s="413" t="s">
        <v>718</v>
      </c>
      <c r="AF395" s="145"/>
      <c r="AG395" s="146"/>
      <c r="AH395" s="145"/>
      <c r="AI395" s="145"/>
      <c r="AK395" s="5">
        <v>373</v>
      </c>
      <c r="AL395" s="413" t="s">
        <v>718</v>
      </c>
      <c r="AM395" s="145"/>
      <c r="AN395" s="146"/>
      <c r="AO395" s="145"/>
      <c r="AP395" s="145"/>
      <c r="AR395" s="5">
        <v>373</v>
      </c>
      <c r="AS395" s="413" t="s">
        <v>1948</v>
      </c>
      <c r="AT395" s="145">
        <v>842</v>
      </c>
      <c r="AU395" s="146">
        <v>1.88</v>
      </c>
      <c r="AV395" s="145">
        <v>5038</v>
      </c>
      <c r="AW395" s="145">
        <v>-18</v>
      </c>
      <c r="AY395" s="5">
        <v>373</v>
      </c>
      <c r="AZ395" s="413" t="s">
        <v>1949</v>
      </c>
      <c r="BA395" s="145">
        <v>721</v>
      </c>
      <c r="BB395" s="146">
        <v>2.31</v>
      </c>
      <c r="BC395" s="145">
        <v>4600</v>
      </c>
      <c r="BD395" s="145">
        <v>-16</v>
      </c>
      <c r="BF395" s="5">
        <v>373</v>
      </c>
      <c r="BG395" s="413" t="s">
        <v>718</v>
      </c>
      <c r="BH395" s="145"/>
      <c r="BI395" s="146"/>
      <c r="BJ395" s="145"/>
      <c r="BK395" s="145"/>
      <c r="BM395" s="5">
        <v>373</v>
      </c>
      <c r="BN395" s="413" t="s">
        <v>718</v>
      </c>
      <c r="BO395" s="145"/>
      <c r="BP395" s="146"/>
      <c r="BQ395" s="145"/>
      <c r="BR395" s="145"/>
      <c r="BS395" s="5"/>
      <c r="BT395" s="5">
        <v>373</v>
      </c>
      <c r="BU395" s="413" t="s">
        <v>718</v>
      </c>
      <c r="BV395" s="145"/>
      <c r="BW395" s="146"/>
      <c r="BX395" s="145"/>
      <c r="BY395" s="145"/>
      <c r="BZ395" s="5"/>
      <c r="CA395" s="5">
        <v>373</v>
      </c>
      <c r="CB395" s="413" t="s">
        <v>718</v>
      </c>
      <c r="CC395" s="145"/>
      <c r="CD395" s="146"/>
      <c r="CE395" s="145"/>
      <c r="CF395" s="145"/>
      <c r="CG395" s="5"/>
      <c r="CH395" s="5"/>
      <c r="CI395" s="5"/>
    </row>
    <row r="396" spans="13:87" x14ac:dyDescent="0.2">
      <c r="M396" s="5">
        <v>374</v>
      </c>
      <c r="N396" s="413" t="str">
        <f t="shared" si="30"/>
        <v xml:space="preserve"> </v>
      </c>
      <c r="O396" s="414">
        <f t="shared" si="31"/>
        <v>0</v>
      </c>
      <c r="P396" s="414">
        <f t="shared" si="32"/>
        <v>0</v>
      </c>
      <c r="Q396" s="145">
        <f t="shared" si="35"/>
        <v>-8</v>
      </c>
      <c r="R396" s="414">
        <f t="shared" si="33"/>
        <v>0</v>
      </c>
      <c r="S396" s="414">
        <f t="shared" si="34"/>
        <v>0</v>
      </c>
      <c r="T396" s="19"/>
      <c r="U396" s="5"/>
      <c r="V396" s="5"/>
      <c r="W396" s="5">
        <v>374</v>
      </c>
      <c r="X396" s="144" t="s">
        <v>718</v>
      </c>
      <c r="Y396" s="145"/>
      <c r="Z396" s="146"/>
      <c r="AA396" s="145"/>
      <c r="AB396" s="145"/>
      <c r="AD396" s="5">
        <v>374</v>
      </c>
      <c r="AE396" s="413" t="s">
        <v>718</v>
      </c>
      <c r="AF396" s="145"/>
      <c r="AG396" s="146"/>
      <c r="AH396" s="145"/>
      <c r="AI396" s="145"/>
      <c r="AK396" s="5">
        <v>374</v>
      </c>
      <c r="AL396" s="413" t="s">
        <v>718</v>
      </c>
      <c r="AM396" s="145"/>
      <c r="AN396" s="146"/>
      <c r="AO396" s="145"/>
      <c r="AP396" s="145"/>
      <c r="AR396" s="5">
        <v>374</v>
      </c>
      <c r="AS396" s="413" t="s">
        <v>1950</v>
      </c>
      <c r="AT396" s="145">
        <v>240</v>
      </c>
      <c r="AU396" s="146">
        <v>3.01</v>
      </c>
      <c r="AV396" s="145">
        <v>3754</v>
      </c>
      <c r="AW396" s="145">
        <v>-14</v>
      </c>
      <c r="AY396" s="5">
        <v>374</v>
      </c>
      <c r="AZ396" s="413" t="s">
        <v>1951</v>
      </c>
      <c r="BA396" s="145">
        <v>498</v>
      </c>
      <c r="BB396" s="146">
        <v>3.01</v>
      </c>
      <c r="BC396" s="145">
        <v>3857</v>
      </c>
      <c r="BD396" s="145">
        <v>-14</v>
      </c>
      <c r="BF396" s="5">
        <v>374</v>
      </c>
      <c r="BG396" s="413" t="s">
        <v>718</v>
      </c>
      <c r="BH396" s="145"/>
      <c r="BI396" s="146"/>
      <c r="BJ396" s="145"/>
      <c r="BK396" s="145"/>
      <c r="BM396" s="5">
        <v>374</v>
      </c>
      <c r="BN396" s="413" t="s">
        <v>718</v>
      </c>
      <c r="BO396" s="145"/>
      <c r="BP396" s="146"/>
      <c r="BQ396" s="145"/>
      <c r="BR396" s="145"/>
      <c r="BS396" s="5"/>
      <c r="BT396" s="5">
        <v>374</v>
      </c>
      <c r="BU396" s="413" t="s">
        <v>718</v>
      </c>
      <c r="BV396" s="145"/>
      <c r="BW396" s="146"/>
      <c r="BX396" s="145"/>
      <c r="BY396" s="145"/>
      <c r="BZ396" s="5"/>
      <c r="CA396" s="5">
        <v>374</v>
      </c>
      <c r="CB396" s="413" t="s">
        <v>718</v>
      </c>
      <c r="CC396" s="145"/>
      <c r="CD396" s="146"/>
      <c r="CE396" s="145"/>
      <c r="CF396" s="145"/>
      <c r="CG396" s="5"/>
      <c r="CH396" s="5"/>
      <c r="CI396" s="5"/>
    </row>
    <row r="397" spans="13:87" x14ac:dyDescent="0.2">
      <c r="M397" s="5">
        <v>375</v>
      </c>
      <c r="N397" s="413" t="str">
        <f t="shared" si="30"/>
        <v xml:space="preserve"> </v>
      </c>
      <c r="O397" s="414">
        <f t="shared" si="31"/>
        <v>0</v>
      </c>
      <c r="P397" s="414">
        <f t="shared" si="32"/>
        <v>0</v>
      </c>
      <c r="Q397" s="145">
        <f t="shared" si="35"/>
        <v>-8</v>
      </c>
      <c r="R397" s="414">
        <f t="shared" si="33"/>
        <v>0</v>
      </c>
      <c r="S397" s="414">
        <f t="shared" si="34"/>
        <v>0</v>
      </c>
      <c r="T397" s="19"/>
      <c r="U397" s="5"/>
      <c r="V397" s="5"/>
      <c r="W397" s="5">
        <v>375</v>
      </c>
      <c r="X397" s="144" t="s">
        <v>718</v>
      </c>
      <c r="Y397" s="145"/>
      <c r="Z397" s="146"/>
      <c r="AA397" s="145"/>
      <c r="AB397" s="145"/>
      <c r="AD397" s="5">
        <v>375</v>
      </c>
      <c r="AE397" s="413" t="s">
        <v>718</v>
      </c>
      <c r="AF397" s="145"/>
      <c r="AG397" s="146"/>
      <c r="AH397" s="145"/>
      <c r="AI397" s="145"/>
      <c r="AK397" s="5">
        <v>375</v>
      </c>
      <c r="AL397" s="413" t="s">
        <v>718</v>
      </c>
      <c r="AM397" s="145"/>
      <c r="AN397" s="146"/>
      <c r="AO397" s="145"/>
      <c r="AP397" s="145"/>
      <c r="AR397" s="5">
        <v>375</v>
      </c>
      <c r="AS397" s="413" t="s">
        <v>1952</v>
      </c>
      <c r="AT397" s="145">
        <v>170</v>
      </c>
      <c r="AU397" s="146">
        <v>3.25</v>
      </c>
      <c r="AV397" s="145">
        <v>3602</v>
      </c>
      <c r="AW397" s="145">
        <v>-14</v>
      </c>
      <c r="AY397" s="5">
        <v>375</v>
      </c>
      <c r="AZ397" s="413" t="s">
        <v>1953</v>
      </c>
      <c r="BA397" s="145">
        <v>601</v>
      </c>
      <c r="BB397" s="146">
        <v>3.25</v>
      </c>
      <c r="BC397" s="145">
        <v>3987</v>
      </c>
      <c r="BD397" s="145">
        <v>-14</v>
      </c>
      <c r="BF397" s="5">
        <v>375</v>
      </c>
      <c r="BG397" s="413" t="s">
        <v>718</v>
      </c>
      <c r="BH397" s="145"/>
      <c r="BI397" s="146"/>
      <c r="BJ397" s="145"/>
      <c r="BK397" s="145"/>
      <c r="BM397" s="5">
        <v>375</v>
      </c>
      <c r="BN397" s="413" t="s">
        <v>718</v>
      </c>
      <c r="BO397" s="145"/>
      <c r="BP397" s="146"/>
      <c r="BQ397" s="145"/>
      <c r="BR397" s="145"/>
      <c r="BS397" s="5"/>
      <c r="BT397" s="5">
        <v>375</v>
      </c>
      <c r="BU397" s="413" t="s">
        <v>718</v>
      </c>
      <c r="BV397" s="145"/>
      <c r="BW397" s="146"/>
      <c r="BX397" s="145"/>
      <c r="BY397" s="145"/>
      <c r="BZ397" s="5"/>
      <c r="CA397" s="5">
        <v>375</v>
      </c>
      <c r="CB397" s="413" t="s">
        <v>718</v>
      </c>
      <c r="CC397" s="145"/>
      <c r="CD397" s="146"/>
      <c r="CE397" s="145"/>
      <c r="CF397" s="145"/>
      <c r="CG397" s="5"/>
      <c r="CH397" s="5"/>
      <c r="CI397" s="5"/>
    </row>
    <row r="398" spans="13:87" x14ac:dyDescent="0.2">
      <c r="M398" s="5">
        <v>376</v>
      </c>
      <c r="N398" s="413" t="str">
        <f t="shared" si="30"/>
        <v xml:space="preserve"> </v>
      </c>
      <c r="O398" s="414">
        <f t="shared" si="31"/>
        <v>0</v>
      </c>
      <c r="P398" s="414">
        <f t="shared" si="32"/>
        <v>0</v>
      </c>
      <c r="Q398" s="145">
        <f t="shared" si="35"/>
        <v>-8</v>
      </c>
      <c r="R398" s="414">
        <f t="shared" si="33"/>
        <v>0</v>
      </c>
      <c r="S398" s="414">
        <f t="shared" si="34"/>
        <v>0</v>
      </c>
      <c r="T398" s="19"/>
      <c r="U398" s="5"/>
      <c r="V398" s="5"/>
      <c r="W398" s="5">
        <v>376</v>
      </c>
      <c r="X398" s="144" t="s">
        <v>718</v>
      </c>
      <c r="Y398" s="145"/>
      <c r="Z398" s="146"/>
      <c r="AA398" s="145"/>
      <c r="AB398" s="145"/>
      <c r="AD398" s="5">
        <v>376</v>
      </c>
      <c r="AE398" s="413" t="s">
        <v>718</v>
      </c>
      <c r="AF398" s="145"/>
      <c r="AG398" s="146"/>
      <c r="AH398" s="145"/>
      <c r="AI398" s="145"/>
      <c r="AK398" s="5">
        <v>376</v>
      </c>
      <c r="AL398" s="413" t="s">
        <v>718</v>
      </c>
      <c r="AM398" s="145"/>
      <c r="AN398" s="146"/>
      <c r="AO398" s="145"/>
      <c r="AP398" s="145"/>
      <c r="AR398" s="5">
        <v>376</v>
      </c>
      <c r="AS398" s="413" t="s">
        <v>1954</v>
      </c>
      <c r="AT398" s="145">
        <v>478</v>
      </c>
      <c r="AU398" s="146">
        <v>3.45</v>
      </c>
      <c r="AV398" s="145">
        <v>3823</v>
      </c>
      <c r="AW398" s="145">
        <v>-14</v>
      </c>
      <c r="AY398" s="5">
        <v>376</v>
      </c>
      <c r="AZ398" s="413" t="s">
        <v>1955</v>
      </c>
      <c r="BA398" s="145">
        <v>359</v>
      </c>
      <c r="BB398" s="146">
        <v>3.15</v>
      </c>
      <c r="BC398" s="145">
        <v>3809</v>
      </c>
      <c r="BD398" s="145">
        <v>-14</v>
      </c>
      <c r="BF398" s="5">
        <v>376</v>
      </c>
      <c r="BG398" s="413" t="s">
        <v>718</v>
      </c>
      <c r="BH398" s="145"/>
      <c r="BI398" s="146"/>
      <c r="BJ398" s="145"/>
      <c r="BK398" s="145"/>
      <c r="BM398" s="5">
        <v>376</v>
      </c>
      <c r="BN398" s="413" t="s">
        <v>718</v>
      </c>
      <c r="BO398" s="145"/>
      <c r="BP398" s="146"/>
      <c r="BQ398" s="145"/>
      <c r="BR398" s="145"/>
      <c r="BS398" s="5"/>
      <c r="BT398" s="5">
        <v>376</v>
      </c>
      <c r="BU398" s="413" t="s">
        <v>718</v>
      </c>
      <c r="BV398" s="145"/>
      <c r="BW398" s="146"/>
      <c r="BX398" s="145"/>
      <c r="BY398" s="145"/>
      <c r="BZ398" s="5"/>
      <c r="CA398" s="5">
        <v>376</v>
      </c>
      <c r="CB398" s="413" t="s">
        <v>718</v>
      </c>
      <c r="CC398" s="145"/>
      <c r="CD398" s="146"/>
      <c r="CE398" s="145"/>
      <c r="CF398" s="145"/>
      <c r="CG398" s="5"/>
      <c r="CH398" s="5"/>
      <c r="CI398" s="5"/>
    </row>
    <row r="399" spans="13:87" x14ac:dyDescent="0.2">
      <c r="M399" s="5">
        <v>377</v>
      </c>
      <c r="N399" s="413" t="str">
        <f t="shared" si="30"/>
        <v xml:space="preserve"> </v>
      </c>
      <c r="O399" s="414">
        <f t="shared" si="31"/>
        <v>0</v>
      </c>
      <c r="P399" s="414">
        <f t="shared" si="32"/>
        <v>0</v>
      </c>
      <c r="Q399" s="145">
        <f t="shared" si="35"/>
        <v>-8</v>
      </c>
      <c r="R399" s="414">
        <f t="shared" si="33"/>
        <v>0</v>
      </c>
      <c r="S399" s="414">
        <f t="shared" si="34"/>
        <v>0</v>
      </c>
      <c r="T399" s="19"/>
      <c r="U399" s="5"/>
      <c r="V399" s="5"/>
      <c r="W399" s="5">
        <v>377</v>
      </c>
      <c r="X399" s="144" t="s">
        <v>718</v>
      </c>
      <c r="Y399" s="145"/>
      <c r="Z399" s="146"/>
      <c r="AA399" s="145"/>
      <c r="AB399" s="145"/>
      <c r="AD399" s="5">
        <v>377</v>
      </c>
      <c r="AE399" s="413" t="s">
        <v>718</v>
      </c>
      <c r="AF399" s="145"/>
      <c r="AG399" s="146"/>
      <c r="AH399" s="145"/>
      <c r="AI399" s="145"/>
      <c r="AK399" s="5">
        <v>377</v>
      </c>
      <c r="AL399" s="413" t="s">
        <v>718</v>
      </c>
      <c r="AM399" s="145"/>
      <c r="AN399" s="146"/>
      <c r="AO399" s="145"/>
      <c r="AP399" s="145"/>
      <c r="AR399" s="5">
        <v>377</v>
      </c>
      <c r="AS399" s="413" t="s">
        <v>1956</v>
      </c>
      <c r="AT399" s="145">
        <v>256</v>
      </c>
      <c r="AU399" s="146">
        <v>3.55</v>
      </c>
      <c r="AV399" s="145">
        <v>3487</v>
      </c>
      <c r="AW399" s="145">
        <v>-13</v>
      </c>
      <c r="AY399" s="5">
        <v>377</v>
      </c>
      <c r="AZ399" s="413" t="s">
        <v>1957</v>
      </c>
      <c r="BA399" s="145">
        <v>638</v>
      </c>
      <c r="BB399" s="146">
        <v>3.09</v>
      </c>
      <c r="BC399" s="145">
        <v>3974</v>
      </c>
      <c r="BD399" s="145">
        <v>-15</v>
      </c>
      <c r="BF399" s="5">
        <v>377</v>
      </c>
      <c r="BG399" s="413" t="s">
        <v>718</v>
      </c>
      <c r="BH399" s="145"/>
      <c r="BI399" s="146"/>
      <c r="BJ399" s="145"/>
      <c r="BK399" s="145"/>
      <c r="BM399" s="5">
        <v>377</v>
      </c>
      <c r="BN399" s="413" t="s">
        <v>718</v>
      </c>
      <c r="BO399" s="145"/>
      <c r="BP399" s="146"/>
      <c r="BQ399" s="145"/>
      <c r="BR399" s="145"/>
      <c r="BS399" s="5"/>
      <c r="BT399" s="5">
        <v>377</v>
      </c>
      <c r="BU399" s="413" t="s">
        <v>718</v>
      </c>
      <c r="BV399" s="145"/>
      <c r="BW399" s="146"/>
      <c r="BX399" s="145"/>
      <c r="BY399" s="145"/>
      <c r="BZ399" s="5"/>
      <c r="CA399" s="5">
        <v>377</v>
      </c>
      <c r="CB399" s="413" t="s">
        <v>718</v>
      </c>
      <c r="CC399" s="145"/>
      <c r="CD399" s="146"/>
      <c r="CE399" s="145"/>
      <c r="CF399" s="145"/>
      <c r="CG399" s="5"/>
      <c r="CH399" s="5"/>
      <c r="CI399" s="5"/>
    </row>
    <row r="400" spans="13:87" x14ac:dyDescent="0.2">
      <c r="M400" s="5">
        <v>378</v>
      </c>
      <c r="N400" s="413" t="str">
        <f t="shared" si="30"/>
        <v xml:space="preserve"> </v>
      </c>
      <c r="O400" s="414">
        <f t="shared" si="31"/>
        <v>0</v>
      </c>
      <c r="P400" s="414">
        <f t="shared" si="32"/>
        <v>0</v>
      </c>
      <c r="Q400" s="145">
        <f t="shared" si="35"/>
        <v>-8</v>
      </c>
      <c r="R400" s="414">
        <f t="shared" si="33"/>
        <v>0</v>
      </c>
      <c r="S400" s="414">
        <f t="shared" si="34"/>
        <v>0</v>
      </c>
      <c r="T400" s="19"/>
      <c r="U400" s="5"/>
      <c r="V400" s="5"/>
      <c r="W400" s="5">
        <v>378</v>
      </c>
      <c r="X400" s="144" t="s">
        <v>718</v>
      </c>
      <c r="Y400" s="145"/>
      <c r="Z400" s="146"/>
      <c r="AA400" s="145"/>
      <c r="AB400" s="145"/>
      <c r="AD400" s="5">
        <v>378</v>
      </c>
      <c r="AE400" s="413" t="s">
        <v>718</v>
      </c>
      <c r="AF400" s="145"/>
      <c r="AG400" s="146"/>
      <c r="AH400" s="145"/>
      <c r="AI400" s="145"/>
      <c r="AK400" s="5">
        <v>378</v>
      </c>
      <c r="AL400" s="413" t="s">
        <v>718</v>
      </c>
      <c r="AM400" s="145"/>
      <c r="AN400" s="146"/>
      <c r="AO400" s="145"/>
      <c r="AP400" s="145"/>
      <c r="AR400" s="5">
        <v>378</v>
      </c>
      <c r="AS400" s="413" t="s">
        <v>1958</v>
      </c>
      <c r="AT400" s="145">
        <v>214</v>
      </c>
      <c r="AU400" s="146">
        <v>3.25</v>
      </c>
      <c r="AV400" s="145">
        <v>3634</v>
      </c>
      <c r="AW400" s="145">
        <v>-14</v>
      </c>
      <c r="AY400" s="5">
        <v>378</v>
      </c>
      <c r="AZ400" s="413" t="s">
        <v>1959</v>
      </c>
      <c r="BA400" s="145">
        <v>568</v>
      </c>
      <c r="BB400" s="146">
        <v>3.07</v>
      </c>
      <c r="BC400" s="145">
        <v>4047</v>
      </c>
      <c r="BD400" s="145">
        <v>-15</v>
      </c>
      <c r="BF400" s="5">
        <v>378</v>
      </c>
      <c r="BG400" s="413" t="s">
        <v>718</v>
      </c>
      <c r="BH400" s="145"/>
      <c r="BI400" s="146"/>
      <c r="BJ400" s="145"/>
      <c r="BK400" s="145"/>
      <c r="BM400" s="5">
        <v>378</v>
      </c>
      <c r="BN400" s="413" t="s">
        <v>718</v>
      </c>
      <c r="BO400" s="145"/>
      <c r="BP400" s="146"/>
      <c r="BQ400" s="145"/>
      <c r="BR400" s="145"/>
      <c r="BS400" s="5"/>
      <c r="BT400" s="5">
        <v>378</v>
      </c>
      <c r="BU400" s="413" t="s">
        <v>718</v>
      </c>
      <c r="BV400" s="145"/>
      <c r="BW400" s="146"/>
      <c r="BX400" s="145"/>
      <c r="BY400" s="145"/>
      <c r="BZ400" s="5"/>
      <c r="CA400" s="5">
        <v>378</v>
      </c>
      <c r="CB400" s="413" t="s">
        <v>718</v>
      </c>
      <c r="CC400" s="145"/>
      <c r="CD400" s="146"/>
      <c r="CE400" s="145"/>
      <c r="CF400" s="145"/>
      <c r="CG400" s="5"/>
      <c r="CH400" s="5"/>
      <c r="CI400" s="5"/>
    </row>
    <row r="401" spans="13:87" x14ac:dyDescent="0.2">
      <c r="M401" s="5">
        <v>379</v>
      </c>
      <c r="N401" s="413" t="str">
        <f t="shared" si="30"/>
        <v xml:space="preserve"> </v>
      </c>
      <c r="O401" s="414">
        <f t="shared" si="31"/>
        <v>0</v>
      </c>
      <c r="P401" s="414">
        <f t="shared" si="32"/>
        <v>0</v>
      </c>
      <c r="Q401" s="145">
        <f t="shared" si="35"/>
        <v>-8</v>
      </c>
      <c r="R401" s="414">
        <f t="shared" si="33"/>
        <v>0</v>
      </c>
      <c r="S401" s="414">
        <f t="shared" si="34"/>
        <v>0</v>
      </c>
      <c r="T401" s="19"/>
      <c r="U401" s="5"/>
      <c r="V401" s="5"/>
      <c r="W401" s="5">
        <v>379</v>
      </c>
      <c r="X401" s="144" t="s">
        <v>718</v>
      </c>
      <c r="Y401" s="145"/>
      <c r="Z401" s="146"/>
      <c r="AA401" s="145"/>
      <c r="AB401" s="145"/>
      <c r="AD401" s="5">
        <v>379</v>
      </c>
      <c r="AE401" s="413" t="s">
        <v>718</v>
      </c>
      <c r="AF401" s="145"/>
      <c r="AG401" s="146"/>
      <c r="AH401" s="145"/>
      <c r="AI401" s="145"/>
      <c r="AK401" s="5">
        <v>379</v>
      </c>
      <c r="AL401" s="413" t="s">
        <v>718</v>
      </c>
      <c r="AM401" s="145"/>
      <c r="AN401" s="146"/>
      <c r="AO401" s="145"/>
      <c r="AP401" s="145"/>
      <c r="AR401" s="5">
        <v>379</v>
      </c>
      <c r="AS401" s="413" t="s">
        <v>1960</v>
      </c>
      <c r="AT401" s="145">
        <v>429</v>
      </c>
      <c r="AU401" s="146">
        <v>3.11</v>
      </c>
      <c r="AV401" s="145">
        <v>3918</v>
      </c>
      <c r="AW401" s="145">
        <v>-15</v>
      </c>
      <c r="AY401" s="5">
        <v>379</v>
      </c>
      <c r="AZ401" s="413" t="s">
        <v>1961</v>
      </c>
      <c r="BA401" s="145">
        <v>365</v>
      </c>
      <c r="BB401" s="146">
        <v>3.13</v>
      </c>
      <c r="BC401" s="145">
        <v>3846</v>
      </c>
      <c r="BD401" s="145">
        <v>-15</v>
      </c>
      <c r="BF401" s="5">
        <v>379</v>
      </c>
      <c r="BG401" s="413" t="s">
        <v>718</v>
      </c>
      <c r="BH401" s="145"/>
      <c r="BI401" s="146"/>
      <c r="BJ401" s="145"/>
      <c r="BK401" s="145"/>
      <c r="BM401" s="5">
        <v>379</v>
      </c>
      <c r="BN401" s="413" t="s">
        <v>718</v>
      </c>
      <c r="BO401" s="145"/>
      <c r="BP401" s="146"/>
      <c r="BQ401" s="145"/>
      <c r="BR401" s="145"/>
      <c r="BS401" s="5"/>
      <c r="BT401" s="5">
        <v>379</v>
      </c>
      <c r="BU401" s="413" t="s">
        <v>718</v>
      </c>
      <c r="BV401" s="145"/>
      <c r="BW401" s="146"/>
      <c r="BX401" s="145"/>
      <c r="BY401" s="145"/>
      <c r="BZ401" s="5"/>
      <c r="CA401" s="5">
        <v>379</v>
      </c>
      <c r="CB401" s="413" t="s">
        <v>718</v>
      </c>
      <c r="CC401" s="145"/>
      <c r="CD401" s="146"/>
      <c r="CE401" s="145"/>
      <c r="CF401" s="145"/>
      <c r="CG401" s="5"/>
      <c r="CH401" s="5"/>
      <c r="CI401" s="5"/>
    </row>
    <row r="402" spans="13:87" x14ac:dyDescent="0.2">
      <c r="M402" s="5">
        <v>380</v>
      </c>
      <c r="N402" s="413" t="str">
        <f t="shared" si="30"/>
        <v xml:space="preserve"> </v>
      </c>
      <c r="O402" s="414">
        <f t="shared" si="31"/>
        <v>0</v>
      </c>
      <c r="P402" s="414">
        <f t="shared" si="32"/>
        <v>0</v>
      </c>
      <c r="Q402" s="145">
        <f t="shared" si="35"/>
        <v>-8</v>
      </c>
      <c r="R402" s="414">
        <f t="shared" si="33"/>
        <v>0</v>
      </c>
      <c r="S402" s="414">
        <f t="shared" si="34"/>
        <v>0</v>
      </c>
      <c r="T402" s="19"/>
      <c r="U402" s="5"/>
      <c r="V402" s="5"/>
      <c r="W402" s="5">
        <v>380</v>
      </c>
      <c r="X402" s="144" t="s">
        <v>718</v>
      </c>
      <c r="Y402" s="145"/>
      <c r="Z402" s="146"/>
      <c r="AA402" s="145"/>
      <c r="AB402" s="145"/>
      <c r="AD402" s="5">
        <v>380</v>
      </c>
      <c r="AE402" s="413" t="s">
        <v>718</v>
      </c>
      <c r="AF402" s="145"/>
      <c r="AG402" s="146"/>
      <c r="AH402" s="145"/>
      <c r="AI402" s="145"/>
      <c r="AK402" s="5">
        <v>380</v>
      </c>
      <c r="AL402" s="413" t="s">
        <v>718</v>
      </c>
      <c r="AM402" s="145"/>
      <c r="AN402" s="146"/>
      <c r="AO402" s="145"/>
      <c r="AP402" s="145"/>
      <c r="AR402" s="5">
        <v>380</v>
      </c>
      <c r="AS402" s="413" t="s">
        <v>1962</v>
      </c>
      <c r="AT402" s="145">
        <v>210</v>
      </c>
      <c r="AU402" s="146">
        <v>3.29</v>
      </c>
      <c r="AV402" s="145">
        <v>3577</v>
      </c>
      <c r="AW402" s="145">
        <v>-14</v>
      </c>
      <c r="AY402" s="5">
        <v>380</v>
      </c>
      <c r="AZ402" s="413" t="s">
        <v>1963</v>
      </c>
      <c r="BA402" s="145">
        <v>482</v>
      </c>
      <c r="BB402" s="146">
        <v>2.84</v>
      </c>
      <c r="BC402" s="145">
        <v>4203</v>
      </c>
      <c r="BD402" s="145">
        <v>-17</v>
      </c>
      <c r="BF402" s="5">
        <v>380</v>
      </c>
      <c r="BG402" s="413" t="s">
        <v>718</v>
      </c>
      <c r="BH402" s="145"/>
      <c r="BI402" s="146"/>
      <c r="BJ402" s="145"/>
      <c r="BK402" s="145"/>
      <c r="BM402" s="5">
        <v>380</v>
      </c>
      <c r="BN402" s="413" t="s">
        <v>718</v>
      </c>
      <c r="BO402" s="145"/>
      <c r="BP402" s="146"/>
      <c r="BQ402" s="145"/>
      <c r="BR402" s="145"/>
      <c r="BS402" s="5"/>
      <c r="BT402" s="5">
        <v>380</v>
      </c>
      <c r="BU402" s="413" t="s">
        <v>718</v>
      </c>
      <c r="BV402" s="145"/>
      <c r="BW402" s="146"/>
      <c r="BX402" s="145"/>
      <c r="BY402" s="145"/>
      <c r="BZ402" s="5"/>
      <c r="CA402" s="5">
        <v>380</v>
      </c>
      <c r="CB402" s="413" t="s">
        <v>718</v>
      </c>
      <c r="CC402" s="145"/>
      <c r="CD402" s="146"/>
      <c r="CE402" s="145"/>
      <c r="CF402" s="145"/>
      <c r="CG402" s="5"/>
      <c r="CH402" s="5"/>
      <c r="CI402" s="5"/>
    </row>
    <row r="403" spans="13:87" x14ac:dyDescent="0.2">
      <c r="M403" s="5">
        <v>381</v>
      </c>
      <c r="N403" s="413" t="str">
        <f t="shared" si="30"/>
        <v xml:space="preserve"> </v>
      </c>
      <c r="O403" s="414">
        <f t="shared" si="31"/>
        <v>0</v>
      </c>
      <c r="P403" s="414">
        <f t="shared" si="32"/>
        <v>0</v>
      </c>
      <c r="Q403" s="145">
        <f t="shared" si="35"/>
        <v>-8</v>
      </c>
      <c r="R403" s="414">
        <f t="shared" si="33"/>
        <v>0</v>
      </c>
      <c r="S403" s="414">
        <f t="shared" si="34"/>
        <v>0</v>
      </c>
      <c r="T403" s="19"/>
      <c r="U403" s="5"/>
      <c r="V403" s="5"/>
      <c r="W403" s="5">
        <v>381</v>
      </c>
      <c r="X403" s="144" t="s">
        <v>718</v>
      </c>
      <c r="Y403" s="145"/>
      <c r="Z403" s="146"/>
      <c r="AA403" s="145"/>
      <c r="AB403" s="145"/>
      <c r="AD403" s="5">
        <v>381</v>
      </c>
      <c r="AE403" s="413" t="s">
        <v>718</v>
      </c>
      <c r="AF403" s="145"/>
      <c r="AG403" s="146"/>
      <c r="AH403" s="145"/>
      <c r="AI403" s="145"/>
      <c r="AK403" s="5">
        <v>381</v>
      </c>
      <c r="AL403" s="413" t="s">
        <v>718</v>
      </c>
      <c r="AM403" s="145"/>
      <c r="AN403" s="146"/>
      <c r="AO403" s="145"/>
      <c r="AP403" s="145"/>
      <c r="AR403" s="5">
        <v>381</v>
      </c>
      <c r="AS403" s="413" t="s">
        <v>1964</v>
      </c>
      <c r="AT403" s="145">
        <v>222</v>
      </c>
      <c r="AU403" s="146">
        <v>3.43</v>
      </c>
      <c r="AV403" s="145">
        <v>3663</v>
      </c>
      <c r="AW403" s="145">
        <v>-13</v>
      </c>
      <c r="AY403" s="5">
        <v>381</v>
      </c>
      <c r="AZ403" s="413" t="s">
        <v>1965</v>
      </c>
      <c r="BA403" s="145">
        <v>616</v>
      </c>
      <c r="BB403" s="146">
        <v>2.64</v>
      </c>
      <c r="BC403" s="145">
        <v>4237</v>
      </c>
      <c r="BD403" s="145">
        <v>-15</v>
      </c>
      <c r="BF403" s="5">
        <v>381</v>
      </c>
      <c r="BG403" s="413" t="s">
        <v>718</v>
      </c>
      <c r="BH403" s="145"/>
      <c r="BI403" s="146"/>
      <c r="BJ403" s="145"/>
      <c r="BK403" s="145"/>
      <c r="BM403" s="5">
        <v>381</v>
      </c>
      <c r="BN403" s="413" t="s">
        <v>718</v>
      </c>
      <c r="BO403" s="145"/>
      <c r="BP403" s="146"/>
      <c r="BQ403" s="145"/>
      <c r="BR403" s="145"/>
      <c r="BS403" s="5"/>
      <c r="BT403" s="5">
        <v>381</v>
      </c>
      <c r="BU403" s="413" t="s">
        <v>718</v>
      </c>
      <c r="BV403" s="145"/>
      <c r="BW403" s="146"/>
      <c r="BX403" s="145"/>
      <c r="BY403" s="145"/>
      <c r="BZ403" s="5"/>
      <c r="CA403" s="5">
        <v>381</v>
      </c>
      <c r="CB403" s="413" t="s">
        <v>718</v>
      </c>
      <c r="CC403" s="145"/>
      <c r="CD403" s="146"/>
      <c r="CE403" s="145"/>
      <c r="CF403" s="145"/>
      <c r="CG403" s="5"/>
      <c r="CH403" s="5"/>
      <c r="CI403" s="5"/>
    </row>
    <row r="404" spans="13:87" x14ac:dyDescent="0.2">
      <c r="M404" s="5">
        <v>382</v>
      </c>
      <c r="N404" s="413" t="str">
        <f t="shared" si="30"/>
        <v xml:space="preserve"> </v>
      </c>
      <c r="O404" s="414">
        <f t="shared" si="31"/>
        <v>0</v>
      </c>
      <c r="P404" s="414">
        <f t="shared" si="32"/>
        <v>0</v>
      </c>
      <c r="Q404" s="145">
        <f t="shared" si="35"/>
        <v>-8</v>
      </c>
      <c r="R404" s="414">
        <f t="shared" si="33"/>
        <v>0</v>
      </c>
      <c r="S404" s="414">
        <f t="shared" si="34"/>
        <v>0</v>
      </c>
      <c r="T404" s="19"/>
      <c r="U404" s="5"/>
      <c r="V404" s="5"/>
      <c r="W404" s="5">
        <v>382</v>
      </c>
      <c r="X404" s="144" t="s">
        <v>718</v>
      </c>
      <c r="Y404" s="145"/>
      <c r="Z404" s="146"/>
      <c r="AA404" s="145"/>
      <c r="AB404" s="145"/>
      <c r="AD404" s="5">
        <v>382</v>
      </c>
      <c r="AE404" s="413" t="s">
        <v>718</v>
      </c>
      <c r="AF404" s="145"/>
      <c r="AG404" s="146"/>
      <c r="AH404" s="145"/>
      <c r="AI404" s="145"/>
      <c r="AK404" s="5">
        <v>382</v>
      </c>
      <c r="AL404" s="413" t="s">
        <v>718</v>
      </c>
      <c r="AM404" s="145"/>
      <c r="AN404" s="146"/>
      <c r="AO404" s="145"/>
      <c r="AP404" s="145"/>
      <c r="AR404" s="5">
        <v>382</v>
      </c>
      <c r="AS404" s="413" t="s">
        <v>1966</v>
      </c>
      <c r="AT404" s="145">
        <v>180</v>
      </c>
      <c r="AU404" s="146">
        <v>3.35</v>
      </c>
      <c r="AV404" s="145">
        <v>3464</v>
      </c>
      <c r="AW404" s="145">
        <v>-14</v>
      </c>
      <c r="AY404" s="5">
        <v>382</v>
      </c>
      <c r="AZ404" s="413" t="s">
        <v>718</v>
      </c>
      <c r="BA404" s="145"/>
      <c r="BB404" s="146"/>
      <c r="BC404" s="145"/>
      <c r="BD404" s="145"/>
      <c r="BF404" s="5">
        <v>382</v>
      </c>
      <c r="BG404" s="413" t="s">
        <v>718</v>
      </c>
      <c r="BH404" s="145"/>
      <c r="BI404" s="146"/>
      <c r="BJ404" s="145"/>
      <c r="BK404" s="145"/>
      <c r="BM404" s="5">
        <v>382</v>
      </c>
      <c r="BN404" s="413" t="s">
        <v>718</v>
      </c>
      <c r="BO404" s="145"/>
      <c r="BP404" s="146"/>
      <c r="BQ404" s="145"/>
      <c r="BR404" s="145"/>
      <c r="BS404" s="5"/>
      <c r="BT404" s="5">
        <v>382</v>
      </c>
      <c r="BU404" s="413" t="s">
        <v>718</v>
      </c>
      <c r="BV404" s="145"/>
      <c r="BW404" s="146"/>
      <c r="BX404" s="145"/>
      <c r="BY404" s="145"/>
      <c r="BZ404" s="5"/>
      <c r="CA404" s="5">
        <v>382</v>
      </c>
      <c r="CB404" s="413" t="s">
        <v>718</v>
      </c>
      <c r="CC404" s="145"/>
      <c r="CD404" s="146"/>
      <c r="CE404" s="145"/>
      <c r="CF404" s="145"/>
      <c r="CG404" s="5"/>
      <c r="CH404" s="5"/>
      <c r="CI404" s="5"/>
    </row>
    <row r="405" spans="13:87" x14ac:dyDescent="0.2">
      <c r="M405" s="5">
        <v>383</v>
      </c>
      <c r="N405" s="413" t="str">
        <f t="shared" si="30"/>
        <v xml:space="preserve"> </v>
      </c>
      <c r="O405" s="414">
        <f t="shared" si="31"/>
        <v>0</v>
      </c>
      <c r="P405" s="414">
        <f t="shared" si="32"/>
        <v>0</v>
      </c>
      <c r="Q405" s="145">
        <f t="shared" si="35"/>
        <v>-8</v>
      </c>
      <c r="R405" s="414">
        <f t="shared" si="33"/>
        <v>0</v>
      </c>
      <c r="S405" s="414">
        <f t="shared" si="34"/>
        <v>0</v>
      </c>
      <c r="T405" s="19"/>
      <c r="U405" s="5"/>
      <c r="V405" s="5"/>
      <c r="W405" s="5">
        <v>383</v>
      </c>
      <c r="X405" s="144" t="s">
        <v>718</v>
      </c>
      <c r="Y405" s="145"/>
      <c r="Z405" s="146"/>
      <c r="AA405" s="145"/>
      <c r="AB405" s="145"/>
      <c r="AD405" s="5">
        <v>383</v>
      </c>
      <c r="AE405" s="413" t="s">
        <v>718</v>
      </c>
      <c r="AF405" s="145"/>
      <c r="AG405" s="146"/>
      <c r="AH405" s="145"/>
      <c r="AI405" s="145"/>
      <c r="AK405" s="5">
        <v>383</v>
      </c>
      <c r="AL405" s="413" t="s">
        <v>718</v>
      </c>
      <c r="AM405" s="145"/>
      <c r="AN405" s="146"/>
      <c r="AO405" s="145"/>
      <c r="AP405" s="145"/>
      <c r="AR405" s="5">
        <v>383</v>
      </c>
      <c r="AS405" s="413" t="s">
        <v>1967</v>
      </c>
      <c r="AT405" s="145">
        <v>250</v>
      </c>
      <c r="AU405" s="146">
        <v>3.24</v>
      </c>
      <c r="AV405" s="145">
        <v>3738</v>
      </c>
      <c r="AW405" s="145">
        <v>-14</v>
      </c>
      <c r="AY405" s="5">
        <v>383</v>
      </c>
      <c r="AZ405" s="413" t="s">
        <v>718</v>
      </c>
      <c r="BA405" s="145"/>
      <c r="BB405" s="146"/>
      <c r="BC405" s="145"/>
      <c r="BD405" s="145"/>
      <c r="BF405" s="5">
        <v>383</v>
      </c>
      <c r="BG405" s="413" t="s">
        <v>718</v>
      </c>
      <c r="BH405" s="145"/>
      <c r="BI405" s="146"/>
      <c r="BJ405" s="145"/>
      <c r="BK405" s="145"/>
      <c r="BM405" s="5">
        <v>383</v>
      </c>
      <c r="BN405" s="413" t="s">
        <v>718</v>
      </c>
      <c r="BO405" s="145"/>
      <c r="BP405" s="146"/>
      <c r="BQ405" s="145"/>
      <c r="BR405" s="145"/>
      <c r="BS405" s="5"/>
      <c r="BT405" s="5">
        <v>383</v>
      </c>
      <c r="BU405" s="413" t="s">
        <v>718</v>
      </c>
      <c r="BV405" s="145"/>
      <c r="BW405" s="146"/>
      <c r="BX405" s="145"/>
      <c r="BY405" s="145"/>
      <c r="BZ405" s="5"/>
      <c r="CA405" s="5">
        <v>383</v>
      </c>
      <c r="CB405" s="413" t="s">
        <v>718</v>
      </c>
      <c r="CC405" s="145"/>
      <c r="CD405" s="146"/>
      <c r="CE405" s="145"/>
      <c r="CF405" s="145"/>
      <c r="CG405" s="5"/>
      <c r="CH405" s="5"/>
      <c r="CI405" s="5"/>
    </row>
    <row r="406" spans="13:87" x14ac:dyDescent="0.2">
      <c r="M406" s="5">
        <v>384</v>
      </c>
      <c r="N406" s="413" t="str">
        <f t="shared" si="30"/>
        <v xml:space="preserve"> </v>
      </c>
      <c r="O406" s="414">
        <f t="shared" si="31"/>
        <v>0</v>
      </c>
      <c r="P406" s="414">
        <f t="shared" si="32"/>
        <v>0</v>
      </c>
      <c r="Q406" s="145">
        <f t="shared" si="35"/>
        <v>-8</v>
      </c>
      <c r="R406" s="414">
        <f t="shared" si="33"/>
        <v>0</v>
      </c>
      <c r="S406" s="414">
        <f t="shared" si="34"/>
        <v>0</v>
      </c>
      <c r="T406" s="19"/>
      <c r="U406" s="5"/>
      <c r="V406" s="5"/>
      <c r="W406" s="5">
        <v>384</v>
      </c>
      <c r="X406" s="144" t="s">
        <v>718</v>
      </c>
      <c r="Y406" s="145"/>
      <c r="Z406" s="146"/>
      <c r="AA406" s="145"/>
      <c r="AB406" s="145"/>
      <c r="AD406" s="5">
        <v>384</v>
      </c>
      <c r="AE406" s="413" t="s">
        <v>718</v>
      </c>
      <c r="AF406" s="145"/>
      <c r="AG406" s="146"/>
      <c r="AH406" s="145"/>
      <c r="AI406" s="145"/>
      <c r="AK406" s="5">
        <v>384</v>
      </c>
      <c r="AL406" s="413" t="s">
        <v>718</v>
      </c>
      <c r="AM406" s="145"/>
      <c r="AN406" s="146"/>
      <c r="AO406" s="145"/>
      <c r="AP406" s="145"/>
      <c r="AR406" s="5">
        <v>384</v>
      </c>
      <c r="AS406" s="413" t="s">
        <v>1968</v>
      </c>
      <c r="AT406" s="145">
        <v>568</v>
      </c>
      <c r="AU406" s="146">
        <v>2.38</v>
      </c>
      <c r="AV406" s="145">
        <v>4423</v>
      </c>
      <c r="AW406" s="145">
        <v>-17</v>
      </c>
      <c r="AY406" s="5">
        <v>384</v>
      </c>
      <c r="AZ406" s="413" t="s">
        <v>718</v>
      </c>
      <c r="BA406" s="145"/>
      <c r="BB406" s="146"/>
      <c r="BC406" s="145"/>
      <c r="BD406" s="145"/>
      <c r="BF406" s="5">
        <v>384</v>
      </c>
      <c r="BG406" s="413" t="s">
        <v>718</v>
      </c>
      <c r="BH406" s="145"/>
      <c r="BI406" s="146"/>
      <c r="BJ406" s="145"/>
      <c r="BK406" s="145"/>
      <c r="BM406" s="5">
        <v>384</v>
      </c>
      <c r="BN406" s="413" t="s">
        <v>718</v>
      </c>
      <c r="BO406" s="145"/>
      <c r="BP406" s="146"/>
      <c r="BQ406" s="145"/>
      <c r="BR406" s="145"/>
      <c r="BS406" s="5"/>
      <c r="BT406" s="5">
        <v>384</v>
      </c>
      <c r="BU406" s="413" t="s">
        <v>718</v>
      </c>
      <c r="BV406" s="145"/>
      <c r="BW406" s="146"/>
      <c r="BX406" s="145"/>
      <c r="BY406" s="145"/>
      <c r="BZ406" s="5"/>
      <c r="CA406" s="5">
        <v>384</v>
      </c>
      <c r="CB406" s="413" t="s">
        <v>718</v>
      </c>
      <c r="CC406" s="145"/>
      <c r="CD406" s="146"/>
      <c r="CE406" s="145"/>
      <c r="CF406" s="145"/>
      <c r="CG406" s="5"/>
      <c r="CH406" s="5"/>
      <c r="CI406" s="5"/>
    </row>
    <row r="407" spans="13:87" x14ac:dyDescent="0.2">
      <c r="M407" s="5">
        <v>385</v>
      </c>
      <c r="N407" s="413" t="str">
        <f t="shared" ref="N407:N470" si="36">INDEX(X$23:CG$723,$M407,(Bundesland-1)*7+1)</f>
        <v xml:space="preserve"> </v>
      </c>
      <c r="O407" s="414">
        <f t="shared" ref="O407:O470" si="37">INDEX(Y$23:CH$723,$M407,(Bundesland-1)*7+1)</f>
        <v>0</v>
      </c>
      <c r="P407" s="414">
        <f t="shared" ref="P407:P470" si="38">INDEX(Z$23:CI$723,$M407,(Bundesland-1)*7+1)</f>
        <v>0</v>
      </c>
      <c r="Q407" s="145">
        <f t="shared" si="35"/>
        <v>-8</v>
      </c>
      <c r="R407" s="414">
        <f t="shared" ref="R407:R470" si="39">INDEX(AA$23:CK$723,$M407,(Bundesland-1)*7+1)</f>
        <v>0</v>
      </c>
      <c r="S407" s="414">
        <f t="shared" ref="S407:S470" si="40">INDEX(AB$23:CL$723,$M407,(Bundesland-1)*7+1)</f>
        <v>0</v>
      </c>
      <c r="T407" s="19"/>
      <c r="U407" s="5"/>
      <c r="V407" s="5"/>
      <c r="W407" s="5">
        <v>385</v>
      </c>
      <c r="X407" s="144" t="s">
        <v>718</v>
      </c>
      <c r="Y407" s="145"/>
      <c r="Z407" s="146"/>
      <c r="AA407" s="145"/>
      <c r="AB407" s="145"/>
      <c r="AD407" s="5">
        <v>385</v>
      </c>
      <c r="AE407" s="413" t="s">
        <v>718</v>
      </c>
      <c r="AF407" s="145"/>
      <c r="AG407" s="146"/>
      <c r="AH407" s="145"/>
      <c r="AI407" s="145"/>
      <c r="AK407" s="5">
        <v>385</v>
      </c>
      <c r="AL407" s="413" t="s">
        <v>718</v>
      </c>
      <c r="AM407" s="145"/>
      <c r="AN407" s="146"/>
      <c r="AO407" s="145"/>
      <c r="AP407" s="145"/>
      <c r="AR407" s="5">
        <v>385</v>
      </c>
      <c r="AS407" s="413" t="s">
        <v>1969</v>
      </c>
      <c r="AT407" s="145">
        <v>217</v>
      </c>
      <c r="AU407" s="146">
        <v>3.76</v>
      </c>
      <c r="AV407" s="145">
        <v>3329</v>
      </c>
      <c r="AW407" s="145">
        <v>-13</v>
      </c>
      <c r="AY407" s="5">
        <v>385</v>
      </c>
      <c r="AZ407" s="413" t="s">
        <v>718</v>
      </c>
      <c r="BA407" s="145"/>
      <c r="BB407" s="146"/>
      <c r="BC407" s="145"/>
      <c r="BD407" s="145"/>
      <c r="BF407" s="5">
        <v>385</v>
      </c>
      <c r="BG407" s="413" t="s">
        <v>718</v>
      </c>
      <c r="BH407" s="145"/>
      <c r="BI407" s="146"/>
      <c r="BJ407" s="145"/>
      <c r="BK407" s="145"/>
      <c r="BM407" s="5">
        <v>385</v>
      </c>
      <c r="BN407" s="413" t="s">
        <v>718</v>
      </c>
      <c r="BO407" s="145"/>
      <c r="BP407" s="146"/>
      <c r="BQ407" s="145"/>
      <c r="BR407" s="145"/>
      <c r="BS407" s="5"/>
      <c r="BT407" s="5">
        <v>385</v>
      </c>
      <c r="BU407" s="413" t="s">
        <v>718</v>
      </c>
      <c r="BV407" s="145"/>
      <c r="BW407" s="146"/>
      <c r="BX407" s="145"/>
      <c r="BY407" s="145"/>
      <c r="BZ407" s="5"/>
      <c r="CA407" s="5">
        <v>385</v>
      </c>
      <c r="CB407" s="413" t="s">
        <v>718</v>
      </c>
      <c r="CC407" s="145"/>
      <c r="CD407" s="146"/>
      <c r="CE407" s="145"/>
      <c r="CF407" s="145"/>
      <c r="CG407" s="5"/>
      <c r="CH407" s="5"/>
      <c r="CI407" s="5"/>
    </row>
    <row r="408" spans="13:87" x14ac:dyDescent="0.2">
      <c r="M408" s="5">
        <v>386</v>
      </c>
      <c r="N408" s="413" t="str">
        <f t="shared" si="36"/>
        <v xml:space="preserve"> </v>
      </c>
      <c r="O408" s="414">
        <f t="shared" si="37"/>
        <v>0</v>
      </c>
      <c r="P408" s="414">
        <f t="shared" si="38"/>
        <v>0</v>
      </c>
      <c r="Q408" s="145">
        <f t="shared" ref="Q408:Q471" si="41">MIN(S408+Zuschlag_A,-8)</f>
        <v>-8</v>
      </c>
      <c r="R408" s="414">
        <f t="shared" si="39"/>
        <v>0</v>
      </c>
      <c r="S408" s="414">
        <f t="shared" si="40"/>
        <v>0</v>
      </c>
      <c r="T408" s="19"/>
      <c r="U408" s="5"/>
      <c r="V408" s="5"/>
      <c r="W408" s="5">
        <v>386</v>
      </c>
      <c r="X408" s="144" t="s">
        <v>718</v>
      </c>
      <c r="Y408" s="145"/>
      <c r="Z408" s="146"/>
      <c r="AA408" s="145"/>
      <c r="AB408" s="145"/>
      <c r="AD408" s="5">
        <v>386</v>
      </c>
      <c r="AE408" s="413" t="s">
        <v>718</v>
      </c>
      <c r="AF408" s="145"/>
      <c r="AG408" s="146"/>
      <c r="AH408" s="145"/>
      <c r="AI408" s="145"/>
      <c r="AK408" s="5">
        <v>386</v>
      </c>
      <c r="AL408" s="413" t="s">
        <v>718</v>
      </c>
      <c r="AM408" s="145"/>
      <c r="AN408" s="146"/>
      <c r="AO408" s="145"/>
      <c r="AP408" s="145"/>
      <c r="AR408" s="5">
        <v>386</v>
      </c>
      <c r="AS408" s="413" t="s">
        <v>1970</v>
      </c>
      <c r="AT408" s="145">
        <v>349</v>
      </c>
      <c r="AU408" s="146">
        <v>3.2</v>
      </c>
      <c r="AV408" s="145">
        <v>3729</v>
      </c>
      <c r="AW408" s="145">
        <v>-14</v>
      </c>
      <c r="AY408" s="5">
        <v>386</v>
      </c>
      <c r="AZ408" s="413" t="s">
        <v>718</v>
      </c>
      <c r="BA408" s="145"/>
      <c r="BB408" s="146"/>
      <c r="BC408" s="145"/>
      <c r="BD408" s="145"/>
      <c r="BF408" s="5">
        <v>386</v>
      </c>
      <c r="BG408" s="413" t="s">
        <v>718</v>
      </c>
      <c r="BH408" s="145"/>
      <c r="BI408" s="146"/>
      <c r="BJ408" s="145"/>
      <c r="BK408" s="145"/>
      <c r="BM408" s="5">
        <v>386</v>
      </c>
      <c r="BN408" s="413" t="s">
        <v>718</v>
      </c>
      <c r="BO408" s="145"/>
      <c r="BP408" s="146"/>
      <c r="BQ408" s="145"/>
      <c r="BR408" s="145"/>
      <c r="BS408" s="5"/>
      <c r="BT408" s="5">
        <v>386</v>
      </c>
      <c r="BU408" s="413" t="s">
        <v>718</v>
      </c>
      <c r="BV408" s="145"/>
      <c r="BW408" s="146"/>
      <c r="BX408" s="145"/>
      <c r="BY408" s="145"/>
      <c r="BZ408" s="5"/>
      <c r="CA408" s="5">
        <v>386</v>
      </c>
      <c r="CB408" s="413" t="s">
        <v>718</v>
      </c>
      <c r="CC408" s="145"/>
      <c r="CD408" s="146"/>
      <c r="CE408" s="145"/>
      <c r="CF408" s="145"/>
      <c r="CG408" s="5"/>
      <c r="CH408" s="5"/>
      <c r="CI408" s="5"/>
    </row>
    <row r="409" spans="13:87" x14ac:dyDescent="0.2">
      <c r="M409" s="5">
        <v>387</v>
      </c>
      <c r="N409" s="413" t="str">
        <f t="shared" si="36"/>
        <v xml:space="preserve"> </v>
      </c>
      <c r="O409" s="414">
        <f t="shared" si="37"/>
        <v>0</v>
      </c>
      <c r="P409" s="414">
        <f t="shared" si="38"/>
        <v>0</v>
      </c>
      <c r="Q409" s="145">
        <f t="shared" si="41"/>
        <v>-8</v>
      </c>
      <c r="R409" s="414">
        <f t="shared" si="39"/>
        <v>0</v>
      </c>
      <c r="S409" s="414">
        <f t="shared" si="40"/>
        <v>0</v>
      </c>
      <c r="T409" s="19"/>
      <c r="U409" s="5"/>
      <c r="V409" s="5"/>
      <c r="W409" s="5">
        <v>387</v>
      </c>
      <c r="X409" s="144" t="s">
        <v>718</v>
      </c>
      <c r="Y409" s="145"/>
      <c r="Z409" s="146"/>
      <c r="AA409" s="145"/>
      <c r="AB409" s="145"/>
      <c r="AD409" s="5">
        <v>387</v>
      </c>
      <c r="AE409" s="413" t="s">
        <v>718</v>
      </c>
      <c r="AF409" s="145"/>
      <c r="AG409" s="146"/>
      <c r="AH409" s="145"/>
      <c r="AI409" s="145"/>
      <c r="AK409" s="5">
        <v>387</v>
      </c>
      <c r="AL409" s="413" t="s">
        <v>718</v>
      </c>
      <c r="AM409" s="145"/>
      <c r="AN409" s="146"/>
      <c r="AO409" s="145"/>
      <c r="AP409" s="145"/>
      <c r="AR409" s="5">
        <v>387</v>
      </c>
      <c r="AS409" s="413" t="s">
        <v>1971</v>
      </c>
      <c r="AT409" s="145">
        <v>166</v>
      </c>
      <c r="AU409" s="146">
        <v>3.31</v>
      </c>
      <c r="AV409" s="145">
        <v>3554</v>
      </c>
      <c r="AW409" s="145">
        <v>-14</v>
      </c>
      <c r="AY409" s="5">
        <v>387</v>
      </c>
      <c r="AZ409" s="413" t="s">
        <v>718</v>
      </c>
      <c r="BA409" s="145"/>
      <c r="BB409" s="146"/>
      <c r="BC409" s="145"/>
      <c r="BD409" s="145"/>
      <c r="BF409" s="5">
        <v>387</v>
      </c>
      <c r="BG409" s="413" t="s">
        <v>718</v>
      </c>
      <c r="BH409" s="145"/>
      <c r="BI409" s="146"/>
      <c r="BJ409" s="145"/>
      <c r="BK409" s="145"/>
      <c r="BM409" s="5">
        <v>387</v>
      </c>
      <c r="BN409" s="413" t="s">
        <v>718</v>
      </c>
      <c r="BO409" s="145"/>
      <c r="BP409" s="146"/>
      <c r="BQ409" s="145"/>
      <c r="BR409" s="145"/>
      <c r="BS409" s="5"/>
      <c r="BT409" s="5">
        <v>387</v>
      </c>
      <c r="BU409" s="413" t="s">
        <v>718</v>
      </c>
      <c r="BV409" s="145"/>
      <c r="BW409" s="146"/>
      <c r="BX409" s="145"/>
      <c r="BY409" s="145"/>
      <c r="BZ409" s="5"/>
      <c r="CA409" s="5">
        <v>387</v>
      </c>
      <c r="CB409" s="413" t="s">
        <v>718</v>
      </c>
      <c r="CC409" s="145"/>
      <c r="CD409" s="146"/>
      <c r="CE409" s="145"/>
      <c r="CF409" s="145"/>
      <c r="CG409" s="5"/>
      <c r="CH409" s="5"/>
      <c r="CI409" s="5"/>
    </row>
    <row r="410" spans="13:87" x14ac:dyDescent="0.2">
      <c r="M410" s="5">
        <v>388</v>
      </c>
      <c r="N410" s="413" t="str">
        <f t="shared" si="36"/>
        <v xml:space="preserve"> </v>
      </c>
      <c r="O410" s="414">
        <f t="shared" si="37"/>
        <v>0</v>
      </c>
      <c r="P410" s="414">
        <f t="shared" si="38"/>
        <v>0</v>
      </c>
      <c r="Q410" s="145">
        <f t="shared" si="41"/>
        <v>-8</v>
      </c>
      <c r="R410" s="414">
        <f t="shared" si="39"/>
        <v>0</v>
      </c>
      <c r="S410" s="414">
        <f t="shared" si="40"/>
        <v>0</v>
      </c>
      <c r="T410" s="19"/>
      <c r="U410" s="5"/>
      <c r="V410" s="5"/>
      <c r="W410" s="5">
        <v>388</v>
      </c>
      <c r="X410" s="144" t="s">
        <v>718</v>
      </c>
      <c r="Y410" s="145"/>
      <c r="Z410" s="146"/>
      <c r="AA410" s="145"/>
      <c r="AB410" s="145"/>
      <c r="AD410" s="5">
        <v>388</v>
      </c>
      <c r="AE410" s="413" t="s">
        <v>718</v>
      </c>
      <c r="AF410" s="145"/>
      <c r="AG410" s="146"/>
      <c r="AH410" s="145"/>
      <c r="AI410" s="145"/>
      <c r="AK410" s="5">
        <v>388</v>
      </c>
      <c r="AL410" s="413" t="s">
        <v>718</v>
      </c>
      <c r="AM410" s="145"/>
      <c r="AN410" s="146"/>
      <c r="AO410" s="145"/>
      <c r="AP410" s="145"/>
      <c r="AR410" s="5">
        <v>388</v>
      </c>
      <c r="AS410" s="413" t="s">
        <v>1972</v>
      </c>
      <c r="AT410" s="145">
        <v>195</v>
      </c>
      <c r="AU410" s="146">
        <v>3.21</v>
      </c>
      <c r="AV410" s="145">
        <v>3609</v>
      </c>
      <c r="AW410" s="145">
        <v>-14</v>
      </c>
      <c r="AY410" s="5">
        <v>388</v>
      </c>
      <c r="AZ410" s="413" t="s">
        <v>718</v>
      </c>
      <c r="BA410" s="145"/>
      <c r="BB410" s="146"/>
      <c r="BC410" s="145"/>
      <c r="BD410" s="145"/>
      <c r="BF410" s="5">
        <v>388</v>
      </c>
      <c r="BG410" s="413" t="s">
        <v>718</v>
      </c>
      <c r="BH410" s="145"/>
      <c r="BI410" s="146"/>
      <c r="BJ410" s="145"/>
      <c r="BK410" s="145"/>
      <c r="BM410" s="5">
        <v>388</v>
      </c>
      <c r="BN410" s="413" t="s">
        <v>718</v>
      </c>
      <c r="BO410" s="145"/>
      <c r="BP410" s="146"/>
      <c r="BQ410" s="145"/>
      <c r="BR410" s="145"/>
      <c r="BS410" s="5"/>
      <c r="BT410" s="5">
        <v>388</v>
      </c>
      <c r="BU410" s="413" t="s">
        <v>718</v>
      </c>
      <c r="BV410" s="145"/>
      <c r="BW410" s="146"/>
      <c r="BX410" s="145"/>
      <c r="BY410" s="145"/>
      <c r="BZ410" s="5"/>
      <c r="CA410" s="5">
        <v>388</v>
      </c>
      <c r="CB410" s="413" t="s">
        <v>718</v>
      </c>
      <c r="CC410" s="145"/>
      <c r="CD410" s="146"/>
      <c r="CE410" s="145"/>
      <c r="CF410" s="145"/>
      <c r="CG410" s="5"/>
      <c r="CH410" s="5"/>
      <c r="CI410" s="5"/>
    </row>
    <row r="411" spans="13:87" x14ac:dyDescent="0.2">
      <c r="M411" s="5">
        <v>389</v>
      </c>
      <c r="N411" s="413" t="str">
        <f t="shared" si="36"/>
        <v xml:space="preserve"> </v>
      </c>
      <c r="O411" s="414">
        <f t="shared" si="37"/>
        <v>0</v>
      </c>
      <c r="P411" s="414">
        <f t="shared" si="38"/>
        <v>0</v>
      </c>
      <c r="Q411" s="145">
        <f t="shared" si="41"/>
        <v>-8</v>
      </c>
      <c r="R411" s="414">
        <f t="shared" si="39"/>
        <v>0</v>
      </c>
      <c r="S411" s="414">
        <f t="shared" si="40"/>
        <v>0</v>
      </c>
      <c r="T411" s="19"/>
      <c r="U411" s="5"/>
      <c r="V411" s="5"/>
      <c r="W411" s="5">
        <v>389</v>
      </c>
      <c r="X411" s="144" t="s">
        <v>718</v>
      </c>
      <c r="Y411" s="145"/>
      <c r="Z411" s="146"/>
      <c r="AA411" s="145"/>
      <c r="AB411" s="145"/>
      <c r="AD411" s="5">
        <v>389</v>
      </c>
      <c r="AE411" s="413" t="s">
        <v>718</v>
      </c>
      <c r="AF411" s="145"/>
      <c r="AG411" s="146"/>
      <c r="AH411" s="145"/>
      <c r="AI411" s="145"/>
      <c r="AK411" s="5">
        <v>389</v>
      </c>
      <c r="AL411" s="413" t="s">
        <v>718</v>
      </c>
      <c r="AM411" s="145"/>
      <c r="AN411" s="146"/>
      <c r="AO411" s="145"/>
      <c r="AP411" s="145"/>
      <c r="AR411" s="5">
        <v>389</v>
      </c>
      <c r="AS411" s="413" t="s">
        <v>1973</v>
      </c>
      <c r="AT411" s="145">
        <v>327</v>
      </c>
      <c r="AU411" s="146">
        <v>3.27</v>
      </c>
      <c r="AV411" s="145">
        <v>3680</v>
      </c>
      <c r="AW411" s="145">
        <v>-14</v>
      </c>
      <c r="AY411" s="5">
        <v>389</v>
      </c>
      <c r="AZ411" s="413" t="s">
        <v>718</v>
      </c>
      <c r="BA411" s="145"/>
      <c r="BB411" s="146"/>
      <c r="BC411" s="145"/>
      <c r="BD411" s="145"/>
      <c r="BF411" s="5">
        <v>389</v>
      </c>
      <c r="BG411" s="413" t="s">
        <v>718</v>
      </c>
      <c r="BH411" s="145"/>
      <c r="BI411" s="146"/>
      <c r="BJ411" s="145"/>
      <c r="BK411" s="145"/>
      <c r="BM411" s="5">
        <v>389</v>
      </c>
      <c r="BN411" s="413" t="s">
        <v>718</v>
      </c>
      <c r="BO411" s="145"/>
      <c r="BP411" s="146"/>
      <c r="BQ411" s="145"/>
      <c r="BR411" s="145"/>
      <c r="BS411" s="5"/>
      <c r="BT411" s="5">
        <v>389</v>
      </c>
      <c r="BU411" s="413" t="s">
        <v>718</v>
      </c>
      <c r="BV411" s="145"/>
      <c r="BW411" s="146"/>
      <c r="BX411" s="145"/>
      <c r="BY411" s="145"/>
      <c r="BZ411" s="5"/>
      <c r="CA411" s="5">
        <v>389</v>
      </c>
      <c r="CB411" s="413" t="s">
        <v>718</v>
      </c>
      <c r="CC411" s="145"/>
      <c r="CD411" s="146"/>
      <c r="CE411" s="145"/>
      <c r="CF411" s="145"/>
      <c r="CG411" s="5"/>
      <c r="CH411" s="5"/>
      <c r="CI411" s="5"/>
    </row>
    <row r="412" spans="13:87" x14ac:dyDescent="0.2">
      <c r="M412" s="5">
        <v>390</v>
      </c>
      <c r="N412" s="413" t="str">
        <f t="shared" si="36"/>
        <v xml:space="preserve"> </v>
      </c>
      <c r="O412" s="414">
        <f t="shared" si="37"/>
        <v>0</v>
      </c>
      <c r="P412" s="414">
        <f t="shared" si="38"/>
        <v>0</v>
      </c>
      <c r="Q412" s="145">
        <f t="shared" si="41"/>
        <v>-8</v>
      </c>
      <c r="R412" s="414">
        <f t="shared" si="39"/>
        <v>0</v>
      </c>
      <c r="S412" s="414">
        <f t="shared" si="40"/>
        <v>0</v>
      </c>
      <c r="T412" s="19"/>
      <c r="U412" s="5"/>
      <c r="V412" s="5"/>
      <c r="W412" s="5">
        <v>390</v>
      </c>
      <c r="X412" s="144" t="s">
        <v>718</v>
      </c>
      <c r="Y412" s="145"/>
      <c r="Z412" s="146"/>
      <c r="AA412" s="145"/>
      <c r="AB412" s="145"/>
      <c r="AD412" s="5">
        <v>390</v>
      </c>
      <c r="AE412" s="413" t="s">
        <v>718</v>
      </c>
      <c r="AF412" s="145"/>
      <c r="AG412" s="146"/>
      <c r="AH412" s="145"/>
      <c r="AI412" s="145"/>
      <c r="AK412" s="5">
        <v>390</v>
      </c>
      <c r="AL412" s="413" t="s">
        <v>718</v>
      </c>
      <c r="AM412" s="145"/>
      <c r="AN412" s="146"/>
      <c r="AO412" s="145"/>
      <c r="AP412" s="145"/>
      <c r="AR412" s="5">
        <v>390</v>
      </c>
      <c r="AS412" s="413" t="s">
        <v>1974</v>
      </c>
      <c r="AT412" s="145">
        <v>222</v>
      </c>
      <c r="AU412" s="146">
        <v>3.23</v>
      </c>
      <c r="AV412" s="145">
        <v>3656</v>
      </c>
      <c r="AW412" s="145">
        <v>-13</v>
      </c>
      <c r="AY412" s="5">
        <v>390</v>
      </c>
      <c r="AZ412" s="413" t="s">
        <v>718</v>
      </c>
      <c r="BA412" s="145"/>
      <c r="BB412" s="146"/>
      <c r="BC412" s="145"/>
      <c r="BD412" s="145"/>
      <c r="BF412" s="5">
        <v>390</v>
      </c>
      <c r="BG412" s="413" t="s">
        <v>718</v>
      </c>
      <c r="BH412" s="145"/>
      <c r="BI412" s="146"/>
      <c r="BJ412" s="145"/>
      <c r="BK412" s="145"/>
      <c r="BM412" s="5">
        <v>390</v>
      </c>
      <c r="BN412" s="413" t="s">
        <v>718</v>
      </c>
      <c r="BO412" s="145"/>
      <c r="BP412" s="146"/>
      <c r="BQ412" s="145"/>
      <c r="BR412" s="145"/>
      <c r="BS412" s="5"/>
      <c r="BT412" s="5">
        <v>390</v>
      </c>
      <c r="BU412" s="413" t="s">
        <v>718</v>
      </c>
      <c r="BV412" s="145"/>
      <c r="BW412" s="146"/>
      <c r="BX412" s="145"/>
      <c r="BY412" s="145"/>
      <c r="BZ412" s="5"/>
      <c r="CA412" s="5">
        <v>390</v>
      </c>
      <c r="CB412" s="413" t="s">
        <v>718</v>
      </c>
      <c r="CC412" s="145"/>
      <c r="CD412" s="146"/>
      <c r="CE412" s="145"/>
      <c r="CF412" s="145"/>
      <c r="CG412" s="5"/>
      <c r="CH412" s="5"/>
      <c r="CI412" s="5"/>
    </row>
    <row r="413" spans="13:87" x14ac:dyDescent="0.2">
      <c r="M413" s="5">
        <v>391</v>
      </c>
      <c r="N413" s="413" t="str">
        <f t="shared" si="36"/>
        <v xml:space="preserve"> </v>
      </c>
      <c r="O413" s="414">
        <f t="shared" si="37"/>
        <v>0</v>
      </c>
      <c r="P413" s="414">
        <f t="shared" si="38"/>
        <v>0</v>
      </c>
      <c r="Q413" s="145">
        <f t="shared" si="41"/>
        <v>-8</v>
      </c>
      <c r="R413" s="414">
        <f t="shared" si="39"/>
        <v>0</v>
      </c>
      <c r="S413" s="414">
        <f t="shared" si="40"/>
        <v>0</v>
      </c>
      <c r="T413" s="19"/>
      <c r="U413" s="5"/>
      <c r="V413" s="5"/>
      <c r="W413" s="5">
        <v>391</v>
      </c>
      <c r="X413" s="144" t="s">
        <v>718</v>
      </c>
      <c r="Y413" s="145"/>
      <c r="Z413" s="146"/>
      <c r="AA413" s="145"/>
      <c r="AB413" s="145"/>
      <c r="AD413" s="5">
        <v>391</v>
      </c>
      <c r="AE413" s="413" t="s">
        <v>718</v>
      </c>
      <c r="AF413" s="145"/>
      <c r="AG413" s="146"/>
      <c r="AH413" s="145"/>
      <c r="AI413" s="145"/>
      <c r="AK413" s="5">
        <v>391</v>
      </c>
      <c r="AL413" s="413" t="s">
        <v>718</v>
      </c>
      <c r="AM413" s="145"/>
      <c r="AN413" s="146"/>
      <c r="AO413" s="145"/>
      <c r="AP413" s="145"/>
      <c r="AR413" s="5">
        <v>391</v>
      </c>
      <c r="AS413" s="413" t="s">
        <v>1975</v>
      </c>
      <c r="AT413" s="145">
        <v>390</v>
      </c>
      <c r="AU413" s="146">
        <v>2.72</v>
      </c>
      <c r="AV413" s="145">
        <v>4027</v>
      </c>
      <c r="AW413" s="145">
        <v>-15</v>
      </c>
      <c r="AY413" s="5">
        <v>391</v>
      </c>
      <c r="AZ413" s="413" t="s">
        <v>718</v>
      </c>
      <c r="BA413" s="145"/>
      <c r="BB413" s="146"/>
      <c r="BC413" s="145"/>
      <c r="BD413" s="145"/>
      <c r="BF413" s="5">
        <v>391</v>
      </c>
      <c r="BG413" s="413" t="s">
        <v>718</v>
      </c>
      <c r="BH413" s="145"/>
      <c r="BI413" s="146"/>
      <c r="BJ413" s="145"/>
      <c r="BK413" s="145"/>
      <c r="BM413" s="5">
        <v>391</v>
      </c>
      <c r="BN413" s="413" t="s">
        <v>718</v>
      </c>
      <c r="BO413" s="145"/>
      <c r="BP413" s="146"/>
      <c r="BQ413" s="145"/>
      <c r="BR413" s="145"/>
      <c r="BS413" s="5"/>
      <c r="BT413" s="5">
        <v>391</v>
      </c>
      <c r="BU413" s="413" t="s">
        <v>718</v>
      </c>
      <c r="BV413" s="145"/>
      <c r="BW413" s="146"/>
      <c r="BX413" s="145"/>
      <c r="BY413" s="145"/>
      <c r="BZ413" s="5"/>
      <c r="CA413" s="5">
        <v>391</v>
      </c>
      <c r="CB413" s="413" t="s">
        <v>718</v>
      </c>
      <c r="CC413" s="145"/>
      <c r="CD413" s="146"/>
      <c r="CE413" s="145"/>
      <c r="CF413" s="145"/>
      <c r="CG413" s="5"/>
      <c r="CH413" s="5"/>
      <c r="CI413" s="5"/>
    </row>
    <row r="414" spans="13:87" x14ac:dyDescent="0.2">
      <c r="M414" s="5">
        <v>392</v>
      </c>
      <c r="N414" s="413" t="str">
        <f t="shared" si="36"/>
        <v xml:space="preserve"> </v>
      </c>
      <c r="O414" s="414">
        <f t="shared" si="37"/>
        <v>0</v>
      </c>
      <c r="P414" s="414">
        <f t="shared" si="38"/>
        <v>0</v>
      </c>
      <c r="Q414" s="145">
        <f t="shared" si="41"/>
        <v>-8</v>
      </c>
      <c r="R414" s="414">
        <f t="shared" si="39"/>
        <v>0</v>
      </c>
      <c r="S414" s="414">
        <f t="shared" si="40"/>
        <v>0</v>
      </c>
      <c r="T414" s="19"/>
      <c r="U414" s="5"/>
      <c r="V414" s="5"/>
      <c r="W414" s="5">
        <v>392</v>
      </c>
      <c r="X414" s="144" t="s">
        <v>718</v>
      </c>
      <c r="Y414" s="145"/>
      <c r="Z414" s="146"/>
      <c r="AA414" s="145"/>
      <c r="AB414" s="145"/>
      <c r="AD414" s="5">
        <v>392</v>
      </c>
      <c r="AE414" s="413" t="s">
        <v>718</v>
      </c>
      <c r="AF414" s="145"/>
      <c r="AG414" s="146"/>
      <c r="AH414" s="145"/>
      <c r="AI414" s="145"/>
      <c r="AK414" s="5">
        <v>392</v>
      </c>
      <c r="AL414" s="413" t="s">
        <v>718</v>
      </c>
      <c r="AM414" s="145"/>
      <c r="AN414" s="146"/>
      <c r="AO414" s="145"/>
      <c r="AP414" s="145"/>
      <c r="AR414" s="5">
        <v>392</v>
      </c>
      <c r="AS414" s="413" t="s">
        <v>1976</v>
      </c>
      <c r="AT414" s="145">
        <v>212</v>
      </c>
      <c r="AU414" s="146">
        <v>3.26</v>
      </c>
      <c r="AV414" s="145">
        <v>3717</v>
      </c>
      <c r="AW414" s="145">
        <v>-14</v>
      </c>
      <c r="AY414" s="5">
        <v>392</v>
      </c>
      <c r="AZ414" s="413" t="s">
        <v>718</v>
      </c>
      <c r="BA414" s="145"/>
      <c r="BB414" s="146"/>
      <c r="BC414" s="145"/>
      <c r="BD414" s="145"/>
      <c r="BF414" s="5">
        <v>392</v>
      </c>
      <c r="BG414" s="413" t="s">
        <v>718</v>
      </c>
      <c r="BH414" s="145"/>
      <c r="BI414" s="146"/>
      <c r="BJ414" s="145"/>
      <c r="BK414" s="145"/>
      <c r="BM414" s="5">
        <v>392</v>
      </c>
      <c r="BN414" s="413" t="s">
        <v>718</v>
      </c>
      <c r="BO414" s="145"/>
      <c r="BP414" s="146"/>
      <c r="BQ414" s="145"/>
      <c r="BR414" s="145"/>
      <c r="BS414" s="5"/>
      <c r="BT414" s="5">
        <v>392</v>
      </c>
      <c r="BU414" s="413" t="s">
        <v>718</v>
      </c>
      <c r="BV414" s="145"/>
      <c r="BW414" s="146"/>
      <c r="BX414" s="145"/>
      <c r="BY414" s="145"/>
      <c r="BZ414" s="5"/>
      <c r="CA414" s="5">
        <v>392</v>
      </c>
      <c r="CB414" s="413" t="s">
        <v>718</v>
      </c>
      <c r="CC414" s="145"/>
      <c r="CD414" s="146"/>
      <c r="CE414" s="145"/>
      <c r="CF414" s="145"/>
      <c r="CG414" s="5"/>
      <c r="CH414" s="5"/>
      <c r="CI414" s="5"/>
    </row>
    <row r="415" spans="13:87" x14ac:dyDescent="0.2">
      <c r="M415" s="5">
        <v>393</v>
      </c>
      <c r="N415" s="413" t="str">
        <f t="shared" si="36"/>
        <v xml:space="preserve"> </v>
      </c>
      <c r="O415" s="414">
        <f t="shared" si="37"/>
        <v>0</v>
      </c>
      <c r="P415" s="414">
        <f t="shared" si="38"/>
        <v>0</v>
      </c>
      <c r="Q415" s="145">
        <f t="shared" si="41"/>
        <v>-8</v>
      </c>
      <c r="R415" s="414">
        <f t="shared" si="39"/>
        <v>0</v>
      </c>
      <c r="S415" s="414">
        <f t="shared" si="40"/>
        <v>0</v>
      </c>
      <c r="T415" s="19"/>
      <c r="U415" s="5"/>
      <c r="V415" s="5"/>
      <c r="W415" s="5">
        <v>393</v>
      </c>
      <c r="X415" s="144" t="s">
        <v>718</v>
      </c>
      <c r="Y415" s="145"/>
      <c r="Z415" s="146"/>
      <c r="AA415" s="145"/>
      <c r="AB415" s="145"/>
      <c r="AD415" s="5">
        <v>393</v>
      </c>
      <c r="AE415" s="413" t="s">
        <v>718</v>
      </c>
      <c r="AF415" s="145"/>
      <c r="AG415" s="146"/>
      <c r="AH415" s="145"/>
      <c r="AI415" s="145"/>
      <c r="AK415" s="5">
        <v>393</v>
      </c>
      <c r="AL415" s="413" t="s">
        <v>718</v>
      </c>
      <c r="AM415" s="145"/>
      <c r="AN415" s="146"/>
      <c r="AO415" s="145"/>
      <c r="AP415" s="145"/>
      <c r="AR415" s="5">
        <v>393</v>
      </c>
      <c r="AS415" s="413" t="s">
        <v>1977</v>
      </c>
      <c r="AT415" s="145">
        <v>460</v>
      </c>
      <c r="AU415" s="146">
        <v>2.69</v>
      </c>
      <c r="AV415" s="145">
        <v>4207</v>
      </c>
      <c r="AW415" s="145">
        <v>-15</v>
      </c>
      <c r="AY415" s="5">
        <v>393</v>
      </c>
      <c r="AZ415" s="413" t="s">
        <v>718</v>
      </c>
      <c r="BA415" s="145"/>
      <c r="BB415" s="146"/>
      <c r="BC415" s="145"/>
      <c r="BD415" s="145"/>
      <c r="BF415" s="5">
        <v>393</v>
      </c>
      <c r="BG415" s="413" t="s">
        <v>718</v>
      </c>
      <c r="BH415" s="145"/>
      <c r="BI415" s="146"/>
      <c r="BJ415" s="145"/>
      <c r="BK415" s="145"/>
      <c r="BM415" s="5">
        <v>393</v>
      </c>
      <c r="BN415" s="413" t="s">
        <v>718</v>
      </c>
      <c r="BO415" s="145"/>
      <c r="BP415" s="146"/>
      <c r="BQ415" s="145"/>
      <c r="BR415" s="145"/>
      <c r="BS415" s="5"/>
      <c r="BT415" s="5">
        <v>393</v>
      </c>
      <c r="BU415" s="413" t="s">
        <v>718</v>
      </c>
      <c r="BV415" s="145"/>
      <c r="BW415" s="146"/>
      <c r="BX415" s="145"/>
      <c r="BY415" s="145"/>
      <c r="BZ415" s="5"/>
      <c r="CA415" s="5">
        <v>393</v>
      </c>
      <c r="CB415" s="413" t="s">
        <v>718</v>
      </c>
      <c r="CC415" s="145"/>
      <c r="CD415" s="146"/>
      <c r="CE415" s="145"/>
      <c r="CF415" s="145"/>
      <c r="CG415" s="5"/>
      <c r="CH415" s="5"/>
      <c r="CI415" s="5"/>
    </row>
    <row r="416" spans="13:87" x14ac:dyDescent="0.2">
      <c r="M416" s="5">
        <v>394</v>
      </c>
      <c r="N416" s="413" t="str">
        <f t="shared" si="36"/>
        <v xml:space="preserve"> </v>
      </c>
      <c r="O416" s="414">
        <f t="shared" si="37"/>
        <v>0</v>
      </c>
      <c r="P416" s="414">
        <f t="shared" si="38"/>
        <v>0</v>
      </c>
      <c r="Q416" s="145">
        <f t="shared" si="41"/>
        <v>-8</v>
      </c>
      <c r="R416" s="414">
        <f t="shared" si="39"/>
        <v>0</v>
      </c>
      <c r="S416" s="414">
        <f t="shared" si="40"/>
        <v>0</v>
      </c>
      <c r="T416" s="19"/>
      <c r="U416" s="5"/>
      <c r="V416" s="5"/>
      <c r="W416" s="5">
        <v>394</v>
      </c>
      <c r="X416" s="144" t="s">
        <v>718</v>
      </c>
      <c r="Y416" s="145"/>
      <c r="Z416" s="146"/>
      <c r="AA416" s="145"/>
      <c r="AB416" s="145"/>
      <c r="AD416" s="5">
        <v>394</v>
      </c>
      <c r="AE416" s="413" t="s">
        <v>718</v>
      </c>
      <c r="AF416" s="145"/>
      <c r="AG416" s="146"/>
      <c r="AH416" s="145"/>
      <c r="AI416" s="145"/>
      <c r="AK416" s="5">
        <v>394</v>
      </c>
      <c r="AL416" s="413" t="s">
        <v>718</v>
      </c>
      <c r="AM416" s="145"/>
      <c r="AN416" s="146"/>
      <c r="AO416" s="145"/>
      <c r="AP416" s="145"/>
      <c r="AR416" s="5">
        <v>394</v>
      </c>
      <c r="AS416" s="413" t="s">
        <v>1978</v>
      </c>
      <c r="AT416" s="145">
        <v>240</v>
      </c>
      <c r="AU416" s="146">
        <v>3.31</v>
      </c>
      <c r="AV416" s="145">
        <v>3606</v>
      </c>
      <c r="AW416" s="145">
        <v>-14</v>
      </c>
      <c r="AY416" s="5">
        <v>394</v>
      </c>
      <c r="AZ416" s="413" t="s">
        <v>718</v>
      </c>
      <c r="BA416" s="145"/>
      <c r="BB416" s="146"/>
      <c r="BC416" s="145"/>
      <c r="BD416" s="145"/>
      <c r="BF416" s="5">
        <v>394</v>
      </c>
      <c r="BG416" s="413" t="s">
        <v>718</v>
      </c>
      <c r="BH416" s="145"/>
      <c r="BI416" s="146"/>
      <c r="BJ416" s="145"/>
      <c r="BK416" s="145"/>
      <c r="BM416" s="5">
        <v>394</v>
      </c>
      <c r="BN416" s="413" t="s">
        <v>718</v>
      </c>
      <c r="BO416" s="145"/>
      <c r="BP416" s="146"/>
      <c r="BQ416" s="145"/>
      <c r="BR416" s="145"/>
      <c r="BS416" s="5"/>
      <c r="BT416" s="5">
        <v>394</v>
      </c>
      <c r="BU416" s="413" t="s">
        <v>718</v>
      </c>
      <c r="BV416" s="145"/>
      <c r="BW416" s="146"/>
      <c r="BX416" s="145"/>
      <c r="BY416" s="145"/>
      <c r="BZ416" s="5"/>
      <c r="CA416" s="5">
        <v>394</v>
      </c>
      <c r="CB416" s="413" t="s">
        <v>718</v>
      </c>
      <c r="CC416" s="145"/>
      <c r="CD416" s="146"/>
      <c r="CE416" s="145"/>
      <c r="CF416" s="145"/>
      <c r="CG416" s="5"/>
      <c r="CH416" s="5"/>
      <c r="CI416" s="5"/>
    </row>
    <row r="417" spans="13:87" x14ac:dyDescent="0.2">
      <c r="M417" s="5">
        <v>395</v>
      </c>
      <c r="N417" s="413" t="str">
        <f t="shared" si="36"/>
        <v xml:space="preserve"> </v>
      </c>
      <c r="O417" s="414">
        <f t="shared" si="37"/>
        <v>0</v>
      </c>
      <c r="P417" s="414">
        <f t="shared" si="38"/>
        <v>0</v>
      </c>
      <c r="Q417" s="145">
        <f t="shared" si="41"/>
        <v>-8</v>
      </c>
      <c r="R417" s="414">
        <f t="shared" si="39"/>
        <v>0</v>
      </c>
      <c r="S417" s="414">
        <f t="shared" si="40"/>
        <v>0</v>
      </c>
      <c r="T417" s="19"/>
      <c r="U417" s="5"/>
      <c r="V417" s="5"/>
      <c r="W417" s="5">
        <v>395</v>
      </c>
      <c r="X417" s="144" t="s">
        <v>718</v>
      </c>
      <c r="Y417" s="145"/>
      <c r="Z417" s="146"/>
      <c r="AA417" s="145"/>
      <c r="AB417" s="145"/>
      <c r="AD417" s="5">
        <v>395</v>
      </c>
      <c r="AE417" s="413" t="s">
        <v>718</v>
      </c>
      <c r="AF417" s="145"/>
      <c r="AG417" s="146"/>
      <c r="AH417" s="145"/>
      <c r="AI417" s="145"/>
      <c r="AK417" s="5">
        <v>395</v>
      </c>
      <c r="AL417" s="413" t="s">
        <v>718</v>
      </c>
      <c r="AM417" s="145"/>
      <c r="AN417" s="146"/>
      <c r="AO417" s="145"/>
      <c r="AP417" s="145"/>
      <c r="AR417" s="5">
        <v>395</v>
      </c>
      <c r="AS417" s="413" t="s">
        <v>1979</v>
      </c>
      <c r="AT417" s="145">
        <v>218</v>
      </c>
      <c r="AU417" s="146">
        <v>3.55</v>
      </c>
      <c r="AV417" s="145">
        <v>3421</v>
      </c>
      <c r="AW417" s="145">
        <v>-13</v>
      </c>
      <c r="AY417" s="5">
        <v>395</v>
      </c>
      <c r="AZ417" s="413" t="s">
        <v>718</v>
      </c>
      <c r="BA417" s="145"/>
      <c r="BB417" s="146"/>
      <c r="BC417" s="145"/>
      <c r="BD417" s="145"/>
      <c r="BF417" s="5">
        <v>395</v>
      </c>
      <c r="BG417" s="413" t="s">
        <v>718</v>
      </c>
      <c r="BH417" s="145"/>
      <c r="BI417" s="146"/>
      <c r="BJ417" s="145"/>
      <c r="BK417" s="145"/>
      <c r="BM417" s="5">
        <v>395</v>
      </c>
      <c r="BN417" s="413" t="s">
        <v>718</v>
      </c>
      <c r="BO417" s="145"/>
      <c r="BP417" s="146"/>
      <c r="BQ417" s="145"/>
      <c r="BR417" s="145"/>
      <c r="BS417" s="5"/>
      <c r="BT417" s="5">
        <v>395</v>
      </c>
      <c r="BU417" s="413" t="s">
        <v>718</v>
      </c>
      <c r="BV417" s="145"/>
      <c r="BW417" s="146"/>
      <c r="BX417" s="145"/>
      <c r="BY417" s="145"/>
      <c r="BZ417" s="5"/>
      <c r="CA417" s="5">
        <v>395</v>
      </c>
      <c r="CB417" s="413" t="s">
        <v>718</v>
      </c>
      <c r="CC417" s="145"/>
      <c r="CD417" s="146"/>
      <c r="CE417" s="145"/>
      <c r="CF417" s="145"/>
      <c r="CG417" s="5"/>
      <c r="CH417" s="5"/>
      <c r="CI417" s="5"/>
    </row>
    <row r="418" spans="13:87" x14ac:dyDescent="0.2">
      <c r="M418" s="5">
        <v>396</v>
      </c>
      <c r="N418" s="413" t="str">
        <f t="shared" si="36"/>
        <v xml:space="preserve"> </v>
      </c>
      <c r="O418" s="414">
        <f t="shared" si="37"/>
        <v>0</v>
      </c>
      <c r="P418" s="414">
        <f t="shared" si="38"/>
        <v>0</v>
      </c>
      <c r="Q418" s="145">
        <f t="shared" si="41"/>
        <v>-8</v>
      </c>
      <c r="R418" s="414">
        <f t="shared" si="39"/>
        <v>0</v>
      </c>
      <c r="S418" s="414">
        <f t="shared" si="40"/>
        <v>0</v>
      </c>
      <c r="T418" s="19"/>
      <c r="U418" s="5"/>
      <c r="V418" s="5"/>
      <c r="W418" s="5">
        <v>396</v>
      </c>
      <c r="X418" s="144" t="s">
        <v>718</v>
      </c>
      <c r="Y418" s="145"/>
      <c r="Z418" s="146"/>
      <c r="AA418" s="145"/>
      <c r="AB418" s="145"/>
      <c r="AD418" s="5">
        <v>396</v>
      </c>
      <c r="AE418" s="413" t="s">
        <v>718</v>
      </c>
      <c r="AF418" s="145"/>
      <c r="AG418" s="146"/>
      <c r="AH418" s="145"/>
      <c r="AI418" s="145"/>
      <c r="AK418" s="5">
        <v>396</v>
      </c>
      <c r="AL418" s="413" t="s">
        <v>718</v>
      </c>
      <c r="AM418" s="145"/>
      <c r="AN418" s="146"/>
      <c r="AO418" s="145"/>
      <c r="AP418" s="145"/>
      <c r="AR418" s="5">
        <v>396</v>
      </c>
      <c r="AS418" s="413" t="s">
        <v>1980</v>
      </c>
      <c r="AT418" s="145">
        <v>324</v>
      </c>
      <c r="AU418" s="146">
        <v>3.2</v>
      </c>
      <c r="AV418" s="145">
        <v>3712</v>
      </c>
      <c r="AW418" s="145">
        <v>-14</v>
      </c>
      <c r="AY418" s="5">
        <v>396</v>
      </c>
      <c r="AZ418" s="413" t="s">
        <v>718</v>
      </c>
      <c r="BA418" s="145"/>
      <c r="BB418" s="146"/>
      <c r="BC418" s="145"/>
      <c r="BD418" s="145"/>
      <c r="BF418" s="5">
        <v>396</v>
      </c>
      <c r="BG418" s="413" t="s">
        <v>718</v>
      </c>
      <c r="BH418" s="145"/>
      <c r="BI418" s="146"/>
      <c r="BJ418" s="145"/>
      <c r="BK418" s="145"/>
      <c r="BM418" s="5">
        <v>396</v>
      </c>
      <c r="BN418" s="413" t="s">
        <v>718</v>
      </c>
      <c r="BO418" s="145"/>
      <c r="BP418" s="146"/>
      <c r="BQ418" s="145"/>
      <c r="BR418" s="145"/>
      <c r="BS418" s="5"/>
      <c r="BT418" s="5">
        <v>396</v>
      </c>
      <c r="BU418" s="413" t="s">
        <v>718</v>
      </c>
      <c r="BV418" s="145"/>
      <c r="BW418" s="146"/>
      <c r="BX418" s="145"/>
      <c r="BY418" s="145"/>
      <c r="BZ418" s="5"/>
      <c r="CA418" s="5">
        <v>396</v>
      </c>
      <c r="CB418" s="413" t="s">
        <v>718</v>
      </c>
      <c r="CC418" s="145"/>
      <c r="CD418" s="146"/>
      <c r="CE418" s="145"/>
      <c r="CF418" s="145"/>
      <c r="CG418" s="5"/>
      <c r="CH418" s="5"/>
      <c r="CI418" s="5"/>
    </row>
    <row r="419" spans="13:87" x14ac:dyDescent="0.2">
      <c r="M419" s="5">
        <v>397</v>
      </c>
      <c r="N419" s="413" t="str">
        <f t="shared" si="36"/>
        <v xml:space="preserve"> </v>
      </c>
      <c r="O419" s="414">
        <f t="shared" si="37"/>
        <v>0</v>
      </c>
      <c r="P419" s="414">
        <f t="shared" si="38"/>
        <v>0</v>
      </c>
      <c r="Q419" s="145">
        <f t="shared" si="41"/>
        <v>-8</v>
      </c>
      <c r="R419" s="414">
        <f t="shared" si="39"/>
        <v>0</v>
      </c>
      <c r="S419" s="414">
        <f t="shared" si="40"/>
        <v>0</v>
      </c>
      <c r="T419" s="19"/>
      <c r="U419" s="5"/>
      <c r="V419" s="5"/>
      <c r="W419" s="5">
        <v>397</v>
      </c>
      <c r="X419" s="144" t="s">
        <v>718</v>
      </c>
      <c r="Y419" s="145"/>
      <c r="Z419" s="146"/>
      <c r="AA419" s="145"/>
      <c r="AB419" s="145"/>
      <c r="AD419" s="5">
        <v>397</v>
      </c>
      <c r="AE419" s="413" t="s">
        <v>718</v>
      </c>
      <c r="AF419" s="145"/>
      <c r="AG419" s="146"/>
      <c r="AH419" s="145"/>
      <c r="AI419" s="145"/>
      <c r="AK419" s="5">
        <v>397</v>
      </c>
      <c r="AL419" s="413" t="s">
        <v>718</v>
      </c>
      <c r="AM419" s="145"/>
      <c r="AN419" s="146"/>
      <c r="AO419" s="145"/>
      <c r="AP419" s="145"/>
      <c r="AR419" s="5">
        <v>397</v>
      </c>
      <c r="AS419" s="413" t="s">
        <v>1981</v>
      </c>
      <c r="AT419" s="145">
        <v>400</v>
      </c>
      <c r="AU419" s="146">
        <v>3.46</v>
      </c>
      <c r="AV419" s="145">
        <v>3622</v>
      </c>
      <c r="AW419" s="145">
        <v>-14</v>
      </c>
      <c r="AY419" s="5">
        <v>397</v>
      </c>
      <c r="AZ419" s="413" t="s">
        <v>718</v>
      </c>
      <c r="BA419" s="145"/>
      <c r="BB419" s="146"/>
      <c r="BC419" s="145"/>
      <c r="BD419" s="145"/>
      <c r="BF419" s="5">
        <v>397</v>
      </c>
      <c r="BG419" s="413" t="s">
        <v>718</v>
      </c>
      <c r="BH419" s="145"/>
      <c r="BI419" s="146"/>
      <c r="BJ419" s="145"/>
      <c r="BK419" s="145"/>
      <c r="BM419" s="5">
        <v>397</v>
      </c>
      <c r="BN419" s="413" t="s">
        <v>718</v>
      </c>
      <c r="BO419" s="145"/>
      <c r="BP419" s="146"/>
      <c r="BQ419" s="145"/>
      <c r="BR419" s="145"/>
      <c r="BS419" s="5"/>
      <c r="BT419" s="5">
        <v>397</v>
      </c>
      <c r="BU419" s="413" t="s">
        <v>718</v>
      </c>
      <c r="BV419" s="145"/>
      <c r="BW419" s="146"/>
      <c r="BX419" s="145"/>
      <c r="BY419" s="145"/>
      <c r="BZ419" s="5"/>
      <c r="CA419" s="5">
        <v>397</v>
      </c>
      <c r="CB419" s="413" t="s">
        <v>718</v>
      </c>
      <c r="CC419" s="145"/>
      <c r="CD419" s="146"/>
      <c r="CE419" s="145"/>
      <c r="CF419" s="145"/>
      <c r="CG419" s="5"/>
      <c r="CH419" s="5"/>
      <c r="CI419" s="5"/>
    </row>
    <row r="420" spans="13:87" x14ac:dyDescent="0.2">
      <c r="M420" s="5">
        <v>398</v>
      </c>
      <c r="N420" s="413" t="str">
        <f t="shared" si="36"/>
        <v xml:space="preserve"> </v>
      </c>
      <c r="O420" s="414">
        <f t="shared" si="37"/>
        <v>0</v>
      </c>
      <c r="P420" s="414">
        <f t="shared" si="38"/>
        <v>0</v>
      </c>
      <c r="Q420" s="145">
        <f t="shared" si="41"/>
        <v>-8</v>
      </c>
      <c r="R420" s="414">
        <f t="shared" si="39"/>
        <v>0</v>
      </c>
      <c r="S420" s="414">
        <f t="shared" si="40"/>
        <v>0</v>
      </c>
      <c r="T420" s="19"/>
      <c r="U420" s="5"/>
      <c r="V420" s="5"/>
      <c r="W420" s="5">
        <v>398</v>
      </c>
      <c r="X420" s="144" t="s">
        <v>718</v>
      </c>
      <c r="Y420" s="145"/>
      <c r="Z420" s="146"/>
      <c r="AA420" s="145"/>
      <c r="AB420" s="145"/>
      <c r="AD420" s="5">
        <v>398</v>
      </c>
      <c r="AE420" s="413" t="s">
        <v>718</v>
      </c>
      <c r="AF420" s="145"/>
      <c r="AG420" s="146"/>
      <c r="AH420" s="145"/>
      <c r="AI420" s="145"/>
      <c r="AK420" s="5">
        <v>398</v>
      </c>
      <c r="AL420" s="413" t="s">
        <v>718</v>
      </c>
      <c r="AM420" s="145"/>
      <c r="AN420" s="146"/>
      <c r="AO420" s="145"/>
      <c r="AP420" s="145"/>
      <c r="AR420" s="5">
        <v>398</v>
      </c>
      <c r="AS420" s="413" t="s">
        <v>1982</v>
      </c>
      <c r="AT420" s="145">
        <v>250</v>
      </c>
      <c r="AU420" s="146">
        <v>2.89</v>
      </c>
      <c r="AV420" s="145">
        <v>3832</v>
      </c>
      <c r="AW420" s="145">
        <v>-15</v>
      </c>
      <c r="AY420" s="5">
        <v>398</v>
      </c>
      <c r="AZ420" s="413" t="s">
        <v>718</v>
      </c>
      <c r="BA420" s="145"/>
      <c r="BB420" s="146"/>
      <c r="BC420" s="145"/>
      <c r="BD420" s="145"/>
      <c r="BF420" s="5">
        <v>398</v>
      </c>
      <c r="BG420" s="413" t="s">
        <v>718</v>
      </c>
      <c r="BH420" s="145"/>
      <c r="BI420" s="146"/>
      <c r="BJ420" s="145"/>
      <c r="BK420" s="145"/>
      <c r="BM420" s="5">
        <v>398</v>
      </c>
      <c r="BN420" s="413" t="s">
        <v>718</v>
      </c>
      <c r="BO420" s="145"/>
      <c r="BP420" s="146"/>
      <c r="BQ420" s="145"/>
      <c r="BR420" s="145"/>
      <c r="BS420" s="5"/>
      <c r="BT420" s="5">
        <v>398</v>
      </c>
      <c r="BU420" s="413" t="s">
        <v>718</v>
      </c>
      <c r="BV420" s="145"/>
      <c r="BW420" s="146"/>
      <c r="BX420" s="145"/>
      <c r="BY420" s="145"/>
      <c r="BZ420" s="5"/>
      <c r="CA420" s="5">
        <v>398</v>
      </c>
      <c r="CB420" s="413" t="s">
        <v>718</v>
      </c>
      <c r="CC420" s="145"/>
      <c r="CD420" s="146"/>
      <c r="CE420" s="145"/>
      <c r="CF420" s="145"/>
      <c r="CG420" s="5"/>
      <c r="CH420" s="5"/>
      <c r="CI420" s="5"/>
    </row>
    <row r="421" spans="13:87" x14ac:dyDescent="0.2">
      <c r="M421" s="5">
        <v>399</v>
      </c>
      <c r="N421" s="413" t="str">
        <f t="shared" si="36"/>
        <v xml:space="preserve"> </v>
      </c>
      <c r="O421" s="414">
        <f t="shared" si="37"/>
        <v>0</v>
      </c>
      <c r="P421" s="414">
        <f t="shared" si="38"/>
        <v>0</v>
      </c>
      <c r="Q421" s="145">
        <f t="shared" si="41"/>
        <v>-8</v>
      </c>
      <c r="R421" s="414">
        <f t="shared" si="39"/>
        <v>0</v>
      </c>
      <c r="S421" s="414">
        <f t="shared" si="40"/>
        <v>0</v>
      </c>
      <c r="T421" s="19"/>
      <c r="U421" s="5"/>
      <c r="V421" s="5"/>
      <c r="W421" s="5">
        <v>399</v>
      </c>
      <c r="X421" s="144" t="s">
        <v>718</v>
      </c>
      <c r="Y421" s="145"/>
      <c r="Z421" s="146"/>
      <c r="AA421" s="145"/>
      <c r="AB421" s="145"/>
      <c r="AD421" s="5">
        <v>399</v>
      </c>
      <c r="AE421" s="413" t="s">
        <v>718</v>
      </c>
      <c r="AF421" s="145"/>
      <c r="AG421" s="146"/>
      <c r="AH421" s="145"/>
      <c r="AI421" s="145"/>
      <c r="AK421" s="5">
        <v>399</v>
      </c>
      <c r="AL421" s="413" t="s">
        <v>718</v>
      </c>
      <c r="AM421" s="145"/>
      <c r="AN421" s="146"/>
      <c r="AO421" s="145"/>
      <c r="AP421" s="145"/>
      <c r="AR421" s="5">
        <v>399</v>
      </c>
      <c r="AS421" s="413" t="s">
        <v>1983</v>
      </c>
      <c r="AT421" s="145">
        <v>205</v>
      </c>
      <c r="AU421" s="146">
        <v>3</v>
      </c>
      <c r="AV421" s="145">
        <v>3757</v>
      </c>
      <c r="AW421" s="145">
        <v>-14</v>
      </c>
      <c r="AY421" s="5">
        <v>399</v>
      </c>
      <c r="AZ421" s="413" t="s">
        <v>718</v>
      </c>
      <c r="BA421" s="145"/>
      <c r="BB421" s="146"/>
      <c r="BC421" s="145"/>
      <c r="BD421" s="145"/>
      <c r="BF421" s="5">
        <v>399</v>
      </c>
      <c r="BG421" s="413" t="s">
        <v>718</v>
      </c>
      <c r="BH421" s="145"/>
      <c r="BI421" s="146"/>
      <c r="BJ421" s="145"/>
      <c r="BK421" s="145"/>
      <c r="BM421" s="5">
        <v>399</v>
      </c>
      <c r="BN421" s="413" t="s">
        <v>718</v>
      </c>
      <c r="BO421" s="145"/>
      <c r="BP421" s="146"/>
      <c r="BQ421" s="145"/>
      <c r="BR421" s="145"/>
      <c r="BS421" s="5"/>
      <c r="BT421" s="5">
        <v>399</v>
      </c>
      <c r="BU421" s="413" t="s">
        <v>718</v>
      </c>
      <c r="BV421" s="145"/>
      <c r="BW421" s="146"/>
      <c r="BX421" s="145"/>
      <c r="BY421" s="145"/>
      <c r="BZ421" s="5"/>
      <c r="CA421" s="5">
        <v>399</v>
      </c>
      <c r="CB421" s="413" t="s">
        <v>718</v>
      </c>
      <c r="CC421" s="145"/>
      <c r="CD421" s="146"/>
      <c r="CE421" s="145"/>
      <c r="CF421" s="145"/>
      <c r="CG421" s="5"/>
      <c r="CH421" s="5"/>
      <c r="CI421" s="5"/>
    </row>
    <row r="422" spans="13:87" x14ac:dyDescent="0.2">
      <c r="M422" s="5">
        <v>400</v>
      </c>
      <c r="N422" s="413" t="str">
        <f t="shared" si="36"/>
        <v xml:space="preserve"> </v>
      </c>
      <c r="O422" s="414">
        <f t="shared" si="37"/>
        <v>0</v>
      </c>
      <c r="P422" s="414">
        <f t="shared" si="38"/>
        <v>0</v>
      </c>
      <c r="Q422" s="145">
        <f t="shared" si="41"/>
        <v>-8</v>
      </c>
      <c r="R422" s="414">
        <f t="shared" si="39"/>
        <v>0</v>
      </c>
      <c r="S422" s="414">
        <f t="shared" si="40"/>
        <v>0</v>
      </c>
      <c r="T422" s="19"/>
      <c r="U422" s="5"/>
      <c r="V422" s="5"/>
      <c r="W422" s="5">
        <v>400</v>
      </c>
      <c r="X422" s="144" t="s">
        <v>718</v>
      </c>
      <c r="Y422" s="145"/>
      <c r="Z422" s="146"/>
      <c r="AA422" s="145"/>
      <c r="AB422" s="145"/>
      <c r="AD422" s="5">
        <v>400</v>
      </c>
      <c r="AE422" s="413" t="s">
        <v>718</v>
      </c>
      <c r="AF422" s="145"/>
      <c r="AG422" s="146"/>
      <c r="AH422" s="145"/>
      <c r="AI422" s="145"/>
      <c r="AK422" s="5">
        <v>400</v>
      </c>
      <c r="AL422" s="413" t="s">
        <v>718</v>
      </c>
      <c r="AM422" s="145"/>
      <c r="AN422" s="146"/>
      <c r="AO422" s="145"/>
      <c r="AP422" s="145"/>
      <c r="AR422" s="5">
        <v>400</v>
      </c>
      <c r="AS422" s="413" t="s">
        <v>1984</v>
      </c>
      <c r="AT422" s="145">
        <v>680</v>
      </c>
      <c r="AU422" s="146">
        <v>3</v>
      </c>
      <c r="AV422" s="145">
        <v>4250</v>
      </c>
      <c r="AW422" s="145">
        <v>-15</v>
      </c>
      <c r="AY422" s="5">
        <v>400</v>
      </c>
      <c r="AZ422" s="413" t="s">
        <v>718</v>
      </c>
      <c r="BA422" s="145"/>
      <c r="BB422" s="146"/>
      <c r="BC422" s="145"/>
      <c r="BD422" s="145"/>
      <c r="BF422" s="5">
        <v>400</v>
      </c>
      <c r="BG422" s="413" t="s">
        <v>718</v>
      </c>
      <c r="BH422" s="145"/>
      <c r="BI422" s="146"/>
      <c r="BJ422" s="145"/>
      <c r="BK422" s="145"/>
      <c r="BM422" s="5">
        <v>400</v>
      </c>
      <c r="BN422" s="413" t="s">
        <v>718</v>
      </c>
      <c r="BO422" s="145"/>
      <c r="BP422" s="146"/>
      <c r="BQ422" s="145"/>
      <c r="BR422" s="145"/>
      <c r="BS422" s="5"/>
      <c r="BT422" s="5">
        <v>400</v>
      </c>
      <c r="BU422" s="413" t="s">
        <v>718</v>
      </c>
      <c r="BV422" s="145"/>
      <c r="BW422" s="146"/>
      <c r="BX422" s="145"/>
      <c r="BY422" s="145"/>
      <c r="BZ422" s="5"/>
      <c r="CA422" s="5">
        <v>400</v>
      </c>
      <c r="CB422" s="413" t="s">
        <v>718</v>
      </c>
      <c r="CC422" s="145"/>
      <c r="CD422" s="146"/>
      <c r="CE422" s="145"/>
      <c r="CF422" s="145"/>
      <c r="CG422" s="5"/>
      <c r="CH422" s="5"/>
      <c r="CI422" s="5"/>
    </row>
    <row r="423" spans="13:87" x14ac:dyDescent="0.2">
      <c r="M423" s="5">
        <v>401</v>
      </c>
      <c r="N423" s="413" t="str">
        <f t="shared" si="36"/>
        <v xml:space="preserve"> </v>
      </c>
      <c r="O423" s="414">
        <f t="shared" si="37"/>
        <v>0</v>
      </c>
      <c r="P423" s="414">
        <f t="shared" si="38"/>
        <v>0</v>
      </c>
      <c r="Q423" s="145">
        <f t="shared" si="41"/>
        <v>-8</v>
      </c>
      <c r="R423" s="414">
        <f t="shared" si="39"/>
        <v>0</v>
      </c>
      <c r="S423" s="414">
        <f t="shared" si="40"/>
        <v>0</v>
      </c>
      <c r="T423" s="19"/>
      <c r="U423" s="5"/>
      <c r="V423" s="5"/>
      <c r="W423" s="5">
        <v>401</v>
      </c>
      <c r="X423" s="144" t="s">
        <v>718</v>
      </c>
      <c r="Y423" s="145"/>
      <c r="Z423" s="146"/>
      <c r="AA423" s="145"/>
      <c r="AB423" s="145"/>
      <c r="AD423" s="5">
        <v>401</v>
      </c>
      <c r="AE423" s="413" t="s">
        <v>718</v>
      </c>
      <c r="AF423" s="145"/>
      <c r="AG423" s="146"/>
      <c r="AH423" s="145"/>
      <c r="AI423" s="145"/>
      <c r="AK423" s="5">
        <v>401</v>
      </c>
      <c r="AL423" s="413" t="s">
        <v>718</v>
      </c>
      <c r="AM423" s="145"/>
      <c r="AN423" s="146"/>
      <c r="AO423" s="145"/>
      <c r="AP423" s="145"/>
      <c r="AR423" s="5">
        <v>401</v>
      </c>
      <c r="AS423" s="413" t="s">
        <v>1985</v>
      </c>
      <c r="AT423" s="145">
        <v>174</v>
      </c>
      <c r="AU423" s="146">
        <v>3.39</v>
      </c>
      <c r="AV423" s="145">
        <v>3454</v>
      </c>
      <c r="AW423" s="145">
        <v>-14</v>
      </c>
      <c r="AY423" s="5">
        <v>401</v>
      </c>
      <c r="AZ423" s="413" t="s">
        <v>718</v>
      </c>
      <c r="BA423" s="145"/>
      <c r="BB423" s="146"/>
      <c r="BC423" s="145"/>
      <c r="BD423" s="145"/>
      <c r="BF423" s="5">
        <v>401</v>
      </c>
      <c r="BG423" s="413" t="s">
        <v>718</v>
      </c>
      <c r="BH423" s="145"/>
      <c r="BI423" s="146"/>
      <c r="BJ423" s="145"/>
      <c r="BK423" s="145"/>
      <c r="BM423" s="5">
        <v>401</v>
      </c>
      <c r="BN423" s="413" t="s">
        <v>718</v>
      </c>
      <c r="BO423" s="145"/>
      <c r="BP423" s="146"/>
      <c r="BQ423" s="145"/>
      <c r="BR423" s="145"/>
      <c r="BS423" s="5"/>
      <c r="BT423" s="5">
        <v>401</v>
      </c>
      <c r="BU423" s="413" t="s">
        <v>718</v>
      </c>
      <c r="BV423" s="145"/>
      <c r="BW423" s="146"/>
      <c r="BX423" s="145"/>
      <c r="BY423" s="145"/>
      <c r="BZ423" s="5"/>
      <c r="CA423" s="5">
        <v>401</v>
      </c>
      <c r="CB423" s="413" t="s">
        <v>718</v>
      </c>
      <c r="CC423" s="145"/>
      <c r="CD423" s="146"/>
      <c r="CE423" s="145"/>
      <c r="CF423" s="145"/>
      <c r="CG423" s="5"/>
      <c r="CH423" s="5"/>
      <c r="CI423" s="5"/>
    </row>
    <row r="424" spans="13:87" x14ac:dyDescent="0.2">
      <c r="M424" s="5">
        <v>402</v>
      </c>
      <c r="N424" s="413" t="str">
        <f t="shared" si="36"/>
        <v xml:space="preserve"> </v>
      </c>
      <c r="O424" s="414">
        <f t="shared" si="37"/>
        <v>0</v>
      </c>
      <c r="P424" s="414">
        <f t="shared" si="38"/>
        <v>0</v>
      </c>
      <c r="Q424" s="145">
        <f t="shared" si="41"/>
        <v>-8</v>
      </c>
      <c r="R424" s="414">
        <f t="shared" si="39"/>
        <v>0</v>
      </c>
      <c r="S424" s="414">
        <f t="shared" si="40"/>
        <v>0</v>
      </c>
      <c r="T424" s="19"/>
      <c r="U424" s="5"/>
      <c r="V424" s="5"/>
      <c r="W424" s="5">
        <v>402</v>
      </c>
      <c r="X424" s="144" t="s">
        <v>718</v>
      </c>
      <c r="Y424" s="145"/>
      <c r="Z424" s="146"/>
      <c r="AA424" s="145"/>
      <c r="AB424" s="145"/>
      <c r="AD424" s="5">
        <v>402</v>
      </c>
      <c r="AE424" s="413" t="s">
        <v>718</v>
      </c>
      <c r="AF424" s="145"/>
      <c r="AG424" s="146"/>
      <c r="AH424" s="145"/>
      <c r="AI424" s="145"/>
      <c r="AK424" s="5">
        <v>402</v>
      </c>
      <c r="AL424" s="413" t="s">
        <v>718</v>
      </c>
      <c r="AM424" s="145"/>
      <c r="AN424" s="146"/>
      <c r="AO424" s="145"/>
      <c r="AP424" s="145"/>
      <c r="AR424" s="5">
        <v>402</v>
      </c>
      <c r="AS424" s="413" t="s">
        <v>1986</v>
      </c>
      <c r="AT424" s="145">
        <v>300</v>
      </c>
      <c r="AU424" s="146">
        <v>3.25</v>
      </c>
      <c r="AV424" s="145">
        <v>3701</v>
      </c>
      <c r="AW424" s="145">
        <v>-14</v>
      </c>
      <c r="AY424" s="5">
        <v>402</v>
      </c>
      <c r="AZ424" s="413" t="s">
        <v>718</v>
      </c>
      <c r="BA424" s="145"/>
      <c r="BB424" s="146"/>
      <c r="BC424" s="145"/>
      <c r="BD424" s="145"/>
      <c r="BF424" s="5">
        <v>402</v>
      </c>
      <c r="BG424" s="413" t="s">
        <v>718</v>
      </c>
      <c r="BH424" s="145"/>
      <c r="BI424" s="146"/>
      <c r="BJ424" s="145"/>
      <c r="BK424" s="145"/>
      <c r="BM424" s="5">
        <v>402</v>
      </c>
      <c r="BN424" s="413" t="s">
        <v>718</v>
      </c>
      <c r="BO424" s="145"/>
      <c r="BP424" s="146"/>
      <c r="BQ424" s="145"/>
      <c r="BR424" s="145"/>
      <c r="BS424" s="5"/>
      <c r="BT424" s="5">
        <v>402</v>
      </c>
      <c r="BU424" s="413" t="s">
        <v>718</v>
      </c>
      <c r="BV424" s="145"/>
      <c r="BW424" s="146"/>
      <c r="BX424" s="145"/>
      <c r="BY424" s="145"/>
      <c r="BZ424" s="5"/>
      <c r="CA424" s="5">
        <v>402</v>
      </c>
      <c r="CB424" s="413" t="s">
        <v>718</v>
      </c>
      <c r="CC424" s="145"/>
      <c r="CD424" s="146"/>
      <c r="CE424" s="145"/>
      <c r="CF424" s="145"/>
      <c r="CG424" s="5"/>
      <c r="CH424" s="5"/>
      <c r="CI424" s="5"/>
    </row>
    <row r="425" spans="13:87" x14ac:dyDescent="0.2">
      <c r="M425" s="5">
        <v>403</v>
      </c>
      <c r="N425" s="413" t="str">
        <f t="shared" si="36"/>
        <v xml:space="preserve"> </v>
      </c>
      <c r="O425" s="414">
        <f t="shared" si="37"/>
        <v>0</v>
      </c>
      <c r="P425" s="414">
        <f t="shared" si="38"/>
        <v>0</v>
      </c>
      <c r="Q425" s="145">
        <f t="shared" si="41"/>
        <v>-8</v>
      </c>
      <c r="R425" s="414">
        <f t="shared" si="39"/>
        <v>0</v>
      </c>
      <c r="S425" s="414">
        <f t="shared" si="40"/>
        <v>0</v>
      </c>
      <c r="T425" s="19"/>
      <c r="U425" s="5"/>
      <c r="V425" s="5"/>
      <c r="W425" s="5">
        <v>403</v>
      </c>
      <c r="X425" s="144" t="s">
        <v>718</v>
      </c>
      <c r="Y425" s="145"/>
      <c r="Z425" s="146"/>
      <c r="AA425" s="145"/>
      <c r="AB425" s="145"/>
      <c r="AD425" s="5">
        <v>403</v>
      </c>
      <c r="AE425" s="413" t="s">
        <v>718</v>
      </c>
      <c r="AF425" s="145"/>
      <c r="AG425" s="146"/>
      <c r="AH425" s="145"/>
      <c r="AI425" s="145"/>
      <c r="AK425" s="5">
        <v>403</v>
      </c>
      <c r="AL425" s="413" t="s">
        <v>718</v>
      </c>
      <c r="AM425" s="145"/>
      <c r="AN425" s="146"/>
      <c r="AO425" s="145"/>
      <c r="AP425" s="145"/>
      <c r="AR425" s="5">
        <v>403</v>
      </c>
      <c r="AS425" s="413" t="s">
        <v>1987</v>
      </c>
      <c r="AT425" s="145">
        <v>180</v>
      </c>
      <c r="AU425" s="146">
        <v>3.16</v>
      </c>
      <c r="AV425" s="145">
        <v>3570</v>
      </c>
      <c r="AW425" s="145">
        <v>-14</v>
      </c>
      <c r="AY425" s="5">
        <v>403</v>
      </c>
      <c r="AZ425" s="413" t="s">
        <v>718</v>
      </c>
      <c r="BA425" s="145"/>
      <c r="BB425" s="146"/>
      <c r="BC425" s="145"/>
      <c r="BD425" s="145"/>
      <c r="BF425" s="5">
        <v>403</v>
      </c>
      <c r="BG425" s="413" t="s">
        <v>718</v>
      </c>
      <c r="BH425" s="145"/>
      <c r="BI425" s="146"/>
      <c r="BJ425" s="145"/>
      <c r="BK425" s="145"/>
      <c r="BM425" s="5">
        <v>403</v>
      </c>
      <c r="BN425" s="413" t="s">
        <v>718</v>
      </c>
      <c r="BO425" s="145"/>
      <c r="BP425" s="146"/>
      <c r="BQ425" s="145"/>
      <c r="BR425" s="145"/>
      <c r="BS425" s="5"/>
      <c r="BT425" s="5">
        <v>403</v>
      </c>
      <c r="BU425" s="413" t="s">
        <v>718</v>
      </c>
      <c r="BV425" s="145"/>
      <c r="BW425" s="146"/>
      <c r="BX425" s="145"/>
      <c r="BY425" s="145"/>
      <c r="BZ425" s="5"/>
      <c r="CA425" s="5">
        <v>403</v>
      </c>
      <c r="CB425" s="413" t="s">
        <v>718</v>
      </c>
      <c r="CC425" s="145"/>
      <c r="CD425" s="146"/>
      <c r="CE425" s="145"/>
      <c r="CF425" s="145"/>
      <c r="CG425" s="5"/>
      <c r="CH425" s="5"/>
      <c r="CI425" s="5"/>
    </row>
    <row r="426" spans="13:87" x14ac:dyDescent="0.2">
      <c r="M426" s="5">
        <v>404</v>
      </c>
      <c r="N426" s="413" t="str">
        <f t="shared" si="36"/>
        <v xml:space="preserve"> </v>
      </c>
      <c r="O426" s="414">
        <f t="shared" si="37"/>
        <v>0</v>
      </c>
      <c r="P426" s="414">
        <f t="shared" si="38"/>
        <v>0</v>
      </c>
      <c r="Q426" s="145">
        <f t="shared" si="41"/>
        <v>-8</v>
      </c>
      <c r="R426" s="414">
        <f t="shared" si="39"/>
        <v>0</v>
      </c>
      <c r="S426" s="414">
        <f t="shared" si="40"/>
        <v>0</v>
      </c>
      <c r="T426" s="19"/>
      <c r="U426" s="5"/>
      <c r="V426" s="5"/>
      <c r="W426" s="5">
        <v>404</v>
      </c>
      <c r="X426" s="144" t="s">
        <v>718</v>
      </c>
      <c r="Y426" s="145"/>
      <c r="Z426" s="146"/>
      <c r="AA426" s="145"/>
      <c r="AB426" s="145"/>
      <c r="AD426" s="5">
        <v>404</v>
      </c>
      <c r="AE426" s="413" t="s">
        <v>718</v>
      </c>
      <c r="AF426" s="145"/>
      <c r="AG426" s="146"/>
      <c r="AH426" s="145"/>
      <c r="AI426" s="145"/>
      <c r="AK426" s="5">
        <v>404</v>
      </c>
      <c r="AL426" s="413" t="s">
        <v>718</v>
      </c>
      <c r="AM426" s="145"/>
      <c r="AN426" s="146"/>
      <c r="AO426" s="145"/>
      <c r="AP426" s="145"/>
      <c r="AR426" s="5">
        <v>404</v>
      </c>
      <c r="AS426" s="413" t="s">
        <v>1988</v>
      </c>
      <c r="AT426" s="145">
        <v>250</v>
      </c>
      <c r="AU426" s="146">
        <v>3.32</v>
      </c>
      <c r="AV426" s="145">
        <v>3652</v>
      </c>
      <c r="AW426" s="145">
        <v>-14</v>
      </c>
      <c r="AY426" s="5">
        <v>404</v>
      </c>
      <c r="AZ426" s="413" t="s">
        <v>718</v>
      </c>
      <c r="BA426" s="145"/>
      <c r="BB426" s="146"/>
      <c r="BC426" s="145"/>
      <c r="BD426" s="145"/>
      <c r="BF426" s="5">
        <v>404</v>
      </c>
      <c r="BG426" s="413" t="s">
        <v>718</v>
      </c>
      <c r="BH426" s="145"/>
      <c r="BI426" s="146"/>
      <c r="BJ426" s="145"/>
      <c r="BK426" s="145"/>
      <c r="BM426" s="5">
        <v>404</v>
      </c>
      <c r="BN426" s="413" t="s">
        <v>718</v>
      </c>
      <c r="BO426" s="145"/>
      <c r="BP426" s="146"/>
      <c r="BQ426" s="145"/>
      <c r="BR426" s="145"/>
      <c r="BS426" s="5"/>
      <c r="BT426" s="5">
        <v>404</v>
      </c>
      <c r="BU426" s="413" t="s">
        <v>718</v>
      </c>
      <c r="BV426" s="145"/>
      <c r="BW426" s="146"/>
      <c r="BX426" s="145"/>
      <c r="BY426" s="145"/>
      <c r="BZ426" s="5"/>
      <c r="CA426" s="5">
        <v>404</v>
      </c>
      <c r="CB426" s="413" t="s">
        <v>718</v>
      </c>
      <c r="CC426" s="145"/>
      <c r="CD426" s="146"/>
      <c r="CE426" s="145"/>
      <c r="CF426" s="145"/>
      <c r="CG426" s="5"/>
      <c r="CH426" s="5"/>
      <c r="CI426" s="5"/>
    </row>
    <row r="427" spans="13:87" x14ac:dyDescent="0.2">
      <c r="M427" s="5">
        <v>405</v>
      </c>
      <c r="N427" s="413" t="str">
        <f t="shared" si="36"/>
        <v xml:space="preserve"> </v>
      </c>
      <c r="O427" s="414">
        <f t="shared" si="37"/>
        <v>0</v>
      </c>
      <c r="P427" s="414">
        <f t="shared" si="38"/>
        <v>0</v>
      </c>
      <c r="Q427" s="145">
        <f t="shared" si="41"/>
        <v>-8</v>
      </c>
      <c r="R427" s="414">
        <f t="shared" si="39"/>
        <v>0</v>
      </c>
      <c r="S427" s="414">
        <f t="shared" si="40"/>
        <v>0</v>
      </c>
      <c r="T427" s="19"/>
      <c r="U427" s="5"/>
      <c r="V427" s="5"/>
      <c r="W427" s="5">
        <v>405</v>
      </c>
      <c r="X427" s="144" t="s">
        <v>718</v>
      </c>
      <c r="Y427" s="145"/>
      <c r="Z427" s="146"/>
      <c r="AA427" s="145"/>
      <c r="AB427" s="145"/>
      <c r="AD427" s="5">
        <v>405</v>
      </c>
      <c r="AE427" s="413" t="s">
        <v>718</v>
      </c>
      <c r="AF427" s="145"/>
      <c r="AG427" s="146"/>
      <c r="AH427" s="145"/>
      <c r="AI427" s="145"/>
      <c r="AK427" s="5">
        <v>405</v>
      </c>
      <c r="AL427" s="413" t="s">
        <v>718</v>
      </c>
      <c r="AM427" s="145"/>
      <c r="AN427" s="146"/>
      <c r="AO427" s="145"/>
      <c r="AP427" s="145"/>
      <c r="AR427" s="5">
        <v>405</v>
      </c>
      <c r="AS427" s="413" t="s">
        <v>1989</v>
      </c>
      <c r="AT427" s="145">
        <v>166</v>
      </c>
      <c r="AU427" s="146">
        <v>3.29</v>
      </c>
      <c r="AV427" s="145">
        <v>3525</v>
      </c>
      <c r="AW427" s="145">
        <v>-14</v>
      </c>
      <c r="AY427" s="5">
        <v>405</v>
      </c>
      <c r="AZ427" s="413" t="s">
        <v>718</v>
      </c>
      <c r="BA427" s="145"/>
      <c r="BB427" s="146"/>
      <c r="BC427" s="145"/>
      <c r="BD427" s="145"/>
      <c r="BF427" s="5">
        <v>405</v>
      </c>
      <c r="BG427" s="413" t="s">
        <v>718</v>
      </c>
      <c r="BH427" s="145"/>
      <c r="BI427" s="146"/>
      <c r="BJ427" s="145"/>
      <c r="BK427" s="145"/>
      <c r="BM427" s="5">
        <v>405</v>
      </c>
      <c r="BN427" s="413" t="s">
        <v>718</v>
      </c>
      <c r="BO427" s="145"/>
      <c r="BP427" s="146"/>
      <c r="BQ427" s="145"/>
      <c r="BR427" s="145"/>
      <c r="BS427" s="5"/>
      <c r="BT427" s="5">
        <v>405</v>
      </c>
      <c r="BU427" s="413" t="s">
        <v>718</v>
      </c>
      <c r="BV427" s="145"/>
      <c r="BW427" s="146"/>
      <c r="BX427" s="145"/>
      <c r="BY427" s="145"/>
      <c r="BZ427" s="5"/>
      <c r="CA427" s="5">
        <v>405</v>
      </c>
      <c r="CB427" s="413" t="s">
        <v>718</v>
      </c>
      <c r="CC427" s="145"/>
      <c r="CD427" s="146"/>
      <c r="CE427" s="145"/>
      <c r="CF427" s="145"/>
      <c r="CG427" s="5"/>
      <c r="CH427" s="5"/>
      <c r="CI427" s="5"/>
    </row>
    <row r="428" spans="13:87" x14ac:dyDescent="0.2">
      <c r="M428" s="5">
        <v>406</v>
      </c>
      <c r="N428" s="413" t="str">
        <f t="shared" si="36"/>
        <v xml:space="preserve"> </v>
      </c>
      <c r="O428" s="414">
        <f t="shared" si="37"/>
        <v>0</v>
      </c>
      <c r="P428" s="414">
        <f t="shared" si="38"/>
        <v>0</v>
      </c>
      <c r="Q428" s="145">
        <f t="shared" si="41"/>
        <v>-8</v>
      </c>
      <c r="R428" s="414">
        <f t="shared" si="39"/>
        <v>0</v>
      </c>
      <c r="S428" s="414">
        <f t="shared" si="40"/>
        <v>0</v>
      </c>
      <c r="T428" s="19"/>
      <c r="U428" s="5"/>
      <c r="V428" s="5"/>
      <c r="W428" s="5">
        <v>406</v>
      </c>
      <c r="X428" s="144" t="s">
        <v>718</v>
      </c>
      <c r="Y428" s="145"/>
      <c r="Z428" s="146"/>
      <c r="AA428" s="145"/>
      <c r="AB428" s="145"/>
      <c r="AD428" s="5">
        <v>406</v>
      </c>
      <c r="AE428" s="413" t="s">
        <v>718</v>
      </c>
      <c r="AF428" s="145"/>
      <c r="AG428" s="146"/>
      <c r="AH428" s="145"/>
      <c r="AI428" s="145"/>
      <c r="AK428" s="5">
        <v>406</v>
      </c>
      <c r="AL428" s="413" t="s">
        <v>718</v>
      </c>
      <c r="AM428" s="145"/>
      <c r="AN428" s="146"/>
      <c r="AO428" s="145"/>
      <c r="AP428" s="145"/>
      <c r="AR428" s="5">
        <v>406</v>
      </c>
      <c r="AS428" s="413" t="s">
        <v>1990</v>
      </c>
      <c r="AT428" s="145">
        <v>578</v>
      </c>
      <c r="AU428" s="146">
        <v>3.07</v>
      </c>
      <c r="AV428" s="145">
        <v>4130</v>
      </c>
      <c r="AW428" s="145">
        <v>-15</v>
      </c>
      <c r="AY428" s="5">
        <v>406</v>
      </c>
      <c r="AZ428" s="413" t="s">
        <v>718</v>
      </c>
      <c r="BA428" s="145"/>
      <c r="BB428" s="146"/>
      <c r="BC428" s="145"/>
      <c r="BD428" s="145"/>
      <c r="BF428" s="5">
        <v>406</v>
      </c>
      <c r="BG428" s="413" t="s">
        <v>718</v>
      </c>
      <c r="BH428" s="145"/>
      <c r="BI428" s="146"/>
      <c r="BJ428" s="145"/>
      <c r="BK428" s="145"/>
      <c r="BM428" s="5">
        <v>406</v>
      </c>
      <c r="BN428" s="413" t="s">
        <v>718</v>
      </c>
      <c r="BO428" s="145"/>
      <c r="BP428" s="146"/>
      <c r="BQ428" s="145"/>
      <c r="BR428" s="145"/>
      <c r="BS428" s="5"/>
      <c r="BT428" s="5">
        <v>406</v>
      </c>
      <c r="BU428" s="413" t="s">
        <v>718</v>
      </c>
      <c r="BV428" s="145"/>
      <c r="BW428" s="146"/>
      <c r="BX428" s="145"/>
      <c r="BY428" s="145"/>
      <c r="BZ428" s="5"/>
      <c r="CA428" s="5">
        <v>406</v>
      </c>
      <c r="CB428" s="413" t="s">
        <v>718</v>
      </c>
      <c r="CC428" s="145"/>
      <c r="CD428" s="146"/>
      <c r="CE428" s="145"/>
      <c r="CF428" s="145"/>
      <c r="CG428" s="5"/>
      <c r="CH428" s="5"/>
      <c r="CI428" s="5"/>
    </row>
    <row r="429" spans="13:87" x14ac:dyDescent="0.2">
      <c r="M429" s="5">
        <v>407</v>
      </c>
      <c r="N429" s="413" t="str">
        <f t="shared" si="36"/>
        <v xml:space="preserve"> </v>
      </c>
      <c r="O429" s="414">
        <f t="shared" si="37"/>
        <v>0</v>
      </c>
      <c r="P429" s="414">
        <f t="shared" si="38"/>
        <v>0</v>
      </c>
      <c r="Q429" s="145">
        <f t="shared" si="41"/>
        <v>-8</v>
      </c>
      <c r="R429" s="414">
        <f t="shared" si="39"/>
        <v>0</v>
      </c>
      <c r="S429" s="414">
        <f t="shared" si="40"/>
        <v>0</v>
      </c>
      <c r="T429" s="19"/>
      <c r="U429" s="5"/>
      <c r="V429" s="5"/>
      <c r="W429" s="5">
        <v>407</v>
      </c>
      <c r="X429" s="144" t="s">
        <v>718</v>
      </c>
      <c r="Y429" s="145"/>
      <c r="Z429" s="146"/>
      <c r="AA429" s="145"/>
      <c r="AB429" s="145"/>
      <c r="AD429" s="5">
        <v>407</v>
      </c>
      <c r="AE429" s="413" t="s">
        <v>718</v>
      </c>
      <c r="AF429" s="145"/>
      <c r="AG429" s="146"/>
      <c r="AH429" s="145"/>
      <c r="AI429" s="145"/>
      <c r="AK429" s="5">
        <v>407</v>
      </c>
      <c r="AL429" s="413" t="s">
        <v>718</v>
      </c>
      <c r="AM429" s="145"/>
      <c r="AN429" s="146"/>
      <c r="AO429" s="145"/>
      <c r="AP429" s="145"/>
      <c r="AR429" s="5">
        <v>407</v>
      </c>
      <c r="AS429" s="413" t="s">
        <v>1991</v>
      </c>
      <c r="AT429" s="145">
        <v>850</v>
      </c>
      <c r="AU429" s="146">
        <v>3.21</v>
      </c>
      <c r="AV429" s="145">
        <v>4533</v>
      </c>
      <c r="AW429" s="145">
        <v>-16</v>
      </c>
      <c r="AY429" s="5">
        <v>407</v>
      </c>
      <c r="AZ429" s="413" t="s">
        <v>718</v>
      </c>
      <c r="BA429" s="145"/>
      <c r="BB429" s="146"/>
      <c r="BC429" s="145"/>
      <c r="BD429" s="145"/>
      <c r="BF429" s="5">
        <v>407</v>
      </c>
      <c r="BG429" s="413" t="s">
        <v>718</v>
      </c>
      <c r="BH429" s="145"/>
      <c r="BI429" s="146"/>
      <c r="BJ429" s="145"/>
      <c r="BK429" s="145"/>
      <c r="BM429" s="5">
        <v>407</v>
      </c>
      <c r="BN429" s="413" t="s">
        <v>718</v>
      </c>
      <c r="BO429" s="145"/>
      <c r="BP429" s="146"/>
      <c r="BQ429" s="145"/>
      <c r="BR429" s="145"/>
      <c r="BS429" s="5"/>
      <c r="BT429" s="5">
        <v>407</v>
      </c>
      <c r="BU429" s="413" t="s">
        <v>718</v>
      </c>
      <c r="BV429" s="145"/>
      <c r="BW429" s="146"/>
      <c r="BX429" s="145"/>
      <c r="BY429" s="145"/>
      <c r="BZ429" s="5"/>
      <c r="CA429" s="5">
        <v>407</v>
      </c>
      <c r="CB429" s="413" t="s">
        <v>718</v>
      </c>
      <c r="CC429" s="145"/>
      <c r="CD429" s="146"/>
      <c r="CE429" s="145"/>
      <c r="CF429" s="145"/>
      <c r="CG429" s="5"/>
      <c r="CH429" s="5"/>
      <c r="CI429" s="5"/>
    </row>
    <row r="430" spans="13:87" x14ac:dyDescent="0.2">
      <c r="M430" s="5">
        <v>408</v>
      </c>
      <c r="N430" s="413" t="str">
        <f t="shared" si="36"/>
        <v xml:space="preserve"> </v>
      </c>
      <c r="O430" s="414">
        <f t="shared" si="37"/>
        <v>0</v>
      </c>
      <c r="P430" s="414">
        <f t="shared" si="38"/>
        <v>0</v>
      </c>
      <c r="Q430" s="145">
        <f t="shared" si="41"/>
        <v>-8</v>
      </c>
      <c r="R430" s="414">
        <f t="shared" si="39"/>
        <v>0</v>
      </c>
      <c r="S430" s="414">
        <f t="shared" si="40"/>
        <v>0</v>
      </c>
      <c r="T430" s="19"/>
      <c r="U430" s="5"/>
      <c r="V430" s="5"/>
      <c r="W430" s="5">
        <v>408</v>
      </c>
      <c r="X430" s="144" t="s">
        <v>718</v>
      </c>
      <c r="Y430" s="145"/>
      <c r="Z430" s="146"/>
      <c r="AA430" s="145"/>
      <c r="AB430" s="145"/>
      <c r="AD430" s="5">
        <v>408</v>
      </c>
      <c r="AE430" s="413" t="s">
        <v>718</v>
      </c>
      <c r="AF430" s="145"/>
      <c r="AG430" s="146"/>
      <c r="AH430" s="145"/>
      <c r="AI430" s="145"/>
      <c r="AK430" s="5">
        <v>408</v>
      </c>
      <c r="AL430" s="413" t="s">
        <v>718</v>
      </c>
      <c r="AM430" s="145"/>
      <c r="AN430" s="146"/>
      <c r="AO430" s="145"/>
      <c r="AP430" s="145"/>
      <c r="AR430" s="5">
        <v>408</v>
      </c>
      <c r="AS430" s="413" t="s">
        <v>1992</v>
      </c>
      <c r="AT430" s="145">
        <v>280</v>
      </c>
      <c r="AU430" s="146">
        <v>3.04</v>
      </c>
      <c r="AV430" s="145">
        <v>3748</v>
      </c>
      <c r="AW430" s="145">
        <v>-14</v>
      </c>
      <c r="AY430" s="5">
        <v>408</v>
      </c>
      <c r="AZ430" s="413" t="s">
        <v>718</v>
      </c>
      <c r="BA430" s="145"/>
      <c r="BB430" s="146"/>
      <c r="BC430" s="145"/>
      <c r="BD430" s="145"/>
      <c r="BF430" s="5">
        <v>408</v>
      </c>
      <c r="BG430" s="413" t="s">
        <v>718</v>
      </c>
      <c r="BH430" s="145"/>
      <c r="BI430" s="146"/>
      <c r="BJ430" s="145"/>
      <c r="BK430" s="145"/>
      <c r="BM430" s="5">
        <v>408</v>
      </c>
      <c r="BN430" s="413" t="s">
        <v>718</v>
      </c>
      <c r="BO430" s="145"/>
      <c r="BP430" s="146"/>
      <c r="BQ430" s="145"/>
      <c r="BR430" s="145"/>
      <c r="BS430" s="5"/>
      <c r="BT430" s="5">
        <v>408</v>
      </c>
      <c r="BU430" s="413" t="s">
        <v>718</v>
      </c>
      <c r="BV430" s="145"/>
      <c r="BW430" s="146"/>
      <c r="BX430" s="145"/>
      <c r="BY430" s="145"/>
      <c r="BZ430" s="5"/>
      <c r="CA430" s="5">
        <v>408</v>
      </c>
      <c r="CB430" s="413" t="s">
        <v>718</v>
      </c>
      <c r="CC430" s="145"/>
      <c r="CD430" s="146"/>
      <c r="CE430" s="145"/>
      <c r="CF430" s="145"/>
      <c r="CG430" s="5"/>
      <c r="CH430" s="5"/>
      <c r="CI430" s="5"/>
    </row>
    <row r="431" spans="13:87" x14ac:dyDescent="0.2">
      <c r="M431" s="5">
        <v>409</v>
      </c>
      <c r="N431" s="413" t="str">
        <f t="shared" si="36"/>
        <v xml:space="preserve"> </v>
      </c>
      <c r="O431" s="414">
        <f t="shared" si="37"/>
        <v>0</v>
      </c>
      <c r="P431" s="414">
        <f t="shared" si="38"/>
        <v>0</v>
      </c>
      <c r="Q431" s="145">
        <f t="shared" si="41"/>
        <v>-8</v>
      </c>
      <c r="R431" s="414">
        <f t="shared" si="39"/>
        <v>0</v>
      </c>
      <c r="S431" s="414">
        <f t="shared" si="40"/>
        <v>0</v>
      </c>
      <c r="T431" s="19"/>
      <c r="U431" s="5"/>
      <c r="V431" s="5"/>
      <c r="W431" s="5">
        <v>409</v>
      </c>
      <c r="X431" s="144" t="s">
        <v>718</v>
      </c>
      <c r="Y431" s="145"/>
      <c r="Z431" s="146"/>
      <c r="AA431" s="145"/>
      <c r="AB431" s="145"/>
      <c r="AD431" s="5">
        <v>409</v>
      </c>
      <c r="AE431" s="413" t="s">
        <v>718</v>
      </c>
      <c r="AF431" s="145"/>
      <c r="AG431" s="146"/>
      <c r="AH431" s="145"/>
      <c r="AI431" s="145"/>
      <c r="AK431" s="5">
        <v>409</v>
      </c>
      <c r="AL431" s="413" t="s">
        <v>718</v>
      </c>
      <c r="AM431" s="145"/>
      <c r="AN431" s="146"/>
      <c r="AO431" s="145"/>
      <c r="AP431" s="145"/>
      <c r="AR431" s="5">
        <v>409</v>
      </c>
      <c r="AS431" s="413" t="s">
        <v>1993</v>
      </c>
      <c r="AT431" s="145">
        <v>525</v>
      </c>
      <c r="AU431" s="146">
        <v>2.5</v>
      </c>
      <c r="AV431" s="145">
        <v>4339</v>
      </c>
      <c r="AW431" s="145">
        <v>-17</v>
      </c>
      <c r="AY431" s="5">
        <v>409</v>
      </c>
      <c r="AZ431" s="413" t="s">
        <v>718</v>
      </c>
      <c r="BA431" s="145"/>
      <c r="BB431" s="146"/>
      <c r="BC431" s="145"/>
      <c r="BD431" s="145"/>
      <c r="BF431" s="5">
        <v>409</v>
      </c>
      <c r="BG431" s="413" t="s">
        <v>718</v>
      </c>
      <c r="BH431" s="145"/>
      <c r="BI431" s="146"/>
      <c r="BJ431" s="145"/>
      <c r="BK431" s="145"/>
      <c r="BM431" s="5">
        <v>409</v>
      </c>
      <c r="BN431" s="413" t="s">
        <v>718</v>
      </c>
      <c r="BO431" s="145"/>
      <c r="BP431" s="146"/>
      <c r="BQ431" s="145"/>
      <c r="BR431" s="145"/>
      <c r="BS431" s="5"/>
      <c r="BT431" s="5">
        <v>409</v>
      </c>
      <c r="BU431" s="413" t="s">
        <v>718</v>
      </c>
      <c r="BV431" s="145"/>
      <c r="BW431" s="146"/>
      <c r="BX431" s="145"/>
      <c r="BY431" s="145"/>
      <c r="BZ431" s="5"/>
      <c r="CA431" s="5">
        <v>409</v>
      </c>
      <c r="CB431" s="413" t="s">
        <v>718</v>
      </c>
      <c r="CC431" s="145"/>
      <c r="CD431" s="146"/>
      <c r="CE431" s="145"/>
      <c r="CF431" s="145"/>
      <c r="CG431" s="5"/>
      <c r="CH431" s="5"/>
      <c r="CI431" s="5"/>
    </row>
    <row r="432" spans="13:87" x14ac:dyDescent="0.2">
      <c r="M432" s="5">
        <v>410</v>
      </c>
      <c r="N432" s="413" t="str">
        <f t="shared" si="36"/>
        <v xml:space="preserve"> </v>
      </c>
      <c r="O432" s="414">
        <f t="shared" si="37"/>
        <v>0</v>
      </c>
      <c r="P432" s="414">
        <f t="shared" si="38"/>
        <v>0</v>
      </c>
      <c r="Q432" s="145">
        <f t="shared" si="41"/>
        <v>-8</v>
      </c>
      <c r="R432" s="414">
        <f t="shared" si="39"/>
        <v>0</v>
      </c>
      <c r="S432" s="414">
        <f t="shared" si="40"/>
        <v>0</v>
      </c>
      <c r="T432" s="19"/>
      <c r="U432" s="5"/>
      <c r="V432" s="5"/>
      <c r="W432" s="5">
        <v>410</v>
      </c>
      <c r="X432" s="144" t="s">
        <v>718</v>
      </c>
      <c r="Y432" s="145"/>
      <c r="Z432" s="146"/>
      <c r="AA432" s="145"/>
      <c r="AB432" s="145"/>
      <c r="AD432" s="5">
        <v>410</v>
      </c>
      <c r="AE432" s="413" t="s">
        <v>718</v>
      </c>
      <c r="AF432" s="145"/>
      <c r="AG432" s="146"/>
      <c r="AH432" s="145"/>
      <c r="AI432" s="145"/>
      <c r="AK432" s="5">
        <v>410</v>
      </c>
      <c r="AL432" s="413" t="s">
        <v>718</v>
      </c>
      <c r="AM432" s="145"/>
      <c r="AN432" s="146"/>
      <c r="AO432" s="145"/>
      <c r="AP432" s="145"/>
      <c r="AR432" s="5">
        <v>410</v>
      </c>
      <c r="AS432" s="413" t="s">
        <v>1994</v>
      </c>
      <c r="AT432" s="145">
        <v>299</v>
      </c>
      <c r="AU432" s="146">
        <v>3.18</v>
      </c>
      <c r="AV432" s="145">
        <v>3818</v>
      </c>
      <c r="AW432" s="145">
        <v>-14</v>
      </c>
      <c r="AY432" s="5">
        <v>410</v>
      </c>
      <c r="AZ432" s="413" t="s">
        <v>718</v>
      </c>
      <c r="BA432" s="145"/>
      <c r="BB432" s="146"/>
      <c r="BC432" s="145"/>
      <c r="BD432" s="145"/>
      <c r="BF432" s="5">
        <v>410</v>
      </c>
      <c r="BG432" s="413" t="s">
        <v>718</v>
      </c>
      <c r="BH432" s="145"/>
      <c r="BI432" s="146"/>
      <c r="BJ432" s="145"/>
      <c r="BK432" s="145"/>
      <c r="BM432" s="5">
        <v>410</v>
      </c>
      <c r="BN432" s="413" t="s">
        <v>718</v>
      </c>
      <c r="BO432" s="145"/>
      <c r="BP432" s="146"/>
      <c r="BQ432" s="145"/>
      <c r="BR432" s="145"/>
      <c r="BS432" s="5"/>
      <c r="BT432" s="5">
        <v>410</v>
      </c>
      <c r="BU432" s="413" t="s">
        <v>718</v>
      </c>
      <c r="BV432" s="145"/>
      <c r="BW432" s="146"/>
      <c r="BX432" s="145"/>
      <c r="BY432" s="145"/>
      <c r="BZ432" s="5"/>
      <c r="CA432" s="5">
        <v>410</v>
      </c>
      <c r="CB432" s="413" t="s">
        <v>718</v>
      </c>
      <c r="CC432" s="145"/>
      <c r="CD432" s="146"/>
      <c r="CE432" s="145"/>
      <c r="CF432" s="145"/>
      <c r="CG432" s="5"/>
      <c r="CH432" s="5"/>
      <c r="CI432" s="5"/>
    </row>
    <row r="433" spans="13:87" x14ac:dyDescent="0.2">
      <c r="M433" s="5">
        <v>411</v>
      </c>
      <c r="N433" s="413" t="str">
        <f t="shared" si="36"/>
        <v xml:space="preserve"> </v>
      </c>
      <c r="O433" s="414">
        <f t="shared" si="37"/>
        <v>0</v>
      </c>
      <c r="P433" s="414">
        <f t="shared" si="38"/>
        <v>0</v>
      </c>
      <c r="Q433" s="145">
        <f t="shared" si="41"/>
        <v>-8</v>
      </c>
      <c r="R433" s="414">
        <f t="shared" si="39"/>
        <v>0</v>
      </c>
      <c r="S433" s="414">
        <f t="shared" si="40"/>
        <v>0</v>
      </c>
      <c r="T433" s="19"/>
      <c r="U433" s="5"/>
      <c r="V433" s="5"/>
      <c r="W433" s="5">
        <v>411</v>
      </c>
      <c r="X433" s="144" t="s">
        <v>718</v>
      </c>
      <c r="Y433" s="145"/>
      <c r="Z433" s="146"/>
      <c r="AA433" s="145"/>
      <c r="AB433" s="145"/>
      <c r="AD433" s="5">
        <v>411</v>
      </c>
      <c r="AE433" s="413" t="s">
        <v>718</v>
      </c>
      <c r="AF433" s="145"/>
      <c r="AG433" s="146"/>
      <c r="AH433" s="145"/>
      <c r="AI433" s="145"/>
      <c r="AK433" s="5">
        <v>411</v>
      </c>
      <c r="AL433" s="413" t="s">
        <v>718</v>
      </c>
      <c r="AM433" s="145"/>
      <c r="AN433" s="146"/>
      <c r="AO433" s="145"/>
      <c r="AP433" s="145"/>
      <c r="AR433" s="5">
        <v>411</v>
      </c>
      <c r="AS433" s="413" t="s">
        <v>1995</v>
      </c>
      <c r="AT433" s="145">
        <v>246</v>
      </c>
      <c r="AU433" s="146">
        <v>3.4</v>
      </c>
      <c r="AV433" s="145">
        <v>3636</v>
      </c>
      <c r="AW433" s="145">
        <v>-14</v>
      </c>
      <c r="AY433" s="5">
        <v>411</v>
      </c>
      <c r="AZ433" s="413" t="s">
        <v>718</v>
      </c>
      <c r="BA433" s="145"/>
      <c r="BB433" s="146"/>
      <c r="BC433" s="145"/>
      <c r="BD433" s="145"/>
      <c r="BF433" s="5">
        <v>411</v>
      </c>
      <c r="BG433" s="413" t="s">
        <v>718</v>
      </c>
      <c r="BH433" s="145"/>
      <c r="BI433" s="146"/>
      <c r="BJ433" s="145"/>
      <c r="BK433" s="145"/>
      <c r="BM433" s="5">
        <v>411</v>
      </c>
      <c r="BN433" s="413" t="s">
        <v>718</v>
      </c>
      <c r="BO433" s="145"/>
      <c r="BP433" s="146"/>
      <c r="BQ433" s="145"/>
      <c r="BR433" s="145"/>
      <c r="BS433" s="5"/>
      <c r="BT433" s="5">
        <v>411</v>
      </c>
      <c r="BU433" s="413" t="s">
        <v>718</v>
      </c>
      <c r="BV433" s="145"/>
      <c r="BW433" s="146"/>
      <c r="BX433" s="145"/>
      <c r="BY433" s="145"/>
      <c r="BZ433" s="5"/>
      <c r="CA433" s="5">
        <v>411</v>
      </c>
      <c r="CB433" s="413" t="s">
        <v>718</v>
      </c>
      <c r="CC433" s="145"/>
      <c r="CD433" s="146"/>
      <c r="CE433" s="145"/>
      <c r="CF433" s="145"/>
      <c r="CG433" s="5"/>
      <c r="CH433" s="5"/>
      <c r="CI433" s="5"/>
    </row>
    <row r="434" spans="13:87" x14ac:dyDescent="0.2">
      <c r="M434" s="5">
        <v>412</v>
      </c>
      <c r="N434" s="413" t="str">
        <f t="shared" si="36"/>
        <v xml:space="preserve"> </v>
      </c>
      <c r="O434" s="414">
        <f t="shared" si="37"/>
        <v>0</v>
      </c>
      <c r="P434" s="414">
        <f t="shared" si="38"/>
        <v>0</v>
      </c>
      <c r="Q434" s="145">
        <f t="shared" si="41"/>
        <v>-8</v>
      </c>
      <c r="R434" s="414">
        <f t="shared" si="39"/>
        <v>0</v>
      </c>
      <c r="S434" s="414">
        <f t="shared" si="40"/>
        <v>0</v>
      </c>
      <c r="T434" s="19"/>
      <c r="U434" s="5"/>
      <c r="V434" s="5"/>
      <c r="W434" s="5">
        <v>412</v>
      </c>
      <c r="X434" s="144" t="s">
        <v>718</v>
      </c>
      <c r="Y434" s="145"/>
      <c r="Z434" s="146"/>
      <c r="AA434" s="145"/>
      <c r="AB434" s="145"/>
      <c r="AD434" s="5">
        <v>412</v>
      </c>
      <c r="AE434" s="413" t="s">
        <v>718</v>
      </c>
      <c r="AF434" s="145"/>
      <c r="AG434" s="146"/>
      <c r="AH434" s="145"/>
      <c r="AI434" s="145"/>
      <c r="AK434" s="5">
        <v>412</v>
      </c>
      <c r="AL434" s="413" t="s">
        <v>718</v>
      </c>
      <c r="AM434" s="145"/>
      <c r="AN434" s="146"/>
      <c r="AO434" s="145"/>
      <c r="AP434" s="145"/>
      <c r="AR434" s="5">
        <v>412</v>
      </c>
      <c r="AS434" s="413" t="s">
        <v>1996</v>
      </c>
      <c r="AT434" s="145">
        <v>292</v>
      </c>
      <c r="AU434" s="146">
        <v>3.22</v>
      </c>
      <c r="AV434" s="145">
        <v>3709</v>
      </c>
      <c r="AW434" s="145">
        <v>-14</v>
      </c>
      <c r="AY434" s="5">
        <v>412</v>
      </c>
      <c r="AZ434" s="413" t="s">
        <v>718</v>
      </c>
      <c r="BA434" s="145"/>
      <c r="BB434" s="146"/>
      <c r="BC434" s="145"/>
      <c r="BD434" s="145"/>
      <c r="BF434" s="5">
        <v>412</v>
      </c>
      <c r="BG434" s="413" t="s">
        <v>718</v>
      </c>
      <c r="BH434" s="145"/>
      <c r="BI434" s="146"/>
      <c r="BJ434" s="145"/>
      <c r="BK434" s="145"/>
      <c r="BM434" s="5">
        <v>412</v>
      </c>
      <c r="BN434" s="413" t="s">
        <v>718</v>
      </c>
      <c r="BO434" s="145"/>
      <c r="BP434" s="146"/>
      <c r="BQ434" s="145"/>
      <c r="BR434" s="145"/>
      <c r="BS434" s="5"/>
      <c r="BT434" s="5">
        <v>412</v>
      </c>
      <c r="BU434" s="413" t="s">
        <v>718</v>
      </c>
      <c r="BV434" s="145"/>
      <c r="BW434" s="146"/>
      <c r="BX434" s="145"/>
      <c r="BY434" s="145"/>
      <c r="BZ434" s="5"/>
      <c r="CA434" s="5">
        <v>412</v>
      </c>
      <c r="CB434" s="413" t="s">
        <v>718</v>
      </c>
      <c r="CC434" s="145"/>
      <c r="CD434" s="146"/>
      <c r="CE434" s="145"/>
      <c r="CF434" s="145"/>
      <c r="CG434" s="5"/>
      <c r="CH434" s="5"/>
      <c r="CI434" s="5"/>
    </row>
    <row r="435" spans="13:87" x14ac:dyDescent="0.2">
      <c r="M435" s="5">
        <v>413</v>
      </c>
      <c r="N435" s="413" t="str">
        <f t="shared" si="36"/>
        <v xml:space="preserve"> </v>
      </c>
      <c r="O435" s="414">
        <f t="shared" si="37"/>
        <v>0</v>
      </c>
      <c r="P435" s="414">
        <f t="shared" si="38"/>
        <v>0</v>
      </c>
      <c r="Q435" s="145">
        <f t="shared" si="41"/>
        <v>-8</v>
      </c>
      <c r="R435" s="414">
        <f t="shared" si="39"/>
        <v>0</v>
      </c>
      <c r="S435" s="414">
        <f t="shared" si="40"/>
        <v>0</v>
      </c>
      <c r="T435" s="19"/>
      <c r="U435" s="5"/>
      <c r="V435" s="5"/>
      <c r="W435" s="5">
        <v>413</v>
      </c>
      <c r="X435" s="144" t="s">
        <v>718</v>
      </c>
      <c r="Y435" s="145"/>
      <c r="Z435" s="146"/>
      <c r="AA435" s="145"/>
      <c r="AB435" s="145"/>
      <c r="AD435" s="5">
        <v>413</v>
      </c>
      <c r="AE435" s="413" t="s">
        <v>718</v>
      </c>
      <c r="AF435" s="145"/>
      <c r="AG435" s="146"/>
      <c r="AH435" s="145"/>
      <c r="AI435" s="145"/>
      <c r="AK435" s="5">
        <v>413</v>
      </c>
      <c r="AL435" s="413" t="s">
        <v>718</v>
      </c>
      <c r="AM435" s="145"/>
      <c r="AN435" s="146"/>
      <c r="AO435" s="145"/>
      <c r="AP435" s="145"/>
      <c r="AR435" s="5">
        <v>413</v>
      </c>
      <c r="AS435" s="413" t="s">
        <v>1997</v>
      </c>
      <c r="AT435" s="145">
        <v>405</v>
      </c>
      <c r="AU435" s="146">
        <v>2.76</v>
      </c>
      <c r="AV435" s="145">
        <v>4051</v>
      </c>
      <c r="AW435" s="145">
        <v>-16</v>
      </c>
      <c r="AY435" s="5">
        <v>413</v>
      </c>
      <c r="AZ435" s="413" t="s">
        <v>718</v>
      </c>
      <c r="BA435" s="145"/>
      <c r="BB435" s="146"/>
      <c r="BC435" s="145"/>
      <c r="BD435" s="145"/>
      <c r="BF435" s="5">
        <v>413</v>
      </c>
      <c r="BG435" s="413" t="s">
        <v>718</v>
      </c>
      <c r="BH435" s="145"/>
      <c r="BI435" s="146"/>
      <c r="BJ435" s="145"/>
      <c r="BK435" s="145"/>
      <c r="BM435" s="5">
        <v>413</v>
      </c>
      <c r="BN435" s="413" t="s">
        <v>718</v>
      </c>
      <c r="BO435" s="145"/>
      <c r="BP435" s="146"/>
      <c r="BQ435" s="145"/>
      <c r="BR435" s="145"/>
      <c r="BS435" s="5"/>
      <c r="BT435" s="5">
        <v>413</v>
      </c>
      <c r="BU435" s="413" t="s">
        <v>718</v>
      </c>
      <c r="BV435" s="145"/>
      <c r="BW435" s="146"/>
      <c r="BX435" s="145"/>
      <c r="BY435" s="145"/>
      <c r="BZ435" s="5"/>
      <c r="CA435" s="5">
        <v>413</v>
      </c>
      <c r="CB435" s="413" t="s">
        <v>718</v>
      </c>
      <c r="CC435" s="145"/>
      <c r="CD435" s="146"/>
      <c r="CE435" s="145"/>
      <c r="CF435" s="145"/>
      <c r="CG435" s="5"/>
      <c r="CH435" s="5"/>
      <c r="CI435" s="5"/>
    </row>
    <row r="436" spans="13:87" x14ac:dyDescent="0.2">
      <c r="M436" s="5">
        <v>414</v>
      </c>
      <c r="N436" s="413" t="str">
        <f t="shared" si="36"/>
        <v xml:space="preserve"> </v>
      </c>
      <c r="O436" s="414">
        <f t="shared" si="37"/>
        <v>0</v>
      </c>
      <c r="P436" s="414">
        <f t="shared" si="38"/>
        <v>0</v>
      </c>
      <c r="Q436" s="145">
        <f t="shared" si="41"/>
        <v>-8</v>
      </c>
      <c r="R436" s="414">
        <f t="shared" si="39"/>
        <v>0</v>
      </c>
      <c r="S436" s="414">
        <f t="shared" si="40"/>
        <v>0</v>
      </c>
      <c r="T436" s="19"/>
      <c r="U436" s="5"/>
      <c r="V436" s="5"/>
      <c r="W436" s="5">
        <v>414</v>
      </c>
      <c r="X436" s="144" t="s">
        <v>718</v>
      </c>
      <c r="Y436" s="145"/>
      <c r="Z436" s="146"/>
      <c r="AA436" s="145"/>
      <c r="AB436" s="145"/>
      <c r="AD436" s="5">
        <v>414</v>
      </c>
      <c r="AE436" s="413" t="s">
        <v>718</v>
      </c>
      <c r="AF436" s="145"/>
      <c r="AG436" s="146"/>
      <c r="AH436" s="145"/>
      <c r="AI436" s="145"/>
      <c r="AK436" s="5">
        <v>414</v>
      </c>
      <c r="AL436" s="413" t="s">
        <v>718</v>
      </c>
      <c r="AM436" s="145"/>
      <c r="AN436" s="146"/>
      <c r="AO436" s="145"/>
      <c r="AP436" s="145"/>
      <c r="AR436" s="5">
        <v>414</v>
      </c>
      <c r="AS436" s="413" t="s">
        <v>1998</v>
      </c>
      <c r="AT436" s="145">
        <v>156</v>
      </c>
      <c r="AU436" s="146">
        <v>3.44</v>
      </c>
      <c r="AV436" s="145">
        <v>3411</v>
      </c>
      <c r="AW436" s="145">
        <v>-14</v>
      </c>
      <c r="AY436" s="5">
        <v>414</v>
      </c>
      <c r="AZ436" s="413" t="s">
        <v>718</v>
      </c>
      <c r="BA436" s="145"/>
      <c r="BB436" s="146"/>
      <c r="BC436" s="145"/>
      <c r="BD436" s="145"/>
      <c r="BF436" s="5">
        <v>414</v>
      </c>
      <c r="BG436" s="413" t="s">
        <v>718</v>
      </c>
      <c r="BH436" s="145"/>
      <c r="BI436" s="146"/>
      <c r="BJ436" s="145"/>
      <c r="BK436" s="145"/>
      <c r="BM436" s="5">
        <v>414</v>
      </c>
      <c r="BN436" s="413" t="s">
        <v>718</v>
      </c>
      <c r="BO436" s="145"/>
      <c r="BP436" s="146"/>
      <c r="BQ436" s="145"/>
      <c r="BR436" s="145"/>
      <c r="BS436" s="5"/>
      <c r="BT436" s="5">
        <v>414</v>
      </c>
      <c r="BU436" s="413" t="s">
        <v>718</v>
      </c>
      <c r="BV436" s="145"/>
      <c r="BW436" s="146"/>
      <c r="BX436" s="145"/>
      <c r="BY436" s="145"/>
      <c r="BZ436" s="5"/>
      <c r="CA436" s="5">
        <v>414</v>
      </c>
      <c r="CB436" s="413" t="s">
        <v>718</v>
      </c>
      <c r="CC436" s="145"/>
      <c r="CD436" s="146"/>
      <c r="CE436" s="145"/>
      <c r="CF436" s="145"/>
      <c r="CG436" s="5"/>
      <c r="CH436" s="5"/>
      <c r="CI436" s="5"/>
    </row>
    <row r="437" spans="13:87" x14ac:dyDescent="0.2">
      <c r="M437" s="5">
        <v>415</v>
      </c>
      <c r="N437" s="413" t="str">
        <f t="shared" si="36"/>
        <v xml:space="preserve"> </v>
      </c>
      <c r="O437" s="414">
        <f t="shared" si="37"/>
        <v>0</v>
      </c>
      <c r="P437" s="414">
        <f t="shared" si="38"/>
        <v>0</v>
      </c>
      <c r="Q437" s="145">
        <f t="shared" si="41"/>
        <v>-8</v>
      </c>
      <c r="R437" s="414">
        <f t="shared" si="39"/>
        <v>0</v>
      </c>
      <c r="S437" s="414">
        <f t="shared" si="40"/>
        <v>0</v>
      </c>
      <c r="T437" s="19"/>
      <c r="U437" s="5"/>
      <c r="V437" s="5"/>
      <c r="W437" s="5">
        <v>415</v>
      </c>
      <c r="X437" s="144" t="s">
        <v>718</v>
      </c>
      <c r="Y437" s="145"/>
      <c r="Z437" s="146"/>
      <c r="AA437" s="145"/>
      <c r="AB437" s="145"/>
      <c r="AD437" s="5">
        <v>415</v>
      </c>
      <c r="AE437" s="413" t="s">
        <v>718</v>
      </c>
      <c r="AF437" s="145"/>
      <c r="AG437" s="146"/>
      <c r="AH437" s="145"/>
      <c r="AI437" s="145"/>
      <c r="AK437" s="5">
        <v>415</v>
      </c>
      <c r="AL437" s="413" t="s">
        <v>718</v>
      </c>
      <c r="AM437" s="145"/>
      <c r="AN437" s="146"/>
      <c r="AO437" s="145"/>
      <c r="AP437" s="145"/>
      <c r="AR437" s="5">
        <v>415</v>
      </c>
      <c r="AS437" s="413" t="s">
        <v>1999</v>
      </c>
      <c r="AT437" s="145">
        <v>167</v>
      </c>
      <c r="AU437" s="146">
        <v>3.32</v>
      </c>
      <c r="AV437" s="145">
        <v>3602</v>
      </c>
      <c r="AW437" s="145">
        <v>-14</v>
      </c>
      <c r="AY437" s="5">
        <v>415</v>
      </c>
      <c r="AZ437" s="413" t="s">
        <v>718</v>
      </c>
      <c r="BA437" s="145"/>
      <c r="BB437" s="146"/>
      <c r="BC437" s="145"/>
      <c r="BD437" s="145"/>
      <c r="BF437" s="5">
        <v>415</v>
      </c>
      <c r="BG437" s="413" t="s">
        <v>718</v>
      </c>
      <c r="BH437" s="145"/>
      <c r="BI437" s="146"/>
      <c r="BJ437" s="145"/>
      <c r="BK437" s="145"/>
      <c r="BM437" s="5">
        <v>415</v>
      </c>
      <c r="BN437" s="413" t="s">
        <v>718</v>
      </c>
      <c r="BO437" s="145"/>
      <c r="BP437" s="146"/>
      <c r="BQ437" s="145"/>
      <c r="BR437" s="145"/>
      <c r="BS437" s="5"/>
      <c r="BT437" s="5">
        <v>415</v>
      </c>
      <c r="BU437" s="413" t="s">
        <v>718</v>
      </c>
      <c r="BV437" s="145"/>
      <c r="BW437" s="146"/>
      <c r="BX437" s="145"/>
      <c r="BY437" s="145"/>
      <c r="BZ437" s="5"/>
      <c r="CA437" s="5">
        <v>415</v>
      </c>
      <c r="CB437" s="413" t="s">
        <v>718</v>
      </c>
      <c r="CC437" s="145"/>
      <c r="CD437" s="146"/>
      <c r="CE437" s="145"/>
      <c r="CF437" s="145"/>
      <c r="CG437" s="5"/>
      <c r="CH437" s="5"/>
      <c r="CI437" s="5"/>
    </row>
    <row r="438" spans="13:87" x14ac:dyDescent="0.2">
      <c r="M438" s="5">
        <v>416</v>
      </c>
      <c r="N438" s="413" t="str">
        <f t="shared" si="36"/>
        <v xml:space="preserve"> </v>
      </c>
      <c r="O438" s="414">
        <f t="shared" si="37"/>
        <v>0</v>
      </c>
      <c r="P438" s="414">
        <f t="shared" si="38"/>
        <v>0</v>
      </c>
      <c r="Q438" s="145">
        <f t="shared" si="41"/>
        <v>-8</v>
      </c>
      <c r="R438" s="414">
        <f t="shared" si="39"/>
        <v>0</v>
      </c>
      <c r="S438" s="414">
        <f t="shared" si="40"/>
        <v>0</v>
      </c>
      <c r="T438" s="19"/>
      <c r="U438" s="5"/>
      <c r="V438" s="5"/>
      <c r="W438" s="5">
        <v>416</v>
      </c>
      <c r="X438" s="144" t="s">
        <v>718</v>
      </c>
      <c r="Y438" s="145"/>
      <c r="Z438" s="146"/>
      <c r="AA438" s="145"/>
      <c r="AB438" s="145"/>
      <c r="AD438" s="5">
        <v>416</v>
      </c>
      <c r="AE438" s="413" t="s">
        <v>718</v>
      </c>
      <c r="AF438" s="145"/>
      <c r="AG438" s="146"/>
      <c r="AH438" s="145"/>
      <c r="AI438" s="145"/>
      <c r="AK438" s="5">
        <v>416</v>
      </c>
      <c r="AL438" s="413" t="s">
        <v>718</v>
      </c>
      <c r="AM438" s="145"/>
      <c r="AN438" s="146"/>
      <c r="AO438" s="145"/>
      <c r="AP438" s="145"/>
      <c r="AR438" s="5">
        <v>416</v>
      </c>
      <c r="AS438" s="413" t="s">
        <v>2000</v>
      </c>
      <c r="AT438" s="145">
        <v>339</v>
      </c>
      <c r="AU438" s="146">
        <v>3.28</v>
      </c>
      <c r="AV438" s="145">
        <v>3828</v>
      </c>
      <c r="AW438" s="145">
        <v>-14</v>
      </c>
      <c r="AY438" s="5">
        <v>416</v>
      </c>
      <c r="AZ438" s="413" t="s">
        <v>718</v>
      </c>
      <c r="BA438" s="145"/>
      <c r="BB438" s="146"/>
      <c r="BC438" s="145"/>
      <c r="BD438" s="145"/>
      <c r="BF438" s="5">
        <v>416</v>
      </c>
      <c r="BG438" s="413" t="s">
        <v>718</v>
      </c>
      <c r="BH438" s="145"/>
      <c r="BI438" s="146"/>
      <c r="BJ438" s="145"/>
      <c r="BK438" s="145"/>
      <c r="BM438" s="5">
        <v>416</v>
      </c>
      <c r="BN438" s="413" t="s">
        <v>718</v>
      </c>
      <c r="BO438" s="145"/>
      <c r="BP438" s="146"/>
      <c r="BQ438" s="145"/>
      <c r="BR438" s="145"/>
      <c r="BS438" s="5"/>
      <c r="BT438" s="5">
        <v>416</v>
      </c>
      <c r="BU438" s="413" t="s">
        <v>718</v>
      </c>
      <c r="BV438" s="145"/>
      <c r="BW438" s="146"/>
      <c r="BX438" s="145"/>
      <c r="BY438" s="145"/>
      <c r="BZ438" s="5"/>
      <c r="CA438" s="5">
        <v>416</v>
      </c>
      <c r="CB438" s="413" t="s">
        <v>718</v>
      </c>
      <c r="CC438" s="145"/>
      <c r="CD438" s="146"/>
      <c r="CE438" s="145"/>
      <c r="CF438" s="145"/>
      <c r="CG438" s="5"/>
      <c r="CH438" s="5"/>
      <c r="CI438" s="5"/>
    </row>
    <row r="439" spans="13:87" x14ac:dyDescent="0.2">
      <c r="M439" s="5">
        <v>417</v>
      </c>
      <c r="N439" s="413" t="str">
        <f t="shared" si="36"/>
        <v xml:space="preserve"> </v>
      </c>
      <c r="O439" s="414">
        <f t="shared" si="37"/>
        <v>0</v>
      </c>
      <c r="P439" s="414">
        <f t="shared" si="38"/>
        <v>0</v>
      </c>
      <c r="Q439" s="145">
        <f t="shared" si="41"/>
        <v>-8</v>
      </c>
      <c r="R439" s="414">
        <f t="shared" si="39"/>
        <v>0</v>
      </c>
      <c r="S439" s="414">
        <f t="shared" si="40"/>
        <v>0</v>
      </c>
      <c r="T439" s="19"/>
      <c r="U439" s="5"/>
      <c r="V439" s="5"/>
      <c r="W439" s="5">
        <v>417</v>
      </c>
      <c r="X439" s="144" t="s">
        <v>718</v>
      </c>
      <c r="Y439" s="145"/>
      <c r="Z439" s="146"/>
      <c r="AA439" s="145"/>
      <c r="AB439" s="145"/>
      <c r="AD439" s="5">
        <v>417</v>
      </c>
      <c r="AE439" s="413" t="s">
        <v>718</v>
      </c>
      <c r="AF439" s="145"/>
      <c r="AG439" s="146"/>
      <c r="AH439" s="145"/>
      <c r="AI439" s="145"/>
      <c r="AK439" s="5">
        <v>417</v>
      </c>
      <c r="AL439" s="413" t="s">
        <v>718</v>
      </c>
      <c r="AM439" s="145"/>
      <c r="AN439" s="146"/>
      <c r="AO439" s="145"/>
      <c r="AP439" s="145"/>
      <c r="AR439" s="5">
        <v>417</v>
      </c>
      <c r="AS439" s="413" t="s">
        <v>2001</v>
      </c>
      <c r="AT439" s="145">
        <v>174</v>
      </c>
      <c r="AU439" s="146">
        <v>3.32</v>
      </c>
      <c r="AV439" s="145">
        <v>3553</v>
      </c>
      <c r="AW439" s="145">
        <v>-14</v>
      </c>
      <c r="AY439" s="5">
        <v>417</v>
      </c>
      <c r="AZ439" s="413" t="s">
        <v>718</v>
      </c>
      <c r="BA439" s="145"/>
      <c r="BB439" s="146"/>
      <c r="BC439" s="145"/>
      <c r="BD439" s="145"/>
      <c r="BF439" s="5">
        <v>417</v>
      </c>
      <c r="BG439" s="413" t="s">
        <v>718</v>
      </c>
      <c r="BH439" s="145"/>
      <c r="BI439" s="146"/>
      <c r="BJ439" s="145"/>
      <c r="BK439" s="145"/>
      <c r="BM439" s="5">
        <v>417</v>
      </c>
      <c r="BN439" s="413" t="s">
        <v>718</v>
      </c>
      <c r="BO439" s="145"/>
      <c r="BP439" s="146"/>
      <c r="BQ439" s="145"/>
      <c r="BR439" s="145"/>
      <c r="BS439" s="5"/>
      <c r="BT439" s="5">
        <v>417</v>
      </c>
      <c r="BU439" s="413" t="s">
        <v>718</v>
      </c>
      <c r="BV439" s="145"/>
      <c r="BW439" s="146"/>
      <c r="BX439" s="145"/>
      <c r="BY439" s="145"/>
      <c r="BZ439" s="5"/>
      <c r="CA439" s="5">
        <v>417</v>
      </c>
      <c r="CB439" s="413" t="s">
        <v>718</v>
      </c>
      <c r="CC439" s="145"/>
      <c r="CD439" s="146"/>
      <c r="CE439" s="145"/>
      <c r="CF439" s="145"/>
      <c r="CG439" s="5"/>
      <c r="CH439" s="5"/>
      <c r="CI439" s="5"/>
    </row>
    <row r="440" spans="13:87" x14ac:dyDescent="0.2">
      <c r="M440" s="5">
        <v>418</v>
      </c>
      <c r="N440" s="413" t="str">
        <f t="shared" si="36"/>
        <v xml:space="preserve"> </v>
      </c>
      <c r="O440" s="414">
        <f t="shared" si="37"/>
        <v>0</v>
      </c>
      <c r="P440" s="414">
        <f t="shared" si="38"/>
        <v>0</v>
      </c>
      <c r="Q440" s="145">
        <f t="shared" si="41"/>
        <v>-8</v>
      </c>
      <c r="R440" s="414">
        <f t="shared" si="39"/>
        <v>0</v>
      </c>
      <c r="S440" s="414">
        <f t="shared" si="40"/>
        <v>0</v>
      </c>
      <c r="T440" s="19"/>
      <c r="U440" s="5"/>
      <c r="V440" s="5"/>
      <c r="W440" s="5">
        <v>418</v>
      </c>
      <c r="X440" s="144" t="s">
        <v>718</v>
      </c>
      <c r="Y440" s="145"/>
      <c r="Z440" s="146"/>
      <c r="AA440" s="145"/>
      <c r="AB440" s="145"/>
      <c r="AD440" s="5">
        <v>418</v>
      </c>
      <c r="AE440" s="413" t="s">
        <v>718</v>
      </c>
      <c r="AF440" s="145"/>
      <c r="AG440" s="146"/>
      <c r="AH440" s="145"/>
      <c r="AI440" s="145"/>
      <c r="AK440" s="5">
        <v>418</v>
      </c>
      <c r="AL440" s="413" t="s">
        <v>718</v>
      </c>
      <c r="AM440" s="145"/>
      <c r="AN440" s="146"/>
      <c r="AO440" s="145"/>
      <c r="AP440" s="145"/>
      <c r="AR440" s="5">
        <v>418</v>
      </c>
      <c r="AS440" s="413" t="s">
        <v>2002</v>
      </c>
      <c r="AT440" s="145">
        <v>380</v>
      </c>
      <c r="AU440" s="146">
        <v>3.31</v>
      </c>
      <c r="AV440" s="145">
        <v>3888</v>
      </c>
      <c r="AW440" s="145">
        <v>-14</v>
      </c>
      <c r="AY440" s="5">
        <v>418</v>
      </c>
      <c r="AZ440" s="413" t="s">
        <v>718</v>
      </c>
      <c r="BA440" s="145"/>
      <c r="BB440" s="146"/>
      <c r="BC440" s="145"/>
      <c r="BD440" s="145"/>
      <c r="BF440" s="5">
        <v>418</v>
      </c>
      <c r="BG440" s="413" t="s">
        <v>718</v>
      </c>
      <c r="BH440" s="145"/>
      <c r="BI440" s="146"/>
      <c r="BJ440" s="145"/>
      <c r="BK440" s="145"/>
      <c r="BM440" s="5">
        <v>418</v>
      </c>
      <c r="BN440" s="413" t="s">
        <v>718</v>
      </c>
      <c r="BO440" s="145"/>
      <c r="BP440" s="146"/>
      <c r="BQ440" s="145"/>
      <c r="BR440" s="145"/>
      <c r="BS440" s="5"/>
      <c r="BT440" s="5">
        <v>418</v>
      </c>
      <c r="BU440" s="413" t="s">
        <v>718</v>
      </c>
      <c r="BV440" s="145"/>
      <c r="BW440" s="146"/>
      <c r="BX440" s="145"/>
      <c r="BY440" s="145"/>
      <c r="BZ440" s="5"/>
      <c r="CA440" s="5">
        <v>418</v>
      </c>
      <c r="CB440" s="413" t="s">
        <v>718</v>
      </c>
      <c r="CC440" s="145"/>
      <c r="CD440" s="146"/>
      <c r="CE440" s="145"/>
      <c r="CF440" s="145"/>
      <c r="CG440" s="5"/>
      <c r="CH440" s="5"/>
      <c r="CI440" s="5"/>
    </row>
    <row r="441" spans="13:87" x14ac:dyDescent="0.2">
      <c r="M441" s="5">
        <v>419</v>
      </c>
      <c r="N441" s="413" t="str">
        <f t="shared" si="36"/>
        <v xml:space="preserve"> </v>
      </c>
      <c r="O441" s="414">
        <f t="shared" si="37"/>
        <v>0</v>
      </c>
      <c r="P441" s="414">
        <f t="shared" si="38"/>
        <v>0</v>
      </c>
      <c r="Q441" s="145">
        <f t="shared" si="41"/>
        <v>-8</v>
      </c>
      <c r="R441" s="414">
        <f t="shared" si="39"/>
        <v>0</v>
      </c>
      <c r="S441" s="414">
        <f t="shared" si="40"/>
        <v>0</v>
      </c>
      <c r="T441" s="19"/>
      <c r="U441" s="5"/>
      <c r="V441" s="5"/>
      <c r="W441" s="5">
        <v>419</v>
      </c>
      <c r="X441" s="144" t="s">
        <v>718</v>
      </c>
      <c r="Y441" s="145"/>
      <c r="Z441" s="146"/>
      <c r="AA441" s="145"/>
      <c r="AB441" s="145"/>
      <c r="AD441" s="5">
        <v>419</v>
      </c>
      <c r="AE441" s="413" t="s">
        <v>718</v>
      </c>
      <c r="AF441" s="145"/>
      <c r="AG441" s="146"/>
      <c r="AH441" s="145"/>
      <c r="AI441" s="145"/>
      <c r="AK441" s="5">
        <v>419</v>
      </c>
      <c r="AL441" s="413" t="s">
        <v>718</v>
      </c>
      <c r="AM441" s="145"/>
      <c r="AN441" s="146"/>
      <c r="AO441" s="145"/>
      <c r="AP441" s="145"/>
      <c r="AR441" s="5">
        <v>419</v>
      </c>
      <c r="AS441" s="413" t="s">
        <v>1760</v>
      </c>
      <c r="AT441" s="145">
        <v>465</v>
      </c>
      <c r="AU441" s="146">
        <v>3.1</v>
      </c>
      <c r="AV441" s="145">
        <v>4056</v>
      </c>
      <c r="AW441" s="145">
        <v>-15</v>
      </c>
      <c r="AY441" s="5">
        <v>419</v>
      </c>
      <c r="AZ441" s="413" t="s">
        <v>718</v>
      </c>
      <c r="BA441" s="145"/>
      <c r="BB441" s="146"/>
      <c r="BC441" s="145"/>
      <c r="BD441" s="145"/>
      <c r="BF441" s="5">
        <v>419</v>
      </c>
      <c r="BG441" s="413" t="s">
        <v>718</v>
      </c>
      <c r="BH441" s="145"/>
      <c r="BI441" s="146"/>
      <c r="BJ441" s="145"/>
      <c r="BK441" s="145"/>
      <c r="BM441" s="5">
        <v>419</v>
      </c>
      <c r="BN441" s="413" t="s">
        <v>718</v>
      </c>
      <c r="BO441" s="145"/>
      <c r="BP441" s="146"/>
      <c r="BQ441" s="145"/>
      <c r="BR441" s="145"/>
      <c r="BS441" s="5"/>
      <c r="BT441" s="5">
        <v>419</v>
      </c>
      <c r="BU441" s="413" t="s">
        <v>718</v>
      </c>
      <c r="BV441" s="145"/>
      <c r="BW441" s="146"/>
      <c r="BX441" s="145"/>
      <c r="BY441" s="145"/>
      <c r="BZ441" s="5"/>
      <c r="CA441" s="5">
        <v>419</v>
      </c>
      <c r="CB441" s="413" t="s">
        <v>718</v>
      </c>
      <c r="CC441" s="145"/>
      <c r="CD441" s="146"/>
      <c r="CE441" s="145"/>
      <c r="CF441" s="145"/>
      <c r="CG441" s="5"/>
      <c r="CH441" s="5"/>
      <c r="CI441" s="5"/>
    </row>
    <row r="442" spans="13:87" x14ac:dyDescent="0.2">
      <c r="M442" s="5">
        <v>420</v>
      </c>
      <c r="N442" s="413" t="str">
        <f t="shared" si="36"/>
        <v xml:space="preserve"> </v>
      </c>
      <c r="O442" s="414">
        <f t="shared" si="37"/>
        <v>0</v>
      </c>
      <c r="P442" s="414">
        <f t="shared" si="38"/>
        <v>0</v>
      </c>
      <c r="Q442" s="145">
        <f t="shared" si="41"/>
        <v>-8</v>
      </c>
      <c r="R442" s="414">
        <f t="shared" si="39"/>
        <v>0</v>
      </c>
      <c r="S442" s="414">
        <f t="shared" si="40"/>
        <v>0</v>
      </c>
      <c r="T442" s="19"/>
      <c r="U442" s="5"/>
      <c r="V442" s="5"/>
      <c r="W442" s="5">
        <v>420</v>
      </c>
      <c r="X442" s="144" t="s">
        <v>718</v>
      </c>
      <c r="Y442" s="145"/>
      <c r="Z442" s="146"/>
      <c r="AA442" s="145"/>
      <c r="AB442" s="145"/>
      <c r="AD442" s="5">
        <v>420</v>
      </c>
      <c r="AE442" s="413" t="s">
        <v>718</v>
      </c>
      <c r="AF442" s="145"/>
      <c r="AG442" s="146"/>
      <c r="AH442" s="145"/>
      <c r="AI442" s="145"/>
      <c r="AK442" s="5">
        <v>420</v>
      </c>
      <c r="AL442" s="413" t="s">
        <v>718</v>
      </c>
      <c r="AM442" s="145"/>
      <c r="AN442" s="146"/>
      <c r="AO442" s="145"/>
      <c r="AP442" s="145"/>
      <c r="AR442" s="5">
        <v>420</v>
      </c>
      <c r="AS442" s="413" t="s">
        <v>2003</v>
      </c>
      <c r="AT442" s="145">
        <v>360</v>
      </c>
      <c r="AU442" s="146">
        <v>3.24</v>
      </c>
      <c r="AV442" s="145">
        <v>3837</v>
      </c>
      <c r="AW442" s="145">
        <v>-14</v>
      </c>
      <c r="AY442" s="5">
        <v>420</v>
      </c>
      <c r="AZ442" s="413" t="s">
        <v>718</v>
      </c>
      <c r="BA442" s="145"/>
      <c r="BB442" s="146"/>
      <c r="BC442" s="145"/>
      <c r="BD442" s="145"/>
      <c r="BF442" s="5">
        <v>420</v>
      </c>
      <c r="BG442" s="413" t="s">
        <v>718</v>
      </c>
      <c r="BH442" s="145"/>
      <c r="BI442" s="146"/>
      <c r="BJ442" s="145"/>
      <c r="BK442" s="145"/>
      <c r="BM442" s="5">
        <v>420</v>
      </c>
      <c r="BN442" s="413" t="s">
        <v>718</v>
      </c>
      <c r="BO442" s="145"/>
      <c r="BP442" s="146"/>
      <c r="BQ442" s="145"/>
      <c r="BR442" s="145"/>
      <c r="BS442" s="5"/>
      <c r="BT442" s="5">
        <v>420</v>
      </c>
      <c r="BU442" s="413" t="s">
        <v>718</v>
      </c>
      <c r="BV442" s="145"/>
      <c r="BW442" s="146"/>
      <c r="BX442" s="145"/>
      <c r="BY442" s="145"/>
      <c r="BZ442" s="5"/>
      <c r="CA442" s="5">
        <v>420</v>
      </c>
      <c r="CB442" s="413" t="s">
        <v>718</v>
      </c>
      <c r="CC442" s="145"/>
      <c r="CD442" s="146"/>
      <c r="CE442" s="145"/>
      <c r="CF442" s="145"/>
      <c r="CG442" s="5"/>
      <c r="CH442" s="5"/>
      <c r="CI442" s="5"/>
    </row>
    <row r="443" spans="13:87" x14ac:dyDescent="0.2">
      <c r="M443" s="5">
        <v>421</v>
      </c>
      <c r="N443" s="413" t="str">
        <f t="shared" si="36"/>
        <v xml:space="preserve"> </v>
      </c>
      <c r="O443" s="414">
        <f t="shared" si="37"/>
        <v>0</v>
      </c>
      <c r="P443" s="414">
        <f t="shared" si="38"/>
        <v>0</v>
      </c>
      <c r="Q443" s="145">
        <f t="shared" si="41"/>
        <v>-8</v>
      </c>
      <c r="R443" s="414">
        <f t="shared" si="39"/>
        <v>0</v>
      </c>
      <c r="S443" s="414">
        <f t="shared" si="40"/>
        <v>0</v>
      </c>
      <c r="T443" s="19"/>
      <c r="U443" s="5"/>
      <c r="V443" s="5"/>
      <c r="W443" s="5">
        <v>421</v>
      </c>
      <c r="X443" s="144" t="s">
        <v>718</v>
      </c>
      <c r="Y443" s="145"/>
      <c r="Z443" s="146"/>
      <c r="AA443" s="145"/>
      <c r="AB443" s="145"/>
      <c r="AD443" s="5">
        <v>421</v>
      </c>
      <c r="AE443" s="413" t="s">
        <v>718</v>
      </c>
      <c r="AF443" s="145"/>
      <c r="AG443" s="146"/>
      <c r="AH443" s="145"/>
      <c r="AI443" s="145"/>
      <c r="AK443" s="5">
        <v>421</v>
      </c>
      <c r="AL443" s="413" t="s">
        <v>718</v>
      </c>
      <c r="AM443" s="145"/>
      <c r="AN443" s="146"/>
      <c r="AO443" s="145"/>
      <c r="AP443" s="145"/>
      <c r="AR443" s="5">
        <v>421</v>
      </c>
      <c r="AS443" s="413" t="s">
        <v>2004</v>
      </c>
      <c r="AT443" s="145">
        <v>163</v>
      </c>
      <c r="AU443" s="146">
        <v>3.57</v>
      </c>
      <c r="AV443" s="145">
        <v>3352</v>
      </c>
      <c r="AW443" s="145">
        <v>-13</v>
      </c>
      <c r="AY443" s="5">
        <v>421</v>
      </c>
      <c r="AZ443" s="413" t="s">
        <v>718</v>
      </c>
      <c r="BA443" s="145"/>
      <c r="BB443" s="146"/>
      <c r="BC443" s="145"/>
      <c r="BD443" s="145"/>
      <c r="BF443" s="5">
        <v>421</v>
      </c>
      <c r="BG443" s="413" t="s">
        <v>718</v>
      </c>
      <c r="BH443" s="145"/>
      <c r="BI443" s="146"/>
      <c r="BJ443" s="145"/>
      <c r="BK443" s="145"/>
      <c r="BM443" s="5">
        <v>421</v>
      </c>
      <c r="BN443" s="413" t="s">
        <v>718</v>
      </c>
      <c r="BO443" s="145"/>
      <c r="BP443" s="146"/>
      <c r="BQ443" s="145"/>
      <c r="BR443" s="145"/>
      <c r="BS443" s="5"/>
      <c r="BT443" s="5">
        <v>421</v>
      </c>
      <c r="BU443" s="413" t="s">
        <v>718</v>
      </c>
      <c r="BV443" s="145"/>
      <c r="BW443" s="146"/>
      <c r="BX443" s="145"/>
      <c r="BY443" s="145"/>
      <c r="BZ443" s="5"/>
      <c r="CA443" s="5">
        <v>421</v>
      </c>
      <c r="CB443" s="413" t="s">
        <v>718</v>
      </c>
      <c r="CC443" s="145"/>
      <c r="CD443" s="146"/>
      <c r="CE443" s="145"/>
      <c r="CF443" s="145"/>
      <c r="CG443" s="5"/>
      <c r="CH443" s="5"/>
      <c r="CI443" s="5"/>
    </row>
    <row r="444" spans="13:87" x14ac:dyDescent="0.2">
      <c r="M444" s="5">
        <v>422</v>
      </c>
      <c r="N444" s="413" t="str">
        <f t="shared" si="36"/>
        <v xml:space="preserve"> </v>
      </c>
      <c r="O444" s="414">
        <f t="shared" si="37"/>
        <v>0</v>
      </c>
      <c r="P444" s="414">
        <f t="shared" si="38"/>
        <v>0</v>
      </c>
      <c r="Q444" s="145">
        <f t="shared" si="41"/>
        <v>-8</v>
      </c>
      <c r="R444" s="414">
        <f t="shared" si="39"/>
        <v>0</v>
      </c>
      <c r="S444" s="414">
        <f t="shared" si="40"/>
        <v>0</v>
      </c>
      <c r="T444" s="19"/>
      <c r="U444" s="5"/>
      <c r="V444" s="5"/>
      <c r="W444" s="5">
        <v>422</v>
      </c>
      <c r="X444" s="144" t="s">
        <v>718</v>
      </c>
      <c r="Y444" s="145"/>
      <c r="Z444" s="146"/>
      <c r="AA444" s="145"/>
      <c r="AB444" s="145"/>
      <c r="AD444" s="5">
        <v>422</v>
      </c>
      <c r="AE444" s="413" t="s">
        <v>718</v>
      </c>
      <c r="AF444" s="145"/>
      <c r="AG444" s="146"/>
      <c r="AH444" s="145"/>
      <c r="AI444" s="145"/>
      <c r="AK444" s="5">
        <v>422</v>
      </c>
      <c r="AL444" s="413" t="s">
        <v>718</v>
      </c>
      <c r="AM444" s="145"/>
      <c r="AN444" s="146"/>
      <c r="AO444" s="145"/>
      <c r="AP444" s="145"/>
      <c r="AR444" s="5">
        <v>422</v>
      </c>
      <c r="AS444" s="413" t="s">
        <v>2005</v>
      </c>
      <c r="AT444" s="145">
        <v>672</v>
      </c>
      <c r="AU444" s="146">
        <v>2.23</v>
      </c>
      <c r="AV444" s="145">
        <v>4692</v>
      </c>
      <c r="AW444" s="145">
        <v>-17</v>
      </c>
      <c r="AY444" s="5">
        <v>422</v>
      </c>
      <c r="AZ444" s="413" t="s">
        <v>718</v>
      </c>
      <c r="BA444" s="145"/>
      <c r="BB444" s="146"/>
      <c r="BC444" s="145"/>
      <c r="BD444" s="145"/>
      <c r="BF444" s="5">
        <v>422</v>
      </c>
      <c r="BG444" s="413" t="s">
        <v>718</v>
      </c>
      <c r="BH444" s="145"/>
      <c r="BI444" s="146"/>
      <c r="BJ444" s="145"/>
      <c r="BK444" s="145"/>
      <c r="BM444" s="5">
        <v>422</v>
      </c>
      <c r="BN444" s="413" t="s">
        <v>718</v>
      </c>
      <c r="BO444" s="145"/>
      <c r="BP444" s="146"/>
      <c r="BQ444" s="145"/>
      <c r="BR444" s="145"/>
      <c r="BS444" s="5"/>
      <c r="BT444" s="5">
        <v>422</v>
      </c>
      <c r="BU444" s="413" t="s">
        <v>718</v>
      </c>
      <c r="BV444" s="145"/>
      <c r="BW444" s="146"/>
      <c r="BX444" s="145"/>
      <c r="BY444" s="145"/>
      <c r="BZ444" s="5"/>
      <c r="CA444" s="5">
        <v>422</v>
      </c>
      <c r="CB444" s="413" t="s">
        <v>718</v>
      </c>
      <c r="CC444" s="145"/>
      <c r="CD444" s="146"/>
      <c r="CE444" s="145"/>
      <c r="CF444" s="145"/>
      <c r="CG444" s="5"/>
      <c r="CH444" s="5"/>
      <c r="CI444" s="5"/>
    </row>
    <row r="445" spans="13:87" x14ac:dyDescent="0.2">
      <c r="M445" s="5">
        <v>423</v>
      </c>
      <c r="N445" s="413" t="str">
        <f t="shared" si="36"/>
        <v xml:space="preserve"> </v>
      </c>
      <c r="O445" s="414">
        <f t="shared" si="37"/>
        <v>0</v>
      </c>
      <c r="P445" s="414">
        <f t="shared" si="38"/>
        <v>0</v>
      </c>
      <c r="Q445" s="145">
        <f t="shared" si="41"/>
        <v>-8</v>
      </c>
      <c r="R445" s="414">
        <f t="shared" si="39"/>
        <v>0</v>
      </c>
      <c r="S445" s="414">
        <f t="shared" si="40"/>
        <v>0</v>
      </c>
      <c r="T445" s="19"/>
      <c r="U445" s="5"/>
      <c r="V445" s="5"/>
      <c r="W445" s="5">
        <v>423</v>
      </c>
      <c r="X445" s="144" t="s">
        <v>718</v>
      </c>
      <c r="Y445" s="145"/>
      <c r="Z445" s="146"/>
      <c r="AA445" s="145"/>
      <c r="AB445" s="145"/>
      <c r="AD445" s="5">
        <v>423</v>
      </c>
      <c r="AE445" s="413" t="s">
        <v>718</v>
      </c>
      <c r="AF445" s="145"/>
      <c r="AG445" s="146"/>
      <c r="AH445" s="145"/>
      <c r="AI445" s="145"/>
      <c r="AK445" s="5">
        <v>423</v>
      </c>
      <c r="AL445" s="413" t="s">
        <v>718</v>
      </c>
      <c r="AM445" s="145"/>
      <c r="AN445" s="146"/>
      <c r="AO445" s="145"/>
      <c r="AP445" s="145"/>
      <c r="AR445" s="5">
        <v>423</v>
      </c>
      <c r="AS445" s="413" t="s">
        <v>2006</v>
      </c>
      <c r="AT445" s="145">
        <v>570</v>
      </c>
      <c r="AU445" s="146">
        <v>2.42</v>
      </c>
      <c r="AV445" s="145">
        <v>4535</v>
      </c>
      <c r="AW445" s="145">
        <v>-17</v>
      </c>
      <c r="AY445" s="5">
        <v>423</v>
      </c>
      <c r="AZ445" s="413" t="s">
        <v>718</v>
      </c>
      <c r="BA445" s="145"/>
      <c r="BB445" s="146"/>
      <c r="BC445" s="145"/>
      <c r="BD445" s="145"/>
      <c r="BF445" s="5">
        <v>423</v>
      </c>
      <c r="BG445" s="413" t="s">
        <v>718</v>
      </c>
      <c r="BH445" s="145"/>
      <c r="BI445" s="146"/>
      <c r="BJ445" s="145"/>
      <c r="BK445" s="145"/>
      <c r="BM445" s="5">
        <v>423</v>
      </c>
      <c r="BN445" s="413" t="s">
        <v>718</v>
      </c>
      <c r="BO445" s="145"/>
      <c r="BP445" s="146"/>
      <c r="BQ445" s="145"/>
      <c r="BR445" s="145"/>
      <c r="BS445" s="5"/>
      <c r="BT445" s="5">
        <v>423</v>
      </c>
      <c r="BU445" s="413" t="s">
        <v>718</v>
      </c>
      <c r="BV445" s="145"/>
      <c r="BW445" s="146"/>
      <c r="BX445" s="145"/>
      <c r="BY445" s="145"/>
      <c r="BZ445" s="5"/>
      <c r="CA445" s="5">
        <v>423</v>
      </c>
      <c r="CB445" s="413" t="s">
        <v>718</v>
      </c>
      <c r="CC445" s="145"/>
      <c r="CD445" s="146"/>
      <c r="CE445" s="145"/>
      <c r="CF445" s="145"/>
      <c r="CG445" s="5"/>
      <c r="CH445" s="5"/>
      <c r="CI445" s="5"/>
    </row>
    <row r="446" spans="13:87" x14ac:dyDescent="0.2">
      <c r="M446" s="5">
        <v>424</v>
      </c>
      <c r="N446" s="413" t="str">
        <f t="shared" si="36"/>
        <v xml:space="preserve"> </v>
      </c>
      <c r="O446" s="414">
        <f t="shared" si="37"/>
        <v>0</v>
      </c>
      <c r="P446" s="414">
        <f t="shared" si="38"/>
        <v>0</v>
      </c>
      <c r="Q446" s="145">
        <f t="shared" si="41"/>
        <v>-8</v>
      </c>
      <c r="R446" s="414">
        <f t="shared" si="39"/>
        <v>0</v>
      </c>
      <c r="S446" s="414">
        <f t="shared" si="40"/>
        <v>0</v>
      </c>
      <c r="T446" s="19"/>
      <c r="U446" s="5"/>
      <c r="V446" s="5"/>
      <c r="W446" s="5">
        <v>424</v>
      </c>
      <c r="X446" s="144" t="s">
        <v>718</v>
      </c>
      <c r="Y446" s="145"/>
      <c r="Z446" s="146"/>
      <c r="AA446" s="145"/>
      <c r="AB446" s="145"/>
      <c r="AD446" s="5">
        <v>424</v>
      </c>
      <c r="AE446" s="413" t="s">
        <v>718</v>
      </c>
      <c r="AF446" s="145"/>
      <c r="AG446" s="146"/>
      <c r="AH446" s="145"/>
      <c r="AI446" s="145"/>
      <c r="AK446" s="5">
        <v>424</v>
      </c>
      <c r="AL446" s="413" t="s">
        <v>718</v>
      </c>
      <c r="AM446" s="145"/>
      <c r="AN446" s="146"/>
      <c r="AO446" s="145"/>
      <c r="AP446" s="145"/>
      <c r="AR446" s="5">
        <v>424</v>
      </c>
      <c r="AS446" s="413" t="s">
        <v>2007</v>
      </c>
      <c r="AT446" s="145">
        <v>270</v>
      </c>
      <c r="AU446" s="146">
        <v>3.13</v>
      </c>
      <c r="AV446" s="145">
        <v>3729</v>
      </c>
      <c r="AW446" s="145">
        <v>-14</v>
      </c>
      <c r="AY446" s="5">
        <v>424</v>
      </c>
      <c r="AZ446" s="413" t="s">
        <v>718</v>
      </c>
      <c r="BA446" s="145"/>
      <c r="BB446" s="146"/>
      <c r="BC446" s="145"/>
      <c r="BD446" s="145"/>
      <c r="BF446" s="5">
        <v>424</v>
      </c>
      <c r="BG446" s="413" t="s">
        <v>718</v>
      </c>
      <c r="BH446" s="145"/>
      <c r="BI446" s="146"/>
      <c r="BJ446" s="145"/>
      <c r="BK446" s="145"/>
      <c r="BM446" s="5">
        <v>424</v>
      </c>
      <c r="BN446" s="413" t="s">
        <v>718</v>
      </c>
      <c r="BO446" s="145"/>
      <c r="BP446" s="146"/>
      <c r="BQ446" s="145"/>
      <c r="BR446" s="145"/>
      <c r="BS446" s="5"/>
      <c r="BT446" s="5">
        <v>424</v>
      </c>
      <c r="BU446" s="413" t="s">
        <v>718</v>
      </c>
      <c r="BV446" s="145"/>
      <c r="BW446" s="146"/>
      <c r="BX446" s="145"/>
      <c r="BY446" s="145"/>
      <c r="BZ446" s="5"/>
      <c r="CA446" s="5">
        <v>424</v>
      </c>
      <c r="CB446" s="413" t="s">
        <v>718</v>
      </c>
      <c r="CC446" s="145"/>
      <c r="CD446" s="146"/>
      <c r="CE446" s="145"/>
      <c r="CF446" s="145"/>
      <c r="CG446" s="5"/>
      <c r="CH446" s="5"/>
      <c r="CI446" s="5"/>
    </row>
    <row r="447" spans="13:87" x14ac:dyDescent="0.2">
      <c r="M447" s="5">
        <v>425</v>
      </c>
      <c r="N447" s="413" t="str">
        <f t="shared" si="36"/>
        <v xml:space="preserve"> </v>
      </c>
      <c r="O447" s="414">
        <f t="shared" si="37"/>
        <v>0</v>
      </c>
      <c r="P447" s="414">
        <f t="shared" si="38"/>
        <v>0</v>
      </c>
      <c r="Q447" s="145">
        <f t="shared" si="41"/>
        <v>-8</v>
      </c>
      <c r="R447" s="414">
        <f t="shared" si="39"/>
        <v>0</v>
      </c>
      <c r="S447" s="414">
        <f t="shared" si="40"/>
        <v>0</v>
      </c>
      <c r="T447" s="19"/>
      <c r="U447" s="5"/>
      <c r="V447" s="5"/>
      <c r="W447" s="5">
        <v>425</v>
      </c>
      <c r="X447" s="144" t="s">
        <v>718</v>
      </c>
      <c r="Y447" s="145"/>
      <c r="Z447" s="146"/>
      <c r="AA447" s="145"/>
      <c r="AB447" s="145"/>
      <c r="AD447" s="5">
        <v>425</v>
      </c>
      <c r="AE447" s="413" t="s">
        <v>718</v>
      </c>
      <c r="AF447" s="145"/>
      <c r="AG447" s="146"/>
      <c r="AH447" s="145"/>
      <c r="AI447" s="145"/>
      <c r="AK447" s="5">
        <v>425</v>
      </c>
      <c r="AL447" s="413" t="s">
        <v>718</v>
      </c>
      <c r="AM447" s="145"/>
      <c r="AN447" s="146"/>
      <c r="AO447" s="145"/>
      <c r="AP447" s="145"/>
      <c r="AR447" s="5">
        <v>425</v>
      </c>
      <c r="AS447" s="413" t="s">
        <v>2008</v>
      </c>
      <c r="AT447" s="145">
        <v>505</v>
      </c>
      <c r="AU447" s="146">
        <v>2.67</v>
      </c>
      <c r="AV447" s="145">
        <v>4210</v>
      </c>
      <c r="AW447" s="145">
        <v>-15</v>
      </c>
      <c r="AY447" s="5">
        <v>425</v>
      </c>
      <c r="AZ447" s="413" t="s">
        <v>718</v>
      </c>
      <c r="BA447" s="145"/>
      <c r="BB447" s="146"/>
      <c r="BC447" s="145"/>
      <c r="BD447" s="145"/>
      <c r="BF447" s="5">
        <v>425</v>
      </c>
      <c r="BG447" s="413" t="s">
        <v>718</v>
      </c>
      <c r="BH447" s="145"/>
      <c r="BI447" s="146"/>
      <c r="BJ447" s="145"/>
      <c r="BK447" s="145"/>
      <c r="BM447" s="5">
        <v>425</v>
      </c>
      <c r="BN447" s="413" t="s">
        <v>718</v>
      </c>
      <c r="BO447" s="145"/>
      <c r="BP447" s="146"/>
      <c r="BQ447" s="145"/>
      <c r="BR447" s="145"/>
      <c r="BS447" s="5"/>
      <c r="BT447" s="5">
        <v>425</v>
      </c>
      <c r="BU447" s="413" t="s">
        <v>718</v>
      </c>
      <c r="BV447" s="145"/>
      <c r="BW447" s="146"/>
      <c r="BX447" s="145"/>
      <c r="BY447" s="145"/>
      <c r="BZ447" s="5"/>
      <c r="CA447" s="5">
        <v>425</v>
      </c>
      <c r="CB447" s="413" t="s">
        <v>718</v>
      </c>
      <c r="CC447" s="145"/>
      <c r="CD447" s="146"/>
      <c r="CE447" s="145"/>
      <c r="CF447" s="145"/>
      <c r="CG447" s="5"/>
      <c r="CH447" s="5"/>
      <c r="CI447" s="5"/>
    </row>
    <row r="448" spans="13:87" x14ac:dyDescent="0.2">
      <c r="M448" s="5">
        <v>426</v>
      </c>
      <c r="N448" s="413" t="str">
        <f t="shared" si="36"/>
        <v xml:space="preserve"> </v>
      </c>
      <c r="O448" s="414">
        <f t="shared" si="37"/>
        <v>0</v>
      </c>
      <c r="P448" s="414">
        <f t="shared" si="38"/>
        <v>0</v>
      </c>
      <c r="Q448" s="145">
        <f t="shared" si="41"/>
        <v>-8</v>
      </c>
      <c r="R448" s="414">
        <f t="shared" si="39"/>
        <v>0</v>
      </c>
      <c r="S448" s="414">
        <f t="shared" si="40"/>
        <v>0</v>
      </c>
      <c r="T448" s="19"/>
      <c r="U448" s="5"/>
      <c r="V448" s="5"/>
      <c r="W448" s="5">
        <v>426</v>
      </c>
      <c r="X448" s="144" t="s">
        <v>718</v>
      </c>
      <c r="Y448" s="145"/>
      <c r="Z448" s="146"/>
      <c r="AA448" s="145"/>
      <c r="AB448" s="145"/>
      <c r="AD448" s="5">
        <v>426</v>
      </c>
      <c r="AE448" s="413" t="s">
        <v>718</v>
      </c>
      <c r="AF448" s="145"/>
      <c r="AG448" s="146"/>
      <c r="AH448" s="145"/>
      <c r="AI448" s="145"/>
      <c r="AK448" s="5">
        <v>426</v>
      </c>
      <c r="AL448" s="413" t="s">
        <v>718</v>
      </c>
      <c r="AM448" s="145"/>
      <c r="AN448" s="146"/>
      <c r="AO448" s="145"/>
      <c r="AP448" s="145"/>
      <c r="AR448" s="5">
        <v>426</v>
      </c>
      <c r="AS448" s="413" t="s">
        <v>2009</v>
      </c>
      <c r="AT448" s="145">
        <v>180</v>
      </c>
      <c r="AU448" s="146">
        <v>3.29</v>
      </c>
      <c r="AV448" s="145">
        <v>3493</v>
      </c>
      <c r="AW448" s="145">
        <v>-14</v>
      </c>
      <c r="AY448" s="5">
        <v>426</v>
      </c>
      <c r="AZ448" s="413" t="s">
        <v>718</v>
      </c>
      <c r="BA448" s="145"/>
      <c r="BB448" s="146"/>
      <c r="BC448" s="145"/>
      <c r="BD448" s="145"/>
      <c r="BF448" s="5">
        <v>426</v>
      </c>
      <c r="BG448" s="413" t="s">
        <v>718</v>
      </c>
      <c r="BH448" s="145"/>
      <c r="BI448" s="146"/>
      <c r="BJ448" s="145"/>
      <c r="BK448" s="145"/>
      <c r="BM448" s="5">
        <v>426</v>
      </c>
      <c r="BN448" s="413" t="s">
        <v>718</v>
      </c>
      <c r="BO448" s="145"/>
      <c r="BP448" s="146"/>
      <c r="BQ448" s="145"/>
      <c r="BR448" s="145"/>
      <c r="BS448" s="5"/>
      <c r="BT448" s="5">
        <v>426</v>
      </c>
      <c r="BU448" s="413" t="s">
        <v>718</v>
      </c>
      <c r="BV448" s="145"/>
      <c r="BW448" s="146"/>
      <c r="BX448" s="145"/>
      <c r="BY448" s="145"/>
      <c r="BZ448" s="5"/>
      <c r="CA448" s="5">
        <v>426</v>
      </c>
      <c r="CB448" s="413" t="s">
        <v>718</v>
      </c>
      <c r="CC448" s="145"/>
      <c r="CD448" s="146"/>
      <c r="CE448" s="145"/>
      <c r="CF448" s="145"/>
      <c r="CG448" s="5"/>
      <c r="CH448" s="5"/>
      <c r="CI448" s="5"/>
    </row>
    <row r="449" spans="13:87" x14ac:dyDescent="0.2">
      <c r="M449" s="5">
        <v>427</v>
      </c>
      <c r="N449" s="413" t="str">
        <f t="shared" si="36"/>
        <v xml:space="preserve"> </v>
      </c>
      <c r="O449" s="414">
        <f t="shared" si="37"/>
        <v>0</v>
      </c>
      <c r="P449" s="414">
        <f t="shared" si="38"/>
        <v>0</v>
      </c>
      <c r="Q449" s="145">
        <f t="shared" si="41"/>
        <v>-8</v>
      </c>
      <c r="R449" s="414">
        <f t="shared" si="39"/>
        <v>0</v>
      </c>
      <c r="S449" s="414">
        <f t="shared" si="40"/>
        <v>0</v>
      </c>
      <c r="T449" s="19"/>
      <c r="U449" s="5"/>
      <c r="V449" s="5"/>
      <c r="W449" s="5">
        <v>427</v>
      </c>
      <c r="X449" s="144" t="s">
        <v>718</v>
      </c>
      <c r="Y449" s="145"/>
      <c r="Z449" s="146"/>
      <c r="AA449" s="145"/>
      <c r="AB449" s="145"/>
      <c r="AD449" s="5">
        <v>427</v>
      </c>
      <c r="AE449" s="413" t="s">
        <v>718</v>
      </c>
      <c r="AF449" s="145"/>
      <c r="AG449" s="146"/>
      <c r="AH449" s="145"/>
      <c r="AI449" s="145"/>
      <c r="AK449" s="5">
        <v>427</v>
      </c>
      <c r="AL449" s="413" t="s">
        <v>718</v>
      </c>
      <c r="AM449" s="145"/>
      <c r="AN449" s="146"/>
      <c r="AO449" s="145"/>
      <c r="AP449" s="145"/>
      <c r="AR449" s="5">
        <v>427</v>
      </c>
      <c r="AS449" s="413" t="s">
        <v>675</v>
      </c>
      <c r="AT449" s="145">
        <v>485</v>
      </c>
      <c r="AU449" s="146">
        <v>3.44</v>
      </c>
      <c r="AV449" s="145">
        <v>3858</v>
      </c>
      <c r="AW449" s="145">
        <v>-14</v>
      </c>
      <c r="AY449" s="5">
        <v>427</v>
      </c>
      <c r="AZ449" s="413" t="s">
        <v>718</v>
      </c>
      <c r="BA449" s="145"/>
      <c r="BB449" s="146"/>
      <c r="BC449" s="145"/>
      <c r="BD449" s="145"/>
      <c r="BF449" s="5">
        <v>427</v>
      </c>
      <c r="BG449" s="413" t="s">
        <v>718</v>
      </c>
      <c r="BH449" s="145"/>
      <c r="BI449" s="146"/>
      <c r="BJ449" s="145"/>
      <c r="BK449" s="145"/>
      <c r="BM449" s="5">
        <v>427</v>
      </c>
      <c r="BN449" s="413" t="s">
        <v>718</v>
      </c>
      <c r="BO449" s="145"/>
      <c r="BP449" s="146"/>
      <c r="BQ449" s="145"/>
      <c r="BR449" s="145"/>
      <c r="BS449" s="5"/>
      <c r="BT449" s="5">
        <v>427</v>
      </c>
      <c r="BU449" s="413" t="s">
        <v>718</v>
      </c>
      <c r="BV449" s="145"/>
      <c r="BW449" s="146"/>
      <c r="BX449" s="145"/>
      <c r="BY449" s="145"/>
      <c r="BZ449" s="5"/>
      <c r="CA449" s="5">
        <v>427</v>
      </c>
      <c r="CB449" s="413" t="s">
        <v>718</v>
      </c>
      <c r="CC449" s="145"/>
      <c r="CD449" s="146"/>
      <c r="CE449" s="145"/>
      <c r="CF449" s="145"/>
      <c r="CG449" s="5"/>
      <c r="CH449" s="5"/>
      <c r="CI449" s="5"/>
    </row>
    <row r="450" spans="13:87" x14ac:dyDescent="0.2">
      <c r="M450" s="5">
        <v>428</v>
      </c>
      <c r="N450" s="413" t="str">
        <f t="shared" si="36"/>
        <v xml:space="preserve"> </v>
      </c>
      <c r="O450" s="414">
        <f t="shared" si="37"/>
        <v>0</v>
      </c>
      <c r="P450" s="414">
        <f t="shared" si="38"/>
        <v>0</v>
      </c>
      <c r="Q450" s="145">
        <f t="shared" si="41"/>
        <v>-8</v>
      </c>
      <c r="R450" s="414">
        <f t="shared" si="39"/>
        <v>0</v>
      </c>
      <c r="S450" s="414">
        <f t="shared" si="40"/>
        <v>0</v>
      </c>
      <c r="T450" s="19"/>
      <c r="U450" s="5"/>
      <c r="V450" s="5"/>
      <c r="W450" s="5">
        <v>428</v>
      </c>
      <c r="X450" s="144" t="s">
        <v>718</v>
      </c>
      <c r="Y450" s="145"/>
      <c r="Z450" s="146"/>
      <c r="AA450" s="145"/>
      <c r="AB450" s="145"/>
      <c r="AD450" s="5">
        <v>428</v>
      </c>
      <c r="AE450" s="413" t="s">
        <v>718</v>
      </c>
      <c r="AF450" s="145"/>
      <c r="AG450" s="146"/>
      <c r="AH450" s="145"/>
      <c r="AI450" s="145"/>
      <c r="AK450" s="5">
        <v>428</v>
      </c>
      <c r="AL450" s="413" t="s">
        <v>718</v>
      </c>
      <c r="AM450" s="145"/>
      <c r="AN450" s="146"/>
      <c r="AO450" s="145"/>
      <c r="AP450" s="145"/>
      <c r="AR450" s="5">
        <v>428</v>
      </c>
      <c r="AS450" s="413" t="s">
        <v>676</v>
      </c>
      <c r="AT450" s="145">
        <v>205</v>
      </c>
      <c r="AU450" s="146">
        <v>3.33</v>
      </c>
      <c r="AV450" s="145">
        <v>3568</v>
      </c>
      <c r="AW450" s="145">
        <v>-13</v>
      </c>
      <c r="AY450" s="5">
        <v>428</v>
      </c>
      <c r="AZ450" s="413" t="s">
        <v>718</v>
      </c>
      <c r="BA450" s="145"/>
      <c r="BB450" s="146"/>
      <c r="BC450" s="145"/>
      <c r="BD450" s="145"/>
      <c r="BF450" s="5">
        <v>428</v>
      </c>
      <c r="BG450" s="413" t="s">
        <v>718</v>
      </c>
      <c r="BH450" s="145"/>
      <c r="BI450" s="146"/>
      <c r="BJ450" s="145"/>
      <c r="BK450" s="145"/>
      <c r="BM450" s="5">
        <v>428</v>
      </c>
      <c r="BN450" s="413" t="s">
        <v>718</v>
      </c>
      <c r="BO450" s="145"/>
      <c r="BP450" s="146"/>
      <c r="BQ450" s="145"/>
      <c r="BR450" s="145"/>
      <c r="BS450" s="5"/>
      <c r="BT450" s="5">
        <v>428</v>
      </c>
      <c r="BU450" s="413" t="s">
        <v>718</v>
      </c>
      <c r="BV450" s="145"/>
      <c r="BW450" s="146"/>
      <c r="BX450" s="145"/>
      <c r="BY450" s="145"/>
      <c r="BZ450" s="5"/>
      <c r="CA450" s="5">
        <v>428</v>
      </c>
      <c r="CB450" s="413" t="s">
        <v>718</v>
      </c>
      <c r="CC450" s="145"/>
      <c r="CD450" s="146"/>
      <c r="CE450" s="145"/>
      <c r="CF450" s="145"/>
      <c r="CG450" s="5"/>
      <c r="CH450" s="5"/>
      <c r="CI450" s="5"/>
    </row>
    <row r="451" spans="13:87" x14ac:dyDescent="0.2">
      <c r="M451" s="5">
        <v>429</v>
      </c>
      <c r="N451" s="413" t="str">
        <f t="shared" si="36"/>
        <v xml:space="preserve"> </v>
      </c>
      <c r="O451" s="414">
        <f t="shared" si="37"/>
        <v>0</v>
      </c>
      <c r="P451" s="414">
        <f t="shared" si="38"/>
        <v>0</v>
      </c>
      <c r="Q451" s="145">
        <f t="shared" si="41"/>
        <v>-8</v>
      </c>
      <c r="R451" s="414">
        <f t="shared" si="39"/>
        <v>0</v>
      </c>
      <c r="S451" s="414">
        <f t="shared" si="40"/>
        <v>0</v>
      </c>
      <c r="T451" s="19"/>
      <c r="U451" s="5"/>
      <c r="V451" s="5"/>
      <c r="W451" s="5">
        <v>429</v>
      </c>
      <c r="X451" s="144" t="s">
        <v>718</v>
      </c>
      <c r="Y451" s="145"/>
      <c r="Z451" s="146"/>
      <c r="AA451" s="145"/>
      <c r="AB451" s="145"/>
      <c r="AD451" s="5">
        <v>429</v>
      </c>
      <c r="AE451" s="413" t="s">
        <v>718</v>
      </c>
      <c r="AF451" s="145"/>
      <c r="AG451" s="146"/>
      <c r="AH451" s="145"/>
      <c r="AI451" s="145"/>
      <c r="AK451" s="5">
        <v>429</v>
      </c>
      <c r="AL451" s="413" t="s">
        <v>718</v>
      </c>
      <c r="AM451" s="145"/>
      <c r="AN451" s="146"/>
      <c r="AO451" s="145"/>
      <c r="AP451" s="145"/>
      <c r="AR451" s="5">
        <v>429</v>
      </c>
      <c r="AS451" s="413" t="s">
        <v>677</v>
      </c>
      <c r="AT451" s="145">
        <v>595</v>
      </c>
      <c r="AU451" s="146">
        <v>2.4</v>
      </c>
      <c r="AV451" s="145">
        <v>4523</v>
      </c>
      <c r="AW451" s="145">
        <v>-17</v>
      </c>
      <c r="AY451" s="5">
        <v>429</v>
      </c>
      <c r="AZ451" s="413" t="s">
        <v>718</v>
      </c>
      <c r="BA451" s="145"/>
      <c r="BB451" s="146"/>
      <c r="BC451" s="145"/>
      <c r="BD451" s="145"/>
      <c r="BF451" s="5">
        <v>429</v>
      </c>
      <c r="BG451" s="413" t="s">
        <v>718</v>
      </c>
      <c r="BH451" s="145"/>
      <c r="BI451" s="146"/>
      <c r="BJ451" s="145"/>
      <c r="BK451" s="145"/>
      <c r="BM451" s="5">
        <v>429</v>
      </c>
      <c r="BN451" s="413" t="s">
        <v>718</v>
      </c>
      <c r="BO451" s="145"/>
      <c r="BP451" s="146"/>
      <c r="BQ451" s="145"/>
      <c r="BR451" s="145"/>
      <c r="BS451" s="5"/>
      <c r="BT451" s="5">
        <v>429</v>
      </c>
      <c r="BU451" s="413" t="s">
        <v>718</v>
      </c>
      <c r="BV451" s="145"/>
      <c r="BW451" s="146"/>
      <c r="BX451" s="145"/>
      <c r="BY451" s="145"/>
      <c r="BZ451" s="5"/>
      <c r="CA451" s="5">
        <v>429</v>
      </c>
      <c r="CB451" s="413" t="s">
        <v>718</v>
      </c>
      <c r="CC451" s="145"/>
      <c r="CD451" s="146"/>
      <c r="CE451" s="145"/>
      <c r="CF451" s="145"/>
      <c r="CG451" s="5"/>
      <c r="CH451" s="5"/>
      <c r="CI451" s="5"/>
    </row>
    <row r="452" spans="13:87" x14ac:dyDescent="0.2">
      <c r="M452" s="5">
        <v>430</v>
      </c>
      <c r="N452" s="413" t="str">
        <f t="shared" si="36"/>
        <v xml:space="preserve"> </v>
      </c>
      <c r="O452" s="414">
        <f t="shared" si="37"/>
        <v>0</v>
      </c>
      <c r="P452" s="414">
        <f t="shared" si="38"/>
        <v>0</v>
      </c>
      <c r="Q452" s="145">
        <f t="shared" si="41"/>
        <v>-8</v>
      </c>
      <c r="R452" s="414">
        <f t="shared" si="39"/>
        <v>0</v>
      </c>
      <c r="S452" s="414">
        <f t="shared" si="40"/>
        <v>0</v>
      </c>
      <c r="T452" s="19"/>
      <c r="U452" s="5"/>
      <c r="V452" s="5"/>
      <c r="W452" s="5">
        <v>430</v>
      </c>
      <c r="X452" s="144" t="s">
        <v>718</v>
      </c>
      <c r="Y452" s="145"/>
      <c r="Z452" s="146"/>
      <c r="AA452" s="145"/>
      <c r="AB452" s="145"/>
      <c r="AD452" s="5">
        <v>430</v>
      </c>
      <c r="AE452" s="413" t="s">
        <v>718</v>
      </c>
      <c r="AF452" s="145"/>
      <c r="AG452" s="146"/>
      <c r="AH452" s="145"/>
      <c r="AI452" s="145"/>
      <c r="AK452" s="5">
        <v>430</v>
      </c>
      <c r="AL452" s="413" t="s">
        <v>718</v>
      </c>
      <c r="AM452" s="145"/>
      <c r="AN452" s="146"/>
      <c r="AO452" s="145"/>
      <c r="AP452" s="145"/>
      <c r="AR452" s="5">
        <v>430</v>
      </c>
      <c r="AS452" s="413" t="s">
        <v>678</v>
      </c>
      <c r="AT452" s="145">
        <v>193</v>
      </c>
      <c r="AU452" s="146">
        <v>3.16</v>
      </c>
      <c r="AV452" s="145">
        <v>3654</v>
      </c>
      <c r="AW452" s="145">
        <v>-14</v>
      </c>
      <c r="AY452" s="5">
        <v>430</v>
      </c>
      <c r="AZ452" s="413" t="s">
        <v>718</v>
      </c>
      <c r="BA452" s="145"/>
      <c r="BB452" s="146"/>
      <c r="BC452" s="145"/>
      <c r="BD452" s="145"/>
      <c r="BF452" s="5">
        <v>430</v>
      </c>
      <c r="BG452" s="413" t="s">
        <v>718</v>
      </c>
      <c r="BH452" s="145"/>
      <c r="BI452" s="146"/>
      <c r="BJ452" s="145"/>
      <c r="BK452" s="145"/>
      <c r="BM452" s="5">
        <v>430</v>
      </c>
      <c r="BN452" s="413" t="s">
        <v>718</v>
      </c>
      <c r="BO452" s="145"/>
      <c r="BP452" s="146"/>
      <c r="BQ452" s="145"/>
      <c r="BR452" s="145"/>
      <c r="BS452" s="5"/>
      <c r="BT452" s="5">
        <v>430</v>
      </c>
      <c r="BU452" s="413" t="s">
        <v>718</v>
      </c>
      <c r="BV452" s="145"/>
      <c r="BW452" s="146"/>
      <c r="BX452" s="145"/>
      <c r="BY452" s="145"/>
      <c r="BZ452" s="5"/>
      <c r="CA452" s="5">
        <v>430</v>
      </c>
      <c r="CB452" s="413" t="s">
        <v>718</v>
      </c>
      <c r="CC452" s="145"/>
      <c r="CD452" s="146"/>
      <c r="CE452" s="145"/>
      <c r="CF452" s="145"/>
      <c r="CG452" s="5"/>
      <c r="CH452" s="5"/>
      <c r="CI452" s="5"/>
    </row>
    <row r="453" spans="13:87" x14ac:dyDescent="0.2">
      <c r="M453" s="5">
        <v>431</v>
      </c>
      <c r="N453" s="413" t="str">
        <f t="shared" si="36"/>
        <v xml:space="preserve"> </v>
      </c>
      <c r="O453" s="414">
        <f t="shared" si="37"/>
        <v>0</v>
      </c>
      <c r="P453" s="414">
        <f t="shared" si="38"/>
        <v>0</v>
      </c>
      <c r="Q453" s="145">
        <f t="shared" si="41"/>
        <v>-8</v>
      </c>
      <c r="R453" s="414">
        <f t="shared" si="39"/>
        <v>0</v>
      </c>
      <c r="S453" s="414">
        <f t="shared" si="40"/>
        <v>0</v>
      </c>
      <c r="T453" s="19"/>
      <c r="U453" s="5"/>
      <c r="V453" s="5"/>
      <c r="W453" s="5">
        <v>431</v>
      </c>
      <c r="X453" s="144" t="s">
        <v>718</v>
      </c>
      <c r="Y453" s="145"/>
      <c r="Z453" s="146"/>
      <c r="AA453" s="145"/>
      <c r="AB453" s="145"/>
      <c r="AD453" s="5">
        <v>431</v>
      </c>
      <c r="AE453" s="413" t="s">
        <v>718</v>
      </c>
      <c r="AF453" s="145"/>
      <c r="AG453" s="146"/>
      <c r="AH453" s="145"/>
      <c r="AI453" s="145"/>
      <c r="AK453" s="5">
        <v>431</v>
      </c>
      <c r="AL453" s="413" t="s">
        <v>718</v>
      </c>
      <c r="AM453" s="145"/>
      <c r="AN453" s="146"/>
      <c r="AO453" s="145"/>
      <c r="AP453" s="145"/>
      <c r="AR453" s="5">
        <v>431</v>
      </c>
      <c r="AS453" s="413" t="s">
        <v>679</v>
      </c>
      <c r="AT453" s="145">
        <v>380</v>
      </c>
      <c r="AU453" s="146">
        <v>3.11</v>
      </c>
      <c r="AV453" s="145">
        <v>3867</v>
      </c>
      <c r="AW453" s="145">
        <v>-14</v>
      </c>
      <c r="AY453" s="5">
        <v>431</v>
      </c>
      <c r="AZ453" s="413" t="s">
        <v>718</v>
      </c>
      <c r="BA453" s="145"/>
      <c r="BB453" s="146"/>
      <c r="BC453" s="145"/>
      <c r="BD453" s="145"/>
      <c r="BF453" s="5">
        <v>431</v>
      </c>
      <c r="BG453" s="413" t="s">
        <v>718</v>
      </c>
      <c r="BH453" s="145"/>
      <c r="BI453" s="146"/>
      <c r="BJ453" s="145"/>
      <c r="BK453" s="145"/>
      <c r="BM453" s="5">
        <v>431</v>
      </c>
      <c r="BN453" s="413" t="s">
        <v>718</v>
      </c>
      <c r="BO453" s="145"/>
      <c r="BP453" s="146"/>
      <c r="BQ453" s="145"/>
      <c r="BR453" s="145"/>
      <c r="BS453" s="5"/>
      <c r="BT453" s="5">
        <v>431</v>
      </c>
      <c r="BU453" s="413" t="s">
        <v>718</v>
      </c>
      <c r="BV453" s="145"/>
      <c r="BW453" s="146"/>
      <c r="BX453" s="145"/>
      <c r="BY453" s="145"/>
      <c r="BZ453" s="5"/>
      <c r="CA453" s="5">
        <v>431</v>
      </c>
      <c r="CB453" s="413" t="s">
        <v>718</v>
      </c>
      <c r="CC453" s="145"/>
      <c r="CD453" s="146"/>
      <c r="CE453" s="145"/>
      <c r="CF453" s="145"/>
      <c r="CG453" s="5"/>
      <c r="CH453" s="5"/>
      <c r="CI453" s="5"/>
    </row>
    <row r="454" spans="13:87" x14ac:dyDescent="0.2">
      <c r="M454" s="5">
        <v>432</v>
      </c>
      <c r="N454" s="413" t="str">
        <f t="shared" si="36"/>
        <v xml:space="preserve"> </v>
      </c>
      <c r="O454" s="414">
        <f t="shared" si="37"/>
        <v>0</v>
      </c>
      <c r="P454" s="414">
        <f t="shared" si="38"/>
        <v>0</v>
      </c>
      <c r="Q454" s="145">
        <f t="shared" si="41"/>
        <v>-8</v>
      </c>
      <c r="R454" s="414">
        <f t="shared" si="39"/>
        <v>0</v>
      </c>
      <c r="S454" s="414">
        <f t="shared" si="40"/>
        <v>0</v>
      </c>
      <c r="T454" s="19"/>
      <c r="U454" s="5"/>
      <c r="V454" s="5"/>
      <c r="W454" s="5">
        <v>432</v>
      </c>
      <c r="X454" s="144" t="s">
        <v>718</v>
      </c>
      <c r="Y454" s="145"/>
      <c r="Z454" s="146"/>
      <c r="AA454" s="145"/>
      <c r="AB454" s="145"/>
      <c r="AD454" s="5">
        <v>432</v>
      </c>
      <c r="AE454" s="413" t="s">
        <v>718</v>
      </c>
      <c r="AF454" s="145"/>
      <c r="AG454" s="146"/>
      <c r="AH454" s="145"/>
      <c r="AI454" s="145"/>
      <c r="AK454" s="5">
        <v>432</v>
      </c>
      <c r="AL454" s="413" t="s">
        <v>718</v>
      </c>
      <c r="AM454" s="145"/>
      <c r="AN454" s="146"/>
      <c r="AO454" s="145"/>
      <c r="AP454" s="145"/>
      <c r="AR454" s="5">
        <v>432</v>
      </c>
      <c r="AS454" s="413" t="s">
        <v>680</v>
      </c>
      <c r="AT454" s="145">
        <v>264</v>
      </c>
      <c r="AU454" s="146">
        <v>3.15</v>
      </c>
      <c r="AV454" s="145">
        <v>3691</v>
      </c>
      <c r="AW454" s="145">
        <v>-14</v>
      </c>
      <c r="AY454" s="5">
        <v>432</v>
      </c>
      <c r="AZ454" s="413" t="s">
        <v>718</v>
      </c>
      <c r="BA454" s="145"/>
      <c r="BB454" s="146"/>
      <c r="BC454" s="145"/>
      <c r="BD454" s="145"/>
      <c r="BF454" s="5">
        <v>432</v>
      </c>
      <c r="BG454" s="413" t="s">
        <v>718</v>
      </c>
      <c r="BH454" s="145"/>
      <c r="BI454" s="146"/>
      <c r="BJ454" s="145"/>
      <c r="BK454" s="145"/>
      <c r="BM454" s="5">
        <v>432</v>
      </c>
      <c r="BN454" s="413" t="s">
        <v>718</v>
      </c>
      <c r="BO454" s="145"/>
      <c r="BP454" s="146"/>
      <c r="BQ454" s="145"/>
      <c r="BR454" s="145"/>
      <c r="BS454" s="5"/>
      <c r="BT454" s="5">
        <v>432</v>
      </c>
      <c r="BU454" s="413" t="s">
        <v>718</v>
      </c>
      <c r="BV454" s="145"/>
      <c r="BW454" s="146"/>
      <c r="BX454" s="145"/>
      <c r="BY454" s="145"/>
      <c r="BZ454" s="5"/>
      <c r="CA454" s="5">
        <v>432</v>
      </c>
      <c r="CB454" s="413" t="s">
        <v>718</v>
      </c>
      <c r="CC454" s="145"/>
      <c r="CD454" s="146"/>
      <c r="CE454" s="145"/>
      <c r="CF454" s="145"/>
      <c r="CG454" s="5"/>
      <c r="CH454" s="5"/>
      <c r="CI454" s="5"/>
    </row>
    <row r="455" spans="13:87" x14ac:dyDescent="0.2">
      <c r="M455" s="5">
        <v>433</v>
      </c>
      <c r="N455" s="413" t="str">
        <f t="shared" si="36"/>
        <v xml:space="preserve"> </v>
      </c>
      <c r="O455" s="414">
        <f t="shared" si="37"/>
        <v>0</v>
      </c>
      <c r="P455" s="414">
        <f t="shared" si="38"/>
        <v>0</v>
      </c>
      <c r="Q455" s="145">
        <f t="shared" si="41"/>
        <v>-8</v>
      </c>
      <c r="R455" s="414">
        <f t="shared" si="39"/>
        <v>0</v>
      </c>
      <c r="S455" s="414">
        <f t="shared" si="40"/>
        <v>0</v>
      </c>
      <c r="T455" s="19"/>
      <c r="U455" s="5"/>
      <c r="V455" s="5"/>
      <c r="W455" s="5">
        <v>433</v>
      </c>
      <c r="X455" s="144" t="s">
        <v>718</v>
      </c>
      <c r="Y455" s="145"/>
      <c r="Z455" s="146"/>
      <c r="AA455" s="145"/>
      <c r="AB455" s="145"/>
      <c r="AD455" s="5">
        <v>433</v>
      </c>
      <c r="AE455" s="413" t="s">
        <v>718</v>
      </c>
      <c r="AF455" s="145"/>
      <c r="AG455" s="146"/>
      <c r="AH455" s="145"/>
      <c r="AI455" s="145"/>
      <c r="AK455" s="5">
        <v>433</v>
      </c>
      <c r="AL455" s="413" t="s">
        <v>718</v>
      </c>
      <c r="AM455" s="145"/>
      <c r="AN455" s="146"/>
      <c r="AO455" s="145"/>
      <c r="AP455" s="145"/>
      <c r="AR455" s="5">
        <v>433</v>
      </c>
      <c r="AS455" s="413" t="s">
        <v>681</v>
      </c>
      <c r="AT455" s="145">
        <v>238</v>
      </c>
      <c r="AU455" s="146">
        <v>3.27</v>
      </c>
      <c r="AV455" s="145">
        <v>3613</v>
      </c>
      <c r="AW455" s="145">
        <v>-14</v>
      </c>
      <c r="AY455" s="5">
        <v>433</v>
      </c>
      <c r="AZ455" s="413" t="s">
        <v>718</v>
      </c>
      <c r="BA455" s="145"/>
      <c r="BB455" s="146"/>
      <c r="BC455" s="145"/>
      <c r="BD455" s="145"/>
      <c r="BF455" s="5">
        <v>433</v>
      </c>
      <c r="BG455" s="413" t="s">
        <v>718</v>
      </c>
      <c r="BH455" s="145"/>
      <c r="BI455" s="146"/>
      <c r="BJ455" s="145"/>
      <c r="BK455" s="145"/>
      <c r="BM455" s="5">
        <v>433</v>
      </c>
      <c r="BN455" s="413" t="s">
        <v>718</v>
      </c>
      <c r="BO455" s="145"/>
      <c r="BP455" s="146"/>
      <c r="BQ455" s="145"/>
      <c r="BR455" s="145"/>
      <c r="BS455" s="5"/>
      <c r="BT455" s="5">
        <v>433</v>
      </c>
      <c r="BU455" s="413" t="s">
        <v>718</v>
      </c>
      <c r="BV455" s="145"/>
      <c r="BW455" s="146"/>
      <c r="BX455" s="145"/>
      <c r="BY455" s="145"/>
      <c r="BZ455" s="5"/>
      <c r="CA455" s="5">
        <v>433</v>
      </c>
      <c r="CB455" s="413" t="s">
        <v>718</v>
      </c>
      <c r="CC455" s="145"/>
      <c r="CD455" s="146"/>
      <c r="CE455" s="145"/>
      <c r="CF455" s="145"/>
      <c r="CG455" s="5"/>
      <c r="CH455" s="5"/>
      <c r="CI455" s="5"/>
    </row>
    <row r="456" spans="13:87" x14ac:dyDescent="0.2">
      <c r="M456" s="5">
        <v>434</v>
      </c>
      <c r="N456" s="413" t="str">
        <f t="shared" si="36"/>
        <v xml:space="preserve"> </v>
      </c>
      <c r="O456" s="414">
        <f t="shared" si="37"/>
        <v>0</v>
      </c>
      <c r="P456" s="414">
        <f t="shared" si="38"/>
        <v>0</v>
      </c>
      <c r="Q456" s="145">
        <f t="shared" si="41"/>
        <v>-8</v>
      </c>
      <c r="R456" s="414">
        <f t="shared" si="39"/>
        <v>0</v>
      </c>
      <c r="S456" s="414">
        <f t="shared" si="40"/>
        <v>0</v>
      </c>
      <c r="T456" s="19"/>
      <c r="U456" s="5"/>
      <c r="V456" s="5"/>
      <c r="W456" s="5">
        <v>434</v>
      </c>
      <c r="X456" s="144" t="s">
        <v>718</v>
      </c>
      <c r="Y456" s="145"/>
      <c r="Z456" s="146"/>
      <c r="AA456" s="145"/>
      <c r="AB456" s="145"/>
      <c r="AD456" s="5">
        <v>434</v>
      </c>
      <c r="AE456" s="413" t="s">
        <v>718</v>
      </c>
      <c r="AF456" s="145"/>
      <c r="AG456" s="146"/>
      <c r="AH456" s="145"/>
      <c r="AI456" s="145"/>
      <c r="AK456" s="5">
        <v>434</v>
      </c>
      <c r="AL456" s="413" t="s">
        <v>718</v>
      </c>
      <c r="AM456" s="145"/>
      <c r="AN456" s="146"/>
      <c r="AO456" s="145"/>
      <c r="AP456" s="145"/>
      <c r="AR456" s="5">
        <v>434</v>
      </c>
      <c r="AS456" s="413" t="s">
        <v>1775</v>
      </c>
      <c r="AT456" s="145">
        <v>449</v>
      </c>
      <c r="AU456" s="146">
        <v>2.52</v>
      </c>
      <c r="AV456" s="145">
        <v>4196</v>
      </c>
      <c r="AW456" s="145">
        <v>-16</v>
      </c>
      <c r="AY456" s="5">
        <v>434</v>
      </c>
      <c r="AZ456" s="413" t="s">
        <v>718</v>
      </c>
      <c r="BA456" s="145"/>
      <c r="BB456" s="146"/>
      <c r="BC456" s="145"/>
      <c r="BD456" s="145"/>
      <c r="BF456" s="5">
        <v>434</v>
      </c>
      <c r="BG456" s="413" t="s">
        <v>718</v>
      </c>
      <c r="BH456" s="145"/>
      <c r="BI456" s="146"/>
      <c r="BJ456" s="145"/>
      <c r="BK456" s="145"/>
      <c r="BM456" s="5">
        <v>434</v>
      </c>
      <c r="BN456" s="413" t="s">
        <v>718</v>
      </c>
      <c r="BO456" s="145"/>
      <c r="BP456" s="146"/>
      <c r="BQ456" s="145"/>
      <c r="BR456" s="145"/>
      <c r="BS456" s="5"/>
      <c r="BT456" s="5">
        <v>434</v>
      </c>
      <c r="BU456" s="413" t="s">
        <v>718</v>
      </c>
      <c r="BV456" s="145"/>
      <c r="BW456" s="146"/>
      <c r="BX456" s="145"/>
      <c r="BY456" s="145"/>
      <c r="BZ456" s="5"/>
      <c r="CA456" s="5">
        <v>434</v>
      </c>
      <c r="CB456" s="413" t="s">
        <v>718</v>
      </c>
      <c r="CC456" s="145"/>
      <c r="CD456" s="146"/>
      <c r="CE456" s="145"/>
      <c r="CF456" s="145"/>
      <c r="CG456" s="5"/>
      <c r="CH456" s="5"/>
      <c r="CI456" s="5"/>
    </row>
    <row r="457" spans="13:87" x14ac:dyDescent="0.2">
      <c r="M457" s="5">
        <v>435</v>
      </c>
      <c r="N457" s="413" t="str">
        <f t="shared" si="36"/>
        <v xml:space="preserve"> </v>
      </c>
      <c r="O457" s="414">
        <f t="shared" si="37"/>
        <v>0</v>
      </c>
      <c r="P457" s="414">
        <f t="shared" si="38"/>
        <v>0</v>
      </c>
      <c r="Q457" s="145">
        <f t="shared" si="41"/>
        <v>-8</v>
      </c>
      <c r="R457" s="414">
        <f t="shared" si="39"/>
        <v>0</v>
      </c>
      <c r="S457" s="414">
        <f t="shared" si="40"/>
        <v>0</v>
      </c>
      <c r="T457" s="19"/>
      <c r="U457" s="5"/>
      <c r="V457" s="5"/>
      <c r="W457" s="5">
        <v>435</v>
      </c>
      <c r="X457" s="144" t="s">
        <v>718</v>
      </c>
      <c r="Y457" s="145"/>
      <c r="Z457" s="146"/>
      <c r="AA457" s="145"/>
      <c r="AB457" s="145"/>
      <c r="AD457" s="5">
        <v>435</v>
      </c>
      <c r="AE457" s="413" t="s">
        <v>718</v>
      </c>
      <c r="AF457" s="145"/>
      <c r="AG457" s="146"/>
      <c r="AH457" s="145"/>
      <c r="AI457" s="145"/>
      <c r="AK457" s="5">
        <v>435</v>
      </c>
      <c r="AL457" s="413" t="s">
        <v>718</v>
      </c>
      <c r="AM457" s="145"/>
      <c r="AN457" s="146"/>
      <c r="AO457" s="145"/>
      <c r="AP457" s="145"/>
      <c r="AR457" s="5">
        <v>435</v>
      </c>
      <c r="AS457" s="413" t="s">
        <v>682</v>
      </c>
      <c r="AT457" s="145">
        <v>683</v>
      </c>
      <c r="AU457" s="146">
        <v>3.02</v>
      </c>
      <c r="AV457" s="145">
        <v>4501</v>
      </c>
      <c r="AW457" s="145">
        <v>-15</v>
      </c>
      <c r="AY457" s="5">
        <v>435</v>
      </c>
      <c r="AZ457" s="413" t="s">
        <v>718</v>
      </c>
      <c r="BA457" s="145"/>
      <c r="BB457" s="146"/>
      <c r="BC457" s="145"/>
      <c r="BD457" s="145"/>
      <c r="BF457" s="5">
        <v>435</v>
      </c>
      <c r="BG457" s="413" t="s">
        <v>718</v>
      </c>
      <c r="BH457" s="145"/>
      <c r="BI457" s="146"/>
      <c r="BJ457" s="145"/>
      <c r="BK457" s="145"/>
      <c r="BM457" s="5">
        <v>435</v>
      </c>
      <c r="BN457" s="413" t="s">
        <v>718</v>
      </c>
      <c r="BO457" s="145"/>
      <c r="BP457" s="146"/>
      <c r="BQ457" s="145"/>
      <c r="BR457" s="145"/>
      <c r="BS457" s="5"/>
      <c r="BT457" s="5">
        <v>435</v>
      </c>
      <c r="BU457" s="413" t="s">
        <v>718</v>
      </c>
      <c r="BV457" s="145"/>
      <c r="BW457" s="146"/>
      <c r="BX457" s="145"/>
      <c r="BY457" s="145"/>
      <c r="BZ457" s="5"/>
      <c r="CA457" s="5">
        <v>435</v>
      </c>
      <c r="CB457" s="413" t="s">
        <v>718</v>
      </c>
      <c r="CC457" s="145"/>
      <c r="CD457" s="146"/>
      <c r="CE457" s="145"/>
      <c r="CF457" s="145"/>
      <c r="CG457" s="5"/>
      <c r="CH457" s="5"/>
      <c r="CI457" s="5"/>
    </row>
    <row r="458" spans="13:87" x14ac:dyDescent="0.2">
      <c r="M458" s="5">
        <v>436</v>
      </c>
      <c r="N458" s="413" t="str">
        <f t="shared" si="36"/>
        <v xml:space="preserve"> </v>
      </c>
      <c r="O458" s="414">
        <f t="shared" si="37"/>
        <v>0</v>
      </c>
      <c r="P458" s="414">
        <f t="shared" si="38"/>
        <v>0</v>
      </c>
      <c r="Q458" s="145">
        <f t="shared" si="41"/>
        <v>-8</v>
      </c>
      <c r="R458" s="414">
        <f t="shared" si="39"/>
        <v>0</v>
      </c>
      <c r="S458" s="414">
        <f t="shared" si="40"/>
        <v>0</v>
      </c>
      <c r="T458" s="19"/>
      <c r="U458" s="5"/>
      <c r="V458" s="5"/>
      <c r="W458" s="5">
        <v>436</v>
      </c>
      <c r="X458" s="144" t="s">
        <v>718</v>
      </c>
      <c r="Y458" s="145"/>
      <c r="Z458" s="146"/>
      <c r="AA458" s="145"/>
      <c r="AB458" s="145"/>
      <c r="AD458" s="5">
        <v>436</v>
      </c>
      <c r="AE458" s="413" t="s">
        <v>718</v>
      </c>
      <c r="AF458" s="145"/>
      <c r="AG458" s="146"/>
      <c r="AH458" s="145"/>
      <c r="AI458" s="145"/>
      <c r="AK458" s="5">
        <v>436</v>
      </c>
      <c r="AL458" s="413" t="s">
        <v>718</v>
      </c>
      <c r="AM458" s="145"/>
      <c r="AN458" s="146"/>
      <c r="AO458" s="145"/>
      <c r="AP458" s="145"/>
      <c r="AR458" s="5">
        <v>436</v>
      </c>
      <c r="AS458" s="413" t="s">
        <v>683</v>
      </c>
      <c r="AT458" s="145">
        <v>148</v>
      </c>
      <c r="AU458" s="146">
        <v>3.37</v>
      </c>
      <c r="AV458" s="145">
        <v>3426</v>
      </c>
      <c r="AW458" s="145">
        <v>-14</v>
      </c>
      <c r="AY458" s="5">
        <v>436</v>
      </c>
      <c r="AZ458" s="413" t="s">
        <v>718</v>
      </c>
      <c r="BA458" s="145"/>
      <c r="BB458" s="146"/>
      <c r="BC458" s="145"/>
      <c r="BD458" s="145"/>
      <c r="BF458" s="5">
        <v>436</v>
      </c>
      <c r="BG458" s="413" t="s">
        <v>718</v>
      </c>
      <c r="BH458" s="145"/>
      <c r="BI458" s="146"/>
      <c r="BJ458" s="145"/>
      <c r="BK458" s="145"/>
      <c r="BM458" s="5">
        <v>436</v>
      </c>
      <c r="BN458" s="413" t="s">
        <v>718</v>
      </c>
      <c r="BO458" s="145"/>
      <c r="BP458" s="146"/>
      <c r="BQ458" s="145"/>
      <c r="BR458" s="145"/>
      <c r="BS458" s="5"/>
      <c r="BT458" s="5">
        <v>436</v>
      </c>
      <c r="BU458" s="413" t="s">
        <v>718</v>
      </c>
      <c r="BV458" s="145"/>
      <c r="BW458" s="146"/>
      <c r="BX458" s="145"/>
      <c r="BY458" s="145"/>
      <c r="BZ458" s="5"/>
      <c r="CA458" s="5">
        <v>436</v>
      </c>
      <c r="CB458" s="413" t="s">
        <v>718</v>
      </c>
      <c r="CC458" s="145"/>
      <c r="CD458" s="146"/>
      <c r="CE458" s="145"/>
      <c r="CF458" s="145"/>
      <c r="CG458" s="5"/>
      <c r="CH458" s="5"/>
      <c r="CI458" s="5"/>
    </row>
    <row r="459" spans="13:87" x14ac:dyDescent="0.2">
      <c r="M459" s="5">
        <v>437</v>
      </c>
      <c r="N459" s="413" t="str">
        <f t="shared" si="36"/>
        <v xml:space="preserve"> </v>
      </c>
      <c r="O459" s="414">
        <f t="shared" si="37"/>
        <v>0</v>
      </c>
      <c r="P459" s="414">
        <f t="shared" si="38"/>
        <v>0</v>
      </c>
      <c r="Q459" s="145">
        <f t="shared" si="41"/>
        <v>-8</v>
      </c>
      <c r="R459" s="414">
        <f t="shared" si="39"/>
        <v>0</v>
      </c>
      <c r="S459" s="414">
        <f t="shared" si="40"/>
        <v>0</v>
      </c>
      <c r="T459" s="19"/>
      <c r="U459" s="5"/>
      <c r="V459" s="5"/>
      <c r="W459" s="5">
        <v>437</v>
      </c>
      <c r="X459" s="144" t="s">
        <v>718</v>
      </c>
      <c r="Y459" s="145"/>
      <c r="Z459" s="146"/>
      <c r="AA459" s="145"/>
      <c r="AB459" s="145"/>
      <c r="AD459" s="5">
        <v>437</v>
      </c>
      <c r="AE459" s="413" t="s">
        <v>718</v>
      </c>
      <c r="AF459" s="145"/>
      <c r="AG459" s="146"/>
      <c r="AH459" s="145"/>
      <c r="AI459" s="145"/>
      <c r="AK459" s="5">
        <v>437</v>
      </c>
      <c r="AL459" s="413" t="s">
        <v>718</v>
      </c>
      <c r="AM459" s="145"/>
      <c r="AN459" s="146"/>
      <c r="AO459" s="145"/>
      <c r="AP459" s="145"/>
      <c r="AR459" s="5">
        <v>437</v>
      </c>
      <c r="AS459" s="413" t="s">
        <v>684</v>
      </c>
      <c r="AT459" s="145">
        <v>438</v>
      </c>
      <c r="AU459" s="146">
        <v>3.27</v>
      </c>
      <c r="AV459" s="145">
        <v>3998</v>
      </c>
      <c r="AW459" s="145">
        <v>-14</v>
      </c>
      <c r="AY459" s="5">
        <v>437</v>
      </c>
      <c r="AZ459" s="413" t="s">
        <v>718</v>
      </c>
      <c r="BA459" s="145"/>
      <c r="BB459" s="146"/>
      <c r="BC459" s="145"/>
      <c r="BD459" s="145"/>
      <c r="BF459" s="5">
        <v>437</v>
      </c>
      <c r="BG459" s="413" t="s">
        <v>718</v>
      </c>
      <c r="BH459" s="145"/>
      <c r="BI459" s="146"/>
      <c r="BJ459" s="145"/>
      <c r="BK459" s="145"/>
      <c r="BM459" s="5">
        <v>437</v>
      </c>
      <c r="BN459" s="413" t="s">
        <v>718</v>
      </c>
      <c r="BO459" s="145"/>
      <c r="BP459" s="146"/>
      <c r="BQ459" s="145"/>
      <c r="BR459" s="145"/>
      <c r="BS459" s="5"/>
      <c r="BT459" s="5">
        <v>437</v>
      </c>
      <c r="BU459" s="413" t="s">
        <v>718</v>
      </c>
      <c r="BV459" s="145"/>
      <c r="BW459" s="146"/>
      <c r="BX459" s="145"/>
      <c r="BY459" s="145"/>
      <c r="BZ459" s="5"/>
      <c r="CA459" s="5">
        <v>437</v>
      </c>
      <c r="CB459" s="413" t="s">
        <v>718</v>
      </c>
      <c r="CC459" s="145"/>
      <c r="CD459" s="146"/>
      <c r="CE459" s="145"/>
      <c r="CF459" s="145"/>
      <c r="CG459" s="5"/>
      <c r="CH459" s="5"/>
      <c r="CI459" s="5"/>
    </row>
    <row r="460" spans="13:87" x14ac:dyDescent="0.2">
      <c r="M460" s="5">
        <v>438</v>
      </c>
      <c r="N460" s="413" t="str">
        <f t="shared" si="36"/>
        <v xml:space="preserve"> </v>
      </c>
      <c r="O460" s="414">
        <f t="shared" si="37"/>
        <v>0</v>
      </c>
      <c r="P460" s="414">
        <f t="shared" si="38"/>
        <v>0</v>
      </c>
      <c r="Q460" s="145">
        <f t="shared" si="41"/>
        <v>-8</v>
      </c>
      <c r="R460" s="414">
        <f t="shared" si="39"/>
        <v>0</v>
      </c>
      <c r="S460" s="414">
        <f t="shared" si="40"/>
        <v>0</v>
      </c>
      <c r="T460" s="19"/>
      <c r="U460" s="5"/>
      <c r="V460" s="5"/>
      <c r="W460" s="5">
        <v>438</v>
      </c>
      <c r="X460" s="144" t="s">
        <v>718</v>
      </c>
      <c r="Y460" s="145"/>
      <c r="Z460" s="146"/>
      <c r="AA460" s="145"/>
      <c r="AB460" s="145"/>
      <c r="AD460" s="5">
        <v>438</v>
      </c>
      <c r="AE460" s="413" t="s">
        <v>718</v>
      </c>
      <c r="AF460" s="145"/>
      <c r="AG460" s="146"/>
      <c r="AH460" s="145"/>
      <c r="AI460" s="145"/>
      <c r="AK460" s="5">
        <v>438</v>
      </c>
      <c r="AL460" s="413" t="s">
        <v>718</v>
      </c>
      <c r="AM460" s="145"/>
      <c r="AN460" s="146"/>
      <c r="AO460" s="145"/>
      <c r="AP460" s="145"/>
      <c r="AR460" s="5">
        <v>438</v>
      </c>
      <c r="AS460" s="413" t="s">
        <v>3232</v>
      </c>
      <c r="AT460" s="145">
        <v>460</v>
      </c>
      <c r="AU460" s="146">
        <v>2.4700000000000002</v>
      </c>
      <c r="AV460" s="145">
        <v>4259</v>
      </c>
      <c r="AW460" s="145">
        <v>-16</v>
      </c>
      <c r="AY460" s="5">
        <v>438</v>
      </c>
      <c r="AZ460" s="413" t="s">
        <v>718</v>
      </c>
      <c r="BA460" s="145"/>
      <c r="BB460" s="146"/>
      <c r="BC460" s="145"/>
      <c r="BD460" s="145"/>
      <c r="BF460" s="5">
        <v>438</v>
      </c>
      <c r="BG460" s="413" t="s">
        <v>718</v>
      </c>
      <c r="BH460" s="145"/>
      <c r="BI460" s="146"/>
      <c r="BJ460" s="145"/>
      <c r="BK460" s="145"/>
      <c r="BM460" s="5">
        <v>438</v>
      </c>
      <c r="BN460" s="413" t="s">
        <v>718</v>
      </c>
      <c r="BO460" s="145"/>
      <c r="BP460" s="146"/>
      <c r="BQ460" s="145"/>
      <c r="BR460" s="145"/>
      <c r="BS460" s="5"/>
      <c r="BT460" s="5">
        <v>438</v>
      </c>
      <c r="BU460" s="413" t="s">
        <v>718</v>
      </c>
      <c r="BV460" s="145"/>
      <c r="BW460" s="146"/>
      <c r="BX460" s="145"/>
      <c r="BY460" s="145"/>
      <c r="BZ460" s="5"/>
      <c r="CA460" s="5">
        <v>438</v>
      </c>
      <c r="CB460" s="413" t="s">
        <v>718</v>
      </c>
      <c r="CC460" s="145"/>
      <c r="CD460" s="146"/>
      <c r="CE460" s="145"/>
      <c r="CF460" s="145"/>
      <c r="CG460" s="5"/>
      <c r="CH460" s="5"/>
      <c r="CI460" s="5"/>
    </row>
    <row r="461" spans="13:87" x14ac:dyDescent="0.2">
      <c r="M461" s="5">
        <v>439</v>
      </c>
      <c r="N461" s="413" t="str">
        <f t="shared" si="36"/>
        <v xml:space="preserve"> </v>
      </c>
      <c r="O461" s="414">
        <f t="shared" si="37"/>
        <v>0</v>
      </c>
      <c r="P461" s="414">
        <f t="shared" si="38"/>
        <v>0</v>
      </c>
      <c r="Q461" s="145">
        <f t="shared" si="41"/>
        <v>-8</v>
      </c>
      <c r="R461" s="414">
        <f t="shared" si="39"/>
        <v>0</v>
      </c>
      <c r="S461" s="414">
        <f t="shared" si="40"/>
        <v>0</v>
      </c>
      <c r="T461" s="19"/>
      <c r="U461" s="5"/>
      <c r="V461" s="5"/>
      <c r="W461" s="5">
        <v>439</v>
      </c>
      <c r="X461" s="144" t="s">
        <v>718</v>
      </c>
      <c r="Y461" s="145"/>
      <c r="Z461" s="146"/>
      <c r="AA461" s="145"/>
      <c r="AB461" s="145"/>
      <c r="AD461" s="5">
        <v>439</v>
      </c>
      <c r="AE461" s="413" t="s">
        <v>718</v>
      </c>
      <c r="AF461" s="145"/>
      <c r="AG461" s="146"/>
      <c r="AH461" s="145"/>
      <c r="AI461" s="145"/>
      <c r="AK461" s="5">
        <v>439</v>
      </c>
      <c r="AL461" s="413" t="s">
        <v>718</v>
      </c>
      <c r="AM461" s="145"/>
      <c r="AN461" s="146"/>
      <c r="AO461" s="145"/>
      <c r="AP461" s="145"/>
      <c r="AR461" s="5">
        <v>439</v>
      </c>
      <c r="AS461" s="413" t="s">
        <v>3233</v>
      </c>
      <c r="AT461" s="145">
        <v>268</v>
      </c>
      <c r="AU461" s="146">
        <v>3.09</v>
      </c>
      <c r="AV461" s="145">
        <v>3721</v>
      </c>
      <c r="AW461" s="145">
        <v>-14</v>
      </c>
      <c r="AY461" s="5">
        <v>439</v>
      </c>
      <c r="AZ461" s="413" t="s">
        <v>718</v>
      </c>
      <c r="BA461" s="145"/>
      <c r="BB461" s="146"/>
      <c r="BC461" s="145"/>
      <c r="BD461" s="145"/>
      <c r="BF461" s="5">
        <v>439</v>
      </c>
      <c r="BG461" s="413" t="s">
        <v>718</v>
      </c>
      <c r="BH461" s="145"/>
      <c r="BI461" s="146"/>
      <c r="BJ461" s="145"/>
      <c r="BK461" s="145"/>
      <c r="BM461" s="5">
        <v>439</v>
      </c>
      <c r="BN461" s="413" t="s">
        <v>718</v>
      </c>
      <c r="BO461" s="145"/>
      <c r="BP461" s="146"/>
      <c r="BQ461" s="145"/>
      <c r="BR461" s="145"/>
      <c r="BS461" s="5"/>
      <c r="BT461" s="5">
        <v>439</v>
      </c>
      <c r="BU461" s="413" t="s">
        <v>718</v>
      </c>
      <c r="BV461" s="145"/>
      <c r="BW461" s="146"/>
      <c r="BX461" s="145"/>
      <c r="BY461" s="145"/>
      <c r="BZ461" s="5"/>
      <c r="CA461" s="5">
        <v>439</v>
      </c>
      <c r="CB461" s="413" t="s">
        <v>718</v>
      </c>
      <c r="CC461" s="145"/>
      <c r="CD461" s="146"/>
      <c r="CE461" s="145"/>
      <c r="CF461" s="145"/>
      <c r="CG461" s="5"/>
      <c r="CH461" s="5"/>
      <c r="CI461" s="5"/>
    </row>
    <row r="462" spans="13:87" x14ac:dyDescent="0.2">
      <c r="M462" s="5">
        <v>440</v>
      </c>
      <c r="N462" s="413" t="str">
        <f t="shared" si="36"/>
        <v xml:space="preserve"> </v>
      </c>
      <c r="O462" s="414">
        <f t="shared" si="37"/>
        <v>0</v>
      </c>
      <c r="P462" s="414">
        <f t="shared" si="38"/>
        <v>0</v>
      </c>
      <c r="Q462" s="145">
        <f t="shared" si="41"/>
        <v>-8</v>
      </c>
      <c r="R462" s="414">
        <f t="shared" si="39"/>
        <v>0</v>
      </c>
      <c r="S462" s="414">
        <f t="shared" si="40"/>
        <v>0</v>
      </c>
      <c r="T462" s="19"/>
      <c r="U462" s="5"/>
      <c r="V462" s="5"/>
      <c r="W462" s="5">
        <v>440</v>
      </c>
      <c r="X462" s="144" t="s">
        <v>718</v>
      </c>
      <c r="Y462" s="145"/>
      <c r="Z462" s="146"/>
      <c r="AA462" s="145"/>
      <c r="AB462" s="145"/>
      <c r="AD462" s="5">
        <v>440</v>
      </c>
      <c r="AE462" s="413" t="s">
        <v>718</v>
      </c>
      <c r="AF462" s="145"/>
      <c r="AG462" s="146"/>
      <c r="AH462" s="145"/>
      <c r="AI462" s="145"/>
      <c r="AK462" s="5">
        <v>440</v>
      </c>
      <c r="AL462" s="413" t="s">
        <v>718</v>
      </c>
      <c r="AM462" s="145"/>
      <c r="AN462" s="146"/>
      <c r="AO462" s="145"/>
      <c r="AP462" s="145"/>
      <c r="AR462" s="5">
        <v>440</v>
      </c>
      <c r="AS462" s="413" t="s">
        <v>3234</v>
      </c>
      <c r="AT462" s="145">
        <v>320</v>
      </c>
      <c r="AU462" s="146">
        <v>3.22</v>
      </c>
      <c r="AV462" s="145">
        <v>3775</v>
      </c>
      <c r="AW462" s="145">
        <v>-14</v>
      </c>
      <c r="AY462" s="5">
        <v>440</v>
      </c>
      <c r="AZ462" s="413" t="s">
        <v>718</v>
      </c>
      <c r="BA462" s="145"/>
      <c r="BB462" s="146"/>
      <c r="BC462" s="145"/>
      <c r="BD462" s="145"/>
      <c r="BF462" s="5">
        <v>440</v>
      </c>
      <c r="BG462" s="413" t="s">
        <v>718</v>
      </c>
      <c r="BH462" s="145"/>
      <c r="BI462" s="146"/>
      <c r="BJ462" s="145"/>
      <c r="BK462" s="145"/>
      <c r="BM462" s="5">
        <v>440</v>
      </c>
      <c r="BN462" s="413" t="s">
        <v>718</v>
      </c>
      <c r="BO462" s="145"/>
      <c r="BP462" s="146"/>
      <c r="BQ462" s="145"/>
      <c r="BR462" s="145"/>
      <c r="BS462" s="5"/>
      <c r="BT462" s="5">
        <v>440</v>
      </c>
      <c r="BU462" s="413" t="s">
        <v>718</v>
      </c>
      <c r="BV462" s="145"/>
      <c r="BW462" s="146"/>
      <c r="BX462" s="145"/>
      <c r="BY462" s="145"/>
      <c r="BZ462" s="5"/>
      <c r="CA462" s="5">
        <v>440</v>
      </c>
      <c r="CB462" s="413" t="s">
        <v>718</v>
      </c>
      <c r="CC462" s="145"/>
      <c r="CD462" s="146"/>
      <c r="CE462" s="145"/>
      <c r="CF462" s="145"/>
      <c r="CG462" s="5"/>
      <c r="CH462" s="5"/>
      <c r="CI462" s="5"/>
    </row>
    <row r="463" spans="13:87" x14ac:dyDescent="0.2">
      <c r="M463" s="5">
        <v>441</v>
      </c>
      <c r="N463" s="413" t="str">
        <f t="shared" si="36"/>
        <v xml:space="preserve"> </v>
      </c>
      <c r="O463" s="414">
        <f t="shared" si="37"/>
        <v>0</v>
      </c>
      <c r="P463" s="414">
        <f t="shared" si="38"/>
        <v>0</v>
      </c>
      <c r="Q463" s="145">
        <f t="shared" si="41"/>
        <v>-8</v>
      </c>
      <c r="R463" s="414">
        <f t="shared" si="39"/>
        <v>0</v>
      </c>
      <c r="S463" s="414">
        <f t="shared" si="40"/>
        <v>0</v>
      </c>
      <c r="T463" s="19"/>
      <c r="U463" s="5"/>
      <c r="V463" s="5"/>
      <c r="W463" s="5">
        <v>441</v>
      </c>
      <c r="X463" s="144" t="s">
        <v>718</v>
      </c>
      <c r="Y463" s="145"/>
      <c r="Z463" s="146"/>
      <c r="AA463" s="145"/>
      <c r="AB463" s="145"/>
      <c r="AD463" s="5">
        <v>441</v>
      </c>
      <c r="AE463" s="413" t="s">
        <v>718</v>
      </c>
      <c r="AF463" s="145"/>
      <c r="AG463" s="146"/>
      <c r="AH463" s="145"/>
      <c r="AI463" s="145"/>
      <c r="AK463" s="5">
        <v>441</v>
      </c>
      <c r="AL463" s="413" t="s">
        <v>718</v>
      </c>
      <c r="AM463" s="145"/>
      <c r="AN463" s="146"/>
      <c r="AO463" s="145"/>
      <c r="AP463" s="145"/>
      <c r="AR463" s="5">
        <v>441</v>
      </c>
      <c r="AS463" s="413" t="s">
        <v>3235</v>
      </c>
      <c r="AT463" s="145">
        <v>610</v>
      </c>
      <c r="AU463" s="146">
        <v>2.4</v>
      </c>
      <c r="AV463" s="145">
        <v>4612</v>
      </c>
      <c r="AW463" s="145">
        <v>-17</v>
      </c>
      <c r="AY463" s="5">
        <v>441</v>
      </c>
      <c r="AZ463" s="413" t="s">
        <v>718</v>
      </c>
      <c r="BA463" s="145"/>
      <c r="BB463" s="146"/>
      <c r="BC463" s="145"/>
      <c r="BD463" s="145"/>
      <c r="BF463" s="5">
        <v>441</v>
      </c>
      <c r="BG463" s="413" t="s">
        <v>718</v>
      </c>
      <c r="BH463" s="145"/>
      <c r="BI463" s="146"/>
      <c r="BJ463" s="145"/>
      <c r="BK463" s="145"/>
      <c r="BM463" s="5">
        <v>441</v>
      </c>
      <c r="BN463" s="413" t="s">
        <v>718</v>
      </c>
      <c r="BO463" s="145"/>
      <c r="BP463" s="146"/>
      <c r="BQ463" s="145"/>
      <c r="BR463" s="145"/>
      <c r="BS463" s="5"/>
      <c r="BT463" s="5">
        <v>441</v>
      </c>
      <c r="BU463" s="413" t="s">
        <v>718</v>
      </c>
      <c r="BV463" s="145"/>
      <c r="BW463" s="146"/>
      <c r="BX463" s="145"/>
      <c r="BY463" s="145"/>
      <c r="BZ463" s="5"/>
      <c r="CA463" s="5">
        <v>441</v>
      </c>
      <c r="CB463" s="413" t="s">
        <v>718</v>
      </c>
      <c r="CC463" s="145"/>
      <c r="CD463" s="146"/>
      <c r="CE463" s="145"/>
      <c r="CF463" s="145"/>
      <c r="CG463" s="5"/>
      <c r="CH463" s="5"/>
      <c r="CI463" s="5"/>
    </row>
    <row r="464" spans="13:87" x14ac:dyDescent="0.2">
      <c r="M464" s="5">
        <v>442</v>
      </c>
      <c r="N464" s="413" t="str">
        <f t="shared" si="36"/>
        <v xml:space="preserve"> </v>
      </c>
      <c r="O464" s="414">
        <f t="shared" si="37"/>
        <v>0</v>
      </c>
      <c r="P464" s="414">
        <f t="shared" si="38"/>
        <v>0</v>
      </c>
      <c r="Q464" s="145">
        <f t="shared" si="41"/>
        <v>-8</v>
      </c>
      <c r="R464" s="414">
        <f t="shared" si="39"/>
        <v>0</v>
      </c>
      <c r="S464" s="414">
        <f t="shared" si="40"/>
        <v>0</v>
      </c>
      <c r="T464" s="19"/>
      <c r="U464" s="5"/>
      <c r="V464" s="5"/>
      <c r="W464" s="5">
        <v>442</v>
      </c>
      <c r="X464" s="144" t="s">
        <v>718</v>
      </c>
      <c r="Y464" s="145"/>
      <c r="Z464" s="146"/>
      <c r="AA464" s="145"/>
      <c r="AB464" s="145"/>
      <c r="AD464" s="5">
        <v>442</v>
      </c>
      <c r="AE464" s="413" t="s">
        <v>718</v>
      </c>
      <c r="AF464" s="145"/>
      <c r="AG464" s="146"/>
      <c r="AH464" s="145"/>
      <c r="AI464" s="145"/>
      <c r="AK464" s="5">
        <v>442</v>
      </c>
      <c r="AL464" s="413" t="s">
        <v>718</v>
      </c>
      <c r="AM464" s="145"/>
      <c r="AN464" s="146"/>
      <c r="AO464" s="145"/>
      <c r="AP464" s="145"/>
      <c r="AR464" s="5">
        <v>442</v>
      </c>
      <c r="AS464" s="413" t="s">
        <v>3236</v>
      </c>
      <c r="AT464" s="145">
        <v>260</v>
      </c>
      <c r="AU464" s="146">
        <v>3.06</v>
      </c>
      <c r="AV464" s="145">
        <v>3760</v>
      </c>
      <c r="AW464" s="145">
        <v>-14</v>
      </c>
      <c r="AY464" s="5">
        <v>442</v>
      </c>
      <c r="AZ464" s="413" t="s">
        <v>718</v>
      </c>
      <c r="BA464" s="145"/>
      <c r="BB464" s="146"/>
      <c r="BC464" s="145"/>
      <c r="BD464" s="145"/>
      <c r="BF464" s="5">
        <v>442</v>
      </c>
      <c r="BG464" s="413" t="s">
        <v>718</v>
      </c>
      <c r="BH464" s="145"/>
      <c r="BI464" s="146"/>
      <c r="BJ464" s="145"/>
      <c r="BK464" s="145"/>
      <c r="BM464" s="5">
        <v>442</v>
      </c>
      <c r="BN464" s="413" t="s">
        <v>718</v>
      </c>
      <c r="BO464" s="145"/>
      <c r="BP464" s="146"/>
      <c r="BQ464" s="145"/>
      <c r="BR464" s="145"/>
      <c r="BS464" s="5"/>
      <c r="BT464" s="5">
        <v>442</v>
      </c>
      <c r="BU464" s="413" t="s">
        <v>718</v>
      </c>
      <c r="BV464" s="145"/>
      <c r="BW464" s="146"/>
      <c r="BX464" s="145"/>
      <c r="BY464" s="145"/>
      <c r="BZ464" s="5"/>
      <c r="CA464" s="5">
        <v>442</v>
      </c>
      <c r="CB464" s="413" t="s">
        <v>718</v>
      </c>
      <c r="CC464" s="145"/>
      <c r="CD464" s="146"/>
      <c r="CE464" s="145"/>
      <c r="CF464" s="145"/>
      <c r="CG464" s="5"/>
      <c r="CH464" s="5"/>
      <c r="CI464" s="5"/>
    </row>
    <row r="465" spans="13:87" x14ac:dyDescent="0.2">
      <c r="M465" s="5">
        <v>443</v>
      </c>
      <c r="N465" s="413" t="str">
        <f t="shared" si="36"/>
        <v xml:space="preserve"> </v>
      </c>
      <c r="O465" s="414">
        <f t="shared" si="37"/>
        <v>0</v>
      </c>
      <c r="P465" s="414">
        <f t="shared" si="38"/>
        <v>0</v>
      </c>
      <c r="Q465" s="145">
        <f t="shared" si="41"/>
        <v>-8</v>
      </c>
      <c r="R465" s="414">
        <f t="shared" si="39"/>
        <v>0</v>
      </c>
      <c r="S465" s="414">
        <f t="shared" si="40"/>
        <v>0</v>
      </c>
      <c r="T465" s="19"/>
      <c r="U465" s="5"/>
      <c r="V465" s="5"/>
      <c r="W465" s="5">
        <v>443</v>
      </c>
      <c r="X465" s="144" t="s">
        <v>718</v>
      </c>
      <c r="Y465" s="145"/>
      <c r="Z465" s="146"/>
      <c r="AA465" s="145"/>
      <c r="AB465" s="145"/>
      <c r="AD465" s="5">
        <v>443</v>
      </c>
      <c r="AE465" s="413" t="s">
        <v>718</v>
      </c>
      <c r="AF465" s="145"/>
      <c r="AG465" s="146"/>
      <c r="AH465" s="145"/>
      <c r="AI465" s="145"/>
      <c r="AK465" s="5">
        <v>443</v>
      </c>
      <c r="AL465" s="413" t="s">
        <v>718</v>
      </c>
      <c r="AM465" s="145"/>
      <c r="AN465" s="146"/>
      <c r="AO465" s="145"/>
      <c r="AP465" s="145"/>
      <c r="AR465" s="5">
        <v>443</v>
      </c>
      <c r="AS465" s="413" t="s">
        <v>3237</v>
      </c>
      <c r="AT465" s="145">
        <v>225</v>
      </c>
      <c r="AU465" s="146">
        <v>3.57</v>
      </c>
      <c r="AV465" s="145">
        <v>3515</v>
      </c>
      <c r="AW465" s="145">
        <v>-13</v>
      </c>
      <c r="AY465" s="5">
        <v>443</v>
      </c>
      <c r="AZ465" s="413" t="s">
        <v>718</v>
      </c>
      <c r="BA465" s="145"/>
      <c r="BB465" s="146"/>
      <c r="BC465" s="145"/>
      <c r="BD465" s="145"/>
      <c r="BF465" s="5">
        <v>443</v>
      </c>
      <c r="BG465" s="413" t="s">
        <v>718</v>
      </c>
      <c r="BH465" s="145"/>
      <c r="BI465" s="146"/>
      <c r="BJ465" s="145"/>
      <c r="BK465" s="145"/>
      <c r="BM465" s="5">
        <v>443</v>
      </c>
      <c r="BN465" s="413" t="s">
        <v>718</v>
      </c>
      <c r="BO465" s="145"/>
      <c r="BP465" s="146"/>
      <c r="BQ465" s="145"/>
      <c r="BR465" s="145"/>
      <c r="BS465" s="5"/>
      <c r="BT465" s="5">
        <v>443</v>
      </c>
      <c r="BU465" s="413" t="s">
        <v>718</v>
      </c>
      <c r="BV465" s="145"/>
      <c r="BW465" s="146"/>
      <c r="BX465" s="145"/>
      <c r="BY465" s="145"/>
      <c r="BZ465" s="5"/>
      <c r="CA465" s="5">
        <v>443</v>
      </c>
      <c r="CB465" s="413" t="s">
        <v>718</v>
      </c>
      <c r="CC465" s="145"/>
      <c r="CD465" s="146"/>
      <c r="CE465" s="145"/>
      <c r="CF465" s="145"/>
      <c r="CG465" s="5"/>
      <c r="CH465" s="5"/>
      <c r="CI465" s="5"/>
    </row>
    <row r="466" spans="13:87" x14ac:dyDescent="0.2">
      <c r="M466" s="5">
        <v>444</v>
      </c>
      <c r="N466" s="413" t="str">
        <f t="shared" si="36"/>
        <v xml:space="preserve"> </v>
      </c>
      <c r="O466" s="414">
        <f t="shared" si="37"/>
        <v>0</v>
      </c>
      <c r="P466" s="414">
        <f t="shared" si="38"/>
        <v>0</v>
      </c>
      <c r="Q466" s="145">
        <f t="shared" si="41"/>
        <v>-8</v>
      </c>
      <c r="R466" s="414">
        <f t="shared" si="39"/>
        <v>0</v>
      </c>
      <c r="S466" s="414">
        <f t="shared" si="40"/>
        <v>0</v>
      </c>
      <c r="T466" s="19"/>
      <c r="U466" s="5"/>
      <c r="V466" s="5"/>
      <c r="W466" s="5">
        <v>444</v>
      </c>
      <c r="X466" s="144" t="s">
        <v>718</v>
      </c>
      <c r="Y466" s="145"/>
      <c r="Z466" s="146"/>
      <c r="AA466" s="145"/>
      <c r="AB466" s="145"/>
      <c r="AD466" s="5">
        <v>444</v>
      </c>
      <c r="AE466" s="413" t="s">
        <v>718</v>
      </c>
      <c r="AF466" s="145"/>
      <c r="AG466" s="146"/>
      <c r="AH466" s="145"/>
      <c r="AI466" s="145"/>
      <c r="AK466" s="5">
        <v>444</v>
      </c>
      <c r="AL466" s="413" t="s">
        <v>718</v>
      </c>
      <c r="AM466" s="145"/>
      <c r="AN466" s="146"/>
      <c r="AO466" s="145"/>
      <c r="AP466" s="145"/>
      <c r="AR466" s="5">
        <v>444</v>
      </c>
      <c r="AS466" s="413" t="s">
        <v>3238</v>
      </c>
      <c r="AT466" s="145">
        <v>175</v>
      </c>
      <c r="AU466" s="146">
        <v>3.41</v>
      </c>
      <c r="AV466" s="145">
        <v>3517</v>
      </c>
      <c r="AW466" s="145">
        <v>-13</v>
      </c>
      <c r="AY466" s="5">
        <v>444</v>
      </c>
      <c r="AZ466" s="413" t="s">
        <v>718</v>
      </c>
      <c r="BA466" s="145"/>
      <c r="BB466" s="146"/>
      <c r="BC466" s="145"/>
      <c r="BD466" s="145"/>
      <c r="BF466" s="5">
        <v>444</v>
      </c>
      <c r="BG466" s="413" t="s">
        <v>718</v>
      </c>
      <c r="BH466" s="145"/>
      <c r="BI466" s="146"/>
      <c r="BJ466" s="145"/>
      <c r="BK466" s="145"/>
      <c r="BM466" s="5">
        <v>444</v>
      </c>
      <c r="BN466" s="413" t="s">
        <v>718</v>
      </c>
      <c r="BO466" s="145"/>
      <c r="BP466" s="146"/>
      <c r="BQ466" s="145"/>
      <c r="BR466" s="145"/>
      <c r="BS466" s="5"/>
      <c r="BT466" s="5">
        <v>444</v>
      </c>
      <c r="BU466" s="413" t="s">
        <v>718</v>
      </c>
      <c r="BV466" s="145"/>
      <c r="BW466" s="146"/>
      <c r="BX466" s="145"/>
      <c r="BY466" s="145"/>
      <c r="BZ466" s="5"/>
      <c r="CA466" s="5">
        <v>444</v>
      </c>
      <c r="CB466" s="413" t="s">
        <v>718</v>
      </c>
      <c r="CC466" s="145"/>
      <c r="CD466" s="146"/>
      <c r="CE466" s="145"/>
      <c r="CF466" s="145"/>
      <c r="CG466" s="5"/>
      <c r="CH466" s="5"/>
      <c r="CI466" s="5"/>
    </row>
    <row r="467" spans="13:87" x14ac:dyDescent="0.2">
      <c r="M467" s="5">
        <v>445</v>
      </c>
      <c r="N467" s="413" t="str">
        <f t="shared" si="36"/>
        <v xml:space="preserve"> </v>
      </c>
      <c r="O467" s="414">
        <f t="shared" si="37"/>
        <v>0</v>
      </c>
      <c r="P467" s="414">
        <f t="shared" si="38"/>
        <v>0</v>
      </c>
      <c r="Q467" s="145">
        <f t="shared" si="41"/>
        <v>-8</v>
      </c>
      <c r="R467" s="414">
        <f t="shared" si="39"/>
        <v>0</v>
      </c>
      <c r="S467" s="414">
        <f t="shared" si="40"/>
        <v>0</v>
      </c>
      <c r="T467" s="19"/>
      <c r="U467" s="5"/>
      <c r="V467" s="5"/>
      <c r="W467" s="5">
        <v>445</v>
      </c>
      <c r="X467" s="144" t="s">
        <v>718</v>
      </c>
      <c r="Y467" s="145"/>
      <c r="Z467" s="146"/>
      <c r="AA467" s="145"/>
      <c r="AB467" s="145"/>
      <c r="AD467" s="5">
        <v>445</v>
      </c>
      <c r="AE467" s="413" t="s">
        <v>718</v>
      </c>
      <c r="AF467" s="145"/>
      <c r="AG467" s="146"/>
      <c r="AH467" s="145"/>
      <c r="AI467" s="145"/>
      <c r="AK467" s="5">
        <v>445</v>
      </c>
      <c r="AL467" s="413" t="s">
        <v>718</v>
      </c>
      <c r="AM467" s="145"/>
      <c r="AN467" s="146"/>
      <c r="AO467" s="145"/>
      <c r="AP467" s="145"/>
      <c r="AR467" s="5">
        <v>445</v>
      </c>
      <c r="AS467" s="413" t="s">
        <v>3239</v>
      </c>
      <c r="AT467" s="145">
        <v>243</v>
      </c>
      <c r="AU467" s="146">
        <v>3.12</v>
      </c>
      <c r="AV467" s="145">
        <v>3849</v>
      </c>
      <c r="AW467" s="145">
        <v>-14</v>
      </c>
      <c r="AY467" s="5">
        <v>445</v>
      </c>
      <c r="AZ467" s="413" t="s">
        <v>718</v>
      </c>
      <c r="BA467" s="145"/>
      <c r="BB467" s="146"/>
      <c r="BC467" s="145"/>
      <c r="BD467" s="145"/>
      <c r="BF467" s="5">
        <v>445</v>
      </c>
      <c r="BG467" s="413" t="s">
        <v>718</v>
      </c>
      <c r="BH467" s="145"/>
      <c r="BI467" s="146"/>
      <c r="BJ467" s="145"/>
      <c r="BK467" s="145"/>
      <c r="BM467" s="5">
        <v>445</v>
      </c>
      <c r="BN467" s="413" t="s">
        <v>718</v>
      </c>
      <c r="BO467" s="145"/>
      <c r="BP467" s="146"/>
      <c r="BQ467" s="145"/>
      <c r="BR467" s="145"/>
      <c r="BS467" s="5"/>
      <c r="BT467" s="5">
        <v>445</v>
      </c>
      <c r="BU467" s="413" t="s">
        <v>718</v>
      </c>
      <c r="BV467" s="145"/>
      <c r="BW467" s="146"/>
      <c r="BX467" s="145"/>
      <c r="BY467" s="145"/>
      <c r="BZ467" s="5"/>
      <c r="CA467" s="5">
        <v>445</v>
      </c>
      <c r="CB467" s="413" t="s">
        <v>718</v>
      </c>
      <c r="CC467" s="145"/>
      <c r="CD467" s="146"/>
      <c r="CE467" s="145"/>
      <c r="CF467" s="145"/>
      <c r="CG467" s="5"/>
      <c r="CH467" s="5"/>
      <c r="CI467" s="5"/>
    </row>
    <row r="468" spans="13:87" x14ac:dyDescent="0.2">
      <c r="M468" s="5">
        <v>446</v>
      </c>
      <c r="N468" s="413" t="str">
        <f t="shared" si="36"/>
        <v xml:space="preserve"> </v>
      </c>
      <c r="O468" s="414">
        <f t="shared" si="37"/>
        <v>0</v>
      </c>
      <c r="P468" s="414">
        <f t="shared" si="38"/>
        <v>0</v>
      </c>
      <c r="Q468" s="145">
        <f t="shared" si="41"/>
        <v>-8</v>
      </c>
      <c r="R468" s="414">
        <f t="shared" si="39"/>
        <v>0</v>
      </c>
      <c r="S468" s="414">
        <f t="shared" si="40"/>
        <v>0</v>
      </c>
      <c r="T468" s="19"/>
      <c r="U468" s="5"/>
      <c r="V468" s="5"/>
      <c r="W468" s="5">
        <v>446</v>
      </c>
      <c r="X468" s="144" t="s">
        <v>718</v>
      </c>
      <c r="Y468" s="145"/>
      <c r="Z468" s="146"/>
      <c r="AA468" s="145"/>
      <c r="AB468" s="145"/>
      <c r="AD468" s="5">
        <v>446</v>
      </c>
      <c r="AE468" s="413" t="s">
        <v>718</v>
      </c>
      <c r="AF468" s="145"/>
      <c r="AG468" s="146"/>
      <c r="AH468" s="145"/>
      <c r="AI468" s="145"/>
      <c r="AK468" s="5">
        <v>446</v>
      </c>
      <c r="AL468" s="413" t="s">
        <v>718</v>
      </c>
      <c r="AM468" s="145"/>
      <c r="AN468" s="146"/>
      <c r="AO468" s="145"/>
      <c r="AP468" s="145"/>
      <c r="AR468" s="5">
        <v>446</v>
      </c>
      <c r="AS468" s="413" t="s">
        <v>3240</v>
      </c>
      <c r="AT468" s="145">
        <v>760</v>
      </c>
      <c r="AU468" s="146">
        <v>2.0099999999999998</v>
      </c>
      <c r="AV468" s="145">
        <v>4912</v>
      </c>
      <c r="AW468" s="145">
        <v>-18</v>
      </c>
      <c r="AY468" s="5">
        <v>446</v>
      </c>
      <c r="AZ468" s="413" t="s">
        <v>718</v>
      </c>
      <c r="BA468" s="145"/>
      <c r="BB468" s="146"/>
      <c r="BC468" s="145"/>
      <c r="BD468" s="145"/>
      <c r="BF468" s="5">
        <v>446</v>
      </c>
      <c r="BG468" s="413" t="s">
        <v>718</v>
      </c>
      <c r="BH468" s="145"/>
      <c r="BI468" s="146"/>
      <c r="BJ468" s="145"/>
      <c r="BK468" s="145"/>
      <c r="BM468" s="5">
        <v>446</v>
      </c>
      <c r="BN468" s="413" t="s">
        <v>718</v>
      </c>
      <c r="BO468" s="145"/>
      <c r="BP468" s="146"/>
      <c r="BQ468" s="145"/>
      <c r="BR468" s="145"/>
      <c r="BS468" s="5"/>
      <c r="BT468" s="5">
        <v>446</v>
      </c>
      <c r="BU468" s="413" t="s">
        <v>718</v>
      </c>
      <c r="BV468" s="145"/>
      <c r="BW468" s="146"/>
      <c r="BX468" s="145"/>
      <c r="BY468" s="145"/>
      <c r="BZ468" s="5"/>
      <c r="CA468" s="5">
        <v>446</v>
      </c>
      <c r="CB468" s="413" t="s">
        <v>718</v>
      </c>
      <c r="CC468" s="145"/>
      <c r="CD468" s="146"/>
      <c r="CE468" s="145"/>
      <c r="CF468" s="145"/>
      <c r="CG468" s="5"/>
      <c r="CH468" s="5"/>
      <c r="CI468" s="5"/>
    </row>
    <row r="469" spans="13:87" x14ac:dyDescent="0.2">
      <c r="M469" s="5">
        <v>447</v>
      </c>
      <c r="N469" s="413" t="str">
        <f t="shared" si="36"/>
        <v xml:space="preserve"> </v>
      </c>
      <c r="O469" s="414">
        <f t="shared" si="37"/>
        <v>0</v>
      </c>
      <c r="P469" s="414">
        <f t="shared" si="38"/>
        <v>0</v>
      </c>
      <c r="Q469" s="145">
        <f t="shared" si="41"/>
        <v>-8</v>
      </c>
      <c r="R469" s="414">
        <f t="shared" si="39"/>
        <v>0</v>
      </c>
      <c r="S469" s="414">
        <f t="shared" si="40"/>
        <v>0</v>
      </c>
      <c r="T469" s="19"/>
      <c r="U469" s="5"/>
      <c r="V469" s="5"/>
      <c r="W469" s="5">
        <v>447</v>
      </c>
      <c r="X469" s="144" t="s">
        <v>718</v>
      </c>
      <c r="Y469" s="145"/>
      <c r="Z469" s="146"/>
      <c r="AA469" s="145"/>
      <c r="AB469" s="145"/>
      <c r="AD469" s="5">
        <v>447</v>
      </c>
      <c r="AE469" s="413" t="s">
        <v>718</v>
      </c>
      <c r="AF469" s="145"/>
      <c r="AG469" s="146"/>
      <c r="AH469" s="145"/>
      <c r="AI469" s="145"/>
      <c r="AK469" s="5">
        <v>447</v>
      </c>
      <c r="AL469" s="413" t="s">
        <v>718</v>
      </c>
      <c r="AM469" s="145"/>
      <c r="AN469" s="146"/>
      <c r="AO469" s="145"/>
      <c r="AP469" s="145"/>
      <c r="AR469" s="5">
        <v>447</v>
      </c>
      <c r="AS469" s="413" t="s">
        <v>3241</v>
      </c>
      <c r="AT469" s="145">
        <v>582</v>
      </c>
      <c r="AU469" s="146">
        <v>3.16</v>
      </c>
      <c r="AV469" s="145">
        <v>4244</v>
      </c>
      <c r="AW469" s="145">
        <v>-15</v>
      </c>
      <c r="AY469" s="5">
        <v>447</v>
      </c>
      <c r="AZ469" s="413" t="s">
        <v>718</v>
      </c>
      <c r="BA469" s="145"/>
      <c r="BB469" s="146"/>
      <c r="BC469" s="145"/>
      <c r="BD469" s="145"/>
      <c r="BF469" s="5">
        <v>447</v>
      </c>
      <c r="BG469" s="413" t="s">
        <v>718</v>
      </c>
      <c r="BH469" s="145"/>
      <c r="BI469" s="146"/>
      <c r="BJ469" s="145"/>
      <c r="BK469" s="145"/>
      <c r="BM469" s="5">
        <v>447</v>
      </c>
      <c r="BN469" s="413" t="s">
        <v>718</v>
      </c>
      <c r="BO469" s="145"/>
      <c r="BP469" s="146"/>
      <c r="BQ469" s="145"/>
      <c r="BR469" s="145"/>
      <c r="BS469" s="5"/>
      <c r="BT469" s="5">
        <v>447</v>
      </c>
      <c r="BU469" s="413" t="s">
        <v>718</v>
      </c>
      <c r="BV469" s="145"/>
      <c r="BW469" s="146"/>
      <c r="BX469" s="145"/>
      <c r="BY469" s="145"/>
      <c r="BZ469" s="5"/>
      <c r="CA469" s="5">
        <v>447</v>
      </c>
      <c r="CB469" s="413" t="s">
        <v>718</v>
      </c>
      <c r="CC469" s="145"/>
      <c r="CD469" s="146"/>
      <c r="CE469" s="145"/>
      <c r="CF469" s="145"/>
      <c r="CG469" s="5"/>
      <c r="CH469" s="5"/>
      <c r="CI469" s="5"/>
    </row>
    <row r="470" spans="13:87" x14ac:dyDescent="0.2">
      <c r="M470" s="5">
        <v>448</v>
      </c>
      <c r="N470" s="413" t="str">
        <f t="shared" si="36"/>
        <v xml:space="preserve"> </v>
      </c>
      <c r="O470" s="414">
        <f t="shared" si="37"/>
        <v>0</v>
      </c>
      <c r="P470" s="414">
        <f t="shared" si="38"/>
        <v>0</v>
      </c>
      <c r="Q470" s="145">
        <f t="shared" si="41"/>
        <v>-8</v>
      </c>
      <c r="R470" s="414">
        <f t="shared" si="39"/>
        <v>0</v>
      </c>
      <c r="S470" s="414">
        <f t="shared" si="40"/>
        <v>0</v>
      </c>
      <c r="T470" s="19"/>
      <c r="U470" s="5"/>
      <c r="V470" s="5"/>
      <c r="W470" s="5">
        <v>448</v>
      </c>
      <c r="X470" s="144" t="s">
        <v>718</v>
      </c>
      <c r="Y470" s="145"/>
      <c r="Z470" s="146"/>
      <c r="AA470" s="145"/>
      <c r="AB470" s="145"/>
      <c r="AD470" s="5">
        <v>448</v>
      </c>
      <c r="AE470" s="413" t="s">
        <v>718</v>
      </c>
      <c r="AF470" s="145"/>
      <c r="AG470" s="146"/>
      <c r="AH470" s="145"/>
      <c r="AI470" s="145"/>
      <c r="AK470" s="5">
        <v>448</v>
      </c>
      <c r="AL470" s="413" t="s">
        <v>718</v>
      </c>
      <c r="AM470" s="145"/>
      <c r="AN470" s="146"/>
      <c r="AO470" s="145"/>
      <c r="AP470" s="145"/>
      <c r="AR470" s="5">
        <v>448</v>
      </c>
      <c r="AS470" s="413" t="s">
        <v>3242</v>
      </c>
      <c r="AT470" s="145">
        <v>180</v>
      </c>
      <c r="AU470" s="146">
        <v>3.4</v>
      </c>
      <c r="AV470" s="145">
        <v>3470</v>
      </c>
      <c r="AW470" s="145">
        <v>-13</v>
      </c>
      <c r="AY470" s="5">
        <v>448</v>
      </c>
      <c r="AZ470" s="413" t="s">
        <v>718</v>
      </c>
      <c r="BA470" s="145"/>
      <c r="BB470" s="146"/>
      <c r="BC470" s="145"/>
      <c r="BD470" s="145"/>
      <c r="BF470" s="5">
        <v>448</v>
      </c>
      <c r="BG470" s="413" t="s">
        <v>718</v>
      </c>
      <c r="BH470" s="145"/>
      <c r="BI470" s="146"/>
      <c r="BJ470" s="145"/>
      <c r="BK470" s="145"/>
      <c r="BM470" s="5">
        <v>448</v>
      </c>
      <c r="BN470" s="413" t="s">
        <v>718</v>
      </c>
      <c r="BO470" s="145"/>
      <c r="BP470" s="146"/>
      <c r="BQ470" s="145"/>
      <c r="BR470" s="145"/>
      <c r="BS470" s="5"/>
      <c r="BT470" s="5">
        <v>448</v>
      </c>
      <c r="BU470" s="413" t="s">
        <v>718</v>
      </c>
      <c r="BV470" s="145"/>
      <c r="BW470" s="146"/>
      <c r="BX470" s="145"/>
      <c r="BY470" s="145"/>
      <c r="BZ470" s="5"/>
      <c r="CA470" s="5">
        <v>448</v>
      </c>
      <c r="CB470" s="413" t="s">
        <v>718</v>
      </c>
      <c r="CC470" s="145"/>
      <c r="CD470" s="146"/>
      <c r="CE470" s="145"/>
      <c r="CF470" s="145"/>
      <c r="CG470" s="5"/>
      <c r="CH470" s="5"/>
      <c r="CI470" s="5"/>
    </row>
    <row r="471" spans="13:87" x14ac:dyDescent="0.2">
      <c r="M471" s="5">
        <v>449</v>
      </c>
      <c r="N471" s="413" t="str">
        <f t="shared" ref="N471:N534" si="42">INDEX(X$23:CG$723,$M471,(Bundesland-1)*7+1)</f>
        <v xml:space="preserve"> </v>
      </c>
      <c r="O471" s="414">
        <f t="shared" ref="O471:O534" si="43">INDEX(Y$23:CH$723,$M471,(Bundesland-1)*7+1)</f>
        <v>0</v>
      </c>
      <c r="P471" s="414">
        <f t="shared" ref="P471:P534" si="44">INDEX(Z$23:CI$723,$M471,(Bundesland-1)*7+1)</f>
        <v>0</v>
      </c>
      <c r="Q471" s="145">
        <f t="shared" si="41"/>
        <v>-8</v>
      </c>
      <c r="R471" s="414">
        <f t="shared" ref="R471:R534" si="45">INDEX(AA$23:CK$723,$M471,(Bundesland-1)*7+1)</f>
        <v>0</v>
      </c>
      <c r="S471" s="414">
        <f t="shared" ref="S471:S534" si="46">INDEX(AB$23:CL$723,$M471,(Bundesland-1)*7+1)</f>
        <v>0</v>
      </c>
      <c r="T471" s="19"/>
      <c r="U471" s="5"/>
      <c r="V471" s="5"/>
      <c r="W471" s="5">
        <v>449</v>
      </c>
      <c r="X471" s="144" t="s">
        <v>718</v>
      </c>
      <c r="Y471" s="145"/>
      <c r="Z471" s="146"/>
      <c r="AA471" s="145"/>
      <c r="AB471" s="145"/>
      <c r="AD471" s="5">
        <v>449</v>
      </c>
      <c r="AE471" s="413" t="s">
        <v>718</v>
      </c>
      <c r="AF471" s="145"/>
      <c r="AG471" s="146"/>
      <c r="AH471" s="145"/>
      <c r="AI471" s="145"/>
      <c r="AK471" s="5">
        <v>449</v>
      </c>
      <c r="AL471" s="413" t="s">
        <v>718</v>
      </c>
      <c r="AM471" s="145"/>
      <c r="AN471" s="146"/>
      <c r="AO471" s="145"/>
      <c r="AP471" s="145"/>
      <c r="AR471" s="5">
        <v>449</v>
      </c>
      <c r="AS471" s="413" t="s">
        <v>3243</v>
      </c>
      <c r="AT471" s="145">
        <v>400</v>
      </c>
      <c r="AU471" s="146">
        <v>3.13</v>
      </c>
      <c r="AV471" s="145">
        <v>3947</v>
      </c>
      <c r="AW471" s="145">
        <v>-15</v>
      </c>
      <c r="AY471" s="5">
        <v>449</v>
      </c>
      <c r="AZ471" s="413" t="s">
        <v>718</v>
      </c>
      <c r="BA471" s="145"/>
      <c r="BB471" s="146"/>
      <c r="BC471" s="145"/>
      <c r="BD471" s="145"/>
      <c r="BF471" s="5">
        <v>449</v>
      </c>
      <c r="BG471" s="413" t="s">
        <v>718</v>
      </c>
      <c r="BH471" s="145"/>
      <c r="BI471" s="146"/>
      <c r="BJ471" s="145"/>
      <c r="BK471" s="145"/>
      <c r="BM471" s="5">
        <v>449</v>
      </c>
      <c r="BN471" s="413" t="s">
        <v>718</v>
      </c>
      <c r="BO471" s="145"/>
      <c r="BP471" s="146"/>
      <c r="BQ471" s="145"/>
      <c r="BR471" s="145"/>
      <c r="BS471" s="5"/>
      <c r="BT471" s="5">
        <v>449</v>
      </c>
      <c r="BU471" s="413" t="s">
        <v>718</v>
      </c>
      <c r="BV471" s="145"/>
      <c r="BW471" s="146"/>
      <c r="BX471" s="145"/>
      <c r="BY471" s="145"/>
      <c r="BZ471" s="5"/>
      <c r="CA471" s="5">
        <v>449</v>
      </c>
      <c r="CB471" s="413" t="s">
        <v>718</v>
      </c>
      <c r="CC471" s="145"/>
      <c r="CD471" s="146"/>
      <c r="CE471" s="145"/>
      <c r="CF471" s="145"/>
      <c r="CG471" s="5"/>
      <c r="CH471" s="5"/>
      <c r="CI471" s="5"/>
    </row>
    <row r="472" spans="13:87" x14ac:dyDescent="0.2">
      <c r="M472" s="5">
        <v>450</v>
      </c>
      <c r="N472" s="413" t="str">
        <f t="shared" si="42"/>
        <v xml:space="preserve"> </v>
      </c>
      <c r="O472" s="414">
        <f t="shared" si="43"/>
        <v>0</v>
      </c>
      <c r="P472" s="414">
        <f t="shared" si="44"/>
        <v>0</v>
      </c>
      <c r="Q472" s="145">
        <f t="shared" ref="Q472:Q535" si="47">MIN(S472+Zuschlag_A,-8)</f>
        <v>-8</v>
      </c>
      <c r="R472" s="414">
        <f t="shared" si="45"/>
        <v>0</v>
      </c>
      <c r="S472" s="414">
        <f t="shared" si="46"/>
        <v>0</v>
      </c>
      <c r="T472" s="19"/>
      <c r="U472" s="5"/>
      <c r="V472" s="5"/>
      <c r="W472" s="5">
        <v>450</v>
      </c>
      <c r="X472" s="144" t="s">
        <v>718</v>
      </c>
      <c r="Y472" s="145"/>
      <c r="Z472" s="146"/>
      <c r="AA472" s="145"/>
      <c r="AB472" s="145"/>
      <c r="AD472" s="5">
        <v>450</v>
      </c>
      <c r="AE472" s="413" t="s">
        <v>718</v>
      </c>
      <c r="AF472" s="145"/>
      <c r="AG472" s="146"/>
      <c r="AH472" s="145"/>
      <c r="AI472" s="145"/>
      <c r="AK472" s="5">
        <v>450</v>
      </c>
      <c r="AL472" s="413" t="s">
        <v>718</v>
      </c>
      <c r="AM472" s="145"/>
      <c r="AN472" s="146"/>
      <c r="AO472" s="145"/>
      <c r="AP472" s="145"/>
      <c r="AR472" s="5">
        <v>450</v>
      </c>
      <c r="AS472" s="413" t="s">
        <v>3244</v>
      </c>
      <c r="AT472" s="145">
        <v>245</v>
      </c>
      <c r="AU472" s="146">
        <v>3.26</v>
      </c>
      <c r="AV472" s="145">
        <v>3633</v>
      </c>
      <c r="AW472" s="145">
        <v>-14</v>
      </c>
      <c r="AY472" s="5">
        <v>450</v>
      </c>
      <c r="AZ472" s="413" t="s">
        <v>718</v>
      </c>
      <c r="BA472" s="145"/>
      <c r="BB472" s="146"/>
      <c r="BC472" s="145"/>
      <c r="BD472" s="145"/>
      <c r="BF472" s="5">
        <v>450</v>
      </c>
      <c r="BG472" s="413" t="s">
        <v>718</v>
      </c>
      <c r="BH472" s="145"/>
      <c r="BI472" s="146"/>
      <c r="BJ472" s="145"/>
      <c r="BK472" s="145"/>
      <c r="BM472" s="5">
        <v>450</v>
      </c>
      <c r="BN472" s="413" t="s">
        <v>718</v>
      </c>
      <c r="BO472" s="145"/>
      <c r="BP472" s="146"/>
      <c r="BQ472" s="145"/>
      <c r="BR472" s="145"/>
      <c r="BS472" s="5"/>
      <c r="BT472" s="5">
        <v>450</v>
      </c>
      <c r="BU472" s="413" t="s">
        <v>718</v>
      </c>
      <c r="BV472" s="145"/>
      <c r="BW472" s="146"/>
      <c r="BX472" s="145"/>
      <c r="BY472" s="145"/>
      <c r="BZ472" s="5"/>
      <c r="CA472" s="5">
        <v>450</v>
      </c>
      <c r="CB472" s="413" t="s">
        <v>718</v>
      </c>
      <c r="CC472" s="145"/>
      <c r="CD472" s="146"/>
      <c r="CE472" s="145"/>
      <c r="CF472" s="145"/>
      <c r="CG472" s="5"/>
      <c r="CH472" s="5"/>
      <c r="CI472" s="5"/>
    </row>
    <row r="473" spans="13:87" x14ac:dyDescent="0.2">
      <c r="M473" s="5">
        <v>451</v>
      </c>
      <c r="N473" s="413" t="str">
        <f t="shared" si="42"/>
        <v xml:space="preserve"> </v>
      </c>
      <c r="O473" s="414">
        <f t="shared" si="43"/>
        <v>0</v>
      </c>
      <c r="P473" s="414">
        <f t="shared" si="44"/>
        <v>0</v>
      </c>
      <c r="Q473" s="145">
        <f t="shared" si="47"/>
        <v>-8</v>
      </c>
      <c r="R473" s="414">
        <f t="shared" si="45"/>
        <v>0</v>
      </c>
      <c r="S473" s="414">
        <f t="shared" si="46"/>
        <v>0</v>
      </c>
      <c r="T473" s="19"/>
      <c r="U473" s="5"/>
      <c r="V473" s="5"/>
      <c r="W473" s="5">
        <v>451</v>
      </c>
      <c r="X473" s="144" t="s">
        <v>718</v>
      </c>
      <c r="Y473" s="145"/>
      <c r="Z473" s="146"/>
      <c r="AA473" s="145"/>
      <c r="AB473" s="145"/>
      <c r="AD473" s="5">
        <v>451</v>
      </c>
      <c r="AE473" s="413" t="s">
        <v>718</v>
      </c>
      <c r="AF473" s="145"/>
      <c r="AG473" s="146"/>
      <c r="AH473" s="145"/>
      <c r="AI473" s="145"/>
      <c r="AK473" s="5">
        <v>451</v>
      </c>
      <c r="AL473" s="413" t="s">
        <v>718</v>
      </c>
      <c r="AM473" s="145"/>
      <c r="AN473" s="146"/>
      <c r="AO473" s="145"/>
      <c r="AP473" s="145"/>
      <c r="AR473" s="5">
        <v>451</v>
      </c>
      <c r="AS473" s="413" t="s">
        <v>3245</v>
      </c>
      <c r="AT473" s="145">
        <v>500</v>
      </c>
      <c r="AU473" s="146">
        <v>2.99</v>
      </c>
      <c r="AV473" s="145">
        <v>4133</v>
      </c>
      <c r="AW473" s="145">
        <v>-16</v>
      </c>
      <c r="AY473" s="5">
        <v>451</v>
      </c>
      <c r="AZ473" s="413" t="s">
        <v>718</v>
      </c>
      <c r="BA473" s="145"/>
      <c r="BB473" s="146"/>
      <c r="BC473" s="145"/>
      <c r="BD473" s="145"/>
      <c r="BF473" s="5">
        <v>451</v>
      </c>
      <c r="BG473" s="413" t="s">
        <v>718</v>
      </c>
      <c r="BH473" s="145"/>
      <c r="BI473" s="146"/>
      <c r="BJ473" s="145"/>
      <c r="BK473" s="145"/>
      <c r="BM473" s="5">
        <v>451</v>
      </c>
      <c r="BN473" s="413" t="s">
        <v>718</v>
      </c>
      <c r="BO473" s="145"/>
      <c r="BP473" s="146"/>
      <c r="BQ473" s="145"/>
      <c r="BR473" s="145"/>
      <c r="BS473" s="5"/>
      <c r="BT473" s="5">
        <v>451</v>
      </c>
      <c r="BU473" s="413" t="s">
        <v>718</v>
      </c>
      <c r="BV473" s="145"/>
      <c r="BW473" s="146"/>
      <c r="BX473" s="145"/>
      <c r="BY473" s="145"/>
      <c r="BZ473" s="5"/>
      <c r="CA473" s="5">
        <v>451</v>
      </c>
      <c r="CB473" s="413" t="s">
        <v>718</v>
      </c>
      <c r="CC473" s="145"/>
      <c r="CD473" s="146"/>
      <c r="CE473" s="145"/>
      <c r="CF473" s="145"/>
      <c r="CG473" s="5"/>
      <c r="CH473" s="5"/>
      <c r="CI473" s="5"/>
    </row>
    <row r="474" spans="13:87" x14ac:dyDescent="0.2">
      <c r="M474" s="5">
        <v>452</v>
      </c>
      <c r="N474" s="413" t="str">
        <f t="shared" si="42"/>
        <v xml:space="preserve"> </v>
      </c>
      <c r="O474" s="414">
        <f t="shared" si="43"/>
        <v>0</v>
      </c>
      <c r="P474" s="414">
        <f t="shared" si="44"/>
        <v>0</v>
      </c>
      <c r="Q474" s="145">
        <f t="shared" si="47"/>
        <v>-8</v>
      </c>
      <c r="R474" s="414">
        <f t="shared" si="45"/>
        <v>0</v>
      </c>
      <c r="S474" s="414">
        <f t="shared" si="46"/>
        <v>0</v>
      </c>
      <c r="T474" s="19"/>
      <c r="U474" s="5"/>
      <c r="V474" s="5"/>
      <c r="W474" s="5">
        <v>452</v>
      </c>
      <c r="X474" s="144" t="s">
        <v>718</v>
      </c>
      <c r="Y474" s="145"/>
      <c r="Z474" s="146"/>
      <c r="AA474" s="145"/>
      <c r="AB474" s="145"/>
      <c r="AD474" s="5">
        <v>452</v>
      </c>
      <c r="AE474" s="413" t="s">
        <v>718</v>
      </c>
      <c r="AF474" s="145"/>
      <c r="AG474" s="146"/>
      <c r="AH474" s="145"/>
      <c r="AI474" s="145"/>
      <c r="AK474" s="5">
        <v>452</v>
      </c>
      <c r="AL474" s="413" t="s">
        <v>718</v>
      </c>
      <c r="AM474" s="145"/>
      <c r="AN474" s="146"/>
      <c r="AO474" s="145"/>
      <c r="AP474" s="145"/>
      <c r="AR474" s="5">
        <v>452</v>
      </c>
      <c r="AS474" s="413" t="s">
        <v>3246</v>
      </c>
      <c r="AT474" s="145">
        <v>300</v>
      </c>
      <c r="AU474" s="146">
        <v>3.22</v>
      </c>
      <c r="AV474" s="145">
        <v>3725</v>
      </c>
      <c r="AW474" s="145">
        <v>-14</v>
      </c>
      <c r="AY474" s="5">
        <v>452</v>
      </c>
      <c r="AZ474" s="413" t="s">
        <v>718</v>
      </c>
      <c r="BA474" s="145"/>
      <c r="BB474" s="146"/>
      <c r="BC474" s="145"/>
      <c r="BD474" s="145"/>
      <c r="BF474" s="5">
        <v>452</v>
      </c>
      <c r="BG474" s="413" t="s">
        <v>718</v>
      </c>
      <c r="BH474" s="145"/>
      <c r="BI474" s="146"/>
      <c r="BJ474" s="145"/>
      <c r="BK474" s="145"/>
      <c r="BM474" s="5">
        <v>452</v>
      </c>
      <c r="BN474" s="413" t="s">
        <v>718</v>
      </c>
      <c r="BO474" s="145"/>
      <c r="BP474" s="146"/>
      <c r="BQ474" s="145"/>
      <c r="BR474" s="145"/>
      <c r="BS474" s="5"/>
      <c r="BT474" s="5">
        <v>452</v>
      </c>
      <c r="BU474" s="413" t="s">
        <v>718</v>
      </c>
      <c r="BV474" s="145"/>
      <c r="BW474" s="146"/>
      <c r="BX474" s="145"/>
      <c r="BY474" s="145"/>
      <c r="BZ474" s="5"/>
      <c r="CA474" s="5">
        <v>452</v>
      </c>
      <c r="CB474" s="413" t="s">
        <v>718</v>
      </c>
      <c r="CC474" s="145"/>
      <c r="CD474" s="146"/>
      <c r="CE474" s="145"/>
      <c r="CF474" s="145"/>
      <c r="CG474" s="5"/>
      <c r="CH474" s="5"/>
      <c r="CI474" s="5"/>
    </row>
    <row r="475" spans="13:87" x14ac:dyDescent="0.2">
      <c r="M475" s="5">
        <v>453</v>
      </c>
      <c r="N475" s="413" t="str">
        <f t="shared" si="42"/>
        <v xml:space="preserve"> </v>
      </c>
      <c r="O475" s="414">
        <f t="shared" si="43"/>
        <v>0</v>
      </c>
      <c r="P475" s="414">
        <f t="shared" si="44"/>
        <v>0</v>
      </c>
      <c r="Q475" s="145">
        <f t="shared" si="47"/>
        <v>-8</v>
      </c>
      <c r="R475" s="414">
        <f t="shared" si="45"/>
        <v>0</v>
      </c>
      <c r="S475" s="414">
        <f t="shared" si="46"/>
        <v>0</v>
      </c>
      <c r="T475" s="19"/>
      <c r="U475" s="5"/>
      <c r="V475" s="5"/>
      <c r="W475" s="5">
        <v>453</v>
      </c>
      <c r="X475" s="144" t="s">
        <v>718</v>
      </c>
      <c r="Y475" s="145"/>
      <c r="Z475" s="146"/>
      <c r="AA475" s="145"/>
      <c r="AB475" s="145"/>
      <c r="AD475" s="5">
        <v>453</v>
      </c>
      <c r="AE475" s="413" t="s">
        <v>718</v>
      </c>
      <c r="AF475" s="145"/>
      <c r="AG475" s="146"/>
      <c r="AH475" s="145"/>
      <c r="AI475" s="145"/>
      <c r="AK475" s="5">
        <v>453</v>
      </c>
      <c r="AL475" s="413" t="s">
        <v>718</v>
      </c>
      <c r="AM475" s="145"/>
      <c r="AN475" s="146"/>
      <c r="AO475" s="145"/>
      <c r="AP475" s="145"/>
      <c r="AR475" s="5">
        <v>453</v>
      </c>
      <c r="AS475" s="413" t="s">
        <v>3247</v>
      </c>
      <c r="AT475" s="145">
        <v>377</v>
      </c>
      <c r="AU475" s="146">
        <v>3.1</v>
      </c>
      <c r="AV475" s="145">
        <v>3937</v>
      </c>
      <c r="AW475" s="145">
        <v>-15</v>
      </c>
      <c r="AY475" s="5">
        <v>453</v>
      </c>
      <c r="AZ475" s="413" t="s">
        <v>718</v>
      </c>
      <c r="BA475" s="145"/>
      <c r="BB475" s="146"/>
      <c r="BC475" s="145"/>
      <c r="BD475" s="145"/>
      <c r="BF475" s="5">
        <v>453</v>
      </c>
      <c r="BG475" s="413" t="s">
        <v>718</v>
      </c>
      <c r="BH475" s="145"/>
      <c r="BI475" s="146"/>
      <c r="BJ475" s="145"/>
      <c r="BK475" s="145"/>
      <c r="BM475" s="5">
        <v>453</v>
      </c>
      <c r="BN475" s="413" t="s">
        <v>718</v>
      </c>
      <c r="BO475" s="145"/>
      <c r="BP475" s="146"/>
      <c r="BQ475" s="145"/>
      <c r="BR475" s="145"/>
      <c r="BS475" s="5"/>
      <c r="BT475" s="5">
        <v>453</v>
      </c>
      <c r="BU475" s="413" t="s">
        <v>718</v>
      </c>
      <c r="BV475" s="145"/>
      <c r="BW475" s="146"/>
      <c r="BX475" s="145"/>
      <c r="BY475" s="145"/>
      <c r="BZ475" s="5"/>
      <c r="CA475" s="5">
        <v>453</v>
      </c>
      <c r="CB475" s="413" t="s">
        <v>718</v>
      </c>
      <c r="CC475" s="145"/>
      <c r="CD475" s="146"/>
      <c r="CE475" s="145"/>
      <c r="CF475" s="145"/>
      <c r="CG475" s="5"/>
      <c r="CH475" s="5"/>
      <c r="CI475" s="5"/>
    </row>
    <row r="476" spans="13:87" x14ac:dyDescent="0.2">
      <c r="M476" s="5">
        <v>454</v>
      </c>
      <c r="N476" s="413" t="str">
        <f t="shared" si="42"/>
        <v xml:space="preserve"> </v>
      </c>
      <c r="O476" s="414">
        <f t="shared" si="43"/>
        <v>0</v>
      </c>
      <c r="P476" s="414">
        <f t="shared" si="44"/>
        <v>0</v>
      </c>
      <c r="Q476" s="145">
        <f t="shared" si="47"/>
        <v>-8</v>
      </c>
      <c r="R476" s="414">
        <f t="shared" si="45"/>
        <v>0</v>
      </c>
      <c r="S476" s="414">
        <f t="shared" si="46"/>
        <v>0</v>
      </c>
      <c r="T476" s="19"/>
      <c r="U476" s="5"/>
      <c r="V476" s="5"/>
      <c r="W476" s="5">
        <v>454</v>
      </c>
      <c r="X476" s="144" t="s">
        <v>718</v>
      </c>
      <c r="Y476" s="145"/>
      <c r="Z476" s="146"/>
      <c r="AA476" s="145"/>
      <c r="AB476" s="145"/>
      <c r="AD476" s="5">
        <v>454</v>
      </c>
      <c r="AE476" s="413" t="s">
        <v>718</v>
      </c>
      <c r="AF476" s="145"/>
      <c r="AG476" s="146"/>
      <c r="AH476" s="145"/>
      <c r="AI476" s="145"/>
      <c r="AK476" s="5">
        <v>454</v>
      </c>
      <c r="AL476" s="413" t="s">
        <v>718</v>
      </c>
      <c r="AM476" s="145"/>
      <c r="AN476" s="146"/>
      <c r="AO476" s="145"/>
      <c r="AP476" s="145"/>
      <c r="AR476" s="5">
        <v>454</v>
      </c>
      <c r="AS476" s="413" t="s">
        <v>3248</v>
      </c>
      <c r="AT476" s="145">
        <v>248</v>
      </c>
      <c r="AU476" s="146">
        <v>3.03</v>
      </c>
      <c r="AV476" s="145">
        <v>3870</v>
      </c>
      <c r="AW476" s="145">
        <v>-14</v>
      </c>
      <c r="AY476" s="5">
        <v>454</v>
      </c>
      <c r="AZ476" s="413" t="s">
        <v>718</v>
      </c>
      <c r="BA476" s="145"/>
      <c r="BB476" s="146"/>
      <c r="BC476" s="145"/>
      <c r="BD476" s="145"/>
      <c r="BF476" s="5">
        <v>454</v>
      </c>
      <c r="BG476" s="413" t="s">
        <v>718</v>
      </c>
      <c r="BH476" s="145"/>
      <c r="BI476" s="146"/>
      <c r="BJ476" s="145"/>
      <c r="BK476" s="145"/>
      <c r="BM476" s="5">
        <v>454</v>
      </c>
      <c r="BN476" s="413" t="s">
        <v>718</v>
      </c>
      <c r="BO476" s="145"/>
      <c r="BP476" s="146"/>
      <c r="BQ476" s="145"/>
      <c r="BR476" s="145"/>
      <c r="BS476" s="5"/>
      <c r="BT476" s="5">
        <v>454</v>
      </c>
      <c r="BU476" s="413" t="s">
        <v>718</v>
      </c>
      <c r="BV476" s="145"/>
      <c r="BW476" s="146"/>
      <c r="BX476" s="145"/>
      <c r="BY476" s="145"/>
      <c r="BZ476" s="5"/>
      <c r="CA476" s="5">
        <v>454</v>
      </c>
      <c r="CB476" s="413" t="s">
        <v>718</v>
      </c>
      <c r="CC476" s="145"/>
      <c r="CD476" s="146"/>
      <c r="CE476" s="145"/>
      <c r="CF476" s="145"/>
      <c r="CG476" s="5"/>
      <c r="CH476" s="5"/>
      <c r="CI476" s="5"/>
    </row>
    <row r="477" spans="13:87" x14ac:dyDescent="0.2">
      <c r="M477" s="5">
        <v>455</v>
      </c>
      <c r="N477" s="413" t="str">
        <f t="shared" si="42"/>
        <v xml:space="preserve"> </v>
      </c>
      <c r="O477" s="414">
        <f t="shared" si="43"/>
        <v>0</v>
      </c>
      <c r="P477" s="414">
        <f t="shared" si="44"/>
        <v>0</v>
      </c>
      <c r="Q477" s="145">
        <f t="shared" si="47"/>
        <v>-8</v>
      </c>
      <c r="R477" s="414">
        <f t="shared" si="45"/>
        <v>0</v>
      </c>
      <c r="S477" s="414">
        <f t="shared" si="46"/>
        <v>0</v>
      </c>
      <c r="T477" s="19"/>
      <c r="U477" s="5"/>
      <c r="V477" s="5"/>
      <c r="W477" s="5">
        <v>455</v>
      </c>
      <c r="X477" s="144" t="s">
        <v>718</v>
      </c>
      <c r="Y477" s="145"/>
      <c r="Z477" s="146"/>
      <c r="AA477" s="145"/>
      <c r="AB477" s="145"/>
      <c r="AD477" s="5">
        <v>455</v>
      </c>
      <c r="AE477" s="413" t="s">
        <v>718</v>
      </c>
      <c r="AF477" s="145"/>
      <c r="AG477" s="146"/>
      <c r="AH477" s="145"/>
      <c r="AI477" s="145"/>
      <c r="AK477" s="5">
        <v>455</v>
      </c>
      <c r="AL477" s="413" t="s">
        <v>718</v>
      </c>
      <c r="AM477" s="145"/>
      <c r="AN477" s="146"/>
      <c r="AO477" s="145"/>
      <c r="AP477" s="145"/>
      <c r="AR477" s="5">
        <v>455</v>
      </c>
      <c r="AS477" s="413" t="s">
        <v>3249</v>
      </c>
      <c r="AT477" s="145">
        <v>580</v>
      </c>
      <c r="AU477" s="146">
        <v>2.19</v>
      </c>
      <c r="AV477" s="145">
        <v>4578</v>
      </c>
      <c r="AW477" s="145">
        <v>-16</v>
      </c>
      <c r="AY477" s="5">
        <v>455</v>
      </c>
      <c r="AZ477" s="413" t="s">
        <v>718</v>
      </c>
      <c r="BA477" s="145"/>
      <c r="BB477" s="146"/>
      <c r="BC477" s="145"/>
      <c r="BD477" s="145"/>
      <c r="BF477" s="5">
        <v>455</v>
      </c>
      <c r="BG477" s="413" t="s">
        <v>718</v>
      </c>
      <c r="BH477" s="145"/>
      <c r="BI477" s="146"/>
      <c r="BJ477" s="145"/>
      <c r="BK477" s="145"/>
      <c r="BM477" s="5">
        <v>455</v>
      </c>
      <c r="BN477" s="413" t="s">
        <v>718</v>
      </c>
      <c r="BO477" s="145"/>
      <c r="BP477" s="146"/>
      <c r="BQ477" s="145"/>
      <c r="BR477" s="145"/>
      <c r="BS477" s="5"/>
      <c r="BT477" s="5">
        <v>455</v>
      </c>
      <c r="BU477" s="413" t="s">
        <v>718</v>
      </c>
      <c r="BV477" s="145"/>
      <c r="BW477" s="146"/>
      <c r="BX477" s="145"/>
      <c r="BY477" s="145"/>
      <c r="BZ477" s="5"/>
      <c r="CA477" s="5">
        <v>455</v>
      </c>
      <c r="CB477" s="413" t="s">
        <v>718</v>
      </c>
      <c r="CC477" s="145"/>
      <c r="CD477" s="146"/>
      <c r="CE477" s="145"/>
      <c r="CF477" s="145"/>
      <c r="CG477" s="5"/>
      <c r="CH477" s="5"/>
      <c r="CI477" s="5"/>
    </row>
    <row r="478" spans="13:87" x14ac:dyDescent="0.2">
      <c r="M478" s="5">
        <v>456</v>
      </c>
      <c r="N478" s="413" t="str">
        <f t="shared" si="42"/>
        <v xml:space="preserve"> </v>
      </c>
      <c r="O478" s="414">
        <f t="shared" si="43"/>
        <v>0</v>
      </c>
      <c r="P478" s="414">
        <f t="shared" si="44"/>
        <v>0</v>
      </c>
      <c r="Q478" s="145">
        <f t="shared" si="47"/>
        <v>-8</v>
      </c>
      <c r="R478" s="414">
        <f t="shared" si="45"/>
        <v>0</v>
      </c>
      <c r="S478" s="414">
        <f t="shared" si="46"/>
        <v>0</v>
      </c>
      <c r="T478" s="19"/>
      <c r="U478" s="5"/>
      <c r="V478" s="5"/>
      <c r="W478" s="5">
        <v>456</v>
      </c>
      <c r="X478" s="144" t="s">
        <v>718</v>
      </c>
      <c r="Y478" s="145"/>
      <c r="Z478" s="146"/>
      <c r="AA478" s="145"/>
      <c r="AB478" s="145"/>
      <c r="AD478" s="5">
        <v>456</v>
      </c>
      <c r="AE478" s="413" t="s">
        <v>718</v>
      </c>
      <c r="AF478" s="145"/>
      <c r="AG478" s="146"/>
      <c r="AH478" s="145"/>
      <c r="AI478" s="145"/>
      <c r="AK478" s="5">
        <v>456</v>
      </c>
      <c r="AL478" s="413" t="s">
        <v>718</v>
      </c>
      <c r="AM478" s="145"/>
      <c r="AN478" s="146"/>
      <c r="AO478" s="145"/>
      <c r="AP478" s="145"/>
      <c r="AR478" s="5">
        <v>456</v>
      </c>
      <c r="AS478" s="413" t="s">
        <v>3250</v>
      </c>
      <c r="AT478" s="145">
        <v>261</v>
      </c>
      <c r="AU478" s="146">
        <v>3.28</v>
      </c>
      <c r="AV478" s="145">
        <v>3695</v>
      </c>
      <c r="AW478" s="145">
        <v>-14</v>
      </c>
      <c r="AY478" s="5">
        <v>456</v>
      </c>
      <c r="AZ478" s="413" t="s">
        <v>718</v>
      </c>
      <c r="BA478" s="145"/>
      <c r="BB478" s="146"/>
      <c r="BC478" s="145"/>
      <c r="BD478" s="145"/>
      <c r="BF478" s="5">
        <v>456</v>
      </c>
      <c r="BG478" s="413" t="s">
        <v>718</v>
      </c>
      <c r="BH478" s="145"/>
      <c r="BI478" s="146"/>
      <c r="BJ478" s="145"/>
      <c r="BK478" s="145"/>
      <c r="BM478" s="5">
        <v>456</v>
      </c>
      <c r="BN478" s="413" t="s">
        <v>718</v>
      </c>
      <c r="BO478" s="145"/>
      <c r="BP478" s="146"/>
      <c r="BQ478" s="145"/>
      <c r="BR478" s="145"/>
      <c r="BS478" s="5"/>
      <c r="BT478" s="5">
        <v>456</v>
      </c>
      <c r="BU478" s="413" t="s">
        <v>718</v>
      </c>
      <c r="BV478" s="145"/>
      <c r="BW478" s="146"/>
      <c r="BX478" s="145"/>
      <c r="BY478" s="145"/>
      <c r="BZ478" s="5"/>
      <c r="CA478" s="5">
        <v>456</v>
      </c>
      <c r="CB478" s="413" t="s">
        <v>718</v>
      </c>
      <c r="CC478" s="145"/>
      <c r="CD478" s="146"/>
      <c r="CE478" s="145"/>
      <c r="CF478" s="145"/>
      <c r="CG478" s="5"/>
      <c r="CH478" s="5"/>
      <c r="CI478" s="5"/>
    </row>
    <row r="479" spans="13:87" x14ac:dyDescent="0.2">
      <c r="M479" s="5">
        <v>457</v>
      </c>
      <c r="N479" s="413" t="str">
        <f t="shared" si="42"/>
        <v xml:space="preserve"> </v>
      </c>
      <c r="O479" s="414">
        <f t="shared" si="43"/>
        <v>0</v>
      </c>
      <c r="P479" s="414">
        <f t="shared" si="44"/>
        <v>0</v>
      </c>
      <c r="Q479" s="145">
        <f t="shared" si="47"/>
        <v>-8</v>
      </c>
      <c r="R479" s="414">
        <f t="shared" si="45"/>
        <v>0</v>
      </c>
      <c r="S479" s="414">
        <f t="shared" si="46"/>
        <v>0</v>
      </c>
      <c r="T479" s="19"/>
      <c r="U479" s="5"/>
      <c r="V479" s="5"/>
      <c r="W479" s="5">
        <v>457</v>
      </c>
      <c r="X479" s="144" t="s">
        <v>718</v>
      </c>
      <c r="Y479" s="145"/>
      <c r="Z479" s="146"/>
      <c r="AA479" s="145"/>
      <c r="AB479" s="145"/>
      <c r="AD479" s="5">
        <v>457</v>
      </c>
      <c r="AE479" s="413" t="s">
        <v>718</v>
      </c>
      <c r="AF479" s="145"/>
      <c r="AG479" s="146"/>
      <c r="AH479" s="145"/>
      <c r="AI479" s="145"/>
      <c r="AK479" s="5">
        <v>457</v>
      </c>
      <c r="AL479" s="413" t="s">
        <v>718</v>
      </c>
      <c r="AM479" s="145"/>
      <c r="AN479" s="146"/>
      <c r="AO479" s="145"/>
      <c r="AP479" s="145"/>
      <c r="AR479" s="5">
        <v>457</v>
      </c>
      <c r="AS479" s="413" t="s">
        <v>3251</v>
      </c>
      <c r="AT479" s="145">
        <v>620</v>
      </c>
      <c r="AU479" s="146">
        <v>2.54</v>
      </c>
      <c r="AV479" s="145">
        <v>4434</v>
      </c>
      <c r="AW479" s="145">
        <v>-17</v>
      </c>
      <c r="AY479" s="5">
        <v>457</v>
      </c>
      <c r="AZ479" s="413" t="s">
        <v>718</v>
      </c>
      <c r="BA479" s="145"/>
      <c r="BB479" s="146"/>
      <c r="BC479" s="145"/>
      <c r="BD479" s="145"/>
      <c r="BF479" s="5">
        <v>457</v>
      </c>
      <c r="BG479" s="413" t="s">
        <v>718</v>
      </c>
      <c r="BH479" s="145"/>
      <c r="BI479" s="146"/>
      <c r="BJ479" s="145"/>
      <c r="BK479" s="145"/>
      <c r="BM479" s="5">
        <v>457</v>
      </c>
      <c r="BN479" s="413" t="s">
        <v>718</v>
      </c>
      <c r="BO479" s="145"/>
      <c r="BP479" s="146"/>
      <c r="BQ479" s="145"/>
      <c r="BR479" s="145"/>
      <c r="BS479" s="5"/>
      <c r="BT479" s="5">
        <v>457</v>
      </c>
      <c r="BU479" s="413" t="s">
        <v>718</v>
      </c>
      <c r="BV479" s="145"/>
      <c r="BW479" s="146"/>
      <c r="BX479" s="145"/>
      <c r="BY479" s="145"/>
      <c r="BZ479" s="5"/>
      <c r="CA479" s="5">
        <v>457</v>
      </c>
      <c r="CB479" s="413" t="s">
        <v>718</v>
      </c>
      <c r="CC479" s="145"/>
      <c r="CD479" s="146"/>
      <c r="CE479" s="145"/>
      <c r="CF479" s="145"/>
      <c r="CG479" s="5"/>
      <c r="CH479" s="5"/>
      <c r="CI479" s="5"/>
    </row>
    <row r="480" spans="13:87" x14ac:dyDescent="0.2">
      <c r="M480" s="5">
        <v>458</v>
      </c>
      <c r="N480" s="413" t="str">
        <f t="shared" si="42"/>
        <v xml:space="preserve"> </v>
      </c>
      <c r="O480" s="414">
        <f t="shared" si="43"/>
        <v>0</v>
      </c>
      <c r="P480" s="414">
        <f t="shared" si="44"/>
        <v>0</v>
      </c>
      <c r="Q480" s="145">
        <f t="shared" si="47"/>
        <v>-8</v>
      </c>
      <c r="R480" s="414">
        <f t="shared" si="45"/>
        <v>0</v>
      </c>
      <c r="S480" s="414">
        <f t="shared" si="46"/>
        <v>0</v>
      </c>
      <c r="T480" s="19"/>
      <c r="U480" s="5"/>
      <c r="V480" s="5"/>
      <c r="W480" s="5">
        <v>458</v>
      </c>
      <c r="X480" s="144" t="s">
        <v>718</v>
      </c>
      <c r="Y480" s="145"/>
      <c r="Z480" s="146"/>
      <c r="AA480" s="145"/>
      <c r="AB480" s="145"/>
      <c r="AD480" s="5">
        <v>458</v>
      </c>
      <c r="AE480" s="413" t="s">
        <v>718</v>
      </c>
      <c r="AF480" s="145"/>
      <c r="AG480" s="146"/>
      <c r="AH480" s="145"/>
      <c r="AI480" s="145"/>
      <c r="AK480" s="5">
        <v>458</v>
      </c>
      <c r="AL480" s="413" t="s">
        <v>718</v>
      </c>
      <c r="AM480" s="145"/>
      <c r="AN480" s="146"/>
      <c r="AO480" s="145"/>
      <c r="AP480" s="145"/>
      <c r="AR480" s="5">
        <v>458</v>
      </c>
      <c r="AS480" s="413" t="s">
        <v>3252</v>
      </c>
      <c r="AT480" s="145">
        <v>650</v>
      </c>
      <c r="AU480" s="146">
        <v>2.5</v>
      </c>
      <c r="AV480" s="145">
        <v>4462</v>
      </c>
      <c r="AW480" s="145">
        <v>-16</v>
      </c>
      <c r="AY480" s="5">
        <v>458</v>
      </c>
      <c r="AZ480" s="413" t="s">
        <v>718</v>
      </c>
      <c r="BA480" s="145"/>
      <c r="BB480" s="146"/>
      <c r="BC480" s="145"/>
      <c r="BD480" s="145"/>
      <c r="BF480" s="5">
        <v>458</v>
      </c>
      <c r="BG480" s="413" t="s">
        <v>718</v>
      </c>
      <c r="BH480" s="145"/>
      <c r="BI480" s="146"/>
      <c r="BJ480" s="145"/>
      <c r="BK480" s="145"/>
      <c r="BM480" s="5">
        <v>458</v>
      </c>
      <c r="BN480" s="413" t="s">
        <v>718</v>
      </c>
      <c r="BO480" s="145"/>
      <c r="BP480" s="146"/>
      <c r="BQ480" s="145"/>
      <c r="BR480" s="145"/>
      <c r="BS480" s="5"/>
      <c r="BT480" s="5">
        <v>458</v>
      </c>
      <c r="BU480" s="413" t="s">
        <v>718</v>
      </c>
      <c r="BV480" s="145"/>
      <c r="BW480" s="146"/>
      <c r="BX480" s="145"/>
      <c r="BY480" s="145"/>
      <c r="BZ480" s="5"/>
      <c r="CA480" s="5">
        <v>458</v>
      </c>
      <c r="CB480" s="413" t="s">
        <v>718</v>
      </c>
      <c r="CC480" s="145"/>
      <c r="CD480" s="146"/>
      <c r="CE480" s="145"/>
      <c r="CF480" s="145"/>
      <c r="CG480" s="5"/>
      <c r="CH480" s="5"/>
      <c r="CI480" s="5"/>
    </row>
    <row r="481" spans="13:87" x14ac:dyDescent="0.2">
      <c r="M481" s="5">
        <v>459</v>
      </c>
      <c r="N481" s="413" t="str">
        <f t="shared" si="42"/>
        <v xml:space="preserve"> </v>
      </c>
      <c r="O481" s="414">
        <f t="shared" si="43"/>
        <v>0</v>
      </c>
      <c r="P481" s="414">
        <f t="shared" si="44"/>
        <v>0</v>
      </c>
      <c r="Q481" s="145">
        <f t="shared" si="47"/>
        <v>-8</v>
      </c>
      <c r="R481" s="414">
        <f t="shared" si="45"/>
        <v>0</v>
      </c>
      <c r="S481" s="414">
        <f t="shared" si="46"/>
        <v>0</v>
      </c>
      <c r="T481" s="19"/>
      <c r="U481" s="5"/>
      <c r="V481" s="5"/>
      <c r="W481" s="5">
        <v>459</v>
      </c>
      <c r="X481" s="144" t="s">
        <v>718</v>
      </c>
      <c r="Y481" s="145"/>
      <c r="Z481" s="146"/>
      <c r="AA481" s="145"/>
      <c r="AB481" s="145"/>
      <c r="AD481" s="5">
        <v>459</v>
      </c>
      <c r="AE481" s="413" t="s">
        <v>718</v>
      </c>
      <c r="AF481" s="145"/>
      <c r="AG481" s="146"/>
      <c r="AH481" s="145"/>
      <c r="AI481" s="145"/>
      <c r="AK481" s="5">
        <v>459</v>
      </c>
      <c r="AL481" s="413" t="s">
        <v>718</v>
      </c>
      <c r="AM481" s="145"/>
      <c r="AN481" s="146"/>
      <c r="AO481" s="145"/>
      <c r="AP481" s="145"/>
      <c r="AR481" s="5">
        <v>459</v>
      </c>
      <c r="AS481" s="413" t="s">
        <v>2621</v>
      </c>
      <c r="AT481" s="145">
        <v>242</v>
      </c>
      <c r="AU481" s="146">
        <v>3.25</v>
      </c>
      <c r="AV481" s="145">
        <v>3584</v>
      </c>
      <c r="AW481" s="145">
        <v>-13</v>
      </c>
      <c r="AY481" s="5">
        <v>459</v>
      </c>
      <c r="AZ481" s="413" t="s">
        <v>718</v>
      </c>
      <c r="BA481" s="145"/>
      <c r="BB481" s="146"/>
      <c r="BC481" s="145"/>
      <c r="BD481" s="145"/>
      <c r="BF481" s="5">
        <v>459</v>
      </c>
      <c r="BG481" s="413" t="s">
        <v>718</v>
      </c>
      <c r="BH481" s="145"/>
      <c r="BI481" s="146"/>
      <c r="BJ481" s="145"/>
      <c r="BK481" s="145"/>
      <c r="BM481" s="5">
        <v>459</v>
      </c>
      <c r="BN481" s="413" t="s">
        <v>718</v>
      </c>
      <c r="BO481" s="145"/>
      <c r="BP481" s="146"/>
      <c r="BQ481" s="145"/>
      <c r="BR481" s="145"/>
      <c r="BS481" s="5"/>
      <c r="BT481" s="5">
        <v>459</v>
      </c>
      <c r="BU481" s="413" t="s">
        <v>718</v>
      </c>
      <c r="BV481" s="145"/>
      <c r="BW481" s="146"/>
      <c r="BX481" s="145"/>
      <c r="BY481" s="145"/>
      <c r="BZ481" s="5"/>
      <c r="CA481" s="5">
        <v>459</v>
      </c>
      <c r="CB481" s="413" t="s">
        <v>718</v>
      </c>
      <c r="CC481" s="145"/>
      <c r="CD481" s="146"/>
      <c r="CE481" s="145"/>
      <c r="CF481" s="145"/>
      <c r="CG481" s="5"/>
      <c r="CH481" s="5"/>
      <c r="CI481" s="5"/>
    </row>
    <row r="482" spans="13:87" x14ac:dyDescent="0.2">
      <c r="M482" s="5">
        <v>460</v>
      </c>
      <c r="N482" s="413" t="str">
        <f t="shared" si="42"/>
        <v xml:space="preserve"> </v>
      </c>
      <c r="O482" s="414">
        <f t="shared" si="43"/>
        <v>0</v>
      </c>
      <c r="P482" s="414">
        <f t="shared" si="44"/>
        <v>0</v>
      </c>
      <c r="Q482" s="145">
        <f t="shared" si="47"/>
        <v>-8</v>
      </c>
      <c r="R482" s="414">
        <f t="shared" si="45"/>
        <v>0</v>
      </c>
      <c r="S482" s="414">
        <f t="shared" si="46"/>
        <v>0</v>
      </c>
      <c r="T482" s="19"/>
      <c r="U482" s="5"/>
      <c r="V482" s="5"/>
      <c r="W482" s="5">
        <v>460</v>
      </c>
      <c r="X482" s="144" t="s">
        <v>718</v>
      </c>
      <c r="Y482" s="145"/>
      <c r="Z482" s="146"/>
      <c r="AA482" s="145"/>
      <c r="AB482" s="145"/>
      <c r="AD482" s="5">
        <v>460</v>
      </c>
      <c r="AE482" s="413" t="s">
        <v>718</v>
      </c>
      <c r="AF482" s="145"/>
      <c r="AG482" s="146"/>
      <c r="AH482" s="145"/>
      <c r="AI482" s="145"/>
      <c r="AK482" s="5">
        <v>460</v>
      </c>
      <c r="AL482" s="413" t="s">
        <v>718</v>
      </c>
      <c r="AM482" s="145"/>
      <c r="AN482" s="146"/>
      <c r="AO482" s="145"/>
      <c r="AP482" s="145"/>
      <c r="AR482" s="5">
        <v>460</v>
      </c>
      <c r="AS482" s="413" t="s">
        <v>3253</v>
      </c>
      <c r="AT482" s="145">
        <v>348</v>
      </c>
      <c r="AU482" s="146">
        <v>3.2</v>
      </c>
      <c r="AV482" s="145">
        <v>3796</v>
      </c>
      <c r="AW482" s="145">
        <v>-14</v>
      </c>
      <c r="AY482" s="5">
        <v>460</v>
      </c>
      <c r="AZ482" s="413" t="s">
        <v>718</v>
      </c>
      <c r="BA482" s="145"/>
      <c r="BB482" s="146"/>
      <c r="BC482" s="145"/>
      <c r="BD482" s="145"/>
      <c r="BF482" s="5">
        <v>460</v>
      </c>
      <c r="BG482" s="413" t="s">
        <v>718</v>
      </c>
      <c r="BH482" s="145"/>
      <c r="BI482" s="146"/>
      <c r="BJ482" s="145"/>
      <c r="BK482" s="145"/>
      <c r="BM482" s="5">
        <v>460</v>
      </c>
      <c r="BN482" s="413" t="s">
        <v>718</v>
      </c>
      <c r="BO482" s="145"/>
      <c r="BP482" s="146"/>
      <c r="BQ482" s="145"/>
      <c r="BR482" s="145"/>
      <c r="BS482" s="5"/>
      <c r="BT482" s="5">
        <v>460</v>
      </c>
      <c r="BU482" s="413" t="s">
        <v>718</v>
      </c>
      <c r="BV482" s="145"/>
      <c r="BW482" s="146"/>
      <c r="BX482" s="145"/>
      <c r="BY482" s="145"/>
      <c r="BZ482" s="5"/>
      <c r="CA482" s="5">
        <v>460</v>
      </c>
      <c r="CB482" s="413" t="s">
        <v>718</v>
      </c>
      <c r="CC482" s="145"/>
      <c r="CD482" s="146"/>
      <c r="CE482" s="145"/>
      <c r="CF482" s="145"/>
      <c r="CG482" s="5"/>
      <c r="CH482" s="5"/>
      <c r="CI482" s="5"/>
    </row>
    <row r="483" spans="13:87" x14ac:dyDescent="0.2">
      <c r="M483" s="5">
        <v>461</v>
      </c>
      <c r="N483" s="413" t="str">
        <f t="shared" si="42"/>
        <v xml:space="preserve"> </v>
      </c>
      <c r="O483" s="414">
        <f t="shared" si="43"/>
        <v>0</v>
      </c>
      <c r="P483" s="414">
        <f t="shared" si="44"/>
        <v>0</v>
      </c>
      <c r="Q483" s="145">
        <f t="shared" si="47"/>
        <v>-8</v>
      </c>
      <c r="R483" s="414">
        <f t="shared" si="45"/>
        <v>0</v>
      </c>
      <c r="S483" s="414">
        <f t="shared" si="46"/>
        <v>0</v>
      </c>
      <c r="T483" s="19"/>
      <c r="U483" s="5"/>
      <c r="V483" s="5"/>
      <c r="W483" s="5">
        <v>461</v>
      </c>
      <c r="X483" s="144" t="s">
        <v>718</v>
      </c>
      <c r="Y483" s="145"/>
      <c r="Z483" s="146"/>
      <c r="AA483" s="145"/>
      <c r="AB483" s="145"/>
      <c r="AD483" s="5">
        <v>461</v>
      </c>
      <c r="AE483" s="413" t="s">
        <v>718</v>
      </c>
      <c r="AF483" s="145"/>
      <c r="AG483" s="146"/>
      <c r="AH483" s="145"/>
      <c r="AI483" s="145"/>
      <c r="AK483" s="5">
        <v>461</v>
      </c>
      <c r="AL483" s="413" t="s">
        <v>718</v>
      </c>
      <c r="AM483" s="145"/>
      <c r="AN483" s="146"/>
      <c r="AO483" s="145"/>
      <c r="AP483" s="145"/>
      <c r="AR483" s="5">
        <v>461</v>
      </c>
      <c r="AS483" s="413" t="s">
        <v>3254</v>
      </c>
      <c r="AT483" s="145">
        <v>267</v>
      </c>
      <c r="AU483" s="146">
        <v>3.21</v>
      </c>
      <c r="AV483" s="145">
        <v>3660</v>
      </c>
      <c r="AW483" s="145">
        <v>-14</v>
      </c>
      <c r="AY483" s="5">
        <v>461</v>
      </c>
      <c r="AZ483" s="413" t="s">
        <v>718</v>
      </c>
      <c r="BA483" s="145"/>
      <c r="BB483" s="146"/>
      <c r="BC483" s="145"/>
      <c r="BD483" s="145"/>
      <c r="BF483" s="5">
        <v>461</v>
      </c>
      <c r="BG483" s="413" t="s">
        <v>718</v>
      </c>
      <c r="BH483" s="145"/>
      <c r="BI483" s="146"/>
      <c r="BJ483" s="145"/>
      <c r="BK483" s="145"/>
      <c r="BM483" s="5">
        <v>461</v>
      </c>
      <c r="BN483" s="413" t="s">
        <v>718</v>
      </c>
      <c r="BO483" s="145"/>
      <c r="BP483" s="146"/>
      <c r="BQ483" s="145"/>
      <c r="BR483" s="145"/>
      <c r="BS483" s="5"/>
      <c r="BT483" s="5">
        <v>461</v>
      </c>
      <c r="BU483" s="413" t="s">
        <v>718</v>
      </c>
      <c r="BV483" s="145"/>
      <c r="BW483" s="146"/>
      <c r="BX483" s="145"/>
      <c r="BY483" s="145"/>
      <c r="BZ483" s="5"/>
      <c r="CA483" s="5">
        <v>461</v>
      </c>
      <c r="CB483" s="413" t="s">
        <v>718</v>
      </c>
      <c r="CC483" s="145"/>
      <c r="CD483" s="146"/>
      <c r="CE483" s="145"/>
      <c r="CF483" s="145"/>
      <c r="CG483" s="5"/>
      <c r="CH483" s="5"/>
      <c r="CI483" s="5"/>
    </row>
    <row r="484" spans="13:87" x14ac:dyDescent="0.2">
      <c r="M484" s="5">
        <v>462</v>
      </c>
      <c r="N484" s="413" t="str">
        <f t="shared" si="42"/>
        <v xml:space="preserve"> </v>
      </c>
      <c r="O484" s="414">
        <f t="shared" si="43"/>
        <v>0</v>
      </c>
      <c r="P484" s="414">
        <f t="shared" si="44"/>
        <v>0</v>
      </c>
      <c r="Q484" s="145">
        <f t="shared" si="47"/>
        <v>-8</v>
      </c>
      <c r="R484" s="414">
        <f t="shared" si="45"/>
        <v>0</v>
      </c>
      <c r="S484" s="414">
        <f t="shared" si="46"/>
        <v>0</v>
      </c>
      <c r="T484" s="19"/>
      <c r="U484" s="5"/>
      <c r="V484" s="5"/>
      <c r="W484" s="5">
        <v>462</v>
      </c>
      <c r="X484" s="144" t="s">
        <v>718</v>
      </c>
      <c r="Y484" s="145"/>
      <c r="Z484" s="146"/>
      <c r="AA484" s="145"/>
      <c r="AB484" s="145"/>
      <c r="AD484" s="5">
        <v>462</v>
      </c>
      <c r="AE484" s="413" t="s">
        <v>718</v>
      </c>
      <c r="AF484" s="145"/>
      <c r="AG484" s="146"/>
      <c r="AH484" s="145"/>
      <c r="AI484" s="145"/>
      <c r="AK484" s="5">
        <v>462</v>
      </c>
      <c r="AL484" s="413" t="s">
        <v>718</v>
      </c>
      <c r="AM484" s="145"/>
      <c r="AN484" s="146"/>
      <c r="AO484" s="145"/>
      <c r="AP484" s="145"/>
      <c r="AR484" s="5">
        <v>462</v>
      </c>
      <c r="AS484" s="413" t="s">
        <v>3255</v>
      </c>
      <c r="AT484" s="145">
        <v>266</v>
      </c>
      <c r="AU484" s="146">
        <v>3.24</v>
      </c>
      <c r="AV484" s="145">
        <v>3621</v>
      </c>
      <c r="AW484" s="145">
        <v>-14</v>
      </c>
      <c r="AY484" s="5">
        <v>462</v>
      </c>
      <c r="AZ484" s="413" t="s">
        <v>718</v>
      </c>
      <c r="BA484" s="145"/>
      <c r="BB484" s="146"/>
      <c r="BC484" s="145"/>
      <c r="BD484" s="145"/>
      <c r="BF484" s="5">
        <v>462</v>
      </c>
      <c r="BG484" s="413" t="s">
        <v>718</v>
      </c>
      <c r="BH484" s="145"/>
      <c r="BI484" s="146"/>
      <c r="BJ484" s="145"/>
      <c r="BK484" s="145"/>
      <c r="BM484" s="5">
        <v>462</v>
      </c>
      <c r="BN484" s="413" t="s">
        <v>718</v>
      </c>
      <c r="BO484" s="145"/>
      <c r="BP484" s="146"/>
      <c r="BQ484" s="145"/>
      <c r="BR484" s="145"/>
      <c r="BS484" s="5"/>
      <c r="BT484" s="5">
        <v>462</v>
      </c>
      <c r="BU484" s="413" t="s">
        <v>718</v>
      </c>
      <c r="BV484" s="145"/>
      <c r="BW484" s="146"/>
      <c r="BX484" s="145"/>
      <c r="BY484" s="145"/>
      <c r="BZ484" s="5"/>
      <c r="CA484" s="5">
        <v>462</v>
      </c>
      <c r="CB484" s="413" t="s">
        <v>718</v>
      </c>
      <c r="CC484" s="145"/>
      <c r="CD484" s="146"/>
      <c r="CE484" s="145"/>
      <c r="CF484" s="145"/>
      <c r="CG484" s="5"/>
      <c r="CH484" s="5"/>
      <c r="CI484" s="5"/>
    </row>
    <row r="485" spans="13:87" x14ac:dyDescent="0.2">
      <c r="M485" s="5">
        <v>463</v>
      </c>
      <c r="N485" s="413" t="str">
        <f t="shared" si="42"/>
        <v xml:space="preserve"> </v>
      </c>
      <c r="O485" s="414">
        <f t="shared" si="43"/>
        <v>0</v>
      </c>
      <c r="P485" s="414">
        <f t="shared" si="44"/>
        <v>0</v>
      </c>
      <c r="Q485" s="145">
        <f t="shared" si="47"/>
        <v>-8</v>
      </c>
      <c r="R485" s="414">
        <f t="shared" si="45"/>
        <v>0</v>
      </c>
      <c r="S485" s="414">
        <f t="shared" si="46"/>
        <v>0</v>
      </c>
      <c r="T485" s="19"/>
      <c r="U485" s="5"/>
      <c r="V485" s="5"/>
      <c r="W485" s="5">
        <v>463</v>
      </c>
      <c r="X485" s="144" t="s">
        <v>718</v>
      </c>
      <c r="Y485" s="145"/>
      <c r="Z485" s="146"/>
      <c r="AA485" s="145"/>
      <c r="AB485" s="145"/>
      <c r="AD485" s="5">
        <v>463</v>
      </c>
      <c r="AE485" s="413" t="s">
        <v>718</v>
      </c>
      <c r="AF485" s="145"/>
      <c r="AG485" s="146"/>
      <c r="AH485" s="145"/>
      <c r="AI485" s="145"/>
      <c r="AK485" s="5">
        <v>463</v>
      </c>
      <c r="AL485" s="413" t="s">
        <v>718</v>
      </c>
      <c r="AM485" s="145"/>
      <c r="AN485" s="146"/>
      <c r="AO485" s="145"/>
      <c r="AP485" s="145"/>
      <c r="AR485" s="5">
        <v>463</v>
      </c>
      <c r="AS485" s="413" t="s">
        <v>3256</v>
      </c>
      <c r="AT485" s="145">
        <v>362</v>
      </c>
      <c r="AU485" s="146">
        <v>3.38</v>
      </c>
      <c r="AV485" s="145">
        <v>3855</v>
      </c>
      <c r="AW485" s="145">
        <v>-14</v>
      </c>
      <c r="AY485" s="5">
        <v>463</v>
      </c>
      <c r="AZ485" s="413" t="s">
        <v>718</v>
      </c>
      <c r="BA485" s="145"/>
      <c r="BB485" s="146"/>
      <c r="BC485" s="145"/>
      <c r="BD485" s="145"/>
      <c r="BF485" s="5">
        <v>463</v>
      </c>
      <c r="BG485" s="413" t="s">
        <v>718</v>
      </c>
      <c r="BH485" s="145"/>
      <c r="BI485" s="146"/>
      <c r="BJ485" s="145"/>
      <c r="BK485" s="145"/>
      <c r="BM485" s="5">
        <v>463</v>
      </c>
      <c r="BN485" s="413" t="s">
        <v>718</v>
      </c>
      <c r="BO485" s="145"/>
      <c r="BP485" s="146"/>
      <c r="BQ485" s="145"/>
      <c r="BR485" s="145"/>
      <c r="BS485" s="5"/>
      <c r="BT485" s="5">
        <v>463</v>
      </c>
      <c r="BU485" s="413" t="s">
        <v>718</v>
      </c>
      <c r="BV485" s="145"/>
      <c r="BW485" s="146"/>
      <c r="BX485" s="145"/>
      <c r="BY485" s="145"/>
      <c r="BZ485" s="5"/>
      <c r="CA485" s="5">
        <v>463</v>
      </c>
      <c r="CB485" s="413" t="s">
        <v>718</v>
      </c>
      <c r="CC485" s="145"/>
      <c r="CD485" s="146"/>
      <c r="CE485" s="145"/>
      <c r="CF485" s="145"/>
      <c r="CG485" s="5"/>
      <c r="CH485" s="5"/>
      <c r="CI485" s="5"/>
    </row>
    <row r="486" spans="13:87" x14ac:dyDescent="0.2">
      <c r="M486" s="5">
        <v>464</v>
      </c>
      <c r="N486" s="413" t="str">
        <f t="shared" si="42"/>
        <v xml:space="preserve"> </v>
      </c>
      <c r="O486" s="414">
        <f t="shared" si="43"/>
        <v>0</v>
      </c>
      <c r="P486" s="414">
        <f t="shared" si="44"/>
        <v>0</v>
      </c>
      <c r="Q486" s="145">
        <f t="shared" si="47"/>
        <v>-8</v>
      </c>
      <c r="R486" s="414">
        <f t="shared" si="45"/>
        <v>0</v>
      </c>
      <c r="S486" s="414">
        <f t="shared" si="46"/>
        <v>0</v>
      </c>
      <c r="T486" s="19"/>
      <c r="U486" s="5"/>
      <c r="V486" s="5"/>
      <c r="W486" s="5">
        <v>464</v>
      </c>
      <c r="X486" s="144" t="s">
        <v>718</v>
      </c>
      <c r="Y486" s="145"/>
      <c r="Z486" s="146"/>
      <c r="AA486" s="145"/>
      <c r="AB486" s="145"/>
      <c r="AD486" s="5">
        <v>464</v>
      </c>
      <c r="AE486" s="413" t="s">
        <v>718</v>
      </c>
      <c r="AF486" s="145"/>
      <c r="AG486" s="146"/>
      <c r="AH486" s="145"/>
      <c r="AI486" s="145"/>
      <c r="AK486" s="5">
        <v>464</v>
      </c>
      <c r="AL486" s="413" t="s">
        <v>718</v>
      </c>
      <c r="AM486" s="145"/>
      <c r="AN486" s="146"/>
      <c r="AO486" s="145"/>
      <c r="AP486" s="145"/>
      <c r="AR486" s="5">
        <v>464</v>
      </c>
      <c r="AS486" s="413" t="s">
        <v>3257</v>
      </c>
      <c r="AT486" s="145">
        <v>220</v>
      </c>
      <c r="AU486" s="146">
        <v>3.39</v>
      </c>
      <c r="AV486" s="145">
        <v>3671</v>
      </c>
      <c r="AW486" s="145">
        <v>-14</v>
      </c>
      <c r="AY486" s="5">
        <v>464</v>
      </c>
      <c r="AZ486" s="413" t="s">
        <v>718</v>
      </c>
      <c r="BA486" s="145"/>
      <c r="BB486" s="146"/>
      <c r="BC486" s="145"/>
      <c r="BD486" s="145"/>
      <c r="BF486" s="5">
        <v>464</v>
      </c>
      <c r="BG486" s="413" t="s">
        <v>718</v>
      </c>
      <c r="BH486" s="145"/>
      <c r="BI486" s="146"/>
      <c r="BJ486" s="145"/>
      <c r="BK486" s="145"/>
      <c r="BM486" s="5">
        <v>464</v>
      </c>
      <c r="BN486" s="413" t="s">
        <v>718</v>
      </c>
      <c r="BO486" s="145"/>
      <c r="BP486" s="146"/>
      <c r="BQ486" s="145"/>
      <c r="BR486" s="145"/>
      <c r="BS486" s="5"/>
      <c r="BT486" s="5">
        <v>464</v>
      </c>
      <c r="BU486" s="413" t="s">
        <v>718</v>
      </c>
      <c r="BV486" s="145"/>
      <c r="BW486" s="146"/>
      <c r="BX486" s="145"/>
      <c r="BY486" s="145"/>
      <c r="BZ486" s="5"/>
      <c r="CA486" s="5">
        <v>464</v>
      </c>
      <c r="CB486" s="413" t="s">
        <v>718</v>
      </c>
      <c r="CC486" s="145"/>
      <c r="CD486" s="146"/>
      <c r="CE486" s="145"/>
      <c r="CF486" s="145"/>
      <c r="CG486" s="5"/>
      <c r="CH486" s="5"/>
      <c r="CI486" s="5"/>
    </row>
    <row r="487" spans="13:87" x14ac:dyDescent="0.2">
      <c r="M487" s="5">
        <v>465</v>
      </c>
      <c r="N487" s="413" t="str">
        <f t="shared" si="42"/>
        <v xml:space="preserve"> </v>
      </c>
      <c r="O487" s="414">
        <f t="shared" si="43"/>
        <v>0</v>
      </c>
      <c r="P487" s="414">
        <f t="shared" si="44"/>
        <v>0</v>
      </c>
      <c r="Q487" s="145">
        <f t="shared" si="47"/>
        <v>-8</v>
      </c>
      <c r="R487" s="414">
        <f t="shared" si="45"/>
        <v>0</v>
      </c>
      <c r="S487" s="414">
        <f t="shared" si="46"/>
        <v>0</v>
      </c>
      <c r="T487" s="19"/>
      <c r="U487" s="5"/>
      <c r="V487" s="5"/>
      <c r="W487" s="5">
        <v>465</v>
      </c>
      <c r="X487" s="144" t="s">
        <v>718</v>
      </c>
      <c r="Y487" s="145"/>
      <c r="Z487" s="146"/>
      <c r="AA487" s="145"/>
      <c r="AB487" s="145"/>
      <c r="AD487" s="5">
        <v>465</v>
      </c>
      <c r="AE487" s="413" t="s">
        <v>718</v>
      </c>
      <c r="AF487" s="145"/>
      <c r="AG487" s="146"/>
      <c r="AH487" s="145"/>
      <c r="AI487" s="145"/>
      <c r="AK487" s="5">
        <v>465</v>
      </c>
      <c r="AL487" s="413" t="s">
        <v>718</v>
      </c>
      <c r="AM487" s="145"/>
      <c r="AN487" s="146"/>
      <c r="AO487" s="145"/>
      <c r="AP487" s="145"/>
      <c r="AR487" s="5">
        <v>465</v>
      </c>
      <c r="AS487" s="413" t="s">
        <v>3258</v>
      </c>
      <c r="AT487" s="145">
        <v>341</v>
      </c>
      <c r="AU487" s="146">
        <v>3.18</v>
      </c>
      <c r="AV487" s="145">
        <v>3869</v>
      </c>
      <c r="AW487" s="145">
        <v>-15</v>
      </c>
      <c r="AY487" s="5">
        <v>465</v>
      </c>
      <c r="AZ487" s="413" t="s">
        <v>718</v>
      </c>
      <c r="BA487" s="145"/>
      <c r="BB487" s="146"/>
      <c r="BC487" s="145"/>
      <c r="BD487" s="145"/>
      <c r="BF487" s="5">
        <v>465</v>
      </c>
      <c r="BG487" s="413" t="s">
        <v>718</v>
      </c>
      <c r="BH487" s="145"/>
      <c r="BI487" s="146"/>
      <c r="BJ487" s="145"/>
      <c r="BK487" s="145"/>
      <c r="BM487" s="5">
        <v>465</v>
      </c>
      <c r="BN487" s="413" t="s">
        <v>718</v>
      </c>
      <c r="BO487" s="145"/>
      <c r="BP487" s="146"/>
      <c r="BQ487" s="145"/>
      <c r="BR487" s="145"/>
      <c r="BS487" s="5"/>
      <c r="BT487" s="5">
        <v>465</v>
      </c>
      <c r="BU487" s="413" t="s">
        <v>718</v>
      </c>
      <c r="BV487" s="145"/>
      <c r="BW487" s="146"/>
      <c r="BX487" s="145"/>
      <c r="BY487" s="145"/>
      <c r="BZ487" s="5"/>
      <c r="CA487" s="5">
        <v>465</v>
      </c>
      <c r="CB487" s="413" t="s">
        <v>718</v>
      </c>
      <c r="CC487" s="145"/>
      <c r="CD487" s="146"/>
      <c r="CE487" s="145"/>
      <c r="CF487" s="145"/>
      <c r="CG487" s="5"/>
      <c r="CH487" s="5"/>
      <c r="CI487" s="5"/>
    </row>
    <row r="488" spans="13:87" x14ac:dyDescent="0.2">
      <c r="M488" s="5">
        <v>466</v>
      </c>
      <c r="N488" s="413" t="str">
        <f t="shared" si="42"/>
        <v xml:space="preserve"> </v>
      </c>
      <c r="O488" s="414">
        <f t="shared" si="43"/>
        <v>0</v>
      </c>
      <c r="P488" s="414">
        <f t="shared" si="44"/>
        <v>0</v>
      </c>
      <c r="Q488" s="145">
        <f t="shared" si="47"/>
        <v>-8</v>
      </c>
      <c r="R488" s="414">
        <f t="shared" si="45"/>
        <v>0</v>
      </c>
      <c r="S488" s="414">
        <f t="shared" si="46"/>
        <v>0</v>
      </c>
      <c r="T488" s="19"/>
      <c r="U488" s="5"/>
      <c r="V488" s="5"/>
      <c r="W488" s="5">
        <v>466</v>
      </c>
      <c r="X488" s="144" t="s">
        <v>718</v>
      </c>
      <c r="Y488" s="145"/>
      <c r="Z488" s="146"/>
      <c r="AA488" s="145"/>
      <c r="AB488" s="145"/>
      <c r="AD488" s="5">
        <v>466</v>
      </c>
      <c r="AE488" s="413" t="s">
        <v>718</v>
      </c>
      <c r="AF488" s="145"/>
      <c r="AG488" s="146"/>
      <c r="AH488" s="145"/>
      <c r="AI488" s="145"/>
      <c r="AK488" s="5">
        <v>466</v>
      </c>
      <c r="AL488" s="413" t="s">
        <v>718</v>
      </c>
      <c r="AM488" s="145"/>
      <c r="AN488" s="146"/>
      <c r="AO488" s="145"/>
      <c r="AP488" s="145"/>
      <c r="AR488" s="5">
        <v>466</v>
      </c>
      <c r="AS488" s="413" t="s">
        <v>3259</v>
      </c>
      <c r="AT488" s="145">
        <v>385</v>
      </c>
      <c r="AU488" s="146">
        <v>2.75</v>
      </c>
      <c r="AV488" s="145">
        <v>4036</v>
      </c>
      <c r="AW488" s="145">
        <v>-14</v>
      </c>
      <c r="AY488" s="5">
        <v>466</v>
      </c>
      <c r="AZ488" s="413" t="s">
        <v>718</v>
      </c>
      <c r="BA488" s="145"/>
      <c r="BB488" s="146"/>
      <c r="BC488" s="145"/>
      <c r="BD488" s="145"/>
      <c r="BF488" s="5">
        <v>466</v>
      </c>
      <c r="BG488" s="413" t="s">
        <v>718</v>
      </c>
      <c r="BH488" s="145"/>
      <c r="BI488" s="146"/>
      <c r="BJ488" s="145"/>
      <c r="BK488" s="145"/>
      <c r="BM488" s="5">
        <v>466</v>
      </c>
      <c r="BN488" s="413" t="s">
        <v>718</v>
      </c>
      <c r="BO488" s="145"/>
      <c r="BP488" s="146"/>
      <c r="BQ488" s="145"/>
      <c r="BR488" s="145"/>
      <c r="BS488" s="5"/>
      <c r="BT488" s="5">
        <v>466</v>
      </c>
      <c r="BU488" s="413" t="s">
        <v>718</v>
      </c>
      <c r="BV488" s="145"/>
      <c r="BW488" s="146"/>
      <c r="BX488" s="145"/>
      <c r="BY488" s="145"/>
      <c r="BZ488" s="5"/>
      <c r="CA488" s="5">
        <v>466</v>
      </c>
      <c r="CB488" s="413" t="s">
        <v>718</v>
      </c>
      <c r="CC488" s="145"/>
      <c r="CD488" s="146"/>
      <c r="CE488" s="145"/>
      <c r="CF488" s="145"/>
      <c r="CG488" s="5"/>
      <c r="CH488" s="5"/>
      <c r="CI488" s="5"/>
    </row>
    <row r="489" spans="13:87" x14ac:dyDescent="0.2">
      <c r="M489" s="5">
        <v>467</v>
      </c>
      <c r="N489" s="413" t="str">
        <f t="shared" si="42"/>
        <v xml:space="preserve"> </v>
      </c>
      <c r="O489" s="414">
        <f t="shared" si="43"/>
        <v>0</v>
      </c>
      <c r="P489" s="414">
        <f t="shared" si="44"/>
        <v>0</v>
      </c>
      <c r="Q489" s="145">
        <f t="shared" si="47"/>
        <v>-8</v>
      </c>
      <c r="R489" s="414">
        <f t="shared" si="45"/>
        <v>0</v>
      </c>
      <c r="S489" s="414">
        <f t="shared" si="46"/>
        <v>0</v>
      </c>
      <c r="T489" s="19"/>
      <c r="U489" s="5"/>
      <c r="V489" s="5"/>
      <c r="W489" s="5">
        <v>467</v>
      </c>
      <c r="X489" s="144" t="s">
        <v>718</v>
      </c>
      <c r="Y489" s="145"/>
      <c r="Z489" s="146"/>
      <c r="AA489" s="145"/>
      <c r="AB489" s="145"/>
      <c r="AD489" s="5">
        <v>467</v>
      </c>
      <c r="AE489" s="413" t="s">
        <v>718</v>
      </c>
      <c r="AF489" s="145"/>
      <c r="AG489" s="146"/>
      <c r="AH489" s="145"/>
      <c r="AI489" s="145"/>
      <c r="AK489" s="5">
        <v>467</v>
      </c>
      <c r="AL489" s="413" t="s">
        <v>718</v>
      </c>
      <c r="AM489" s="145"/>
      <c r="AN489" s="146"/>
      <c r="AO489" s="145"/>
      <c r="AP489" s="145"/>
      <c r="AR489" s="5">
        <v>467</v>
      </c>
      <c r="AS489" s="413" t="s">
        <v>3260</v>
      </c>
      <c r="AT489" s="145">
        <v>210</v>
      </c>
      <c r="AU489" s="146">
        <v>3.23</v>
      </c>
      <c r="AV489" s="145">
        <v>3656</v>
      </c>
      <c r="AW489" s="145">
        <v>-14</v>
      </c>
      <c r="AY489" s="5">
        <v>467</v>
      </c>
      <c r="AZ489" s="413" t="s">
        <v>718</v>
      </c>
      <c r="BA489" s="145"/>
      <c r="BB489" s="146"/>
      <c r="BC489" s="145"/>
      <c r="BD489" s="145"/>
      <c r="BF489" s="5">
        <v>467</v>
      </c>
      <c r="BG489" s="413" t="s">
        <v>718</v>
      </c>
      <c r="BH489" s="145"/>
      <c r="BI489" s="146"/>
      <c r="BJ489" s="145"/>
      <c r="BK489" s="145"/>
      <c r="BM489" s="5">
        <v>467</v>
      </c>
      <c r="BN489" s="413" t="s">
        <v>718</v>
      </c>
      <c r="BO489" s="145"/>
      <c r="BP489" s="146"/>
      <c r="BQ489" s="145"/>
      <c r="BR489" s="145"/>
      <c r="BS489" s="5"/>
      <c r="BT489" s="5">
        <v>467</v>
      </c>
      <c r="BU489" s="413" t="s">
        <v>718</v>
      </c>
      <c r="BV489" s="145"/>
      <c r="BW489" s="146"/>
      <c r="BX489" s="145"/>
      <c r="BY489" s="145"/>
      <c r="BZ489" s="5"/>
      <c r="CA489" s="5">
        <v>467</v>
      </c>
      <c r="CB489" s="413" t="s">
        <v>718</v>
      </c>
      <c r="CC489" s="145"/>
      <c r="CD489" s="146"/>
      <c r="CE489" s="145"/>
      <c r="CF489" s="145"/>
      <c r="CG489" s="5"/>
      <c r="CH489" s="5"/>
      <c r="CI489" s="5"/>
    </row>
    <row r="490" spans="13:87" x14ac:dyDescent="0.2">
      <c r="M490" s="5">
        <v>468</v>
      </c>
      <c r="N490" s="413" t="str">
        <f t="shared" si="42"/>
        <v xml:space="preserve"> </v>
      </c>
      <c r="O490" s="414">
        <f t="shared" si="43"/>
        <v>0</v>
      </c>
      <c r="P490" s="414">
        <f t="shared" si="44"/>
        <v>0</v>
      </c>
      <c r="Q490" s="145">
        <f t="shared" si="47"/>
        <v>-8</v>
      </c>
      <c r="R490" s="414">
        <f t="shared" si="45"/>
        <v>0</v>
      </c>
      <c r="S490" s="414">
        <f t="shared" si="46"/>
        <v>0</v>
      </c>
      <c r="T490" s="19"/>
      <c r="U490" s="5"/>
      <c r="V490" s="5"/>
      <c r="W490" s="5">
        <v>468</v>
      </c>
      <c r="X490" s="144" t="s">
        <v>718</v>
      </c>
      <c r="Y490" s="145"/>
      <c r="Z490" s="146"/>
      <c r="AA490" s="145"/>
      <c r="AB490" s="145"/>
      <c r="AD490" s="5">
        <v>468</v>
      </c>
      <c r="AE490" s="413" t="s">
        <v>718</v>
      </c>
      <c r="AF490" s="145"/>
      <c r="AG490" s="146"/>
      <c r="AH490" s="145"/>
      <c r="AI490" s="145"/>
      <c r="AK490" s="5">
        <v>468</v>
      </c>
      <c r="AL490" s="413" t="s">
        <v>718</v>
      </c>
      <c r="AM490" s="145"/>
      <c r="AN490" s="146"/>
      <c r="AO490" s="145"/>
      <c r="AP490" s="145"/>
      <c r="AR490" s="5">
        <v>468</v>
      </c>
      <c r="AS490" s="413" t="s">
        <v>3261</v>
      </c>
      <c r="AT490" s="145">
        <v>735</v>
      </c>
      <c r="AU490" s="146">
        <v>2.17</v>
      </c>
      <c r="AV490" s="145">
        <v>4760</v>
      </c>
      <c r="AW490" s="145">
        <v>-17</v>
      </c>
      <c r="AY490" s="5">
        <v>468</v>
      </c>
      <c r="AZ490" s="413" t="s">
        <v>718</v>
      </c>
      <c r="BA490" s="145"/>
      <c r="BB490" s="146"/>
      <c r="BC490" s="145"/>
      <c r="BD490" s="145"/>
      <c r="BF490" s="5">
        <v>468</v>
      </c>
      <c r="BG490" s="413" t="s">
        <v>718</v>
      </c>
      <c r="BH490" s="145"/>
      <c r="BI490" s="146"/>
      <c r="BJ490" s="145"/>
      <c r="BK490" s="145"/>
      <c r="BM490" s="5">
        <v>468</v>
      </c>
      <c r="BN490" s="413" t="s">
        <v>718</v>
      </c>
      <c r="BO490" s="145"/>
      <c r="BP490" s="146"/>
      <c r="BQ490" s="145"/>
      <c r="BR490" s="145"/>
      <c r="BS490" s="5"/>
      <c r="BT490" s="5">
        <v>468</v>
      </c>
      <c r="BU490" s="413" t="s">
        <v>718</v>
      </c>
      <c r="BV490" s="145"/>
      <c r="BW490" s="146"/>
      <c r="BX490" s="145"/>
      <c r="BY490" s="145"/>
      <c r="BZ490" s="5"/>
      <c r="CA490" s="5">
        <v>468</v>
      </c>
      <c r="CB490" s="413" t="s">
        <v>718</v>
      </c>
      <c r="CC490" s="145"/>
      <c r="CD490" s="146"/>
      <c r="CE490" s="145"/>
      <c r="CF490" s="145"/>
      <c r="CG490" s="5"/>
      <c r="CH490" s="5"/>
      <c r="CI490" s="5"/>
    </row>
    <row r="491" spans="13:87" x14ac:dyDescent="0.2">
      <c r="M491" s="5">
        <v>469</v>
      </c>
      <c r="N491" s="413" t="str">
        <f t="shared" si="42"/>
        <v xml:space="preserve"> </v>
      </c>
      <c r="O491" s="414">
        <f t="shared" si="43"/>
        <v>0</v>
      </c>
      <c r="P491" s="414">
        <f t="shared" si="44"/>
        <v>0</v>
      </c>
      <c r="Q491" s="145">
        <f t="shared" si="47"/>
        <v>-8</v>
      </c>
      <c r="R491" s="414">
        <f t="shared" si="45"/>
        <v>0</v>
      </c>
      <c r="S491" s="414">
        <f t="shared" si="46"/>
        <v>0</v>
      </c>
      <c r="T491" s="19"/>
      <c r="U491" s="5"/>
      <c r="V491" s="5"/>
      <c r="W491" s="5">
        <v>469</v>
      </c>
      <c r="X491" s="144" t="s">
        <v>718</v>
      </c>
      <c r="Y491" s="145"/>
      <c r="Z491" s="146"/>
      <c r="AA491" s="145"/>
      <c r="AB491" s="145"/>
      <c r="AD491" s="5">
        <v>469</v>
      </c>
      <c r="AE491" s="413" t="s">
        <v>718</v>
      </c>
      <c r="AF491" s="145"/>
      <c r="AG491" s="146"/>
      <c r="AH491" s="145"/>
      <c r="AI491" s="145"/>
      <c r="AK491" s="5">
        <v>469</v>
      </c>
      <c r="AL491" s="413" t="s">
        <v>718</v>
      </c>
      <c r="AM491" s="145"/>
      <c r="AN491" s="146"/>
      <c r="AO491" s="145"/>
      <c r="AP491" s="145"/>
      <c r="AR491" s="5">
        <v>469</v>
      </c>
      <c r="AS491" s="413" t="s">
        <v>3262</v>
      </c>
      <c r="AT491" s="145">
        <v>218</v>
      </c>
      <c r="AU491" s="146">
        <v>3.18</v>
      </c>
      <c r="AV491" s="145">
        <v>3683</v>
      </c>
      <c r="AW491" s="145">
        <v>-13</v>
      </c>
      <c r="AY491" s="5">
        <v>469</v>
      </c>
      <c r="AZ491" s="413" t="s">
        <v>718</v>
      </c>
      <c r="BA491" s="145"/>
      <c r="BB491" s="146"/>
      <c r="BC491" s="145"/>
      <c r="BD491" s="145"/>
      <c r="BF491" s="5">
        <v>469</v>
      </c>
      <c r="BG491" s="413" t="s">
        <v>718</v>
      </c>
      <c r="BH491" s="145"/>
      <c r="BI491" s="146"/>
      <c r="BJ491" s="145"/>
      <c r="BK491" s="145"/>
      <c r="BM491" s="5">
        <v>469</v>
      </c>
      <c r="BN491" s="413" t="s">
        <v>718</v>
      </c>
      <c r="BO491" s="145"/>
      <c r="BP491" s="146"/>
      <c r="BQ491" s="145"/>
      <c r="BR491" s="145"/>
      <c r="BS491" s="5"/>
      <c r="BT491" s="5">
        <v>469</v>
      </c>
      <c r="BU491" s="413" t="s">
        <v>718</v>
      </c>
      <c r="BV491" s="145"/>
      <c r="BW491" s="146"/>
      <c r="BX491" s="145"/>
      <c r="BY491" s="145"/>
      <c r="BZ491" s="5"/>
      <c r="CA491" s="5">
        <v>469</v>
      </c>
      <c r="CB491" s="413" t="s">
        <v>718</v>
      </c>
      <c r="CC491" s="145"/>
      <c r="CD491" s="146"/>
      <c r="CE491" s="145"/>
      <c r="CF491" s="145"/>
      <c r="CG491" s="5"/>
      <c r="CH491" s="5"/>
      <c r="CI491" s="5"/>
    </row>
    <row r="492" spans="13:87" x14ac:dyDescent="0.2">
      <c r="M492" s="5">
        <v>470</v>
      </c>
      <c r="N492" s="413" t="str">
        <f t="shared" si="42"/>
        <v xml:space="preserve"> </v>
      </c>
      <c r="O492" s="414">
        <f t="shared" si="43"/>
        <v>0</v>
      </c>
      <c r="P492" s="414">
        <f t="shared" si="44"/>
        <v>0</v>
      </c>
      <c r="Q492" s="145">
        <f t="shared" si="47"/>
        <v>-8</v>
      </c>
      <c r="R492" s="414">
        <f t="shared" si="45"/>
        <v>0</v>
      </c>
      <c r="S492" s="414">
        <f t="shared" si="46"/>
        <v>0</v>
      </c>
      <c r="T492" s="19"/>
      <c r="U492" s="5"/>
      <c r="V492" s="5"/>
      <c r="W492" s="5">
        <v>470</v>
      </c>
      <c r="X492" s="144" t="s">
        <v>718</v>
      </c>
      <c r="Y492" s="145"/>
      <c r="Z492" s="146"/>
      <c r="AA492" s="145"/>
      <c r="AB492" s="145"/>
      <c r="AD492" s="5">
        <v>470</v>
      </c>
      <c r="AE492" s="413" t="s">
        <v>718</v>
      </c>
      <c r="AF492" s="145"/>
      <c r="AG492" s="146"/>
      <c r="AH492" s="145"/>
      <c r="AI492" s="145"/>
      <c r="AK492" s="5">
        <v>470</v>
      </c>
      <c r="AL492" s="413" t="s">
        <v>718</v>
      </c>
      <c r="AM492" s="145"/>
      <c r="AN492" s="146"/>
      <c r="AO492" s="145"/>
      <c r="AP492" s="145"/>
      <c r="AR492" s="5">
        <v>470</v>
      </c>
      <c r="AS492" s="413" t="s">
        <v>1144</v>
      </c>
      <c r="AT492" s="145">
        <v>208</v>
      </c>
      <c r="AU492" s="146">
        <v>3.45</v>
      </c>
      <c r="AV492" s="145">
        <v>3658</v>
      </c>
      <c r="AW492" s="145">
        <v>-13</v>
      </c>
      <c r="AY492" s="5">
        <v>470</v>
      </c>
      <c r="AZ492" s="413" t="s">
        <v>718</v>
      </c>
      <c r="BA492" s="145"/>
      <c r="BB492" s="146"/>
      <c r="BC492" s="145"/>
      <c r="BD492" s="145"/>
      <c r="BF492" s="5">
        <v>470</v>
      </c>
      <c r="BG492" s="413" t="s">
        <v>718</v>
      </c>
      <c r="BH492" s="145"/>
      <c r="BI492" s="146"/>
      <c r="BJ492" s="145"/>
      <c r="BK492" s="145"/>
      <c r="BM492" s="5">
        <v>470</v>
      </c>
      <c r="BN492" s="413" t="s">
        <v>718</v>
      </c>
      <c r="BO492" s="145"/>
      <c r="BP492" s="146"/>
      <c r="BQ492" s="145"/>
      <c r="BR492" s="145"/>
      <c r="BS492" s="5"/>
      <c r="BT492" s="5">
        <v>470</v>
      </c>
      <c r="BU492" s="413" t="s">
        <v>718</v>
      </c>
      <c r="BV492" s="145"/>
      <c r="BW492" s="146"/>
      <c r="BX492" s="145"/>
      <c r="BY492" s="145"/>
      <c r="BZ492" s="5"/>
      <c r="CA492" s="5">
        <v>470</v>
      </c>
      <c r="CB492" s="413" t="s">
        <v>718</v>
      </c>
      <c r="CC492" s="145"/>
      <c r="CD492" s="146"/>
      <c r="CE492" s="145"/>
      <c r="CF492" s="145"/>
      <c r="CG492" s="5"/>
      <c r="CH492" s="5"/>
      <c r="CI492" s="5"/>
    </row>
    <row r="493" spans="13:87" x14ac:dyDescent="0.2">
      <c r="M493" s="5">
        <v>471</v>
      </c>
      <c r="N493" s="413" t="str">
        <f t="shared" si="42"/>
        <v xml:space="preserve"> </v>
      </c>
      <c r="O493" s="414">
        <f t="shared" si="43"/>
        <v>0</v>
      </c>
      <c r="P493" s="414">
        <f t="shared" si="44"/>
        <v>0</v>
      </c>
      <c r="Q493" s="145">
        <f t="shared" si="47"/>
        <v>-8</v>
      </c>
      <c r="R493" s="414">
        <f t="shared" si="45"/>
        <v>0</v>
      </c>
      <c r="S493" s="414">
        <f t="shared" si="46"/>
        <v>0</v>
      </c>
      <c r="T493" s="19"/>
      <c r="U493" s="5"/>
      <c r="V493" s="5"/>
      <c r="W493" s="5">
        <v>471</v>
      </c>
      <c r="X493" s="144" t="s">
        <v>718</v>
      </c>
      <c r="Y493" s="145"/>
      <c r="Z493" s="146"/>
      <c r="AA493" s="145"/>
      <c r="AB493" s="145"/>
      <c r="AD493" s="5">
        <v>471</v>
      </c>
      <c r="AE493" s="413" t="s">
        <v>718</v>
      </c>
      <c r="AF493" s="145"/>
      <c r="AG493" s="146"/>
      <c r="AH493" s="145"/>
      <c r="AI493" s="145"/>
      <c r="AK493" s="5">
        <v>471</v>
      </c>
      <c r="AL493" s="413" t="s">
        <v>718</v>
      </c>
      <c r="AM493" s="145"/>
      <c r="AN493" s="146"/>
      <c r="AO493" s="145"/>
      <c r="AP493" s="145"/>
      <c r="AR493" s="5">
        <v>471</v>
      </c>
      <c r="AS493" s="413" t="s">
        <v>1145</v>
      </c>
      <c r="AT493" s="145">
        <v>160</v>
      </c>
      <c r="AU493" s="146">
        <v>3.31</v>
      </c>
      <c r="AV493" s="145">
        <v>3522</v>
      </c>
      <c r="AW493" s="145">
        <v>-14</v>
      </c>
      <c r="AY493" s="5">
        <v>471</v>
      </c>
      <c r="AZ493" s="413" t="s">
        <v>718</v>
      </c>
      <c r="BA493" s="145"/>
      <c r="BB493" s="146"/>
      <c r="BC493" s="145"/>
      <c r="BD493" s="145"/>
      <c r="BF493" s="5">
        <v>471</v>
      </c>
      <c r="BG493" s="413" t="s">
        <v>718</v>
      </c>
      <c r="BH493" s="145"/>
      <c r="BI493" s="146"/>
      <c r="BJ493" s="145"/>
      <c r="BK493" s="145"/>
      <c r="BM493" s="5">
        <v>471</v>
      </c>
      <c r="BN493" s="413" t="s">
        <v>718</v>
      </c>
      <c r="BO493" s="145"/>
      <c r="BP493" s="146"/>
      <c r="BQ493" s="145"/>
      <c r="BR493" s="145"/>
      <c r="BS493" s="5"/>
      <c r="BT493" s="5">
        <v>471</v>
      </c>
      <c r="BU493" s="413" t="s">
        <v>718</v>
      </c>
      <c r="BV493" s="145"/>
      <c r="BW493" s="146"/>
      <c r="BX493" s="145"/>
      <c r="BY493" s="145"/>
      <c r="BZ493" s="5"/>
      <c r="CA493" s="5">
        <v>471</v>
      </c>
      <c r="CB493" s="413" t="s">
        <v>718</v>
      </c>
      <c r="CC493" s="145"/>
      <c r="CD493" s="146"/>
      <c r="CE493" s="145"/>
      <c r="CF493" s="145"/>
      <c r="CG493" s="5"/>
      <c r="CH493" s="5"/>
      <c r="CI493" s="5"/>
    </row>
    <row r="494" spans="13:87" x14ac:dyDescent="0.2">
      <c r="M494" s="5">
        <v>472</v>
      </c>
      <c r="N494" s="413" t="str">
        <f t="shared" si="42"/>
        <v xml:space="preserve"> </v>
      </c>
      <c r="O494" s="414">
        <f t="shared" si="43"/>
        <v>0</v>
      </c>
      <c r="P494" s="414">
        <f t="shared" si="44"/>
        <v>0</v>
      </c>
      <c r="Q494" s="145">
        <f t="shared" si="47"/>
        <v>-8</v>
      </c>
      <c r="R494" s="414">
        <f t="shared" si="45"/>
        <v>0</v>
      </c>
      <c r="S494" s="414">
        <f t="shared" si="46"/>
        <v>0</v>
      </c>
      <c r="T494" s="19"/>
      <c r="U494" s="5"/>
      <c r="V494" s="5"/>
      <c r="W494" s="5">
        <v>472</v>
      </c>
      <c r="X494" s="144" t="s">
        <v>718</v>
      </c>
      <c r="Y494" s="145"/>
      <c r="Z494" s="146"/>
      <c r="AA494" s="145"/>
      <c r="AB494" s="145"/>
      <c r="AD494" s="5">
        <v>472</v>
      </c>
      <c r="AE494" s="413" t="s">
        <v>718</v>
      </c>
      <c r="AF494" s="145"/>
      <c r="AG494" s="146"/>
      <c r="AH494" s="145"/>
      <c r="AI494" s="145"/>
      <c r="AK494" s="5">
        <v>472</v>
      </c>
      <c r="AL494" s="413" t="s">
        <v>718</v>
      </c>
      <c r="AM494" s="145"/>
      <c r="AN494" s="146"/>
      <c r="AO494" s="145"/>
      <c r="AP494" s="145"/>
      <c r="AR494" s="5">
        <v>472</v>
      </c>
      <c r="AS494" s="413" t="s">
        <v>1146</v>
      </c>
      <c r="AT494" s="145">
        <v>569</v>
      </c>
      <c r="AU494" s="146">
        <v>3.21</v>
      </c>
      <c r="AV494" s="145">
        <v>3962</v>
      </c>
      <c r="AW494" s="145">
        <v>-15</v>
      </c>
      <c r="AY494" s="5">
        <v>472</v>
      </c>
      <c r="AZ494" s="413" t="s">
        <v>718</v>
      </c>
      <c r="BA494" s="145"/>
      <c r="BB494" s="146"/>
      <c r="BC494" s="145"/>
      <c r="BD494" s="145"/>
      <c r="BF494" s="5">
        <v>472</v>
      </c>
      <c r="BG494" s="413" t="s">
        <v>718</v>
      </c>
      <c r="BH494" s="145"/>
      <c r="BI494" s="146"/>
      <c r="BJ494" s="145"/>
      <c r="BK494" s="145"/>
      <c r="BM494" s="5">
        <v>472</v>
      </c>
      <c r="BN494" s="413" t="s">
        <v>718</v>
      </c>
      <c r="BO494" s="145"/>
      <c r="BP494" s="146"/>
      <c r="BQ494" s="145"/>
      <c r="BR494" s="145"/>
      <c r="BS494" s="5"/>
      <c r="BT494" s="5">
        <v>472</v>
      </c>
      <c r="BU494" s="413" t="s">
        <v>718</v>
      </c>
      <c r="BV494" s="145"/>
      <c r="BW494" s="146"/>
      <c r="BX494" s="145"/>
      <c r="BY494" s="145"/>
      <c r="BZ494" s="5"/>
      <c r="CA494" s="5">
        <v>472</v>
      </c>
      <c r="CB494" s="413" t="s">
        <v>718</v>
      </c>
      <c r="CC494" s="145"/>
      <c r="CD494" s="146"/>
      <c r="CE494" s="145"/>
      <c r="CF494" s="145"/>
      <c r="CG494" s="5"/>
      <c r="CH494" s="5"/>
      <c r="CI494" s="5"/>
    </row>
    <row r="495" spans="13:87" x14ac:dyDescent="0.2">
      <c r="M495" s="5">
        <v>473</v>
      </c>
      <c r="N495" s="413" t="str">
        <f t="shared" si="42"/>
        <v xml:space="preserve"> </v>
      </c>
      <c r="O495" s="414">
        <f t="shared" si="43"/>
        <v>0</v>
      </c>
      <c r="P495" s="414">
        <f t="shared" si="44"/>
        <v>0</v>
      </c>
      <c r="Q495" s="145">
        <f t="shared" si="47"/>
        <v>-8</v>
      </c>
      <c r="R495" s="414">
        <f t="shared" si="45"/>
        <v>0</v>
      </c>
      <c r="S495" s="414">
        <f t="shared" si="46"/>
        <v>0</v>
      </c>
      <c r="T495" s="19"/>
      <c r="U495" s="5"/>
      <c r="V495" s="5"/>
      <c r="W495" s="5">
        <v>473</v>
      </c>
      <c r="X495" s="144" t="s">
        <v>718</v>
      </c>
      <c r="Y495" s="145"/>
      <c r="Z495" s="146"/>
      <c r="AA495" s="145"/>
      <c r="AB495" s="145"/>
      <c r="AD495" s="5">
        <v>473</v>
      </c>
      <c r="AE495" s="413" t="s">
        <v>718</v>
      </c>
      <c r="AF495" s="145"/>
      <c r="AG495" s="146"/>
      <c r="AH495" s="145"/>
      <c r="AI495" s="145"/>
      <c r="AK495" s="5">
        <v>473</v>
      </c>
      <c r="AL495" s="413" t="s">
        <v>718</v>
      </c>
      <c r="AM495" s="145"/>
      <c r="AN495" s="146"/>
      <c r="AO495" s="145"/>
      <c r="AP495" s="145"/>
      <c r="AR495" s="5">
        <v>473</v>
      </c>
      <c r="AS495" s="413" t="s">
        <v>1147</v>
      </c>
      <c r="AT495" s="145">
        <v>199</v>
      </c>
      <c r="AU495" s="146">
        <v>3.02</v>
      </c>
      <c r="AV495" s="145">
        <v>3718</v>
      </c>
      <c r="AW495" s="145">
        <v>-14</v>
      </c>
      <c r="AY495" s="5">
        <v>473</v>
      </c>
      <c r="AZ495" s="413" t="s">
        <v>718</v>
      </c>
      <c r="BA495" s="145"/>
      <c r="BB495" s="146"/>
      <c r="BC495" s="145"/>
      <c r="BD495" s="145"/>
      <c r="BF495" s="5">
        <v>473</v>
      </c>
      <c r="BG495" s="413" t="s">
        <v>718</v>
      </c>
      <c r="BH495" s="145"/>
      <c r="BI495" s="146"/>
      <c r="BJ495" s="145"/>
      <c r="BK495" s="145"/>
      <c r="BM495" s="5">
        <v>473</v>
      </c>
      <c r="BN495" s="413" t="s">
        <v>718</v>
      </c>
      <c r="BO495" s="145"/>
      <c r="BP495" s="146"/>
      <c r="BQ495" s="145"/>
      <c r="BR495" s="145"/>
      <c r="BS495" s="5"/>
      <c r="BT495" s="5">
        <v>473</v>
      </c>
      <c r="BU495" s="413" t="s">
        <v>718</v>
      </c>
      <c r="BV495" s="145"/>
      <c r="BW495" s="146"/>
      <c r="BX495" s="145"/>
      <c r="BY495" s="145"/>
      <c r="BZ495" s="5"/>
      <c r="CA495" s="5">
        <v>473</v>
      </c>
      <c r="CB495" s="413" t="s">
        <v>718</v>
      </c>
      <c r="CC495" s="145"/>
      <c r="CD495" s="146"/>
      <c r="CE495" s="145"/>
      <c r="CF495" s="145"/>
      <c r="CG495" s="5"/>
      <c r="CH495" s="5"/>
      <c r="CI495" s="5"/>
    </row>
    <row r="496" spans="13:87" x14ac:dyDescent="0.2">
      <c r="M496" s="5">
        <v>474</v>
      </c>
      <c r="N496" s="413" t="str">
        <f t="shared" si="42"/>
        <v xml:space="preserve"> </v>
      </c>
      <c r="O496" s="414">
        <f t="shared" si="43"/>
        <v>0</v>
      </c>
      <c r="P496" s="414">
        <f t="shared" si="44"/>
        <v>0</v>
      </c>
      <c r="Q496" s="145">
        <f t="shared" si="47"/>
        <v>-8</v>
      </c>
      <c r="R496" s="414">
        <f t="shared" si="45"/>
        <v>0</v>
      </c>
      <c r="S496" s="414">
        <f t="shared" si="46"/>
        <v>0</v>
      </c>
      <c r="T496" s="19"/>
      <c r="U496" s="5"/>
      <c r="V496" s="5"/>
      <c r="W496" s="5">
        <v>474</v>
      </c>
      <c r="X496" s="144" t="s">
        <v>718</v>
      </c>
      <c r="Y496" s="145"/>
      <c r="Z496" s="146"/>
      <c r="AA496" s="145"/>
      <c r="AB496" s="145"/>
      <c r="AD496" s="5">
        <v>474</v>
      </c>
      <c r="AE496" s="413" t="s">
        <v>718</v>
      </c>
      <c r="AF496" s="145"/>
      <c r="AG496" s="146"/>
      <c r="AH496" s="145"/>
      <c r="AI496" s="145"/>
      <c r="AK496" s="5">
        <v>474</v>
      </c>
      <c r="AL496" s="413" t="s">
        <v>718</v>
      </c>
      <c r="AM496" s="145"/>
      <c r="AN496" s="146"/>
      <c r="AO496" s="145"/>
      <c r="AP496" s="145"/>
      <c r="AR496" s="5">
        <v>474</v>
      </c>
      <c r="AS496" s="413" t="s">
        <v>1148</v>
      </c>
      <c r="AT496" s="145">
        <v>266</v>
      </c>
      <c r="AU496" s="146">
        <v>3.09</v>
      </c>
      <c r="AV496" s="145">
        <v>3703</v>
      </c>
      <c r="AW496" s="145">
        <v>-14</v>
      </c>
      <c r="AY496" s="5">
        <v>474</v>
      </c>
      <c r="AZ496" s="413" t="s">
        <v>718</v>
      </c>
      <c r="BA496" s="145"/>
      <c r="BB496" s="146"/>
      <c r="BC496" s="145"/>
      <c r="BD496" s="145"/>
      <c r="BF496" s="5">
        <v>474</v>
      </c>
      <c r="BG496" s="413" t="s">
        <v>718</v>
      </c>
      <c r="BH496" s="145"/>
      <c r="BI496" s="146"/>
      <c r="BJ496" s="145"/>
      <c r="BK496" s="145"/>
      <c r="BM496" s="5">
        <v>474</v>
      </c>
      <c r="BN496" s="413" t="s">
        <v>718</v>
      </c>
      <c r="BO496" s="145"/>
      <c r="BP496" s="146"/>
      <c r="BQ496" s="145"/>
      <c r="BR496" s="145"/>
      <c r="BS496" s="5"/>
      <c r="BT496" s="5">
        <v>474</v>
      </c>
      <c r="BU496" s="413" t="s">
        <v>718</v>
      </c>
      <c r="BV496" s="145"/>
      <c r="BW496" s="146"/>
      <c r="BX496" s="145"/>
      <c r="BY496" s="145"/>
      <c r="BZ496" s="5"/>
      <c r="CA496" s="5">
        <v>474</v>
      </c>
      <c r="CB496" s="413" t="s">
        <v>718</v>
      </c>
      <c r="CC496" s="145"/>
      <c r="CD496" s="146"/>
      <c r="CE496" s="145"/>
      <c r="CF496" s="145"/>
      <c r="CG496" s="5"/>
      <c r="CH496" s="5"/>
      <c r="CI496" s="5"/>
    </row>
    <row r="497" spans="13:87" x14ac:dyDescent="0.2">
      <c r="M497" s="5">
        <v>475</v>
      </c>
      <c r="N497" s="413" t="str">
        <f t="shared" si="42"/>
        <v xml:space="preserve"> </v>
      </c>
      <c r="O497" s="414">
        <f t="shared" si="43"/>
        <v>0</v>
      </c>
      <c r="P497" s="414">
        <f t="shared" si="44"/>
        <v>0</v>
      </c>
      <c r="Q497" s="145">
        <f t="shared" si="47"/>
        <v>-8</v>
      </c>
      <c r="R497" s="414">
        <f t="shared" si="45"/>
        <v>0</v>
      </c>
      <c r="S497" s="414">
        <f t="shared" si="46"/>
        <v>0</v>
      </c>
      <c r="T497" s="19"/>
      <c r="U497" s="5"/>
      <c r="V497" s="5"/>
      <c r="W497" s="5">
        <v>475</v>
      </c>
      <c r="X497" s="144" t="s">
        <v>718</v>
      </c>
      <c r="Y497" s="145"/>
      <c r="Z497" s="146"/>
      <c r="AA497" s="145"/>
      <c r="AB497" s="145"/>
      <c r="AD497" s="5">
        <v>475</v>
      </c>
      <c r="AE497" s="413" t="s">
        <v>718</v>
      </c>
      <c r="AF497" s="145"/>
      <c r="AG497" s="146"/>
      <c r="AH497" s="145"/>
      <c r="AI497" s="145"/>
      <c r="AK497" s="5">
        <v>475</v>
      </c>
      <c r="AL497" s="413" t="s">
        <v>718</v>
      </c>
      <c r="AM497" s="145"/>
      <c r="AN497" s="146"/>
      <c r="AO497" s="145"/>
      <c r="AP497" s="145"/>
      <c r="AR497" s="5">
        <v>475</v>
      </c>
      <c r="AS497" s="413" t="s">
        <v>1149</v>
      </c>
      <c r="AT497" s="145">
        <v>530</v>
      </c>
      <c r="AU497" s="146">
        <v>2.54</v>
      </c>
      <c r="AV497" s="145">
        <v>4347</v>
      </c>
      <c r="AW497" s="145">
        <v>-17</v>
      </c>
      <c r="AY497" s="5">
        <v>475</v>
      </c>
      <c r="AZ497" s="413" t="s">
        <v>718</v>
      </c>
      <c r="BA497" s="145"/>
      <c r="BB497" s="146"/>
      <c r="BC497" s="145"/>
      <c r="BD497" s="145"/>
      <c r="BF497" s="5">
        <v>475</v>
      </c>
      <c r="BG497" s="413" t="s">
        <v>718</v>
      </c>
      <c r="BH497" s="145"/>
      <c r="BI497" s="146"/>
      <c r="BJ497" s="145"/>
      <c r="BK497" s="145"/>
      <c r="BM497" s="5">
        <v>475</v>
      </c>
      <c r="BN497" s="413" t="s">
        <v>718</v>
      </c>
      <c r="BO497" s="145"/>
      <c r="BP497" s="146"/>
      <c r="BQ497" s="145"/>
      <c r="BR497" s="145"/>
      <c r="BS497" s="5"/>
      <c r="BT497" s="5">
        <v>475</v>
      </c>
      <c r="BU497" s="413" t="s">
        <v>718</v>
      </c>
      <c r="BV497" s="145"/>
      <c r="BW497" s="146"/>
      <c r="BX497" s="145"/>
      <c r="BY497" s="145"/>
      <c r="BZ497" s="5"/>
      <c r="CA497" s="5">
        <v>475</v>
      </c>
      <c r="CB497" s="413" t="s">
        <v>718</v>
      </c>
      <c r="CC497" s="145"/>
      <c r="CD497" s="146"/>
      <c r="CE497" s="145"/>
      <c r="CF497" s="145"/>
      <c r="CG497" s="5"/>
      <c r="CH497" s="5"/>
      <c r="CI497" s="5"/>
    </row>
    <row r="498" spans="13:87" x14ac:dyDescent="0.2">
      <c r="M498" s="5">
        <v>476</v>
      </c>
      <c r="N498" s="413" t="str">
        <f t="shared" si="42"/>
        <v xml:space="preserve"> </v>
      </c>
      <c r="O498" s="414">
        <f t="shared" si="43"/>
        <v>0</v>
      </c>
      <c r="P498" s="414">
        <f t="shared" si="44"/>
        <v>0</v>
      </c>
      <c r="Q498" s="145">
        <f t="shared" si="47"/>
        <v>-8</v>
      </c>
      <c r="R498" s="414">
        <f t="shared" si="45"/>
        <v>0</v>
      </c>
      <c r="S498" s="414">
        <f t="shared" si="46"/>
        <v>0</v>
      </c>
      <c r="T498" s="19"/>
      <c r="U498" s="5"/>
      <c r="V498" s="5"/>
      <c r="W498" s="5">
        <v>476</v>
      </c>
      <c r="X498" s="144" t="s">
        <v>718</v>
      </c>
      <c r="Y498" s="145"/>
      <c r="Z498" s="146"/>
      <c r="AA498" s="145"/>
      <c r="AB498" s="145"/>
      <c r="AD498" s="5">
        <v>476</v>
      </c>
      <c r="AE498" s="413" t="s">
        <v>718</v>
      </c>
      <c r="AF498" s="145"/>
      <c r="AG498" s="146"/>
      <c r="AH498" s="145"/>
      <c r="AI498" s="145"/>
      <c r="AK498" s="5">
        <v>476</v>
      </c>
      <c r="AL498" s="413" t="s">
        <v>718</v>
      </c>
      <c r="AM498" s="145"/>
      <c r="AN498" s="146"/>
      <c r="AO498" s="145"/>
      <c r="AP498" s="145"/>
      <c r="AR498" s="5">
        <v>476</v>
      </c>
      <c r="AS498" s="413" t="s">
        <v>1150</v>
      </c>
      <c r="AT498" s="145">
        <v>164</v>
      </c>
      <c r="AU498" s="146">
        <v>3.52</v>
      </c>
      <c r="AV498" s="145">
        <v>3394</v>
      </c>
      <c r="AW498" s="145">
        <v>-13</v>
      </c>
      <c r="AY498" s="5">
        <v>476</v>
      </c>
      <c r="AZ498" s="413" t="s">
        <v>718</v>
      </c>
      <c r="BA498" s="145"/>
      <c r="BB498" s="146"/>
      <c r="BC498" s="145"/>
      <c r="BD498" s="145"/>
      <c r="BF498" s="5">
        <v>476</v>
      </c>
      <c r="BG498" s="413" t="s">
        <v>718</v>
      </c>
      <c r="BH498" s="145"/>
      <c r="BI498" s="146"/>
      <c r="BJ498" s="145"/>
      <c r="BK498" s="145"/>
      <c r="BM498" s="5">
        <v>476</v>
      </c>
      <c r="BN498" s="413" t="s">
        <v>718</v>
      </c>
      <c r="BO498" s="145"/>
      <c r="BP498" s="146"/>
      <c r="BQ498" s="145"/>
      <c r="BR498" s="145"/>
      <c r="BS498" s="5"/>
      <c r="BT498" s="5">
        <v>476</v>
      </c>
      <c r="BU498" s="413" t="s">
        <v>718</v>
      </c>
      <c r="BV498" s="145"/>
      <c r="BW498" s="146"/>
      <c r="BX498" s="145"/>
      <c r="BY498" s="145"/>
      <c r="BZ498" s="5"/>
      <c r="CA498" s="5">
        <v>476</v>
      </c>
      <c r="CB498" s="413" t="s">
        <v>718</v>
      </c>
      <c r="CC498" s="145"/>
      <c r="CD498" s="146"/>
      <c r="CE498" s="145"/>
      <c r="CF498" s="145"/>
      <c r="CG498" s="5"/>
      <c r="CH498" s="5"/>
      <c r="CI498" s="5"/>
    </row>
    <row r="499" spans="13:87" x14ac:dyDescent="0.2">
      <c r="M499" s="5">
        <v>477</v>
      </c>
      <c r="N499" s="413" t="str">
        <f t="shared" si="42"/>
        <v xml:space="preserve"> </v>
      </c>
      <c r="O499" s="414">
        <f t="shared" si="43"/>
        <v>0</v>
      </c>
      <c r="P499" s="414">
        <f t="shared" si="44"/>
        <v>0</v>
      </c>
      <c r="Q499" s="145">
        <f t="shared" si="47"/>
        <v>-8</v>
      </c>
      <c r="R499" s="414">
        <f t="shared" si="45"/>
        <v>0</v>
      </c>
      <c r="S499" s="414">
        <f t="shared" si="46"/>
        <v>0</v>
      </c>
      <c r="T499" s="19"/>
      <c r="U499" s="5"/>
      <c r="V499" s="5"/>
      <c r="W499" s="5">
        <v>477</v>
      </c>
      <c r="X499" s="144" t="s">
        <v>718</v>
      </c>
      <c r="Y499" s="145"/>
      <c r="Z499" s="146"/>
      <c r="AA499" s="145"/>
      <c r="AB499" s="145"/>
      <c r="AD499" s="5">
        <v>477</v>
      </c>
      <c r="AE499" s="413" t="s">
        <v>718</v>
      </c>
      <c r="AF499" s="145"/>
      <c r="AG499" s="146"/>
      <c r="AH499" s="145"/>
      <c r="AI499" s="145"/>
      <c r="AK499" s="5">
        <v>477</v>
      </c>
      <c r="AL499" s="413" t="s">
        <v>718</v>
      </c>
      <c r="AM499" s="145"/>
      <c r="AN499" s="146"/>
      <c r="AO499" s="145"/>
      <c r="AP499" s="145"/>
      <c r="AR499" s="5">
        <v>477</v>
      </c>
      <c r="AS499" s="413" t="s">
        <v>1151</v>
      </c>
      <c r="AT499" s="145">
        <v>329</v>
      </c>
      <c r="AU499" s="146">
        <v>3.32</v>
      </c>
      <c r="AV499" s="145">
        <v>3619</v>
      </c>
      <c r="AW499" s="145">
        <v>-14</v>
      </c>
      <c r="AY499" s="5">
        <v>477</v>
      </c>
      <c r="AZ499" s="413" t="s">
        <v>718</v>
      </c>
      <c r="BA499" s="145"/>
      <c r="BB499" s="146"/>
      <c r="BC499" s="145"/>
      <c r="BD499" s="145"/>
      <c r="BF499" s="5">
        <v>477</v>
      </c>
      <c r="BG499" s="413" t="s">
        <v>718</v>
      </c>
      <c r="BH499" s="145"/>
      <c r="BI499" s="146"/>
      <c r="BJ499" s="145"/>
      <c r="BK499" s="145"/>
      <c r="BM499" s="5">
        <v>477</v>
      </c>
      <c r="BN499" s="413" t="s">
        <v>718</v>
      </c>
      <c r="BO499" s="145"/>
      <c r="BP499" s="146"/>
      <c r="BQ499" s="145"/>
      <c r="BR499" s="145"/>
      <c r="BS499" s="5"/>
      <c r="BT499" s="5">
        <v>477</v>
      </c>
      <c r="BU499" s="413" t="s">
        <v>718</v>
      </c>
      <c r="BV499" s="145"/>
      <c r="BW499" s="146"/>
      <c r="BX499" s="145"/>
      <c r="BY499" s="145"/>
      <c r="BZ499" s="5"/>
      <c r="CA499" s="5">
        <v>477</v>
      </c>
      <c r="CB499" s="413" t="s">
        <v>718</v>
      </c>
      <c r="CC499" s="145"/>
      <c r="CD499" s="146"/>
      <c r="CE499" s="145"/>
      <c r="CF499" s="145"/>
      <c r="CG499" s="5"/>
      <c r="CH499" s="5"/>
      <c r="CI499" s="5"/>
    </row>
    <row r="500" spans="13:87" x14ac:dyDescent="0.2">
      <c r="M500" s="5">
        <v>478</v>
      </c>
      <c r="N500" s="413" t="str">
        <f t="shared" si="42"/>
        <v xml:space="preserve"> </v>
      </c>
      <c r="O500" s="414">
        <f t="shared" si="43"/>
        <v>0</v>
      </c>
      <c r="P500" s="414">
        <f t="shared" si="44"/>
        <v>0</v>
      </c>
      <c r="Q500" s="145">
        <f t="shared" si="47"/>
        <v>-8</v>
      </c>
      <c r="R500" s="414">
        <f t="shared" si="45"/>
        <v>0</v>
      </c>
      <c r="S500" s="414">
        <f t="shared" si="46"/>
        <v>0</v>
      </c>
      <c r="T500" s="19"/>
      <c r="U500" s="5"/>
      <c r="V500" s="5"/>
      <c r="W500" s="5">
        <v>478</v>
      </c>
      <c r="X500" s="144" t="s">
        <v>718</v>
      </c>
      <c r="Y500" s="145"/>
      <c r="Z500" s="146"/>
      <c r="AA500" s="145"/>
      <c r="AB500" s="145"/>
      <c r="AD500" s="5">
        <v>478</v>
      </c>
      <c r="AE500" s="413" t="s">
        <v>718</v>
      </c>
      <c r="AF500" s="145"/>
      <c r="AG500" s="146"/>
      <c r="AH500" s="145"/>
      <c r="AI500" s="145"/>
      <c r="AK500" s="5">
        <v>478</v>
      </c>
      <c r="AL500" s="413" t="s">
        <v>718</v>
      </c>
      <c r="AM500" s="145"/>
      <c r="AN500" s="146"/>
      <c r="AO500" s="145"/>
      <c r="AP500" s="145"/>
      <c r="AR500" s="5">
        <v>478</v>
      </c>
      <c r="AS500" s="413" t="s">
        <v>1152</v>
      </c>
      <c r="AT500" s="145">
        <v>618</v>
      </c>
      <c r="AU500" s="146">
        <v>3.02</v>
      </c>
      <c r="AV500" s="145">
        <v>4416</v>
      </c>
      <c r="AW500" s="145">
        <v>-15</v>
      </c>
      <c r="AY500" s="5">
        <v>478</v>
      </c>
      <c r="AZ500" s="413" t="s">
        <v>718</v>
      </c>
      <c r="BA500" s="145"/>
      <c r="BB500" s="146"/>
      <c r="BC500" s="145"/>
      <c r="BD500" s="145"/>
      <c r="BF500" s="5">
        <v>478</v>
      </c>
      <c r="BG500" s="413" t="s">
        <v>718</v>
      </c>
      <c r="BH500" s="145"/>
      <c r="BI500" s="146"/>
      <c r="BJ500" s="145"/>
      <c r="BK500" s="145"/>
      <c r="BM500" s="5">
        <v>478</v>
      </c>
      <c r="BN500" s="413" t="s">
        <v>718</v>
      </c>
      <c r="BO500" s="145"/>
      <c r="BP500" s="146"/>
      <c r="BQ500" s="145"/>
      <c r="BR500" s="145"/>
      <c r="BS500" s="5"/>
      <c r="BT500" s="5">
        <v>478</v>
      </c>
      <c r="BU500" s="413" t="s">
        <v>718</v>
      </c>
      <c r="BV500" s="145"/>
      <c r="BW500" s="146"/>
      <c r="BX500" s="145"/>
      <c r="BY500" s="145"/>
      <c r="BZ500" s="5"/>
      <c r="CA500" s="5">
        <v>478</v>
      </c>
      <c r="CB500" s="413" t="s">
        <v>718</v>
      </c>
      <c r="CC500" s="145"/>
      <c r="CD500" s="146"/>
      <c r="CE500" s="145"/>
      <c r="CF500" s="145"/>
      <c r="CG500" s="5"/>
      <c r="CH500" s="5"/>
      <c r="CI500" s="5"/>
    </row>
    <row r="501" spans="13:87" x14ac:dyDescent="0.2">
      <c r="M501" s="5">
        <v>479</v>
      </c>
      <c r="N501" s="413" t="str">
        <f t="shared" si="42"/>
        <v xml:space="preserve"> </v>
      </c>
      <c r="O501" s="414">
        <f t="shared" si="43"/>
        <v>0</v>
      </c>
      <c r="P501" s="414">
        <f t="shared" si="44"/>
        <v>0</v>
      </c>
      <c r="Q501" s="145">
        <f t="shared" si="47"/>
        <v>-8</v>
      </c>
      <c r="R501" s="414">
        <f t="shared" si="45"/>
        <v>0</v>
      </c>
      <c r="S501" s="414">
        <f t="shared" si="46"/>
        <v>0</v>
      </c>
      <c r="T501" s="19"/>
      <c r="U501" s="5"/>
      <c r="V501" s="5"/>
      <c r="W501" s="5">
        <v>479</v>
      </c>
      <c r="X501" s="144" t="s">
        <v>718</v>
      </c>
      <c r="Y501" s="145"/>
      <c r="Z501" s="146"/>
      <c r="AA501" s="145"/>
      <c r="AB501" s="145"/>
      <c r="AD501" s="5">
        <v>479</v>
      </c>
      <c r="AE501" s="413" t="s">
        <v>718</v>
      </c>
      <c r="AF501" s="145"/>
      <c r="AG501" s="146"/>
      <c r="AH501" s="145"/>
      <c r="AI501" s="145"/>
      <c r="AK501" s="5">
        <v>479</v>
      </c>
      <c r="AL501" s="413" t="s">
        <v>718</v>
      </c>
      <c r="AM501" s="145"/>
      <c r="AN501" s="146"/>
      <c r="AO501" s="145"/>
      <c r="AP501" s="145"/>
      <c r="AR501" s="5">
        <v>479</v>
      </c>
      <c r="AS501" s="413" t="s">
        <v>1153</v>
      </c>
      <c r="AT501" s="145">
        <v>498</v>
      </c>
      <c r="AU501" s="146">
        <v>2.5</v>
      </c>
      <c r="AV501" s="145">
        <v>4411</v>
      </c>
      <c r="AW501" s="145">
        <v>-17</v>
      </c>
      <c r="AY501" s="5">
        <v>479</v>
      </c>
      <c r="AZ501" s="413" t="s">
        <v>718</v>
      </c>
      <c r="BA501" s="145"/>
      <c r="BB501" s="146"/>
      <c r="BC501" s="145"/>
      <c r="BD501" s="145"/>
      <c r="BF501" s="5">
        <v>479</v>
      </c>
      <c r="BG501" s="413" t="s">
        <v>718</v>
      </c>
      <c r="BH501" s="145"/>
      <c r="BI501" s="146"/>
      <c r="BJ501" s="145"/>
      <c r="BK501" s="145"/>
      <c r="BM501" s="5">
        <v>479</v>
      </c>
      <c r="BN501" s="413" t="s">
        <v>718</v>
      </c>
      <c r="BO501" s="145"/>
      <c r="BP501" s="146"/>
      <c r="BQ501" s="145"/>
      <c r="BR501" s="145"/>
      <c r="BS501" s="5"/>
      <c r="BT501" s="5">
        <v>479</v>
      </c>
      <c r="BU501" s="413" t="s">
        <v>718</v>
      </c>
      <c r="BV501" s="145"/>
      <c r="BW501" s="146"/>
      <c r="BX501" s="145"/>
      <c r="BY501" s="145"/>
      <c r="BZ501" s="5"/>
      <c r="CA501" s="5">
        <v>479</v>
      </c>
      <c r="CB501" s="413" t="s">
        <v>718</v>
      </c>
      <c r="CC501" s="145"/>
      <c r="CD501" s="146"/>
      <c r="CE501" s="145"/>
      <c r="CF501" s="145"/>
      <c r="CG501" s="5"/>
      <c r="CH501" s="5"/>
      <c r="CI501" s="5"/>
    </row>
    <row r="502" spans="13:87" x14ac:dyDescent="0.2">
      <c r="M502" s="5">
        <v>480</v>
      </c>
      <c r="N502" s="413" t="str">
        <f t="shared" si="42"/>
        <v xml:space="preserve"> </v>
      </c>
      <c r="O502" s="414">
        <f t="shared" si="43"/>
        <v>0</v>
      </c>
      <c r="P502" s="414">
        <f t="shared" si="44"/>
        <v>0</v>
      </c>
      <c r="Q502" s="145">
        <f t="shared" si="47"/>
        <v>-8</v>
      </c>
      <c r="R502" s="414">
        <f t="shared" si="45"/>
        <v>0</v>
      </c>
      <c r="S502" s="414">
        <f t="shared" si="46"/>
        <v>0</v>
      </c>
      <c r="T502" s="19"/>
      <c r="U502" s="5"/>
      <c r="V502" s="5"/>
      <c r="W502" s="5">
        <v>480</v>
      </c>
      <c r="X502" s="144" t="s">
        <v>718</v>
      </c>
      <c r="Y502" s="145"/>
      <c r="Z502" s="146"/>
      <c r="AA502" s="145"/>
      <c r="AB502" s="145"/>
      <c r="AD502" s="5">
        <v>480</v>
      </c>
      <c r="AE502" s="413" t="s">
        <v>718</v>
      </c>
      <c r="AF502" s="145"/>
      <c r="AG502" s="146"/>
      <c r="AH502" s="145"/>
      <c r="AI502" s="145"/>
      <c r="AK502" s="5">
        <v>480</v>
      </c>
      <c r="AL502" s="413" t="s">
        <v>718</v>
      </c>
      <c r="AM502" s="145"/>
      <c r="AN502" s="146"/>
      <c r="AO502" s="145"/>
      <c r="AP502" s="145"/>
      <c r="AR502" s="5">
        <v>480</v>
      </c>
      <c r="AS502" s="413" t="s">
        <v>1154</v>
      </c>
      <c r="AT502" s="145">
        <v>380</v>
      </c>
      <c r="AU502" s="146">
        <v>3.22</v>
      </c>
      <c r="AV502" s="145">
        <v>3743</v>
      </c>
      <c r="AW502" s="145">
        <v>-14</v>
      </c>
      <c r="AY502" s="5">
        <v>480</v>
      </c>
      <c r="AZ502" s="413" t="s">
        <v>718</v>
      </c>
      <c r="BA502" s="145"/>
      <c r="BB502" s="146"/>
      <c r="BC502" s="145"/>
      <c r="BD502" s="145"/>
      <c r="BF502" s="5">
        <v>480</v>
      </c>
      <c r="BG502" s="413" t="s">
        <v>718</v>
      </c>
      <c r="BH502" s="145"/>
      <c r="BI502" s="146"/>
      <c r="BJ502" s="145"/>
      <c r="BK502" s="145"/>
      <c r="BM502" s="5">
        <v>480</v>
      </c>
      <c r="BN502" s="413" t="s">
        <v>718</v>
      </c>
      <c r="BO502" s="145"/>
      <c r="BP502" s="146"/>
      <c r="BQ502" s="145"/>
      <c r="BR502" s="145"/>
      <c r="BS502" s="5"/>
      <c r="BT502" s="5">
        <v>480</v>
      </c>
      <c r="BU502" s="413" t="s">
        <v>718</v>
      </c>
      <c r="BV502" s="145"/>
      <c r="BW502" s="146"/>
      <c r="BX502" s="145"/>
      <c r="BY502" s="145"/>
      <c r="BZ502" s="5"/>
      <c r="CA502" s="5">
        <v>480</v>
      </c>
      <c r="CB502" s="413" t="s">
        <v>718</v>
      </c>
      <c r="CC502" s="145"/>
      <c r="CD502" s="146"/>
      <c r="CE502" s="145"/>
      <c r="CF502" s="145"/>
      <c r="CG502" s="5"/>
      <c r="CH502" s="5"/>
      <c r="CI502" s="5"/>
    </row>
    <row r="503" spans="13:87" x14ac:dyDescent="0.2">
      <c r="M503" s="5">
        <v>481</v>
      </c>
      <c r="N503" s="413" t="str">
        <f t="shared" si="42"/>
        <v xml:space="preserve"> </v>
      </c>
      <c r="O503" s="414">
        <f t="shared" si="43"/>
        <v>0</v>
      </c>
      <c r="P503" s="414">
        <f t="shared" si="44"/>
        <v>0</v>
      </c>
      <c r="Q503" s="145">
        <f t="shared" si="47"/>
        <v>-8</v>
      </c>
      <c r="R503" s="414">
        <f t="shared" si="45"/>
        <v>0</v>
      </c>
      <c r="S503" s="414">
        <f t="shared" si="46"/>
        <v>0</v>
      </c>
      <c r="T503" s="19"/>
      <c r="U503" s="5"/>
      <c r="V503" s="5"/>
      <c r="W503" s="5">
        <v>481</v>
      </c>
      <c r="X503" s="144" t="s">
        <v>718</v>
      </c>
      <c r="Y503" s="145"/>
      <c r="Z503" s="146"/>
      <c r="AA503" s="145"/>
      <c r="AB503" s="145"/>
      <c r="AD503" s="5">
        <v>481</v>
      </c>
      <c r="AE503" s="413" t="s">
        <v>718</v>
      </c>
      <c r="AF503" s="145"/>
      <c r="AG503" s="146"/>
      <c r="AH503" s="145"/>
      <c r="AI503" s="145"/>
      <c r="AK503" s="5">
        <v>481</v>
      </c>
      <c r="AL503" s="413" t="s">
        <v>718</v>
      </c>
      <c r="AM503" s="145"/>
      <c r="AN503" s="146"/>
      <c r="AO503" s="145"/>
      <c r="AP503" s="145"/>
      <c r="AR503" s="5">
        <v>481</v>
      </c>
      <c r="AS503" s="413" t="s">
        <v>1155</v>
      </c>
      <c r="AT503" s="145">
        <v>510</v>
      </c>
      <c r="AU503" s="146">
        <v>3.45</v>
      </c>
      <c r="AV503" s="145">
        <v>3972</v>
      </c>
      <c r="AW503" s="145">
        <v>-14</v>
      </c>
      <c r="AY503" s="5">
        <v>481</v>
      </c>
      <c r="AZ503" s="413" t="s">
        <v>718</v>
      </c>
      <c r="BA503" s="145"/>
      <c r="BB503" s="146"/>
      <c r="BC503" s="145"/>
      <c r="BD503" s="145"/>
      <c r="BF503" s="5">
        <v>481</v>
      </c>
      <c r="BG503" s="413" t="s">
        <v>718</v>
      </c>
      <c r="BH503" s="145"/>
      <c r="BI503" s="146"/>
      <c r="BJ503" s="145"/>
      <c r="BK503" s="145"/>
      <c r="BM503" s="5">
        <v>481</v>
      </c>
      <c r="BN503" s="413" t="s">
        <v>718</v>
      </c>
      <c r="BO503" s="145"/>
      <c r="BP503" s="146"/>
      <c r="BQ503" s="145"/>
      <c r="BR503" s="145"/>
      <c r="BS503" s="5"/>
      <c r="BT503" s="5">
        <v>481</v>
      </c>
      <c r="BU503" s="413" t="s">
        <v>718</v>
      </c>
      <c r="BV503" s="145"/>
      <c r="BW503" s="146"/>
      <c r="BX503" s="145"/>
      <c r="BY503" s="145"/>
      <c r="BZ503" s="5"/>
      <c r="CA503" s="5">
        <v>481</v>
      </c>
      <c r="CB503" s="413" t="s">
        <v>718</v>
      </c>
      <c r="CC503" s="145"/>
      <c r="CD503" s="146"/>
      <c r="CE503" s="145"/>
      <c r="CF503" s="145"/>
      <c r="CG503" s="5"/>
      <c r="CH503" s="5"/>
      <c r="CI503" s="5"/>
    </row>
    <row r="504" spans="13:87" x14ac:dyDescent="0.2">
      <c r="M504" s="5">
        <v>482</v>
      </c>
      <c r="N504" s="413" t="str">
        <f t="shared" si="42"/>
        <v xml:space="preserve"> </v>
      </c>
      <c r="O504" s="414">
        <f t="shared" si="43"/>
        <v>0</v>
      </c>
      <c r="P504" s="414">
        <f t="shared" si="44"/>
        <v>0</v>
      </c>
      <c r="Q504" s="145">
        <f t="shared" si="47"/>
        <v>-8</v>
      </c>
      <c r="R504" s="414">
        <f t="shared" si="45"/>
        <v>0</v>
      </c>
      <c r="S504" s="414">
        <f t="shared" si="46"/>
        <v>0</v>
      </c>
      <c r="T504" s="19"/>
      <c r="U504" s="5"/>
      <c r="V504" s="5"/>
      <c r="W504" s="5">
        <v>482</v>
      </c>
      <c r="X504" s="144" t="s">
        <v>718</v>
      </c>
      <c r="Y504" s="145"/>
      <c r="Z504" s="146"/>
      <c r="AA504" s="145"/>
      <c r="AB504" s="145"/>
      <c r="AD504" s="5">
        <v>482</v>
      </c>
      <c r="AE504" s="413" t="s">
        <v>718</v>
      </c>
      <c r="AF504" s="145"/>
      <c r="AG504" s="146"/>
      <c r="AH504" s="145"/>
      <c r="AI504" s="145"/>
      <c r="AK504" s="5">
        <v>482</v>
      </c>
      <c r="AL504" s="413" t="s">
        <v>718</v>
      </c>
      <c r="AM504" s="145"/>
      <c r="AN504" s="146"/>
      <c r="AO504" s="145"/>
      <c r="AP504" s="145"/>
      <c r="AR504" s="5">
        <v>482</v>
      </c>
      <c r="AS504" s="413" t="s">
        <v>1156</v>
      </c>
      <c r="AT504" s="145">
        <v>163</v>
      </c>
      <c r="AU504" s="146">
        <v>3.57</v>
      </c>
      <c r="AV504" s="145">
        <v>3352</v>
      </c>
      <c r="AW504" s="145">
        <v>-13</v>
      </c>
      <c r="AY504" s="5">
        <v>482</v>
      </c>
      <c r="AZ504" s="413" t="s">
        <v>718</v>
      </c>
      <c r="BA504" s="145"/>
      <c r="BB504" s="146"/>
      <c r="BC504" s="145"/>
      <c r="BD504" s="145"/>
      <c r="BF504" s="5">
        <v>482</v>
      </c>
      <c r="BG504" s="413" t="s">
        <v>718</v>
      </c>
      <c r="BH504" s="145"/>
      <c r="BI504" s="146"/>
      <c r="BJ504" s="145"/>
      <c r="BK504" s="145"/>
      <c r="BM504" s="5">
        <v>482</v>
      </c>
      <c r="BN504" s="413" t="s">
        <v>718</v>
      </c>
      <c r="BO504" s="145"/>
      <c r="BP504" s="146"/>
      <c r="BQ504" s="145"/>
      <c r="BR504" s="145"/>
      <c r="BS504" s="5"/>
      <c r="BT504" s="5">
        <v>482</v>
      </c>
      <c r="BU504" s="413" t="s">
        <v>718</v>
      </c>
      <c r="BV504" s="145"/>
      <c r="BW504" s="146"/>
      <c r="BX504" s="145"/>
      <c r="BY504" s="145"/>
      <c r="BZ504" s="5"/>
      <c r="CA504" s="5">
        <v>482</v>
      </c>
      <c r="CB504" s="413" t="s">
        <v>718</v>
      </c>
      <c r="CC504" s="145"/>
      <c r="CD504" s="146"/>
      <c r="CE504" s="145"/>
      <c r="CF504" s="145"/>
      <c r="CG504" s="5"/>
      <c r="CH504" s="5"/>
      <c r="CI504" s="5"/>
    </row>
    <row r="505" spans="13:87" x14ac:dyDescent="0.2">
      <c r="M505" s="5">
        <v>483</v>
      </c>
      <c r="N505" s="413" t="str">
        <f t="shared" si="42"/>
        <v xml:space="preserve"> </v>
      </c>
      <c r="O505" s="414">
        <f t="shared" si="43"/>
        <v>0</v>
      </c>
      <c r="P505" s="414">
        <f t="shared" si="44"/>
        <v>0</v>
      </c>
      <c r="Q505" s="145">
        <f t="shared" si="47"/>
        <v>-8</v>
      </c>
      <c r="R505" s="414">
        <f t="shared" si="45"/>
        <v>0</v>
      </c>
      <c r="S505" s="414">
        <f t="shared" si="46"/>
        <v>0</v>
      </c>
      <c r="T505" s="19"/>
      <c r="U505" s="5"/>
      <c r="V505" s="5"/>
      <c r="W505" s="5">
        <v>483</v>
      </c>
      <c r="X505" s="144" t="s">
        <v>718</v>
      </c>
      <c r="Y505" s="145"/>
      <c r="Z505" s="146"/>
      <c r="AA505" s="145"/>
      <c r="AB505" s="145"/>
      <c r="AD505" s="5">
        <v>483</v>
      </c>
      <c r="AE505" s="413" t="s">
        <v>718</v>
      </c>
      <c r="AF505" s="145"/>
      <c r="AG505" s="146"/>
      <c r="AH505" s="145"/>
      <c r="AI505" s="145"/>
      <c r="AK505" s="5">
        <v>483</v>
      </c>
      <c r="AL505" s="413" t="s">
        <v>718</v>
      </c>
      <c r="AM505" s="145"/>
      <c r="AN505" s="146"/>
      <c r="AO505" s="145"/>
      <c r="AP505" s="145"/>
      <c r="AR505" s="5">
        <v>483</v>
      </c>
      <c r="AS505" s="413" t="s">
        <v>1157</v>
      </c>
      <c r="AT505" s="145">
        <v>640</v>
      </c>
      <c r="AU505" s="146">
        <v>2.36</v>
      </c>
      <c r="AV505" s="145">
        <v>4622</v>
      </c>
      <c r="AW505" s="145">
        <v>-17</v>
      </c>
      <c r="AY505" s="5">
        <v>483</v>
      </c>
      <c r="AZ505" s="413" t="s">
        <v>718</v>
      </c>
      <c r="BA505" s="145"/>
      <c r="BB505" s="146"/>
      <c r="BC505" s="145"/>
      <c r="BD505" s="145"/>
      <c r="BF505" s="5">
        <v>483</v>
      </c>
      <c r="BG505" s="413" t="s">
        <v>718</v>
      </c>
      <c r="BH505" s="145"/>
      <c r="BI505" s="146"/>
      <c r="BJ505" s="145"/>
      <c r="BK505" s="145"/>
      <c r="BM505" s="5">
        <v>483</v>
      </c>
      <c r="BN505" s="413" t="s">
        <v>718</v>
      </c>
      <c r="BO505" s="145"/>
      <c r="BP505" s="146"/>
      <c r="BQ505" s="145"/>
      <c r="BR505" s="145"/>
      <c r="BS505" s="5"/>
      <c r="BT505" s="5">
        <v>483</v>
      </c>
      <c r="BU505" s="413" t="s">
        <v>718</v>
      </c>
      <c r="BV505" s="145"/>
      <c r="BW505" s="146"/>
      <c r="BX505" s="145"/>
      <c r="BY505" s="145"/>
      <c r="BZ505" s="5"/>
      <c r="CA505" s="5">
        <v>483</v>
      </c>
      <c r="CB505" s="413" t="s">
        <v>718</v>
      </c>
      <c r="CC505" s="145"/>
      <c r="CD505" s="146"/>
      <c r="CE505" s="145"/>
      <c r="CF505" s="145"/>
      <c r="CG505" s="5"/>
      <c r="CH505" s="5"/>
      <c r="CI505" s="5"/>
    </row>
    <row r="506" spans="13:87" x14ac:dyDescent="0.2">
      <c r="M506" s="5">
        <v>484</v>
      </c>
      <c r="N506" s="413" t="str">
        <f t="shared" si="42"/>
        <v xml:space="preserve"> </v>
      </c>
      <c r="O506" s="414">
        <f t="shared" si="43"/>
        <v>0</v>
      </c>
      <c r="P506" s="414">
        <f t="shared" si="44"/>
        <v>0</v>
      </c>
      <c r="Q506" s="145">
        <f t="shared" si="47"/>
        <v>-8</v>
      </c>
      <c r="R506" s="414">
        <f t="shared" si="45"/>
        <v>0</v>
      </c>
      <c r="S506" s="414">
        <f t="shared" si="46"/>
        <v>0</v>
      </c>
      <c r="T506" s="19"/>
      <c r="U506" s="5"/>
      <c r="V506" s="5"/>
      <c r="W506" s="5">
        <v>484</v>
      </c>
      <c r="X506" s="144" t="s">
        <v>718</v>
      </c>
      <c r="Y506" s="145"/>
      <c r="Z506" s="146"/>
      <c r="AA506" s="145"/>
      <c r="AB506" s="145"/>
      <c r="AD506" s="5">
        <v>484</v>
      </c>
      <c r="AE506" s="413" t="s">
        <v>718</v>
      </c>
      <c r="AF506" s="145"/>
      <c r="AG506" s="146"/>
      <c r="AH506" s="145"/>
      <c r="AI506" s="145"/>
      <c r="AK506" s="5">
        <v>484</v>
      </c>
      <c r="AL506" s="413" t="s">
        <v>718</v>
      </c>
      <c r="AM506" s="145"/>
      <c r="AN506" s="146"/>
      <c r="AO506" s="145"/>
      <c r="AP506" s="145"/>
      <c r="AR506" s="5">
        <v>484</v>
      </c>
      <c r="AS506" s="413" t="s">
        <v>1158</v>
      </c>
      <c r="AT506" s="145">
        <v>348</v>
      </c>
      <c r="AU506" s="146">
        <v>3.13</v>
      </c>
      <c r="AV506" s="145">
        <v>3812</v>
      </c>
      <c r="AW506" s="145">
        <v>-14</v>
      </c>
      <c r="AY506" s="5">
        <v>484</v>
      </c>
      <c r="AZ506" s="413" t="s">
        <v>718</v>
      </c>
      <c r="BA506" s="145"/>
      <c r="BB506" s="146"/>
      <c r="BC506" s="145"/>
      <c r="BD506" s="145"/>
      <c r="BF506" s="5">
        <v>484</v>
      </c>
      <c r="BG506" s="413" t="s">
        <v>718</v>
      </c>
      <c r="BH506" s="145"/>
      <c r="BI506" s="146"/>
      <c r="BJ506" s="145"/>
      <c r="BK506" s="145"/>
      <c r="BM506" s="5">
        <v>484</v>
      </c>
      <c r="BN506" s="413" t="s">
        <v>718</v>
      </c>
      <c r="BO506" s="145"/>
      <c r="BP506" s="146"/>
      <c r="BQ506" s="145"/>
      <c r="BR506" s="145"/>
      <c r="BS506" s="5"/>
      <c r="BT506" s="5">
        <v>484</v>
      </c>
      <c r="BU506" s="413" t="s">
        <v>718</v>
      </c>
      <c r="BV506" s="145"/>
      <c r="BW506" s="146"/>
      <c r="BX506" s="145"/>
      <c r="BY506" s="145"/>
      <c r="BZ506" s="5"/>
      <c r="CA506" s="5">
        <v>484</v>
      </c>
      <c r="CB506" s="413" t="s">
        <v>718</v>
      </c>
      <c r="CC506" s="145"/>
      <c r="CD506" s="146"/>
      <c r="CE506" s="145"/>
      <c r="CF506" s="145"/>
      <c r="CG506" s="5"/>
      <c r="CH506" s="5"/>
      <c r="CI506" s="5"/>
    </row>
    <row r="507" spans="13:87" x14ac:dyDescent="0.2">
      <c r="M507" s="5">
        <v>485</v>
      </c>
      <c r="N507" s="413" t="str">
        <f t="shared" si="42"/>
        <v xml:space="preserve"> </v>
      </c>
      <c r="O507" s="414">
        <f t="shared" si="43"/>
        <v>0</v>
      </c>
      <c r="P507" s="414">
        <f t="shared" si="44"/>
        <v>0</v>
      </c>
      <c r="Q507" s="145">
        <f t="shared" si="47"/>
        <v>-8</v>
      </c>
      <c r="R507" s="414">
        <f t="shared" si="45"/>
        <v>0</v>
      </c>
      <c r="S507" s="414">
        <f t="shared" si="46"/>
        <v>0</v>
      </c>
      <c r="T507" s="19"/>
      <c r="U507" s="5"/>
      <c r="V507" s="5"/>
      <c r="W507" s="5">
        <v>485</v>
      </c>
      <c r="X507" s="144" t="s">
        <v>718</v>
      </c>
      <c r="Y507" s="145"/>
      <c r="Z507" s="146"/>
      <c r="AA507" s="145"/>
      <c r="AB507" s="145"/>
      <c r="AD507" s="5">
        <v>485</v>
      </c>
      <c r="AE507" s="413" t="s">
        <v>718</v>
      </c>
      <c r="AF507" s="145"/>
      <c r="AG507" s="146"/>
      <c r="AH507" s="145"/>
      <c r="AI507" s="145"/>
      <c r="AK507" s="5">
        <v>485</v>
      </c>
      <c r="AL507" s="413" t="s">
        <v>718</v>
      </c>
      <c r="AM507" s="145"/>
      <c r="AN507" s="146"/>
      <c r="AO507" s="145"/>
      <c r="AP507" s="145"/>
      <c r="AR507" s="5">
        <v>485</v>
      </c>
      <c r="AS507" s="413" t="s">
        <v>1159</v>
      </c>
      <c r="AT507" s="145">
        <v>194</v>
      </c>
      <c r="AU507" s="146">
        <v>3.28</v>
      </c>
      <c r="AV507" s="145">
        <v>3595</v>
      </c>
      <c r="AW507" s="145">
        <v>-14</v>
      </c>
      <c r="AY507" s="5">
        <v>485</v>
      </c>
      <c r="AZ507" s="413" t="s">
        <v>718</v>
      </c>
      <c r="BA507" s="145"/>
      <c r="BB507" s="146"/>
      <c r="BC507" s="145"/>
      <c r="BD507" s="145"/>
      <c r="BF507" s="5">
        <v>485</v>
      </c>
      <c r="BG507" s="413" t="s">
        <v>718</v>
      </c>
      <c r="BH507" s="145"/>
      <c r="BI507" s="146"/>
      <c r="BJ507" s="145"/>
      <c r="BK507" s="145"/>
      <c r="BM507" s="5">
        <v>485</v>
      </c>
      <c r="BN507" s="413" t="s">
        <v>718</v>
      </c>
      <c r="BO507" s="145"/>
      <c r="BP507" s="146"/>
      <c r="BQ507" s="145"/>
      <c r="BR507" s="145"/>
      <c r="BS507" s="5"/>
      <c r="BT507" s="5">
        <v>485</v>
      </c>
      <c r="BU507" s="413" t="s">
        <v>718</v>
      </c>
      <c r="BV507" s="145"/>
      <c r="BW507" s="146"/>
      <c r="BX507" s="145"/>
      <c r="BY507" s="145"/>
      <c r="BZ507" s="5"/>
      <c r="CA507" s="5">
        <v>485</v>
      </c>
      <c r="CB507" s="413" t="s">
        <v>718</v>
      </c>
      <c r="CC507" s="145"/>
      <c r="CD507" s="146"/>
      <c r="CE507" s="145"/>
      <c r="CF507" s="145"/>
      <c r="CG507" s="5"/>
      <c r="CH507" s="5"/>
      <c r="CI507" s="5"/>
    </row>
    <row r="508" spans="13:87" x14ac:dyDescent="0.2">
      <c r="M508" s="5">
        <v>486</v>
      </c>
      <c r="N508" s="413" t="str">
        <f t="shared" si="42"/>
        <v xml:space="preserve"> </v>
      </c>
      <c r="O508" s="414">
        <f t="shared" si="43"/>
        <v>0</v>
      </c>
      <c r="P508" s="414">
        <f t="shared" si="44"/>
        <v>0</v>
      </c>
      <c r="Q508" s="145">
        <f t="shared" si="47"/>
        <v>-8</v>
      </c>
      <c r="R508" s="414">
        <f t="shared" si="45"/>
        <v>0</v>
      </c>
      <c r="S508" s="414">
        <f t="shared" si="46"/>
        <v>0</v>
      </c>
      <c r="T508" s="19"/>
      <c r="U508" s="5"/>
      <c r="V508" s="5"/>
      <c r="W508" s="5">
        <v>486</v>
      </c>
      <c r="X508" s="144" t="s">
        <v>718</v>
      </c>
      <c r="Y508" s="145"/>
      <c r="Z508" s="146"/>
      <c r="AA508" s="145"/>
      <c r="AB508" s="145"/>
      <c r="AD508" s="5">
        <v>486</v>
      </c>
      <c r="AE508" s="413" t="s">
        <v>718</v>
      </c>
      <c r="AF508" s="145"/>
      <c r="AG508" s="146"/>
      <c r="AH508" s="145"/>
      <c r="AI508" s="145"/>
      <c r="AK508" s="5">
        <v>486</v>
      </c>
      <c r="AL508" s="413" t="s">
        <v>718</v>
      </c>
      <c r="AM508" s="145"/>
      <c r="AN508" s="146"/>
      <c r="AO508" s="145"/>
      <c r="AP508" s="145"/>
      <c r="AR508" s="5">
        <v>486</v>
      </c>
      <c r="AS508" s="413" t="s">
        <v>1160</v>
      </c>
      <c r="AT508" s="145">
        <v>186</v>
      </c>
      <c r="AU508" s="146">
        <v>3.39</v>
      </c>
      <c r="AV508" s="145">
        <v>3471</v>
      </c>
      <c r="AW508" s="145">
        <v>-13</v>
      </c>
      <c r="AY508" s="5">
        <v>486</v>
      </c>
      <c r="AZ508" s="413" t="s">
        <v>718</v>
      </c>
      <c r="BA508" s="145"/>
      <c r="BB508" s="146"/>
      <c r="BC508" s="145"/>
      <c r="BD508" s="145"/>
      <c r="BF508" s="5">
        <v>486</v>
      </c>
      <c r="BG508" s="413" t="s">
        <v>718</v>
      </c>
      <c r="BH508" s="145"/>
      <c r="BI508" s="146"/>
      <c r="BJ508" s="145"/>
      <c r="BK508" s="145"/>
      <c r="BM508" s="5">
        <v>486</v>
      </c>
      <c r="BN508" s="413" t="s">
        <v>718</v>
      </c>
      <c r="BO508" s="145"/>
      <c r="BP508" s="146"/>
      <c r="BQ508" s="145"/>
      <c r="BR508" s="145"/>
      <c r="BS508" s="5"/>
      <c r="BT508" s="5">
        <v>486</v>
      </c>
      <c r="BU508" s="413" t="s">
        <v>718</v>
      </c>
      <c r="BV508" s="145"/>
      <c r="BW508" s="146"/>
      <c r="BX508" s="145"/>
      <c r="BY508" s="145"/>
      <c r="BZ508" s="5"/>
      <c r="CA508" s="5">
        <v>486</v>
      </c>
      <c r="CB508" s="413" t="s">
        <v>718</v>
      </c>
      <c r="CC508" s="145"/>
      <c r="CD508" s="146"/>
      <c r="CE508" s="145"/>
      <c r="CF508" s="145"/>
      <c r="CG508" s="5"/>
      <c r="CH508" s="5"/>
      <c r="CI508" s="5"/>
    </row>
    <row r="509" spans="13:87" x14ac:dyDescent="0.2">
      <c r="M509" s="5">
        <v>487</v>
      </c>
      <c r="N509" s="413" t="str">
        <f t="shared" si="42"/>
        <v xml:space="preserve"> </v>
      </c>
      <c r="O509" s="414">
        <f t="shared" si="43"/>
        <v>0</v>
      </c>
      <c r="P509" s="414">
        <f t="shared" si="44"/>
        <v>0</v>
      </c>
      <c r="Q509" s="145">
        <f t="shared" si="47"/>
        <v>-8</v>
      </c>
      <c r="R509" s="414">
        <f t="shared" si="45"/>
        <v>0</v>
      </c>
      <c r="S509" s="414">
        <f t="shared" si="46"/>
        <v>0</v>
      </c>
      <c r="T509" s="19"/>
      <c r="U509" s="5"/>
      <c r="V509" s="5"/>
      <c r="W509" s="5">
        <v>487</v>
      </c>
      <c r="X509" s="144" t="s">
        <v>718</v>
      </c>
      <c r="Y509" s="145"/>
      <c r="Z509" s="146"/>
      <c r="AA509" s="145"/>
      <c r="AB509" s="145"/>
      <c r="AD509" s="5">
        <v>487</v>
      </c>
      <c r="AE509" s="413" t="s">
        <v>718</v>
      </c>
      <c r="AF509" s="145"/>
      <c r="AG509" s="146"/>
      <c r="AH509" s="145"/>
      <c r="AI509" s="145"/>
      <c r="AK509" s="5">
        <v>487</v>
      </c>
      <c r="AL509" s="413" t="s">
        <v>718</v>
      </c>
      <c r="AM509" s="145"/>
      <c r="AN509" s="146"/>
      <c r="AO509" s="145"/>
      <c r="AP509" s="145"/>
      <c r="AR509" s="5">
        <v>487</v>
      </c>
      <c r="AS509" s="413" t="s">
        <v>1161</v>
      </c>
      <c r="AT509" s="145">
        <v>345</v>
      </c>
      <c r="AU509" s="146">
        <v>3.18</v>
      </c>
      <c r="AV509" s="145">
        <v>3801</v>
      </c>
      <c r="AW509" s="145">
        <v>-14</v>
      </c>
      <c r="AY509" s="5">
        <v>487</v>
      </c>
      <c r="AZ509" s="413" t="s">
        <v>718</v>
      </c>
      <c r="BA509" s="145"/>
      <c r="BB509" s="146"/>
      <c r="BC509" s="145"/>
      <c r="BD509" s="145"/>
      <c r="BF509" s="5">
        <v>487</v>
      </c>
      <c r="BG509" s="413" t="s">
        <v>718</v>
      </c>
      <c r="BH509" s="145"/>
      <c r="BI509" s="146"/>
      <c r="BJ509" s="145"/>
      <c r="BK509" s="145"/>
      <c r="BM509" s="5">
        <v>487</v>
      </c>
      <c r="BN509" s="413" t="s">
        <v>718</v>
      </c>
      <c r="BO509" s="145"/>
      <c r="BP509" s="146"/>
      <c r="BQ509" s="145"/>
      <c r="BR509" s="145"/>
      <c r="BS509" s="5"/>
      <c r="BT509" s="5">
        <v>487</v>
      </c>
      <c r="BU509" s="413" t="s">
        <v>718</v>
      </c>
      <c r="BV509" s="145"/>
      <c r="BW509" s="146"/>
      <c r="BX509" s="145"/>
      <c r="BY509" s="145"/>
      <c r="BZ509" s="5"/>
      <c r="CA509" s="5">
        <v>487</v>
      </c>
      <c r="CB509" s="413" t="s">
        <v>718</v>
      </c>
      <c r="CC509" s="145"/>
      <c r="CD509" s="146"/>
      <c r="CE509" s="145"/>
      <c r="CF509" s="145"/>
      <c r="CG509" s="5"/>
      <c r="CH509" s="5"/>
      <c r="CI509" s="5"/>
    </row>
    <row r="510" spans="13:87" x14ac:dyDescent="0.2">
      <c r="M510" s="5">
        <v>488</v>
      </c>
      <c r="N510" s="413" t="str">
        <f t="shared" si="42"/>
        <v xml:space="preserve"> </v>
      </c>
      <c r="O510" s="414">
        <f t="shared" si="43"/>
        <v>0</v>
      </c>
      <c r="P510" s="414">
        <f t="shared" si="44"/>
        <v>0</v>
      </c>
      <c r="Q510" s="145">
        <f t="shared" si="47"/>
        <v>-8</v>
      </c>
      <c r="R510" s="414">
        <f t="shared" si="45"/>
        <v>0</v>
      </c>
      <c r="S510" s="414">
        <f t="shared" si="46"/>
        <v>0</v>
      </c>
      <c r="T510" s="19"/>
      <c r="U510" s="5"/>
      <c r="V510" s="5"/>
      <c r="W510" s="5">
        <v>488</v>
      </c>
      <c r="X510" s="144" t="s">
        <v>718</v>
      </c>
      <c r="Y510" s="145"/>
      <c r="Z510" s="146"/>
      <c r="AA510" s="145"/>
      <c r="AB510" s="145"/>
      <c r="AD510" s="5">
        <v>488</v>
      </c>
      <c r="AE510" s="413" t="s">
        <v>718</v>
      </c>
      <c r="AF510" s="145"/>
      <c r="AG510" s="146"/>
      <c r="AH510" s="145"/>
      <c r="AI510" s="145"/>
      <c r="AK510" s="5">
        <v>488</v>
      </c>
      <c r="AL510" s="413" t="s">
        <v>718</v>
      </c>
      <c r="AM510" s="145"/>
      <c r="AN510" s="146"/>
      <c r="AO510" s="145"/>
      <c r="AP510" s="145"/>
      <c r="AR510" s="5">
        <v>488</v>
      </c>
      <c r="AS510" s="413" t="s">
        <v>1162</v>
      </c>
      <c r="AT510" s="145">
        <v>960</v>
      </c>
      <c r="AU510" s="146">
        <v>2.89</v>
      </c>
      <c r="AV510" s="145">
        <v>4500</v>
      </c>
      <c r="AW510" s="145">
        <v>-16</v>
      </c>
      <c r="AY510" s="5">
        <v>488</v>
      </c>
      <c r="AZ510" s="413" t="s">
        <v>718</v>
      </c>
      <c r="BA510" s="145"/>
      <c r="BB510" s="146"/>
      <c r="BC510" s="145"/>
      <c r="BD510" s="145"/>
      <c r="BF510" s="5">
        <v>488</v>
      </c>
      <c r="BG510" s="413" t="s">
        <v>718</v>
      </c>
      <c r="BH510" s="145"/>
      <c r="BI510" s="146"/>
      <c r="BJ510" s="145"/>
      <c r="BK510" s="145"/>
      <c r="BM510" s="5">
        <v>488</v>
      </c>
      <c r="BN510" s="413" t="s">
        <v>718</v>
      </c>
      <c r="BO510" s="145"/>
      <c r="BP510" s="146"/>
      <c r="BQ510" s="145"/>
      <c r="BR510" s="145"/>
      <c r="BS510" s="5"/>
      <c r="BT510" s="5">
        <v>488</v>
      </c>
      <c r="BU510" s="413" t="s">
        <v>718</v>
      </c>
      <c r="BV510" s="145"/>
      <c r="BW510" s="146"/>
      <c r="BX510" s="145"/>
      <c r="BY510" s="145"/>
      <c r="BZ510" s="5"/>
      <c r="CA510" s="5">
        <v>488</v>
      </c>
      <c r="CB510" s="413" t="s">
        <v>718</v>
      </c>
      <c r="CC510" s="145"/>
      <c r="CD510" s="146"/>
      <c r="CE510" s="145"/>
      <c r="CF510" s="145"/>
      <c r="CG510" s="5"/>
      <c r="CH510" s="5"/>
      <c r="CI510" s="5"/>
    </row>
    <row r="511" spans="13:87" x14ac:dyDescent="0.2">
      <c r="M511" s="5">
        <v>489</v>
      </c>
      <c r="N511" s="413" t="str">
        <f t="shared" si="42"/>
        <v xml:space="preserve"> </v>
      </c>
      <c r="O511" s="414">
        <f t="shared" si="43"/>
        <v>0</v>
      </c>
      <c r="P511" s="414">
        <f t="shared" si="44"/>
        <v>0</v>
      </c>
      <c r="Q511" s="145">
        <f t="shared" si="47"/>
        <v>-8</v>
      </c>
      <c r="R511" s="414">
        <f t="shared" si="45"/>
        <v>0</v>
      </c>
      <c r="S511" s="414">
        <f t="shared" si="46"/>
        <v>0</v>
      </c>
      <c r="T511" s="19"/>
      <c r="U511" s="5"/>
      <c r="V511" s="5"/>
      <c r="W511" s="5">
        <v>489</v>
      </c>
      <c r="X511" s="144" t="s">
        <v>718</v>
      </c>
      <c r="Y511" s="145"/>
      <c r="Z511" s="146"/>
      <c r="AA511" s="145"/>
      <c r="AB511" s="145"/>
      <c r="AD511" s="5">
        <v>489</v>
      </c>
      <c r="AE511" s="413" t="s">
        <v>718</v>
      </c>
      <c r="AF511" s="145"/>
      <c r="AG511" s="146"/>
      <c r="AH511" s="145"/>
      <c r="AI511" s="145"/>
      <c r="AK511" s="5">
        <v>489</v>
      </c>
      <c r="AL511" s="413" t="s">
        <v>718</v>
      </c>
      <c r="AM511" s="145"/>
      <c r="AN511" s="146"/>
      <c r="AO511" s="145"/>
      <c r="AP511" s="145"/>
      <c r="AR511" s="5">
        <v>489</v>
      </c>
      <c r="AS511" s="413" t="s">
        <v>1163</v>
      </c>
      <c r="AT511" s="145">
        <v>254</v>
      </c>
      <c r="AU511" s="146">
        <v>3.51</v>
      </c>
      <c r="AV511" s="145">
        <v>3496</v>
      </c>
      <c r="AW511" s="145">
        <v>-13</v>
      </c>
      <c r="AY511" s="5">
        <v>489</v>
      </c>
      <c r="AZ511" s="413" t="s">
        <v>718</v>
      </c>
      <c r="BA511" s="145"/>
      <c r="BB511" s="146"/>
      <c r="BC511" s="145"/>
      <c r="BD511" s="145"/>
      <c r="BF511" s="5">
        <v>489</v>
      </c>
      <c r="BG511" s="413" t="s">
        <v>718</v>
      </c>
      <c r="BH511" s="145"/>
      <c r="BI511" s="146"/>
      <c r="BJ511" s="145"/>
      <c r="BK511" s="145"/>
      <c r="BM511" s="5">
        <v>489</v>
      </c>
      <c r="BN511" s="413" t="s">
        <v>718</v>
      </c>
      <c r="BO511" s="145"/>
      <c r="BP511" s="146"/>
      <c r="BQ511" s="145"/>
      <c r="BR511" s="145"/>
      <c r="BS511" s="5"/>
      <c r="BT511" s="5">
        <v>489</v>
      </c>
      <c r="BU511" s="413" t="s">
        <v>718</v>
      </c>
      <c r="BV511" s="145"/>
      <c r="BW511" s="146"/>
      <c r="BX511" s="145"/>
      <c r="BY511" s="145"/>
      <c r="BZ511" s="5"/>
      <c r="CA511" s="5">
        <v>489</v>
      </c>
      <c r="CB511" s="413" t="s">
        <v>718</v>
      </c>
      <c r="CC511" s="145"/>
      <c r="CD511" s="146"/>
      <c r="CE511" s="145"/>
      <c r="CF511" s="145"/>
      <c r="CG511" s="5"/>
      <c r="CH511" s="5"/>
      <c r="CI511" s="5"/>
    </row>
    <row r="512" spans="13:87" x14ac:dyDescent="0.2">
      <c r="M512" s="5">
        <v>490</v>
      </c>
      <c r="N512" s="413" t="str">
        <f t="shared" si="42"/>
        <v xml:space="preserve"> </v>
      </c>
      <c r="O512" s="414">
        <f t="shared" si="43"/>
        <v>0</v>
      </c>
      <c r="P512" s="414">
        <f t="shared" si="44"/>
        <v>0</v>
      </c>
      <c r="Q512" s="145">
        <f t="shared" si="47"/>
        <v>-8</v>
      </c>
      <c r="R512" s="414">
        <f t="shared" si="45"/>
        <v>0</v>
      </c>
      <c r="S512" s="414">
        <f t="shared" si="46"/>
        <v>0</v>
      </c>
      <c r="T512" s="19"/>
      <c r="U512" s="5"/>
      <c r="V512" s="5"/>
      <c r="W512" s="5">
        <v>490</v>
      </c>
      <c r="X512" s="144" t="s">
        <v>718</v>
      </c>
      <c r="Y512" s="145"/>
      <c r="Z512" s="146"/>
      <c r="AA512" s="145"/>
      <c r="AB512" s="145"/>
      <c r="AD512" s="5">
        <v>490</v>
      </c>
      <c r="AE512" s="413" t="s">
        <v>718</v>
      </c>
      <c r="AF512" s="145"/>
      <c r="AG512" s="146"/>
      <c r="AH512" s="145"/>
      <c r="AI512" s="145"/>
      <c r="AK512" s="5">
        <v>490</v>
      </c>
      <c r="AL512" s="413" t="s">
        <v>718</v>
      </c>
      <c r="AM512" s="145"/>
      <c r="AN512" s="146"/>
      <c r="AO512" s="145"/>
      <c r="AP512" s="145"/>
      <c r="AR512" s="5">
        <v>490</v>
      </c>
      <c r="AS512" s="413" t="s">
        <v>1164</v>
      </c>
      <c r="AT512" s="145">
        <v>455</v>
      </c>
      <c r="AU512" s="146">
        <v>3.38</v>
      </c>
      <c r="AV512" s="145">
        <v>3722</v>
      </c>
      <c r="AW512" s="145">
        <v>-14</v>
      </c>
      <c r="AY512" s="5">
        <v>490</v>
      </c>
      <c r="AZ512" s="413" t="s">
        <v>718</v>
      </c>
      <c r="BA512" s="145"/>
      <c r="BB512" s="146"/>
      <c r="BC512" s="145"/>
      <c r="BD512" s="145"/>
      <c r="BF512" s="5">
        <v>490</v>
      </c>
      <c r="BG512" s="413" t="s">
        <v>718</v>
      </c>
      <c r="BH512" s="145"/>
      <c r="BI512" s="146"/>
      <c r="BJ512" s="145"/>
      <c r="BK512" s="145"/>
      <c r="BM512" s="5">
        <v>490</v>
      </c>
      <c r="BN512" s="413" t="s">
        <v>718</v>
      </c>
      <c r="BO512" s="145"/>
      <c r="BP512" s="146"/>
      <c r="BQ512" s="145"/>
      <c r="BR512" s="145"/>
      <c r="BS512" s="5"/>
      <c r="BT512" s="5">
        <v>490</v>
      </c>
      <c r="BU512" s="413" t="s">
        <v>718</v>
      </c>
      <c r="BV512" s="145"/>
      <c r="BW512" s="146"/>
      <c r="BX512" s="145"/>
      <c r="BY512" s="145"/>
      <c r="BZ512" s="5"/>
      <c r="CA512" s="5">
        <v>490</v>
      </c>
      <c r="CB512" s="413" t="s">
        <v>718</v>
      </c>
      <c r="CC512" s="145"/>
      <c r="CD512" s="146"/>
      <c r="CE512" s="145"/>
      <c r="CF512" s="145"/>
      <c r="CG512" s="5"/>
      <c r="CH512" s="5"/>
      <c r="CI512" s="5"/>
    </row>
    <row r="513" spans="13:87" x14ac:dyDescent="0.2">
      <c r="M513" s="5">
        <v>491</v>
      </c>
      <c r="N513" s="413" t="str">
        <f t="shared" si="42"/>
        <v xml:space="preserve"> </v>
      </c>
      <c r="O513" s="414">
        <f t="shared" si="43"/>
        <v>0</v>
      </c>
      <c r="P513" s="414">
        <f t="shared" si="44"/>
        <v>0</v>
      </c>
      <c r="Q513" s="145">
        <f t="shared" si="47"/>
        <v>-8</v>
      </c>
      <c r="R513" s="414">
        <f t="shared" si="45"/>
        <v>0</v>
      </c>
      <c r="S513" s="414">
        <f t="shared" si="46"/>
        <v>0</v>
      </c>
      <c r="T513" s="19"/>
      <c r="U513" s="5"/>
      <c r="V513" s="5"/>
      <c r="W513" s="5">
        <v>491</v>
      </c>
      <c r="X513" s="144" t="s">
        <v>718</v>
      </c>
      <c r="Y513" s="145"/>
      <c r="Z513" s="146"/>
      <c r="AA513" s="145"/>
      <c r="AB513" s="145"/>
      <c r="AD513" s="5">
        <v>491</v>
      </c>
      <c r="AE513" s="413" t="s">
        <v>718</v>
      </c>
      <c r="AF513" s="145"/>
      <c r="AG513" s="146"/>
      <c r="AH513" s="145"/>
      <c r="AI513" s="145"/>
      <c r="AK513" s="5">
        <v>491</v>
      </c>
      <c r="AL513" s="413" t="s">
        <v>718</v>
      </c>
      <c r="AM513" s="145"/>
      <c r="AN513" s="146"/>
      <c r="AO513" s="145"/>
      <c r="AP513" s="145"/>
      <c r="AR513" s="5">
        <v>491</v>
      </c>
      <c r="AS513" s="413" t="s">
        <v>1165</v>
      </c>
      <c r="AT513" s="145">
        <v>198</v>
      </c>
      <c r="AU513" s="146">
        <v>3.33</v>
      </c>
      <c r="AV513" s="145">
        <v>3551</v>
      </c>
      <c r="AW513" s="145">
        <v>-13</v>
      </c>
      <c r="AY513" s="5">
        <v>491</v>
      </c>
      <c r="AZ513" s="413" t="s">
        <v>718</v>
      </c>
      <c r="BA513" s="145"/>
      <c r="BB513" s="146"/>
      <c r="BC513" s="145"/>
      <c r="BD513" s="145"/>
      <c r="BF513" s="5">
        <v>491</v>
      </c>
      <c r="BG513" s="413" t="s">
        <v>718</v>
      </c>
      <c r="BH513" s="145"/>
      <c r="BI513" s="146"/>
      <c r="BJ513" s="145"/>
      <c r="BK513" s="145"/>
      <c r="BM513" s="5">
        <v>491</v>
      </c>
      <c r="BN513" s="413" t="s">
        <v>718</v>
      </c>
      <c r="BO513" s="145"/>
      <c r="BP513" s="146"/>
      <c r="BQ513" s="145"/>
      <c r="BR513" s="145"/>
      <c r="BS513" s="5"/>
      <c r="BT513" s="5">
        <v>491</v>
      </c>
      <c r="BU513" s="413" t="s">
        <v>718</v>
      </c>
      <c r="BV513" s="145"/>
      <c r="BW513" s="146"/>
      <c r="BX513" s="145"/>
      <c r="BY513" s="145"/>
      <c r="BZ513" s="5"/>
      <c r="CA513" s="5">
        <v>491</v>
      </c>
      <c r="CB513" s="413" t="s">
        <v>718</v>
      </c>
      <c r="CC513" s="145"/>
      <c r="CD513" s="146"/>
      <c r="CE513" s="145"/>
      <c r="CF513" s="145"/>
      <c r="CG513" s="5"/>
      <c r="CH513" s="5"/>
      <c r="CI513" s="5"/>
    </row>
    <row r="514" spans="13:87" x14ac:dyDescent="0.2">
      <c r="M514" s="5">
        <v>492</v>
      </c>
      <c r="N514" s="413" t="str">
        <f t="shared" si="42"/>
        <v xml:space="preserve"> </v>
      </c>
      <c r="O514" s="414">
        <f t="shared" si="43"/>
        <v>0</v>
      </c>
      <c r="P514" s="414">
        <f t="shared" si="44"/>
        <v>0</v>
      </c>
      <c r="Q514" s="145">
        <f t="shared" si="47"/>
        <v>-8</v>
      </c>
      <c r="R514" s="414">
        <f t="shared" si="45"/>
        <v>0</v>
      </c>
      <c r="S514" s="414">
        <f t="shared" si="46"/>
        <v>0</v>
      </c>
      <c r="T514" s="19"/>
      <c r="U514" s="5"/>
      <c r="V514" s="5"/>
      <c r="W514" s="5">
        <v>492</v>
      </c>
      <c r="X514" s="144" t="s">
        <v>718</v>
      </c>
      <c r="Y514" s="145"/>
      <c r="Z514" s="146"/>
      <c r="AA514" s="145"/>
      <c r="AB514" s="145"/>
      <c r="AD514" s="5">
        <v>492</v>
      </c>
      <c r="AE514" s="413" t="s">
        <v>718</v>
      </c>
      <c r="AF514" s="145"/>
      <c r="AG514" s="146"/>
      <c r="AH514" s="145"/>
      <c r="AI514" s="145"/>
      <c r="AK514" s="5">
        <v>492</v>
      </c>
      <c r="AL514" s="413" t="s">
        <v>718</v>
      </c>
      <c r="AM514" s="145"/>
      <c r="AN514" s="146"/>
      <c r="AO514" s="145"/>
      <c r="AP514" s="145"/>
      <c r="AR514" s="5">
        <v>492</v>
      </c>
      <c r="AS514" s="413" t="s">
        <v>1166</v>
      </c>
      <c r="AT514" s="145">
        <v>187</v>
      </c>
      <c r="AU514" s="146">
        <v>3.25</v>
      </c>
      <c r="AV514" s="145">
        <v>3735</v>
      </c>
      <c r="AW514" s="145">
        <v>-14</v>
      </c>
      <c r="AY514" s="5">
        <v>492</v>
      </c>
      <c r="AZ514" s="413" t="s">
        <v>718</v>
      </c>
      <c r="BA514" s="145"/>
      <c r="BB514" s="146"/>
      <c r="BC514" s="145"/>
      <c r="BD514" s="145"/>
      <c r="BF514" s="5">
        <v>492</v>
      </c>
      <c r="BG514" s="413" t="s">
        <v>718</v>
      </c>
      <c r="BH514" s="145"/>
      <c r="BI514" s="146"/>
      <c r="BJ514" s="145"/>
      <c r="BK514" s="145"/>
      <c r="BM514" s="5">
        <v>492</v>
      </c>
      <c r="BN514" s="413" t="s">
        <v>718</v>
      </c>
      <c r="BO514" s="145"/>
      <c r="BP514" s="146"/>
      <c r="BQ514" s="145"/>
      <c r="BR514" s="145"/>
      <c r="BS514" s="5"/>
      <c r="BT514" s="5">
        <v>492</v>
      </c>
      <c r="BU514" s="413" t="s">
        <v>718</v>
      </c>
      <c r="BV514" s="145"/>
      <c r="BW514" s="146"/>
      <c r="BX514" s="145"/>
      <c r="BY514" s="145"/>
      <c r="BZ514" s="5"/>
      <c r="CA514" s="5">
        <v>492</v>
      </c>
      <c r="CB514" s="413" t="s">
        <v>718</v>
      </c>
      <c r="CC514" s="145"/>
      <c r="CD514" s="146"/>
      <c r="CE514" s="145"/>
      <c r="CF514" s="145"/>
      <c r="CG514" s="5"/>
      <c r="CH514" s="5"/>
      <c r="CI514" s="5"/>
    </row>
    <row r="515" spans="13:87" x14ac:dyDescent="0.2">
      <c r="M515" s="5">
        <v>493</v>
      </c>
      <c r="N515" s="413" t="str">
        <f t="shared" si="42"/>
        <v xml:space="preserve"> </v>
      </c>
      <c r="O515" s="414">
        <f t="shared" si="43"/>
        <v>0</v>
      </c>
      <c r="P515" s="414">
        <f t="shared" si="44"/>
        <v>0</v>
      </c>
      <c r="Q515" s="145">
        <f t="shared" si="47"/>
        <v>-8</v>
      </c>
      <c r="R515" s="414">
        <f t="shared" si="45"/>
        <v>0</v>
      </c>
      <c r="S515" s="414">
        <f t="shared" si="46"/>
        <v>0</v>
      </c>
      <c r="T515" s="19"/>
      <c r="U515" s="5"/>
      <c r="V515" s="5"/>
      <c r="W515" s="5">
        <v>493</v>
      </c>
      <c r="X515" s="144" t="s">
        <v>718</v>
      </c>
      <c r="Y515" s="145"/>
      <c r="Z515" s="146"/>
      <c r="AA515" s="145"/>
      <c r="AB515" s="145"/>
      <c r="AD515" s="5">
        <v>493</v>
      </c>
      <c r="AE515" s="413" t="s">
        <v>718</v>
      </c>
      <c r="AF515" s="145"/>
      <c r="AG515" s="146"/>
      <c r="AH515" s="145"/>
      <c r="AI515" s="145"/>
      <c r="AK515" s="5">
        <v>493</v>
      </c>
      <c r="AL515" s="413" t="s">
        <v>718</v>
      </c>
      <c r="AM515" s="145"/>
      <c r="AN515" s="146"/>
      <c r="AO515" s="145"/>
      <c r="AP515" s="145"/>
      <c r="AR515" s="5">
        <v>493</v>
      </c>
      <c r="AS515" s="413" t="s">
        <v>1167</v>
      </c>
      <c r="AT515" s="145">
        <v>422</v>
      </c>
      <c r="AU515" s="146">
        <v>2.57</v>
      </c>
      <c r="AV515" s="145">
        <v>4130</v>
      </c>
      <c r="AW515" s="145">
        <v>-15</v>
      </c>
      <c r="AY515" s="5">
        <v>493</v>
      </c>
      <c r="AZ515" s="413" t="s">
        <v>718</v>
      </c>
      <c r="BA515" s="145"/>
      <c r="BB515" s="146"/>
      <c r="BC515" s="145"/>
      <c r="BD515" s="145"/>
      <c r="BF515" s="5">
        <v>493</v>
      </c>
      <c r="BG515" s="413" t="s">
        <v>718</v>
      </c>
      <c r="BH515" s="145"/>
      <c r="BI515" s="146"/>
      <c r="BJ515" s="145"/>
      <c r="BK515" s="145"/>
      <c r="BM515" s="5">
        <v>493</v>
      </c>
      <c r="BN515" s="413" t="s">
        <v>718</v>
      </c>
      <c r="BO515" s="145"/>
      <c r="BP515" s="146"/>
      <c r="BQ515" s="145"/>
      <c r="BR515" s="145"/>
      <c r="BS515" s="5"/>
      <c r="BT515" s="5">
        <v>493</v>
      </c>
      <c r="BU515" s="413" t="s">
        <v>718</v>
      </c>
      <c r="BV515" s="145"/>
      <c r="BW515" s="146"/>
      <c r="BX515" s="145"/>
      <c r="BY515" s="145"/>
      <c r="BZ515" s="5"/>
      <c r="CA515" s="5">
        <v>493</v>
      </c>
      <c r="CB515" s="413" t="s">
        <v>718</v>
      </c>
      <c r="CC515" s="145"/>
      <c r="CD515" s="146"/>
      <c r="CE515" s="145"/>
      <c r="CF515" s="145"/>
      <c r="CG515" s="5"/>
      <c r="CH515" s="5"/>
      <c r="CI515" s="5"/>
    </row>
    <row r="516" spans="13:87" x14ac:dyDescent="0.2">
      <c r="M516" s="5">
        <v>494</v>
      </c>
      <c r="N516" s="413" t="str">
        <f t="shared" si="42"/>
        <v xml:space="preserve"> </v>
      </c>
      <c r="O516" s="414">
        <f t="shared" si="43"/>
        <v>0</v>
      </c>
      <c r="P516" s="414">
        <f t="shared" si="44"/>
        <v>0</v>
      </c>
      <c r="Q516" s="145">
        <f t="shared" si="47"/>
        <v>-8</v>
      </c>
      <c r="R516" s="414">
        <f t="shared" si="45"/>
        <v>0</v>
      </c>
      <c r="S516" s="414">
        <f t="shared" si="46"/>
        <v>0</v>
      </c>
      <c r="T516" s="19"/>
      <c r="U516" s="5"/>
      <c r="V516" s="5"/>
      <c r="W516" s="5">
        <v>494</v>
      </c>
      <c r="X516" s="144" t="s">
        <v>718</v>
      </c>
      <c r="Y516" s="145"/>
      <c r="Z516" s="146"/>
      <c r="AA516" s="145"/>
      <c r="AB516" s="145"/>
      <c r="AD516" s="5">
        <v>494</v>
      </c>
      <c r="AE516" s="413" t="s">
        <v>718</v>
      </c>
      <c r="AF516" s="145"/>
      <c r="AG516" s="146"/>
      <c r="AH516" s="145"/>
      <c r="AI516" s="145"/>
      <c r="AK516" s="5">
        <v>494</v>
      </c>
      <c r="AL516" s="413" t="s">
        <v>718</v>
      </c>
      <c r="AM516" s="145"/>
      <c r="AN516" s="146"/>
      <c r="AO516" s="145"/>
      <c r="AP516" s="145"/>
      <c r="AR516" s="5">
        <v>494</v>
      </c>
      <c r="AS516" s="413" t="s">
        <v>1168</v>
      </c>
      <c r="AT516" s="145">
        <v>370</v>
      </c>
      <c r="AU516" s="146">
        <v>3.35</v>
      </c>
      <c r="AV516" s="145">
        <v>3714</v>
      </c>
      <c r="AW516" s="145">
        <v>-14</v>
      </c>
      <c r="AY516" s="5">
        <v>494</v>
      </c>
      <c r="AZ516" s="413" t="s">
        <v>718</v>
      </c>
      <c r="BA516" s="145"/>
      <c r="BB516" s="146"/>
      <c r="BC516" s="145"/>
      <c r="BD516" s="145"/>
      <c r="BF516" s="5">
        <v>494</v>
      </c>
      <c r="BG516" s="413" t="s">
        <v>718</v>
      </c>
      <c r="BH516" s="145"/>
      <c r="BI516" s="146"/>
      <c r="BJ516" s="145"/>
      <c r="BK516" s="145"/>
      <c r="BM516" s="5">
        <v>494</v>
      </c>
      <c r="BN516" s="413" t="s">
        <v>718</v>
      </c>
      <c r="BO516" s="145"/>
      <c r="BP516" s="146"/>
      <c r="BQ516" s="145"/>
      <c r="BR516" s="145"/>
      <c r="BS516" s="5"/>
      <c r="BT516" s="5">
        <v>494</v>
      </c>
      <c r="BU516" s="413" t="s">
        <v>718</v>
      </c>
      <c r="BV516" s="145"/>
      <c r="BW516" s="146"/>
      <c r="BX516" s="145"/>
      <c r="BY516" s="145"/>
      <c r="BZ516" s="5"/>
      <c r="CA516" s="5">
        <v>494</v>
      </c>
      <c r="CB516" s="413" t="s">
        <v>718</v>
      </c>
      <c r="CC516" s="145"/>
      <c r="CD516" s="146"/>
      <c r="CE516" s="145"/>
      <c r="CF516" s="145"/>
      <c r="CG516" s="5"/>
      <c r="CH516" s="5"/>
      <c r="CI516" s="5"/>
    </row>
    <row r="517" spans="13:87" x14ac:dyDescent="0.2">
      <c r="M517" s="5">
        <v>495</v>
      </c>
      <c r="N517" s="413" t="str">
        <f t="shared" si="42"/>
        <v xml:space="preserve"> </v>
      </c>
      <c r="O517" s="414">
        <f t="shared" si="43"/>
        <v>0</v>
      </c>
      <c r="P517" s="414">
        <f t="shared" si="44"/>
        <v>0</v>
      </c>
      <c r="Q517" s="145">
        <f t="shared" si="47"/>
        <v>-8</v>
      </c>
      <c r="R517" s="414">
        <f t="shared" si="45"/>
        <v>0</v>
      </c>
      <c r="S517" s="414">
        <f t="shared" si="46"/>
        <v>0</v>
      </c>
      <c r="T517" s="19"/>
      <c r="U517" s="5"/>
      <c r="V517" s="5"/>
      <c r="W517" s="5">
        <v>495</v>
      </c>
      <c r="X517" s="144" t="s">
        <v>718</v>
      </c>
      <c r="Y517" s="145"/>
      <c r="Z517" s="146"/>
      <c r="AA517" s="145"/>
      <c r="AB517" s="145"/>
      <c r="AD517" s="5">
        <v>495</v>
      </c>
      <c r="AE517" s="413" t="s">
        <v>718</v>
      </c>
      <c r="AF517" s="145"/>
      <c r="AG517" s="146"/>
      <c r="AH517" s="145"/>
      <c r="AI517" s="145"/>
      <c r="AK517" s="5">
        <v>495</v>
      </c>
      <c r="AL517" s="413" t="s">
        <v>718</v>
      </c>
      <c r="AM517" s="145"/>
      <c r="AN517" s="146"/>
      <c r="AO517" s="145"/>
      <c r="AP517" s="145"/>
      <c r="AR517" s="5">
        <v>495</v>
      </c>
      <c r="AS517" s="413" t="s">
        <v>1169</v>
      </c>
      <c r="AT517" s="145">
        <v>247</v>
      </c>
      <c r="AU517" s="146">
        <v>3.29</v>
      </c>
      <c r="AV517" s="145">
        <v>3609</v>
      </c>
      <c r="AW517" s="145">
        <v>-14</v>
      </c>
      <c r="AY517" s="5">
        <v>495</v>
      </c>
      <c r="AZ517" s="413" t="s">
        <v>718</v>
      </c>
      <c r="BA517" s="145"/>
      <c r="BB517" s="146"/>
      <c r="BC517" s="145"/>
      <c r="BD517" s="145"/>
      <c r="BF517" s="5">
        <v>495</v>
      </c>
      <c r="BG517" s="413" t="s">
        <v>718</v>
      </c>
      <c r="BH517" s="145"/>
      <c r="BI517" s="146"/>
      <c r="BJ517" s="145"/>
      <c r="BK517" s="145"/>
      <c r="BM517" s="5">
        <v>495</v>
      </c>
      <c r="BN517" s="413" t="s">
        <v>718</v>
      </c>
      <c r="BO517" s="145"/>
      <c r="BP517" s="146"/>
      <c r="BQ517" s="145"/>
      <c r="BR517" s="145"/>
      <c r="BS517" s="5"/>
      <c r="BT517" s="5">
        <v>495</v>
      </c>
      <c r="BU517" s="413" t="s">
        <v>718</v>
      </c>
      <c r="BV517" s="145"/>
      <c r="BW517" s="146"/>
      <c r="BX517" s="145"/>
      <c r="BY517" s="145"/>
      <c r="BZ517" s="5"/>
      <c r="CA517" s="5">
        <v>495</v>
      </c>
      <c r="CB517" s="413" t="s">
        <v>718</v>
      </c>
      <c r="CC517" s="145"/>
      <c r="CD517" s="146"/>
      <c r="CE517" s="145"/>
      <c r="CF517" s="145"/>
      <c r="CG517" s="5"/>
      <c r="CH517" s="5"/>
      <c r="CI517" s="5"/>
    </row>
    <row r="518" spans="13:87" x14ac:dyDescent="0.2">
      <c r="M518" s="5">
        <v>496</v>
      </c>
      <c r="N518" s="413" t="str">
        <f t="shared" si="42"/>
        <v xml:space="preserve"> </v>
      </c>
      <c r="O518" s="414">
        <f t="shared" si="43"/>
        <v>0</v>
      </c>
      <c r="P518" s="414">
        <f t="shared" si="44"/>
        <v>0</v>
      </c>
      <c r="Q518" s="145">
        <f t="shared" si="47"/>
        <v>-8</v>
      </c>
      <c r="R518" s="414">
        <f t="shared" si="45"/>
        <v>0</v>
      </c>
      <c r="S518" s="414">
        <f t="shared" si="46"/>
        <v>0</v>
      </c>
      <c r="T518" s="19"/>
      <c r="U518" s="5"/>
      <c r="V518" s="5"/>
      <c r="W518" s="5">
        <v>496</v>
      </c>
      <c r="X518" s="144" t="s">
        <v>718</v>
      </c>
      <c r="Y518" s="145"/>
      <c r="Z518" s="146"/>
      <c r="AA518" s="145"/>
      <c r="AB518" s="145"/>
      <c r="AD518" s="5">
        <v>496</v>
      </c>
      <c r="AE518" s="413" t="s">
        <v>718</v>
      </c>
      <c r="AF518" s="145"/>
      <c r="AG518" s="146"/>
      <c r="AH518" s="145"/>
      <c r="AI518" s="145"/>
      <c r="AK518" s="5">
        <v>496</v>
      </c>
      <c r="AL518" s="413" t="s">
        <v>718</v>
      </c>
      <c r="AM518" s="145"/>
      <c r="AN518" s="146"/>
      <c r="AO518" s="145"/>
      <c r="AP518" s="145"/>
      <c r="AR518" s="5">
        <v>496</v>
      </c>
      <c r="AS518" s="413" t="s">
        <v>1170</v>
      </c>
      <c r="AT518" s="145">
        <v>271</v>
      </c>
      <c r="AU518" s="146">
        <v>3.42</v>
      </c>
      <c r="AV518" s="145">
        <v>3532</v>
      </c>
      <c r="AW518" s="145">
        <v>-13</v>
      </c>
      <c r="AY518" s="5">
        <v>496</v>
      </c>
      <c r="AZ518" s="413" t="s">
        <v>718</v>
      </c>
      <c r="BA518" s="145"/>
      <c r="BB518" s="146"/>
      <c r="BC518" s="145"/>
      <c r="BD518" s="145"/>
      <c r="BF518" s="5">
        <v>496</v>
      </c>
      <c r="BG518" s="413" t="s">
        <v>718</v>
      </c>
      <c r="BH518" s="145"/>
      <c r="BI518" s="146"/>
      <c r="BJ518" s="145"/>
      <c r="BK518" s="145"/>
      <c r="BM518" s="5">
        <v>496</v>
      </c>
      <c r="BN518" s="413" t="s">
        <v>718</v>
      </c>
      <c r="BO518" s="145"/>
      <c r="BP518" s="146"/>
      <c r="BQ518" s="145"/>
      <c r="BR518" s="145"/>
      <c r="BS518" s="5"/>
      <c r="BT518" s="5">
        <v>496</v>
      </c>
      <c r="BU518" s="413" t="s">
        <v>718</v>
      </c>
      <c r="BV518" s="145"/>
      <c r="BW518" s="146"/>
      <c r="BX518" s="145"/>
      <c r="BY518" s="145"/>
      <c r="BZ518" s="5"/>
      <c r="CA518" s="5">
        <v>496</v>
      </c>
      <c r="CB518" s="413" t="s">
        <v>718</v>
      </c>
      <c r="CC518" s="145"/>
      <c r="CD518" s="146"/>
      <c r="CE518" s="145"/>
      <c r="CF518" s="145"/>
      <c r="CG518" s="5"/>
      <c r="CH518" s="5"/>
      <c r="CI518" s="5"/>
    </row>
    <row r="519" spans="13:87" x14ac:dyDescent="0.2">
      <c r="M519" s="5">
        <v>497</v>
      </c>
      <c r="N519" s="413" t="str">
        <f t="shared" si="42"/>
        <v xml:space="preserve"> </v>
      </c>
      <c r="O519" s="414">
        <f t="shared" si="43"/>
        <v>0</v>
      </c>
      <c r="P519" s="414">
        <f t="shared" si="44"/>
        <v>0</v>
      </c>
      <c r="Q519" s="145">
        <f t="shared" si="47"/>
        <v>-8</v>
      </c>
      <c r="R519" s="414">
        <f t="shared" si="45"/>
        <v>0</v>
      </c>
      <c r="S519" s="414">
        <f t="shared" si="46"/>
        <v>0</v>
      </c>
      <c r="T519" s="19"/>
      <c r="U519" s="5"/>
      <c r="V519" s="5"/>
      <c r="W519" s="5">
        <v>497</v>
      </c>
      <c r="X519" s="144" t="s">
        <v>718</v>
      </c>
      <c r="Y519" s="145"/>
      <c r="Z519" s="146"/>
      <c r="AA519" s="145"/>
      <c r="AB519" s="145"/>
      <c r="AD519" s="5">
        <v>497</v>
      </c>
      <c r="AE519" s="413" t="s">
        <v>718</v>
      </c>
      <c r="AF519" s="145"/>
      <c r="AG519" s="146"/>
      <c r="AH519" s="145"/>
      <c r="AI519" s="145"/>
      <c r="AK519" s="5">
        <v>497</v>
      </c>
      <c r="AL519" s="413" t="s">
        <v>718</v>
      </c>
      <c r="AM519" s="145"/>
      <c r="AN519" s="146"/>
      <c r="AO519" s="145"/>
      <c r="AP519" s="145"/>
      <c r="AR519" s="5">
        <v>497</v>
      </c>
      <c r="AS519" s="413" t="s">
        <v>1171</v>
      </c>
      <c r="AT519" s="145">
        <v>200</v>
      </c>
      <c r="AU519" s="146">
        <v>3.42</v>
      </c>
      <c r="AV519" s="145">
        <v>3465</v>
      </c>
      <c r="AW519" s="145">
        <v>-14</v>
      </c>
      <c r="AY519" s="5">
        <v>497</v>
      </c>
      <c r="AZ519" s="413" t="s">
        <v>718</v>
      </c>
      <c r="BA519" s="145"/>
      <c r="BB519" s="146"/>
      <c r="BC519" s="145"/>
      <c r="BD519" s="145"/>
      <c r="BF519" s="5">
        <v>497</v>
      </c>
      <c r="BG519" s="413" t="s">
        <v>718</v>
      </c>
      <c r="BH519" s="145"/>
      <c r="BI519" s="146"/>
      <c r="BJ519" s="145"/>
      <c r="BK519" s="145"/>
      <c r="BM519" s="5">
        <v>497</v>
      </c>
      <c r="BN519" s="413" t="s">
        <v>718</v>
      </c>
      <c r="BO519" s="145"/>
      <c r="BP519" s="146"/>
      <c r="BQ519" s="145"/>
      <c r="BR519" s="145"/>
      <c r="BS519" s="5"/>
      <c r="BT519" s="5">
        <v>497</v>
      </c>
      <c r="BU519" s="413" t="s">
        <v>718</v>
      </c>
      <c r="BV519" s="145"/>
      <c r="BW519" s="146"/>
      <c r="BX519" s="145"/>
      <c r="BY519" s="145"/>
      <c r="BZ519" s="5"/>
      <c r="CA519" s="5">
        <v>497</v>
      </c>
      <c r="CB519" s="413" t="s">
        <v>718</v>
      </c>
      <c r="CC519" s="145"/>
      <c r="CD519" s="146"/>
      <c r="CE519" s="145"/>
      <c r="CF519" s="145"/>
      <c r="CG519" s="5"/>
      <c r="CH519" s="5"/>
      <c r="CI519" s="5"/>
    </row>
    <row r="520" spans="13:87" x14ac:dyDescent="0.2">
      <c r="M520" s="5">
        <v>498</v>
      </c>
      <c r="N520" s="413" t="str">
        <f t="shared" si="42"/>
        <v xml:space="preserve"> </v>
      </c>
      <c r="O520" s="414">
        <f t="shared" si="43"/>
        <v>0</v>
      </c>
      <c r="P520" s="414">
        <f t="shared" si="44"/>
        <v>0</v>
      </c>
      <c r="Q520" s="145">
        <f t="shared" si="47"/>
        <v>-8</v>
      </c>
      <c r="R520" s="414">
        <f t="shared" si="45"/>
        <v>0</v>
      </c>
      <c r="S520" s="414">
        <f t="shared" si="46"/>
        <v>0</v>
      </c>
      <c r="T520" s="19"/>
      <c r="U520" s="5"/>
      <c r="V520" s="5"/>
      <c r="W520" s="5">
        <v>498</v>
      </c>
      <c r="X520" s="144" t="s">
        <v>718</v>
      </c>
      <c r="Y520" s="145"/>
      <c r="Z520" s="146"/>
      <c r="AA520" s="145"/>
      <c r="AB520" s="145"/>
      <c r="AD520" s="5">
        <v>498</v>
      </c>
      <c r="AE520" s="413" t="s">
        <v>718</v>
      </c>
      <c r="AF520" s="145"/>
      <c r="AG520" s="146"/>
      <c r="AH520" s="145"/>
      <c r="AI520" s="145"/>
      <c r="AK520" s="5">
        <v>498</v>
      </c>
      <c r="AL520" s="413" t="s">
        <v>718</v>
      </c>
      <c r="AM520" s="145"/>
      <c r="AN520" s="146"/>
      <c r="AO520" s="145"/>
      <c r="AP520" s="145"/>
      <c r="AR520" s="5">
        <v>498</v>
      </c>
      <c r="AS520" s="413" t="s">
        <v>1172</v>
      </c>
      <c r="AT520" s="145">
        <v>168</v>
      </c>
      <c r="AU520" s="146">
        <v>3.26</v>
      </c>
      <c r="AV520" s="145">
        <v>3549</v>
      </c>
      <c r="AW520" s="145">
        <v>-14</v>
      </c>
      <c r="AY520" s="5">
        <v>498</v>
      </c>
      <c r="AZ520" s="413" t="s">
        <v>718</v>
      </c>
      <c r="BA520" s="145"/>
      <c r="BB520" s="146"/>
      <c r="BC520" s="145"/>
      <c r="BD520" s="145"/>
      <c r="BF520" s="5">
        <v>498</v>
      </c>
      <c r="BG520" s="413" t="s">
        <v>718</v>
      </c>
      <c r="BH520" s="145"/>
      <c r="BI520" s="146"/>
      <c r="BJ520" s="145"/>
      <c r="BK520" s="145"/>
      <c r="BM520" s="5">
        <v>498</v>
      </c>
      <c r="BN520" s="413" t="s">
        <v>718</v>
      </c>
      <c r="BO520" s="145"/>
      <c r="BP520" s="146"/>
      <c r="BQ520" s="145"/>
      <c r="BR520" s="145"/>
      <c r="BS520" s="5"/>
      <c r="BT520" s="5">
        <v>498</v>
      </c>
      <c r="BU520" s="413" t="s">
        <v>718</v>
      </c>
      <c r="BV520" s="145"/>
      <c r="BW520" s="146"/>
      <c r="BX520" s="145"/>
      <c r="BY520" s="145"/>
      <c r="BZ520" s="5"/>
      <c r="CA520" s="5">
        <v>498</v>
      </c>
      <c r="CB520" s="413" t="s">
        <v>718</v>
      </c>
      <c r="CC520" s="145"/>
      <c r="CD520" s="146"/>
      <c r="CE520" s="145"/>
      <c r="CF520" s="145"/>
      <c r="CG520" s="5"/>
      <c r="CH520" s="5"/>
      <c r="CI520" s="5"/>
    </row>
    <row r="521" spans="13:87" x14ac:dyDescent="0.2">
      <c r="M521" s="5">
        <v>499</v>
      </c>
      <c r="N521" s="413" t="str">
        <f t="shared" si="42"/>
        <v xml:space="preserve"> </v>
      </c>
      <c r="O521" s="414">
        <f t="shared" si="43"/>
        <v>0</v>
      </c>
      <c r="P521" s="414">
        <f t="shared" si="44"/>
        <v>0</v>
      </c>
      <c r="Q521" s="145">
        <f t="shared" si="47"/>
        <v>-8</v>
      </c>
      <c r="R521" s="414">
        <f t="shared" si="45"/>
        <v>0</v>
      </c>
      <c r="S521" s="414">
        <f t="shared" si="46"/>
        <v>0</v>
      </c>
      <c r="T521" s="19"/>
      <c r="U521" s="5"/>
      <c r="V521" s="5"/>
      <c r="W521" s="5">
        <v>499</v>
      </c>
      <c r="X521" s="144" t="s">
        <v>718</v>
      </c>
      <c r="Y521" s="145"/>
      <c r="Z521" s="146"/>
      <c r="AA521" s="145"/>
      <c r="AB521" s="145"/>
      <c r="AD521" s="5">
        <v>499</v>
      </c>
      <c r="AE521" s="413" t="s">
        <v>718</v>
      </c>
      <c r="AF521" s="145"/>
      <c r="AG521" s="146"/>
      <c r="AH521" s="145"/>
      <c r="AI521" s="145"/>
      <c r="AK521" s="5">
        <v>499</v>
      </c>
      <c r="AL521" s="413" t="s">
        <v>718</v>
      </c>
      <c r="AM521" s="145"/>
      <c r="AN521" s="146"/>
      <c r="AO521" s="145"/>
      <c r="AP521" s="145"/>
      <c r="AR521" s="5">
        <v>499</v>
      </c>
      <c r="AS521" s="413" t="s">
        <v>1173</v>
      </c>
      <c r="AT521" s="145">
        <v>171</v>
      </c>
      <c r="AU521" s="146">
        <v>3.41</v>
      </c>
      <c r="AV521" s="145">
        <v>3484</v>
      </c>
      <c r="AW521" s="145">
        <v>-13</v>
      </c>
      <c r="AY521" s="5">
        <v>499</v>
      </c>
      <c r="AZ521" s="413" t="s">
        <v>718</v>
      </c>
      <c r="BA521" s="145"/>
      <c r="BB521" s="146"/>
      <c r="BC521" s="145"/>
      <c r="BD521" s="145"/>
      <c r="BF521" s="5">
        <v>499</v>
      </c>
      <c r="BG521" s="413" t="s">
        <v>718</v>
      </c>
      <c r="BH521" s="145"/>
      <c r="BI521" s="146"/>
      <c r="BJ521" s="145"/>
      <c r="BK521" s="145"/>
      <c r="BM521" s="5">
        <v>499</v>
      </c>
      <c r="BN521" s="413" t="s">
        <v>718</v>
      </c>
      <c r="BO521" s="145"/>
      <c r="BP521" s="146"/>
      <c r="BQ521" s="145"/>
      <c r="BR521" s="145"/>
      <c r="BS521" s="5"/>
      <c r="BT521" s="5">
        <v>499</v>
      </c>
      <c r="BU521" s="413" t="s">
        <v>718</v>
      </c>
      <c r="BV521" s="145"/>
      <c r="BW521" s="146"/>
      <c r="BX521" s="145"/>
      <c r="BY521" s="145"/>
      <c r="BZ521" s="5"/>
      <c r="CA521" s="5">
        <v>499</v>
      </c>
      <c r="CB521" s="413" t="s">
        <v>718</v>
      </c>
      <c r="CC521" s="145"/>
      <c r="CD521" s="146"/>
      <c r="CE521" s="145"/>
      <c r="CF521" s="145"/>
      <c r="CG521" s="5"/>
      <c r="CH521" s="5"/>
      <c r="CI521" s="5"/>
    </row>
    <row r="522" spans="13:87" x14ac:dyDescent="0.2">
      <c r="M522" s="5">
        <v>500</v>
      </c>
      <c r="N522" s="413" t="str">
        <f t="shared" si="42"/>
        <v xml:space="preserve"> </v>
      </c>
      <c r="O522" s="414">
        <f t="shared" si="43"/>
        <v>0</v>
      </c>
      <c r="P522" s="414">
        <f t="shared" si="44"/>
        <v>0</v>
      </c>
      <c r="Q522" s="145">
        <f t="shared" si="47"/>
        <v>-8</v>
      </c>
      <c r="R522" s="414">
        <f t="shared" si="45"/>
        <v>0</v>
      </c>
      <c r="S522" s="414">
        <f t="shared" si="46"/>
        <v>0</v>
      </c>
      <c r="T522" s="19"/>
      <c r="U522" s="5"/>
      <c r="V522" s="5"/>
      <c r="W522" s="5">
        <v>500</v>
      </c>
      <c r="X522" s="144" t="s">
        <v>718</v>
      </c>
      <c r="Y522" s="145"/>
      <c r="Z522" s="146"/>
      <c r="AA522" s="145"/>
      <c r="AB522" s="145"/>
      <c r="AD522" s="5">
        <v>500</v>
      </c>
      <c r="AE522" s="413" t="s">
        <v>718</v>
      </c>
      <c r="AF522" s="145"/>
      <c r="AG522" s="146"/>
      <c r="AH522" s="145"/>
      <c r="AI522" s="145"/>
      <c r="AK522" s="5">
        <v>500</v>
      </c>
      <c r="AL522" s="413" t="s">
        <v>718</v>
      </c>
      <c r="AM522" s="145"/>
      <c r="AN522" s="146"/>
      <c r="AO522" s="145"/>
      <c r="AP522" s="145"/>
      <c r="AR522" s="5">
        <v>500</v>
      </c>
      <c r="AS522" s="413" t="s">
        <v>1174</v>
      </c>
      <c r="AT522" s="145">
        <v>210</v>
      </c>
      <c r="AU522" s="146">
        <v>3.62</v>
      </c>
      <c r="AV522" s="145">
        <v>3522</v>
      </c>
      <c r="AW522" s="145">
        <v>-13</v>
      </c>
      <c r="AY522" s="5">
        <v>500</v>
      </c>
      <c r="AZ522" s="413" t="s">
        <v>718</v>
      </c>
      <c r="BA522" s="145"/>
      <c r="BB522" s="146"/>
      <c r="BC522" s="145"/>
      <c r="BD522" s="145"/>
      <c r="BF522" s="5">
        <v>500</v>
      </c>
      <c r="BG522" s="413" t="s">
        <v>718</v>
      </c>
      <c r="BH522" s="145"/>
      <c r="BI522" s="146"/>
      <c r="BJ522" s="145"/>
      <c r="BK522" s="145"/>
      <c r="BM522" s="5">
        <v>500</v>
      </c>
      <c r="BN522" s="413" t="s">
        <v>718</v>
      </c>
      <c r="BO522" s="145"/>
      <c r="BP522" s="146"/>
      <c r="BQ522" s="145"/>
      <c r="BR522" s="145"/>
      <c r="BS522" s="5"/>
      <c r="BT522" s="5">
        <v>500</v>
      </c>
      <c r="BU522" s="413" t="s">
        <v>718</v>
      </c>
      <c r="BV522" s="145"/>
      <c r="BW522" s="146"/>
      <c r="BX522" s="145"/>
      <c r="BY522" s="145"/>
      <c r="BZ522" s="5"/>
      <c r="CA522" s="5">
        <v>500</v>
      </c>
      <c r="CB522" s="413" t="s">
        <v>718</v>
      </c>
      <c r="CC522" s="145"/>
      <c r="CD522" s="146"/>
      <c r="CE522" s="145"/>
      <c r="CF522" s="145"/>
      <c r="CG522" s="5"/>
      <c r="CH522" s="5"/>
      <c r="CI522" s="5"/>
    </row>
    <row r="523" spans="13:87" x14ac:dyDescent="0.2">
      <c r="M523" s="5">
        <v>501</v>
      </c>
      <c r="N523" s="413" t="str">
        <f t="shared" si="42"/>
        <v xml:space="preserve"> </v>
      </c>
      <c r="O523" s="414">
        <f t="shared" si="43"/>
        <v>0</v>
      </c>
      <c r="P523" s="414">
        <f t="shared" si="44"/>
        <v>0</v>
      </c>
      <c r="Q523" s="145">
        <f t="shared" si="47"/>
        <v>-8</v>
      </c>
      <c r="R523" s="414">
        <f t="shared" si="45"/>
        <v>0</v>
      </c>
      <c r="S523" s="414">
        <f t="shared" si="46"/>
        <v>0</v>
      </c>
      <c r="T523" s="19"/>
      <c r="U523" s="5"/>
      <c r="V523" s="5"/>
      <c r="W523" s="5">
        <v>501</v>
      </c>
      <c r="X523" s="144" t="s">
        <v>718</v>
      </c>
      <c r="Y523" s="145"/>
      <c r="Z523" s="146"/>
      <c r="AA523" s="145"/>
      <c r="AB523" s="145"/>
      <c r="AD523" s="5">
        <v>501</v>
      </c>
      <c r="AE523" s="413" t="s">
        <v>718</v>
      </c>
      <c r="AF523" s="145"/>
      <c r="AG523" s="146"/>
      <c r="AH523" s="145"/>
      <c r="AI523" s="145"/>
      <c r="AK523" s="5">
        <v>501</v>
      </c>
      <c r="AL523" s="413" t="s">
        <v>718</v>
      </c>
      <c r="AM523" s="145"/>
      <c r="AN523" s="146"/>
      <c r="AO523" s="145"/>
      <c r="AP523" s="145"/>
      <c r="AR523" s="5">
        <v>501</v>
      </c>
      <c r="AS523" s="413" t="s">
        <v>1175</v>
      </c>
      <c r="AT523" s="145">
        <v>280</v>
      </c>
      <c r="AU523" s="146">
        <v>3.37</v>
      </c>
      <c r="AV523" s="145">
        <v>3641</v>
      </c>
      <c r="AW523" s="145">
        <v>-13</v>
      </c>
      <c r="AY523" s="5">
        <v>501</v>
      </c>
      <c r="AZ523" s="413" t="s">
        <v>718</v>
      </c>
      <c r="BA523" s="145"/>
      <c r="BB523" s="146"/>
      <c r="BC523" s="145"/>
      <c r="BD523" s="145"/>
      <c r="BF523" s="5">
        <v>501</v>
      </c>
      <c r="BG523" s="413" t="s">
        <v>718</v>
      </c>
      <c r="BH523" s="145"/>
      <c r="BI523" s="146"/>
      <c r="BJ523" s="145"/>
      <c r="BK523" s="145"/>
      <c r="BM523" s="5">
        <v>501</v>
      </c>
      <c r="BN523" s="413" t="s">
        <v>718</v>
      </c>
      <c r="BO523" s="145"/>
      <c r="BP523" s="146"/>
      <c r="BQ523" s="145"/>
      <c r="BR523" s="145"/>
      <c r="BS523" s="5"/>
      <c r="BT523" s="5">
        <v>501</v>
      </c>
      <c r="BU523" s="413" t="s">
        <v>718</v>
      </c>
      <c r="BV523" s="145"/>
      <c r="BW523" s="146"/>
      <c r="BX523" s="145"/>
      <c r="BY523" s="145"/>
      <c r="BZ523" s="5"/>
      <c r="CA523" s="5">
        <v>501</v>
      </c>
      <c r="CB523" s="413" t="s">
        <v>718</v>
      </c>
      <c r="CC523" s="145"/>
      <c r="CD523" s="146"/>
      <c r="CE523" s="145"/>
      <c r="CF523" s="145"/>
      <c r="CG523" s="5"/>
      <c r="CH523" s="5"/>
      <c r="CI523" s="5"/>
    </row>
    <row r="524" spans="13:87" x14ac:dyDescent="0.2">
      <c r="M524" s="5">
        <v>502</v>
      </c>
      <c r="N524" s="413" t="str">
        <f t="shared" si="42"/>
        <v xml:space="preserve"> </v>
      </c>
      <c r="O524" s="414">
        <f t="shared" si="43"/>
        <v>0</v>
      </c>
      <c r="P524" s="414">
        <f t="shared" si="44"/>
        <v>0</v>
      </c>
      <c r="Q524" s="145">
        <f t="shared" si="47"/>
        <v>-8</v>
      </c>
      <c r="R524" s="414">
        <f t="shared" si="45"/>
        <v>0</v>
      </c>
      <c r="S524" s="414">
        <f t="shared" si="46"/>
        <v>0</v>
      </c>
      <c r="T524" s="19"/>
      <c r="U524" s="5"/>
      <c r="V524" s="5"/>
      <c r="W524" s="5">
        <v>502</v>
      </c>
      <c r="X524" s="144" t="s">
        <v>718</v>
      </c>
      <c r="Y524" s="145"/>
      <c r="Z524" s="146"/>
      <c r="AA524" s="145"/>
      <c r="AB524" s="145"/>
      <c r="AD524" s="5">
        <v>502</v>
      </c>
      <c r="AE524" s="413" t="s">
        <v>718</v>
      </c>
      <c r="AF524" s="145"/>
      <c r="AG524" s="146"/>
      <c r="AH524" s="145"/>
      <c r="AI524" s="145"/>
      <c r="AK524" s="5">
        <v>502</v>
      </c>
      <c r="AL524" s="413" t="s">
        <v>718</v>
      </c>
      <c r="AM524" s="145"/>
      <c r="AN524" s="146"/>
      <c r="AO524" s="145"/>
      <c r="AP524" s="145"/>
      <c r="AR524" s="5">
        <v>502</v>
      </c>
      <c r="AS524" s="413" t="s">
        <v>3539</v>
      </c>
      <c r="AT524" s="145">
        <v>308</v>
      </c>
      <c r="AU524" s="146">
        <v>3.31</v>
      </c>
      <c r="AV524" s="145">
        <v>3606</v>
      </c>
      <c r="AW524" s="145">
        <v>-14</v>
      </c>
      <c r="AY524" s="5">
        <v>502</v>
      </c>
      <c r="AZ524" s="413" t="s">
        <v>718</v>
      </c>
      <c r="BA524" s="145"/>
      <c r="BB524" s="146"/>
      <c r="BC524" s="145"/>
      <c r="BD524" s="145"/>
      <c r="BF524" s="5">
        <v>502</v>
      </c>
      <c r="BG524" s="413" t="s">
        <v>718</v>
      </c>
      <c r="BH524" s="145"/>
      <c r="BI524" s="146"/>
      <c r="BJ524" s="145"/>
      <c r="BK524" s="145"/>
      <c r="BM524" s="5">
        <v>502</v>
      </c>
      <c r="BN524" s="413" t="s">
        <v>718</v>
      </c>
      <c r="BO524" s="145"/>
      <c r="BP524" s="146"/>
      <c r="BQ524" s="145"/>
      <c r="BR524" s="145"/>
      <c r="BS524" s="5"/>
      <c r="BT524" s="5">
        <v>502</v>
      </c>
      <c r="BU524" s="413" t="s">
        <v>718</v>
      </c>
      <c r="BV524" s="145"/>
      <c r="BW524" s="146"/>
      <c r="BX524" s="145"/>
      <c r="BY524" s="145"/>
      <c r="BZ524" s="5"/>
      <c r="CA524" s="5">
        <v>502</v>
      </c>
      <c r="CB524" s="413" t="s">
        <v>718</v>
      </c>
      <c r="CC524" s="145"/>
      <c r="CD524" s="146"/>
      <c r="CE524" s="145"/>
      <c r="CF524" s="145"/>
      <c r="CG524" s="5"/>
      <c r="CH524" s="5"/>
      <c r="CI524" s="5"/>
    </row>
    <row r="525" spans="13:87" x14ac:dyDescent="0.2">
      <c r="M525" s="5">
        <v>503</v>
      </c>
      <c r="N525" s="413" t="str">
        <f t="shared" si="42"/>
        <v xml:space="preserve"> </v>
      </c>
      <c r="O525" s="414">
        <f t="shared" si="43"/>
        <v>0</v>
      </c>
      <c r="P525" s="414">
        <f t="shared" si="44"/>
        <v>0</v>
      </c>
      <c r="Q525" s="145">
        <f t="shared" si="47"/>
        <v>-8</v>
      </c>
      <c r="R525" s="414">
        <f t="shared" si="45"/>
        <v>0</v>
      </c>
      <c r="S525" s="414">
        <f t="shared" si="46"/>
        <v>0</v>
      </c>
      <c r="T525" s="19"/>
      <c r="U525" s="5"/>
      <c r="V525" s="5"/>
      <c r="W525" s="5">
        <v>503</v>
      </c>
      <c r="X525" s="144" t="s">
        <v>718</v>
      </c>
      <c r="Y525" s="145"/>
      <c r="Z525" s="146"/>
      <c r="AA525" s="145"/>
      <c r="AB525" s="145"/>
      <c r="AD525" s="5">
        <v>503</v>
      </c>
      <c r="AE525" s="413" t="s">
        <v>718</v>
      </c>
      <c r="AF525" s="145"/>
      <c r="AG525" s="146"/>
      <c r="AH525" s="145"/>
      <c r="AI525" s="145"/>
      <c r="AK525" s="5">
        <v>503</v>
      </c>
      <c r="AL525" s="413" t="s">
        <v>718</v>
      </c>
      <c r="AM525" s="145"/>
      <c r="AN525" s="146"/>
      <c r="AO525" s="145"/>
      <c r="AP525" s="145"/>
      <c r="AR525" s="5">
        <v>503</v>
      </c>
      <c r="AS525" s="413" t="s">
        <v>3540</v>
      </c>
      <c r="AT525" s="145">
        <v>317</v>
      </c>
      <c r="AU525" s="146">
        <v>3.22</v>
      </c>
      <c r="AV525" s="145">
        <v>3808</v>
      </c>
      <c r="AW525" s="145">
        <v>-14</v>
      </c>
      <c r="AY525" s="5">
        <v>503</v>
      </c>
      <c r="AZ525" s="413" t="s">
        <v>718</v>
      </c>
      <c r="BA525" s="145"/>
      <c r="BB525" s="146"/>
      <c r="BC525" s="145"/>
      <c r="BD525" s="145"/>
      <c r="BF525" s="5">
        <v>503</v>
      </c>
      <c r="BG525" s="413" t="s">
        <v>718</v>
      </c>
      <c r="BH525" s="145"/>
      <c r="BI525" s="146"/>
      <c r="BJ525" s="145"/>
      <c r="BK525" s="145"/>
      <c r="BM525" s="5">
        <v>503</v>
      </c>
      <c r="BN525" s="413" t="s">
        <v>718</v>
      </c>
      <c r="BO525" s="145"/>
      <c r="BP525" s="146"/>
      <c r="BQ525" s="145"/>
      <c r="BR525" s="145"/>
      <c r="BS525" s="5"/>
      <c r="BT525" s="5">
        <v>503</v>
      </c>
      <c r="BU525" s="413" t="s">
        <v>718</v>
      </c>
      <c r="BV525" s="145"/>
      <c r="BW525" s="146"/>
      <c r="BX525" s="145"/>
      <c r="BY525" s="145"/>
      <c r="BZ525" s="5"/>
      <c r="CA525" s="5">
        <v>503</v>
      </c>
      <c r="CB525" s="413" t="s">
        <v>718</v>
      </c>
      <c r="CC525" s="145"/>
      <c r="CD525" s="146"/>
      <c r="CE525" s="145"/>
      <c r="CF525" s="145"/>
      <c r="CG525" s="5"/>
      <c r="CH525" s="5"/>
      <c r="CI525" s="5"/>
    </row>
    <row r="526" spans="13:87" x14ac:dyDescent="0.2">
      <c r="M526" s="5">
        <v>504</v>
      </c>
      <c r="N526" s="413" t="str">
        <f t="shared" si="42"/>
        <v xml:space="preserve"> </v>
      </c>
      <c r="O526" s="414">
        <f t="shared" si="43"/>
        <v>0</v>
      </c>
      <c r="P526" s="414">
        <f t="shared" si="44"/>
        <v>0</v>
      </c>
      <c r="Q526" s="145">
        <f t="shared" si="47"/>
        <v>-8</v>
      </c>
      <c r="R526" s="414">
        <f t="shared" si="45"/>
        <v>0</v>
      </c>
      <c r="S526" s="414">
        <f t="shared" si="46"/>
        <v>0</v>
      </c>
      <c r="T526" s="19"/>
      <c r="U526" s="5"/>
      <c r="V526" s="5"/>
      <c r="W526" s="5">
        <v>504</v>
      </c>
      <c r="X526" s="144" t="s">
        <v>718</v>
      </c>
      <c r="Y526" s="145"/>
      <c r="Z526" s="146"/>
      <c r="AA526" s="145"/>
      <c r="AB526" s="145"/>
      <c r="AD526" s="5">
        <v>504</v>
      </c>
      <c r="AE526" s="413" t="s">
        <v>718</v>
      </c>
      <c r="AF526" s="145"/>
      <c r="AG526" s="146"/>
      <c r="AH526" s="145"/>
      <c r="AI526" s="145"/>
      <c r="AK526" s="5">
        <v>504</v>
      </c>
      <c r="AL526" s="413" t="s">
        <v>718</v>
      </c>
      <c r="AM526" s="145"/>
      <c r="AN526" s="146"/>
      <c r="AO526" s="145"/>
      <c r="AP526" s="145"/>
      <c r="AR526" s="5">
        <v>504</v>
      </c>
      <c r="AS526" s="413" t="s">
        <v>3541</v>
      </c>
      <c r="AT526" s="145">
        <v>210</v>
      </c>
      <c r="AU526" s="146">
        <v>3.41</v>
      </c>
      <c r="AV526" s="145">
        <v>3633</v>
      </c>
      <c r="AW526" s="145">
        <v>-13</v>
      </c>
      <c r="AY526" s="5">
        <v>504</v>
      </c>
      <c r="AZ526" s="413" t="s">
        <v>718</v>
      </c>
      <c r="BA526" s="145"/>
      <c r="BB526" s="146"/>
      <c r="BC526" s="145"/>
      <c r="BD526" s="145"/>
      <c r="BF526" s="5">
        <v>504</v>
      </c>
      <c r="BG526" s="413" t="s">
        <v>718</v>
      </c>
      <c r="BH526" s="145"/>
      <c r="BI526" s="146"/>
      <c r="BJ526" s="145"/>
      <c r="BK526" s="145"/>
      <c r="BM526" s="5">
        <v>504</v>
      </c>
      <c r="BN526" s="413" t="s">
        <v>718</v>
      </c>
      <c r="BO526" s="145"/>
      <c r="BP526" s="146"/>
      <c r="BQ526" s="145"/>
      <c r="BR526" s="145"/>
      <c r="BS526" s="5"/>
      <c r="BT526" s="5">
        <v>504</v>
      </c>
      <c r="BU526" s="413" t="s">
        <v>718</v>
      </c>
      <c r="BV526" s="145"/>
      <c r="BW526" s="146"/>
      <c r="BX526" s="145"/>
      <c r="BY526" s="145"/>
      <c r="BZ526" s="5"/>
      <c r="CA526" s="5">
        <v>504</v>
      </c>
      <c r="CB526" s="413" t="s">
        <v>718</v>
      </c>
      <c r="CC526" s="145"/>
      <c r="CD526" s="146"/>
      <c r="CE526" s="145"/>
      <c r="CF526" s="145"/>
      <c r="CG526" s="5"/>
      <c r="CH526" s="5"/>
      <c r="CI526" s="5"/>
    </row>
    <row r="527" spans="13:87" x14ac:dyDescent="0.2">
      <c r="M527" s="5">
        <v>505</v>
      </c>
      <c r="N527" s="413" t="str">
        <f t="shared" si="42"/>
        <v xml:space="preserve"> </v>
      </c>
      <c r="O527" s="414">
        <f t="shared" si="43"/>
        <v>0</v>
      </c>
      <c r="P527" s="414">
        <f t="shared" si="44"/>
        <v>0</v>
      </c>
      <c r="Q527" s="145">
        <f t="shared" si="47"/>
        <v>-8</v>
      </c>
      <c r="R527" s="414">
        <f t="shared" si="45"/>
        <v>0</v>
      </c>
      <c r="S527" s="414">
        <f t="shared" si="46"/>
        <v>0</v>
      </c>
      <c r="T527" s="19"/>
      <c r="U527" s="5"/>
      <c r="V527" s="5"/>
      <c r="W527" s="5">
        <v>505</v>
      </c>
      <c r="X527" s="144" t="s">
        <v>718</v>
      </c>
      <c r="Y527" s="145"/>
      <c r="Z527" s="146"/>
      <c r="AA527" s="145"/>
      <c r="AB527" s="145"/>
      <c r="AD527" s="5">
        <v>505</v>
      </c>
      <c r="AE527" s="413" t="s">
        <v>718</v>
      </c>
      <c r="AF527" s="145"/>
      <c r="AG527" s="146"/>
      <c r="AH527" s="145"/>
      <c r="AI527" s="145"/>
      <c r="AK527" s="5">
        <v>505</v>
      </c>
      <c r="AL527" s="413" t="s">
        <v>718</v>
      </c>
      <c r="AM527" s="145"/>
      <c r="AN527" s="146"/>
      <c r="AO527" s="145"/>
      <c r="AP527" s="145"/>
      <c r="AR527" s="5">
        <v>505</v>
      </c>
      <c r="AS527" s="413" t="s">
        <v>3542</v>
      </c>
      <c r="AT527" s="145">
        <v>158</v>
      </c>
      <c r="AU527" s="146">
        <v>3.32</v>
      </c>
      <c r="AV527" s="145">
        <v>3520</v>
      </c>
      <c r="AW527" s="145">
        <v>-14</v>
      </c>
      <c r="AY527" s="5">
        <v>505</v>
      </c>
      <c r="AZ527" s="413" t="s">
        <v>718</v>
      </c>
      <c r="BA527" s="145"/>
      <c r="BB527" s="146"/>
      <c r="BC527" s="145"/>
      <c r="BD527" s="145"/>
      <c r="BF527" s="5">
        <v>505</v>
      </c>
      <c r="BG527" s="413" t="s">
        <v>718</v>
      </c>
      <c r="BH527" s="145"/>
      <c r="BI527" s="146"/>
      <c r="BJ527" s="145"/>
      <c r="BK527" s="145"/>
      <c r="BM527" s="5">
        <v>505</v>
      </c>
      <c r="BN527" s="413" t="s">
        <v>718</v>
      </c>
      <c r="BO527" s="145"/>
      <c r="BP527" s="146"/>
      <c r="BQ527" s="145"/>
      <c r="BR527" s="145"/>
      <c r="BS527" s="5"/>
      <c r="BT527" s="5">
        <v>505</v>
      </c>
      <c r="BU527" s="413" t="s">
        <v>718</v>
      </c>
      <c r="BV527" s="145"/>
      <c r="BW527" s="146"/>
      <c r="BX527" s="145"/>
      <c r="BY527" s="145"/>
      <c r="BZ527" s="5"/>
      <c r="CA527" s="5">
        <v>505</v>
      </c>
      <c r="CB527" s="413" t="s">
        <v>718</v>
      </c>
      <c r="CC527" s="145"/>
      <c r="CD527" s="146"/>
      <c r="CE527" s="145"/>
      <c r="CF527" s="145"/>
      <c r="CG527" s="5"/>
      <c r="CH527" s="5"/>
      <c r="CI527" s="5"/>
    </row>
    <row r="528" spans="13:87" x14ac:dyDescent="0.2">
      <c r="M528" s="5">
        <v>506</v>
      </c>
      <c r="N528" s="413" t="str">
        <f t="shared" si="42"/>
        <v xml:space="preserve"> </v>
      </c>
      <c r="O528" s="414">
        <f t="shared" si="43"/>
        <v>0</v>
      </c>
      <c r="P528" s="414">
        <f t="shared" si="44"/>
        <v>0</v>
      </c>
      <c r="Q528" s="145">
        <f t="shared" si="47"/>
        <v>-8</v>
      </c>
      <c r="R528" s="414">
        <f t="shared" si="45"/>
        <v>0</v>
      </c>
      <c r="S528" s="414">
        <f t="shared" si="46"/>
        <v>0</v>
      </c>
      <c r="T528" s="19"/>
      <c r="U528" s="5"/>
      <c r="V528" s="5"/>
      <c r="W528" s="5">
        <v>506</v>
      </c>
      <c r="X528" s="144" t="s">
        <v>718</v>
      </c>
      <c r="Y528" s="145"/>
      <c r="Z528" s="146"/>
      <c r="AA528" s="145"/>
      <c r="AB528" s="145"/>
      <c r="AD528" s="5">
        <v>506</v>
      </c>
      <c r="AE528" s="413" t="s">
        <v>718</v>
      </c>
      <c r="AF528" s="145"/>
      <c r="AG528" s="146"/>
      <c r="AH528" s="145"/>
      <c r="AI528" s="145"/>
      <c r="AK528" s="5">
        <v>506</v>
      </c>
      <c r="AL528" s="413" t="s">
        <v>718</v>
      </c>
      <c r="AM528" s="145"/>
      <c r="AN528" s="146"/>
      <c r="AO528" s="145"/>
      <c r="AP528" s="145"/>
      <c r="AR528" s="5">
        <v>506</v>
      </c>
      <c r="AS528" s="413" t="s">
        <v>3543</v>
      </c>
      <c r="AT528" s="145">
        <v>174</v>
      </c>
      <c r="AU528" s="146">
        <v>3.43</v>
      </c>
      <c r="AV528" s="145">
        <v>3429</v>
      </c>
      <c r="AW528" s="145">
        <v>-14</v>
      </c>
      <c r="AY528" s="5">
        <v>506</v>
      </c>
      <c r="AZ528" s="413" t="s">
        <v>718</v>
      </c>
      <c r="BA528" s="145"/>
      <c r="BB528" s="146"/>
      <c r="BC528" s="145"/>
      <c r="BD528" s="145"/>
      <c r="BF528" s="5">
        <v>506</v>
      </c>
      <c r="BG528" s="413" t="s">
        <v>718</v>
      </c>
      <c r="BH528" s="145"/>
      <c r="BI528" s="146"/>
      <c r="BJ528" s="145"/>
      <c r="BK528" s="145"/>
      <c r="BM528" s="5">
        <v>506</v>
      </c>
      <c r="BN528" s="413" t="s">
        <v>718</v>
      </c>
      <c r="BO528" s="145"/>
      <c r="BP528" s="146"/>
      <c r="BQ528" s="145"/>
      <c r="BR528" s="145"/>
      <c r="BS528" s="5"/>
      <c r="BT528" s="5">
        <v>506</v>
      </c>
      <c r="BU528" s="413" t="s">
        <v>718</v>
      </c>
      <c r="BV528" s="145"/>
      <c r="BW528" s="146"/>
      <c r="BX528" s="145"/>
      <c r="BY528" s="145"/>
      <c r="BZ528" s="5"/>
      <c r="CA528" s="5">
        <v>506</v>
      </c>
      <c r="CB528" s="413" t="s">
        <v>718</v>
      </c>
      <c r="CC528" s="145"/>
      <c r="CD528" s="146"/>
      <c r="CE528" s="145"/>
      <c r="CF528" s="145"/>
      <c r="CG528" s="5"/>
      <c r="CH528" s="5"/>
      <c r="CI528" s="5"/>
    </row>
    <row r="529" spans="13:87" x14ac:dyDescent="0.2">
      <c r="M529" s="5">
        <v>507</v>
      </c>
      <c r="N529" s="413" t="str">
        <f t="shared" si="42"/>
        <v xml:space="preserve"> </v>
      </c>
      <c r="O529" s="414">
        <f t="shared" si="43"/>
        <v>0</v>
      </c>
      <c r="P529" s="414">
        <f t="shared" si="44"/>
        <v>0</v>
      </c>
      <c r="Q529" s="145">
        <f t="shared" si="47"/>
        <v>-8</v>
      </c>
      <c r="R529" s="414">
        <f t="shared" si="45"/>
        <v>0</v>
      </c>
      <c r="S529" s="414">
        <f t="shared" si="46"/>
        <v>0</v>
      </c>
      <c r="T529" s="19"/>
      <c r="U529" s="5"/>
      <c r="V529" s="5"/>
      <c r="W529" s="5">
        <v>507</v>
      </c>
      <c r="X529" s="144" t="s">
        <v>718</v>
      </c>
      <c r="Y529" s="145"/>
      <c r="Z529" s="146"/>
      <c r="AA529" s="145"/>
      <c r="AB529" s="145"/>
      <c r="AD529" s="5">
        <v>507</v>
      </c>
      <c r="AE529" s="413" t="s">
        <v>718</v>
      </c>
      <c r="AF529" s="145"/>
      <c r="AG529" s="146"/>
      <c r="AH529" s="145"/>
      <c r="AI529" s="145"/>
      <c r="AK529" s="5">
        <v>507</v>
      </c>
      <c r="AL529" s="413" t="s">
        <v>718</v>
      </c>
      <c r="AM529" s="145"/>
      <c r="AN529" s="146"/>
      <c r="AO529" s="145"/>
      <c r="AP529" s="145"/>
      <c r="AR529" s="5">
        <v>507</v>
      </c>
      <c r="AS529" s="413" t="s">
        <v>3544</v>
      </c>
      <c r="AT529" s="145">
        <v>176</v>
      </c>
      <c r="AU529" s="146">
        <v>3.46</v>
      </c>
      <c r="AV529" s="145">
        <v>3522</v>
      </c>
      <c r="AW529" s="145">
        <v>-13</v>
      </c>
      <c r="AY529" s="5">
        <v>507</v>
      </c>
      <c r="AZ529" s="413" t="s">
        <v>718</v>
      </c>
      <c r="BA529" s="145"/>
      <c r="BB529" s="146"/>
      <c r="BC529" s="145"/>
      <c r="BD529" s="145"/>
      <c r="BF529" s="5">
        <v>507</v>
      </c>
      <c r="BG529" s="413" t="s">
        <v>718</v>
      </c>
      <c r="BH529" s="145"/>
      <c r="BI529" s="146"/>
      <c r="BJ529" s="145"/>
      <c r="BK529" s="145"/>
      <c r="BM529" s="5">
        <v>507</v>
      </c>
      <c r="BN529" s="413" t="s">
        <v>718</v>
      </c>
      <c r="BO529" s="145"/>
      <c r="BP529" s="146"/>
      <c r="BQ529" s="145"/>
      <c r="BR529" s="145"/>
      <c r="BS529" s="5"/>
      <c r="BT529" s="5">
        <v>507</v>
      </c>
      <c r="BU529" s="413" t="s">
        <v>718</v>
      </c>
      <c r="BV529" s="145"/>
      <c r="BW529" s="146"/>
      <c r="BX529" s="145"/>
      <c r="BY529" s="145"/>
      <c r="BZ529" s="5"/>
      <c r="CA529" s="5">
        <v>507</v>
      </c>
      <c r="CB529" s="413" t="s">
        <v>718</v>
      </c>
      <c r="CC529" s="145"/>
      <c r="CD529" s="146"/>
      <c r="CE529" s="145"/>
      <c r="CF529" s="145"/>
      <c r="CG529" s="5"/>
      <c r="CH529" s="5"/>
      <c r="CI529" s="5"/>
    </row>
    <row r="530" spans="13:87" x14ac:dyDescent="0.2">
      <c r="M530" s="5">
        <v>508</v>
      </c>
      <c r="N530" s="413" t="str">
        <f t="shared" si="42"/>
        <v xml:space="preserve"> </v>
      </c>
      <c r="O530" s="414">
        <f t="shared" si="43"/>
        <v>0</v>
      </c>
      <c r="P530" s="414">
        <f t="shared" si="44"/>
        <v>0</v>
      </c>
      <c r="Q530" s="145">
        <f t="shared" si="47"/>
        <v>-8</v>
      </c>
      <c r="R530" s="414">
        <f t="shared" si="45"/>
        <v>0</v>
      </c>
      <c r="S530" s="414">
        <f t="shared" si="46"/>
        <v>0</v>
      </c>
      <c r="T530" s="19"/>
      <c r="U530" s="5"/>
      <c r="V530" s="5"/>
      <c r="W530" s="5">
        <v>508</v>
      </c>
      <c r="X530" s="144" t="s">
        <v>718</v>
      </c>
      <c r="Y530" s="145"/>
      <c r="Z530" s="146"/>
      <c r="AA530" s="145"/>
      <c r="AB530" s="145"/>
      <c r="AD530" s="5">
        <v>508</v>
      </c>
      <c r="AE530" s="413" t="s">
        <v>718</v>
      </c>
      <c r="AF530" s="145"/>
      <c r="AG530" s="146"/>
      <c r="AH530" s="145"/>
      <c r="AI530" s="145"/>
      <c r="AK530" s="5">
        <v>508</v>
      </c>
      <c r="AL530" s="413" t="s">
        <v>718</v>
      </c>
      <c r="AM530" s="145"/>
      <c r="AN530" s="146"/>
      <c r="AO530" s="145"/>
      <c r="AP530" s="145"/>
      <c r="AR530" s="5">
        <v>508</v>
      </c>
      <c r="AS530" s="413" t="s">
        <v>3545</v>
      </c>
      <c r="AT530" s="145">
        <v>406</v>
      </c>
      <c r="AU530" s="146">
        <v>2.58</v>
      </c>
      <c r="AV530" s="145">
        <v>4093</v>
      </c>
      <c r="AW530" s="145">
        <v>-15</v>
      </c>
      <c r="AY530" s="5">
        <v>508</v>
      </c>
      <c r="AZ530" s="413" t="s">
        <v>718</v>
      </c>
      <c r="BA530" s="145"/>
      <c r="BB530" s="146"/>
      <c r="BC530" s="145"/>
      <c r="BD530" s="145"/>
      <c r="BF530" s="5">
        <v>508</v>
      </c>
      <c r="BG530" s="413" t="s">
        <v>718</v>
      </c>
      <c r="BH530" s="145"/>
      <c r="BI530" s="146"/>
      <c r="BJ530" s="145"/>
      <c r="BK530" s="145"/>
      <c r="BM530" s="5">
        <v>508</v>
      </c>
      <c r="BN530" s="413" t="s">
        <v>718</v>
      </c>
      <c r="BO530" s="145"/>
      <c r="BP530" s="146"/>
      <c r="BQ530" s="145"/>
      <c r="BR530" s="145"/>
      <c r="BS530" s="5"/>
      <c r="BT530" s="5">
        <v>508</v>
      </c>
      <c r="BU530" s="413" t="s">
        <v>718</v>
      </c>
      <c r="BV530" s="145"/>
      <c r="BW530" s="146"/>
      <c r="BX530" s="145"/>
      <c r="BY530" s="145"/>
      <c r="BZ530" s="5"/>
      <c r="CA530" s="5">
        <v>508</v>
      </c>
      <c r="CB530" s="413" t="s">
        <v>718</v>
      </c>
      <c r="CC530" s="145"/>
      <c r="CD530" s="146"/>
      <c r="CE530" s="145"/>
      <c r="CF530" s="145"/>
      <c r="CG530" s="5"/>
      <c r="CH530" s="5"/>
      <c r="CI530" s="5"/>
    </row>
    <row r="531" spans="13:87" x14ac:dyDescent="0.2">
      <c r="M531" s="5">
        <v>509</v>
      </c>
      <c r="N531" s="413" t="str">
        <f t="shared" si="42"/>
        <v xml:space="preserve"> </v>
      </c>
      <c r="O531" s="414">
        <f t="shared" si="43"/>
        <v>0</v>
      </c>
      <c r="P531" s="414">
        <f t="shared" si="44"/>
        <v>0</v>
      </c>
      <c r="Q531" s="145">
        <f t="shared" si="47"/>
        <v>-8</v>
      </c>
      <c r="R531" s="414">
        <f t="shared" si="45"/>
        <v>0</v>
      </c>
      <c r="S531" s="414">
        <f t="shared" si="46"/>
        <v>0</v>
      </c>
      <c r="T531" s="19"/>
      <c r="U531" s="5"/>
      <c r="V531" s="5"/>
      <c r="W531" s="5">
        <v>509</v>
      </c>
      <c r="X531" s="144" t="s">
        <v>718</v>
      </c>
      <c r="Y531" s="145"/>
      <c r="Z531" s="146"/>
      <c r="AA531" s="145"/>
      <c r="AB531" s="145"/>
      <c r="AD531" s="5">
        <v>509</v>
      </c>
      <c r="AE531" s="413" t="s">
        <v>718</v>
      </c>
      <c r="AF531" s="145"/>
      <c r="AG531" s="146"/>
      <c r="AH531" s="145"/>
      <c r="AI531" s="145"/>
      <c r="AK531" s="5">
        <v>509</v>
      </c>
      <c r="AL531" s="413" t="s">
        <v>718</v>
      </c>
      <c r="AM531" s="145"/>
      <c r="AN531" s="146"/>
      <c r="AO531" s="145"/>
      <c r="AP531" s="145"/>
      <c r="AR531" s="5">
        <v>509</v>
      </c>
      <c r="AS531" s="413" t="s">
        <v>3546</v>
      </c>
      <c r="AT531" s="145">
        <v>331</v>
      </c>
      <c r="AU531" s="146">
        <v>3.21</v>
      </c>
      <c r="AV531" s="145">
        <v>3795</v>
      </c>
      <c r="AW531" s="145">
        <v>-14</v>
      </c>
      <c r="AY531" s="5">
        <v>509</v>
      </c>
      <c r="AZ531" s="413" t="s">
        <v>718</v>
      </c>
      <c r="BA531" s="145"/>
      <c r="BB531" s="146"/>
      <c r="BC531" s="145"/>
      <c r="BD531" s="145"/>
      <c r="BF531" s="5">
        <v>509</v>
      </c>
      <c r="BG531" s="413" t="s">
        <v>718</v>
      </c>
      <c r="BH531" s="145"/>
      <c r="BI531" s="146"/>
      <c r="BJ531" s="145"/>
      <c r="BK531" s="145"/>
      <c r="BM531" s="5">
        <v>509</v>
      </c>
      <c r="BN531" s="413" t="s">
        <v>718</v>
      </c>
      <c r="BO531" s="145"/>
      <c r="BP531" s="146"/>
      <c r="BQ531" s="145"/>
      <c r="BR531" s="145"/>
      <c r="BS531" s="5"/>
      <c r="BT531" s="5">
        <v>509</v>
      </c>
      <c r="BU531" s="413" t="s">
        <v>718</v>
      </c>
      <c r="BV531" s="145"/>
      <c r="BW531" s="146"/>
      <c r="BX531" s="145"/>
      <c r="BY531" s="145"/>
      <c r="BZ531" s="5"/>
      <c r="CA531" s="5">
        <v>509</v>
      </c>
      <c r="CB531" s="413" t="s">
        <v>718</v>
      </c>
      <c r="CC531" s="145"/>
      <c r="CD531" s="146"/>
      <c r="CE531" s="145"/>
      <c r="CF531" s="145"/>
      <c r="CG531" s="5"/>
      <c r="CH531" s="5"/>
      <c r="CI531" s="5"/>
    </row>
    <row r="532" spans="13:87" x14ac:dyDescent="0.2">
      <c r="M532" s="5">
        <v>510</v>
      </c>
      <c r="N532" s="413" t="str">
        <f t="shared" si="42"/>
        <v xml:space="preserve"> </v>
      </c>
      <c r="O532" s="414">
        <f t="shared" si="43"/>
        <v>0</v>
      </c>
      <c r="P532" s="414">
        <f t="shared" si="44"/>
        <v>0</v>
      </c>
      <c r="Q532" s="145">
        <f t="shared" si="47"/>
        <v>-8</v>
      </c>
      <c r="R532" s="414">
        <f t="shared" si="45"/>
        <v>0</v>
      </c>
      <c r="S532" s="414">
        <f t="shared" si="46"/>
        <v>0</v>
      </c>
      <c r="T532" s="19"/>
      <c r="U532" s="5"/>
      <c r="V532" s="5"/>
      <c r="W532" s="5">
        <v>510</v>
      </c>
      <c r="X532" s="144" t="s">
        <v>718</v>
      </c>
      <c r="Y532" s="145"/>
      <c r="Z532" s="146"/>
      <c r="AA532" s="145"/>
      <c r="AB532" s="145"/>
      <c r="AD532" s="5">
        <v>510</v>
      </c>
      <c r="AE532" s="413" t="s">
        <v>718</v>
      </c>
      <c r="AF532" s="145"/>
      <c r="AG532" s="146"/>
      <c r="AH532" s="145"/>
      <c r="AI532" s="145"/>
      <c r="AK532" s="5">
        <v>510</v>
      </c>
      <c r="AL532" s="413" t="s">
        <v>718</v>
      </c>
      <c r="AM532" s="145"/>
      <c r="AN532" s="146"/>
      <c r="AO532" s="145"/>
      <c r="AP532" s="145"/>
      <c r="AR532" s="5">
        <v>510</v>
      </c>
      <c r="AS532" s="413" t="s">
        <v>3547</v>
      </c>
      <c r="AT532" s="145">
        <v>294</v>
      </c>
      <c r="AU532" s="146">
        <v>3.06</v>
      </c>
      <c r="AV532" s="145">
        <v>3777</v>
      </c>
      <c r="AW532" s="145">
        <v>-14</v>
      </c>
      <c r="AY532" s="5">
        <v>510</v>
      </c>
      <c r="AZ532" s="413" t="s">
        <v>718</v>
      </c>
      <c r="BA532" s="145"/>
      <c r="BB532" s="146"/>
      <c r="BC532" s="145"/>
      <c r="BD532" s="145"/>
      <c r="BF532" s="5">
        <v>510</v>
      </c>
      <c r="BG532" s="413" t="s">
        <v>718</v>
      </c>
      <c r="BH532" s="145"/>
      <c r="BI532" s="146"/>
      <c r="BJ532" s="145"/>
      <c r="BK532" s="145"/>
      <c r="BM532" s="5">
        <v>510</v>
      </c>
      <c r="BN532" s="413" t="s">
        <v>718</v>
      </c>
      <c r="BO532" s="145"/>
      <c r="BP532" s="146"/>
      <c r="BQ532" s="145"/>
      <c r="BR532" s="145"/>
      <c r="BS532" s="5"/>
      <c r="BT532" s="5">
        <v>510</v>
      </c>
      <c r="BU532" s="413" t="s">
        <v>718</v>
      </c>
      <c r="BV532" s="145"/>
      <c r="BW532" s="146"/>
      <c r="BX532" s="145"/>
      <c r="BY532" s="145"/>
      <c r="BZ532" s="5"/>
      <c r="CA532" s="5">
        <v>510</v>
      </c>
      <c r="CB532" s="413" t="s">
        <v>718</v>
      </c>
      <c r="CC532" s="145"/>
      <c r="CD532" s="146"/>
      <c r="CE532" s="145"/>
      <c r="CF532" s="145"/>
      <c r="CG532" s="5"/>
      <c r="CH532" s="5"/>
      <c r="CI532" s="5"/>
    </row>
    <row r="533" spans="13:87" x14ac:dyDescent="0.2">
      <c r="M533" s="5">
        <v>511</v>
      </c>
      <c r="N533" s="413" t="str">
        <f t="shared" si="42"/>
        <v xml:space="preserve"> </v>
      </c>
      <c r="O533" s="414">
        <f t="shared" si="43"/>
        <v>0</v>
      </c>
      <c r="P533" s="414">
        <f t="shared" si="44"/>
        <v>0</v>
      </c>
      <c r="Q533" s="145">
        <f t="shared" si="47"/>
        <v>-8</v>
      </c>
      <c r="R533" s="414">
        <f t="shared" si="45"/>
        <v>0</v>
      </c>
      <c r="S533" s="414">
        <f t="shared" si="46"/>
        <v>0</v>
      </c>
      <c r="T533" s="19"/>
      <c r="U533" s="5"/>
      <c r="V533" s="5"/>
      <c r="W533" s="5">
        <v>511</v>
      </c>
      <c r="X533" s="144" t="s">
        <v>718</v>
      </c>
      <c r="Y533" s="145"/>
      <c r="Z533" s="146"/>
      <c r="AA533" s="145"/>
      <c r="AB533" s="145"/>
      <c r="AD533" s="5">
        <v>511</v>
      </c>
      <c r="AE533" s="413" t="s">
        <v>718</v>
      </c>
      <c r="AF533" s="145"/>
      <c r="AG533" s="146"/>
      <c r="AH533" s="145"/>
      <c r="AI533" s="145"/>
      <c r="AK533" s="5">
        <v>511</v>
      </c>
      <c r="AL533" s="413" t="s">
        <v>718</v>
      </c>
      <c r="AM533" s="145"/>
      <c r="AN533" s="146"/>
      <c r="AO533" s="145"/>
      <c r="AP533" s="145"/>
      <c r="AR533" s="5">
        <v>511</v>
      </c>
      <c r="AS533" s="413" t="s">
        <v>3548</v>
      </c>
      <c r="AT533" s="145">
        <v>217</v>
      </c>
      <c r="AU533" s="146">
        <v>3.15</v>
      </c>
      <c r="AV533" s="145">
        <v>3691</v>
      </c>
      <c r="AW533" s="145">
        <v>-13</v>
      </c>
      <c r="AY533" s="5">
        <v>511</v>
      </c>
      <c r="AZ533" s="413" t="s">
        <v>718</v>
      </c>
      <c r="BA533" s="145"/>
      <c r="BB533" s="146"/>
      <c r="BC533" s="145"/>
      <c r="BD533" s="145"/>
      <c r="BF533" s="5">
        <v>511</v>
      </c>
      <c r="BG533" s="413" t="s">
        <v>718</v>
      </c>
      <c r="BH533" s="145"/>
      <c r="BI533" s="146"/>
      <c r="BJ533" s="145"/>
      <c r="BK533" s="145"/>
      <c r="BM533" s="5">
        <v>511</v>
      </c>
      <c r="BN533" s="413" t="s">
        <v>718</v>
      </c>
      <c r="BO533" s="145"/>
      <c r="BP533" s="146"/>
      <c r="BQ533" s="145"/>
      <c r="BR533" s="145"/>
      <c r="BS533" s="5"/>
      <c r="BT533" s="5">
        <v>511</v>
      </c>
      <c r="BU533" s="413" t="s">
        <v>718</v>
      </c>
      <c r="BV533" s="145"/>
      <c r="BW533" s="146"/>
      <c r="BX533" s="145"/>
      <c r="BY533" s="145"/>
      <c r="BZ533" s="5"/>
      <c r="CA533" s="5">
        <v>511</v>
      </c>
      <c r="CB533" s="413" t="s">
        <v>718</v>
      </c>
      <c r="CC533" s="145"/>
      <c r="CD533" s="146"/>
      <c r="CE533" s="145"/>
      <c r="CF533" s="145"/>
      <c r="CG533" s="5"/>
      <c r="CH533" s="5"/>
      <c r="CI533" s="5"/>
    </row>
    <row r="534" spans="13:87" x14ac:dyDescent="0.2">
      <c r="M534" s="5">
        <v>512</v>
      </c>
      <c r="N534" s="413" t="str">
        <f t="shared" si="42"/>
        <v xml:space="preserve"> </v>
      </c>
      <c r="O534" s="414">
        <f t="shared" si="43"/>
        <v>0</v>
      </c>
      <c r="P534" s="414">
        <f t="shared" si="44"/>
        <v>0</v>
      </c>
      <c r="Q534" s="145">
        <f t="shared" si="47"/>
        <v>-8</v>
      </c>
      <c r="R534" s="414">
        <f t="shared" si="45"/>
        <v>0</v>
      </c>
      <c r="S534" s="414">
        <f t="shared" si="46"/>
        <v>0</v>
      </c>
      <c r="T534" s="19"/>
      <c r="U534" s="5"/>
      <c r="V534" s="5"/>
      <c r="W534" s="5">
        <v>512</v>
      </c>
      <c r="X534" s="144" t="s">
        <v>718</v>
      </c>
      <c r="Y534" s="145"/>
      <c r="Z534" s="146"/>
      <c r="AA534" s="145"/>
      <c r="AB534" s="145"/>
      <c r="AD534" s="5">
        <v>512</v>
      </c>
      <c r="AE534" s="413" t="s">
        <v>718</v>
      </c>
      <c r="AF534" s="145"/>
      <c r="AG534" s="146"/>
      <c r="AH534" s="145"/>
      <c r="AI534" s="145"/>
      <c r="AK534" s="5">
        <v>512</v>
      </c>
      <c r="AL534" s="413" t="s">
        <v>718</v>
      </c>
      <c r="AM534" s="145"/>
      <c r="AN534" s="146"/>
      <c r="AO534" s="145"/>
      <c r="AP534" s="145"/>
      <c r="AR534" s="5">
        <v>512</v>
      </c>
      <c r="AS534" s="413" t="s">
        <v>3549</v>
      </c>
      <c r="AT534" s="145">
        <v>165</v>
      </c>
      <c r="AU534" s="146">
        <v>3.66</v>
      </c>
      <c r="AV534" s="145">
        <v>3447</v>
      </c>
      <c r="AW534" s="145">
        <v>-14</v>
      </c>
      <c r="AY534" s="5">
        <v>512</v>
      </c>
      <c r="AZ534" s="413" t="s">
        <v>718</v>
      </c>
      <c r="BA534" s="145"/>
      <c r="BB534" s="146"/>
      <c r="BC534" s="145"/>
      <c r="BD534" s="145"/>
      <c r="BF534" s="5">
        <v>512</v>
      </c>
      <c r="BG534" s="413" t="s">
        <v>718</v>
      </c>
      <c r="BH534" s="145"/>
      <c r="BI534" s="146"/>
      <c r="BJ534" s="145"/>
      <c r="BK534" s="145"/>
      <c r="BM534" s="5">
        <v>512</v>
      </c>
      <c r="BN534" s="413" t="s">
        <v>718</v>
      </c>
      <c r="BO534" s="145"/>
      <c r="BP534" s="146"/>
      <c r="BQ534" s="145"/>
      <c r="BR534" s="145"/>
      <c r="BS534" s="5"/>
      <c r="BT534" s="5">
        <v>512</v>
      </c>
      <c r="BU534" s="413" t="s">
        <v>718</v>
      </c>
      <c r="BV534" s="145"/>
      <c r="BW534" s="146"/>
      <c r="BX534" s="145"/>
      <c r="BY534" s="145"/>
      <c r="BZ534" s="5"/>
      <c r="CA534" s="5">
        <v>512</v>
      </c>
      <c r="CB534" s="413" t="s">
        <v>718</v>
      </c>
      <c r="CC534" s="145"/>
      <c r="CD534" s="146"/>
      <c r="CE534" s="145"/>
      <c r="CF534" s="145"/>
      <c r="CG534" s="5"/>
      <c r="CH534" s="5"/>
      <c r="CI534" s="5"/>
    </row>
    <row r="535" spans="13:87" x14ac:dyDescent="0.2">
      <c r="M535" s="5">
        <v>513</v>
      </c>
      <c r="N535" s="413" t="str">
        <f t="shared" ref="N535:N598" si="48">INDEX(X$23:CG$723,$M535,(Bundesland-1)*7+1)</f>
        <v xml:space="preserve"> </v>
      </c>
      <c r="O535" s="414">
        <f t="shared" ref="O535:O598" si="49">INDEX(Y$23:CH$723,$M535,(Bundesland-1)*7+1)</f>
        <v>0</v>
      </c>
      <c r="P535" s="414">
        <f t="shared" ref="P535:P598" si="50">INDEX(Z$23:CI$723,$M535,(Bundesland-1)*7+1)</f>
        <v>0</v>
      </c>
      <c r="Q535" s="145">
        <f t="shared" si="47"/>
        <v>-8</v>
      </c>
      <c r="R535" s="414">
        <f t="shared" ref="R535:R598" si="51">INDEX(AA$23:CK$723,$M535,(Bundesland-1)*7+1)</f>
        <v>0</v>
      </c>
      <c r="S535" s="414">
        <f t="shared" ref="S535:S598" si="52">INDEX(AB$23:CL$723,$M535,(Bundesland-1)*7+1)</f>
        <v>0</v>
      </c>
      <c r="T535" s="19"/>
      <c r="U535" s="5"/>
      <c r="V535" s="5"/>
      <c r="W535" s="5">
        <v>513</v>
      </c>
      <c r="X535" s="144" t="s">
        <v>718</v>
      </c>
      <c r="Y535" s="145"/>
      <c r="Z535" s="146"/>
      <c r="AA535" s="145"/>
      <c r="AB535" s="145"/>
      <c r="AD535" s="5">
        <v>513</v>
      </c>
      <c r="AE535" s="413" t="s">
        <v>718</v>
      </c>
      <c r="AF535" s="145"/>
      <c r="AG535" s="146"/>
      <c r="AH535" s="145"/>
      <c r="AI535" s="145"/>
      <c r="AK535" s="5">
        <v>513</v>
      </c>
      <c r="AL535" s="413" t="s">
        <v>718</v>
      </c>
      <c r="AM535" s="145"/>
      <c r="AN535" s="146"/>
      <c r="AO535" s="145"/>
      <c r="AP535" s="145"/>
      <c r="AR535" s="5">
        <v>513</v>
      </c>
      <c r="AS535" s="413" t="s">
        <v>3550</v>
      </c>
      <c r="AT535" s="145">
        <v>359</v>
      </c>
      <c r="AU535" s="146">
        <v>2.89</v>
      </c>
      <c r="AV535" s="145">
        <v>3884</v>
      </c>
      <c r="AW535" s="145">
        <v>-15</v>
      </c>
      <c r="AY535" s="5">
        <v>513</v>
      </c>
      <c r="AZ535" s="413" t="s">
        <v>718</v>
      </c>
      <c r="BA535" s="145"/>
      <c r="BB535" s="146"/>
      <c r="BC535" s="145"/>
      <c r="BD535" s="145"/>
      <c r="BF535" s="5">
        <v>513</v>
      </c>
      <c r="BG535" s="413" t="s">
        <v>718</v>
      </c>
      <c r="BH535" s="145"/>
      <c r="BI535" s="146"/>
      <c r="BJ535" s="145"/>
      <c r="BK535" s="145"/>
      <c r="BM535" s="5">
        <v>513</v>
      </c>
      <c r="BN535" s="413" t="s">
        <v>718</v>
      </c>
      <c r="BO535" s="145"/>
      <c r="BP535" s="146"/>
      <c r="BQ535" s="145"/>
      <c r="BR535" s="145"/>
      <c r="BS535" s="5"/>
      <c r="BT535" s="5">
        <v>513</v>
      </c>
      <c r="BU535" s="413" t="s">
        <v>718</v>
      </c>
      <c r="BV535" s="145"/>
      <c r="BW535" s="146"/>
      <c r="BX535" s="145"/>
      <c r="BY535" s="145"/>
      <c r="BZ535" s="5"/>
      <c r="CA535" s="5">
        <v>513</v>
      </c>
      <c r="CB535" s="413" t="s">
        <v>718</v>
      </c>
      <c r="CC535" s="145"/>
      <c r="CD535" s="146"/>
      <c r="CE535" s="145"/>
      <c r="CF535" s="145"/>
      <c r="CG535" s="5"/>
      <c r="CH535" s="5"/>
      <c r="CI535" s="5"/>
    </row>
    <row r="536" spans="13:87" x14ac:dyDescent="0.2">
      <c r="M536" s="5">
        <v>514</v>
      </c>
      <c r="N536" s="413" t="str">
        <f t="shared" si="48"/>
        <v xml:space="preserve"> </v>
      </c>
      <c r="O536" s="414">
        <f t="shared" si="49"/>
        <v>0</v>
      </c>
      <c r="P536" s="414">
        <f t="shared" si="50"/>
        <v>0</v>
      </c>
      <c r="Q536" s="145">
        <f t="shared" ref="Q536:Q599" si="53">MIN(S536+Zuschlag_A,-8)</f>
        <v>-8</v>
      </c>
      <c r="R536" s="414">
        <f t="shared" si="51"/>
        <v>0</v>
      </c>
      <c r="S536" s="414">
        <f t="shared" si="52"/>
        <v>0</v>
      </c>
      <c r="T536" s="19"/>
      <c r="U536" s="5"/>
      <c r="V536" s="5"/>
      <c r="W536" s="5">
        <v>514</v>
      </c>
      <c r="X536" s="144" t="s">
        <v>718</v>
      </c>
      <c r="Y536" s="145"/>
      <c r="Z536" s="146"/>
      <c r="AA536" s="145"/>
      <c r="AB536" s="145"/>
      <c r="AD536" s="5">
        <v>514</v>
      </c>
      <c r="AE536" s="413" t="s">
        <v>718</v>
      </c>
      <c r="AF536" s="145"/>
      <c r="AG536" s="146"/>
      <c r="AH536" s="145"/>
      <c r="AI536" s="145"/>
      <c r="AK536" s="5">
        <v>514</v>
      </c>
      <c r="AL536" s="413" t="s">
        <v>718</v>
      </c>
      <c r="AM536" s="145"/>
      <c r="AN536" s="146"/>
      <c r="AO536" s="145"/>
      <c r="AP536" s="145"/>
      <c r="AR536" s="5">
        <v>514</v>
      </c>
      <c r="AS536" s="413" t="s">
        <v>3551</v>
      </c>
      <c r="AT536" s="145">
        <v>206</v>
      </c>
      <c r="AU536" s="146">
        <v>3.22</v>
      </c>
      <c r="AV536" s="145">
        <v>3574</v>
      </c>
      <c r="AW536" s="145">
        <v>-14</v>
      </c>
      <c r="AY536" s="5">
        <v>514</v>
      </c>
      <c r="AZ536" s="413" t="s">
        <v>718</v>
      </c>
      <c r="BA536" s="145"/>
      <c r="BB536" s="146"/>
      <c r="BC536" s="145"/>
      <c r="BD536" s="145"/>
      <c r="BF536" s="5">
        <v>514</v>
      </c>
      <c r="BG536" s="413" t="s">
        <v>718</v>
      </c>
      <c r="BH536" s="145"/>
      <c r="BI536" s="146"/>
      <c r="BJ536" s="145"/>
      <c r="BK536" s="145"/>
      <c r="BM536" s="5">
        <v>514</v>
      </c>
      <c r="BN536" s="413" t="s">
        <v>718</v>
      </c>
      <c r="BO536" s="145"/>
      <c r="BP536" s="146"/>
      <c r="BQ536" s="145"/>
      <c r="BR536" s="145"/>
      <c r="BS536" s="5"/>
      <c r="BT536" s="5">
        <v>514</v>
      </c>
      <c r="BU536" s="413" t="s">
        <v>718</v>
      </c>
      <c r="BV536" s="145"/>
      <c r="BW536" s="146"/>
      <c r="BX536" s="145"/>
      <c r="BY536" s="145"/>
      <c r="BZ536" s="5"/>
      <c r="CA536" s="5">
        <v>514</v>
      </c>
      <c r="CB536" s="413" t="s">
        <v>718</v>
      </c>
      <c r="CC536" s="145"/>
      <c r="CD536" s="146"/>
      <c r="CE536" s="145"/>
      <c r="CF536" s="145"/>
      <c r="CG536" s="5"/>
      <c r="CH536" s="5"/>
      <c r="CI536" s="5"/>
    </row>
    <row r="537" spans="13:87" x14ac:dyDescent="0.2">
      <c r="M537" s="5">
        <v>515</v>
      </c>
      <c r="N537" s="413" t="str">
        <f t="shared" si="48"/>
        <v xml:space="preserve"> </v>
      </c>
      <c r="O537" s="414">
        <f t="shared" si="49"/>
        <v>0</v>
      </c>
      <c r="P537" s="414">
        <f t="shared" si="50"/>
        <v>0</v>
      </c>
      <c r="Q537" s="145">
        <f t="shared" si="53"/>
        <v>-8</v>
      </c>
      <c r="R537" s="414">
        <f t="shared" si="51"/>
        <v>0</v>
      </c>
      <c r="S537" s="414">
        <f t="shared" si="52"/>
        <v>0</v>
      </c>
      <c r="T537" s="19"/>
      <c r="U537" s="5"/>
      <c r="V537" s="5"/>
      <c r="W537" s="5">
        <v>515</v>
      </c>
      <c r="X537" s="144" t="s">
        <v>718</v>
      </c>
      <c r="Y537" s="145"/>
      <c r="Z537" s="146"/>
      <c r="AA537" s="145"/>
      <c r="AB537" s="145"/>
      <c r="AD537" s="5">
        <v>515</v>
      </c>
      <c r="AE537" s="413" t="s">
        <v>718</v>
      </c>
      <c r="AF537" s="145"/>
      <c r="AG537" s="146"/>
      <c r="AH537" s="145"/>
      <c r="AI537" s="145"/>
      <c r="AK537" s="5">
        <v>515</v>
      </c>
      <c r="AL537" s="413" t="s">
        <v>718</v>
      </c>
      <c r="AM537" s="145"/>
      <c r="AN537" s="146"/>
      <c r="AO537" s="145"/>
      <c r="AP537" s="145"/>
      <c r="AR537" s="5">
        <v>515</v>
      </c>
      <c r="AS537" s="413" t="s">
        <v>3552</v>
      </c>
      <c r="AT537" s="145">
        <v>430</v>
      </c>
      <c r="AU537" s="146">
        <v>3.15</v>
      </c>
      <c r="AV537" s="145">
        <v>3910</v>
      </c>
      <c r="AW537" s="145">
        <v>-14</v>
      </c>
      <c r="AY537" s="5">
        <v>515</v>
      </c>
      <c r="AZ537" s="413" t="s">
        <v>718</v>
      </c>
      <c r="BA537" s="145"/>
      <c r="BB537" s="146"/>
      <c r="BC537" s="145"/>
      <c r="BD537" s="145"/>
      <c r="BF537" s="5">
        <v>515</v>
      </c>
      <c r="BG537" s="413" t="s">
        <v>718</v>
      </c>
      <c r="BH537" s="145"/>
      <c r="BI537" s="146"/>
      <c r="BJ537" s="145"/>
      <c r="BK537" s="145"/>
      <c r="BM537" s="5">
        <v>515</v>
      </c>
      <c r="BN537" s="413" t="s">
        <v>718</v>
      </c>
      <c r="BO537" s="145"/>
      <c r="BP537" s="146"/>
      <c r="BQ537" s="145"/>
      <c r="BR537" s="145"/>
      <c r="BS537" s="5"/>
      <c r="BT537" s="5">
        <v>515</v>
      </c>
      <c r="BU537" s="413" t="s">
        <v>718</v>
      </c>
      <c r="BV537" s="145"/>
      <c r="BW537" s="146"/>
      <c r="BX537" s="145"/>
      <c r="BY537" s="145"/>
      <c r="BZ537" s="5"/>
      <c r="CA537" s="5">
        <v>515</v>
      </c>
      <c r="CB537" s="413" t="s">
        <v>718</v>
      </c>
      <c r="CC537" s="145"/>
      <c r="CD537" s="146"/>
      <c r="CE537" s="145"/>
      <c r="CF537" s="145"/>
      <c r="CG537" s="5"/>
      <c r="CH537" s="5"/>
      <c r="CI537" s="5"/>
    </row>
    <row r="538" spans="13:87" x14ac:dyDescent="0.2">
      <c r="M538" s="5">
        <v>516</v>
      </c>
      <c r="N538" s="413" t="str">
        <f t="shared" si="48"/>
        <v xml:space="preserve"> </v>
      </c>
      <c r="O538" s="414">
        <f t="shared" si="49"/>
        <v>0</v>
      </c>
      <c r="P538" s="414">
        <f t="shared" si="50"/>
        <v>0</v>
      </c>
      <c r="Q538" s="145">
        <f t="shared" si="53"/>
        <v>-8</v>
      </c>
      <c r="R538" s="414">
        <f t="shared" si="51"/>
        <v>0</v>
      </c>
      <c r="S538" s="414">
        <f t="shared" si="52"/>
        <v>0</v>
      </c>
      <c r="T538" s="19"/>
      <c r="U538" s="5"/>
      <c r="V538" s="5"/>
      <c r="W538" s="5">
        <v>516</v>
      </c>
      <c r="X538" s="144" t="s">
        <v>718</v>
      </c>
      <c r="Y538" s="145"/>
      <c r="Z538" s="146"/>
      <c r="AA538" s="145"/>
      <c r="AB538" s="145"/>
      <c r="AD538" s="5">
        <v>516</v>
      </c>
      <c r="AE538" s="413" t="s">
        <v>718</v>
      </c>
      <c r="AF538" s="145"/>
      <c r="AG538" s="146"/>
      <c r="AH538" s="145"/>
      <c r="AI538" s="145"/>
      <c r="AK538" s="5">
        <v>516</v>
      </c>
      <c r="AL538" s="413" t="s">
        <v>718</v>
      </c>
      <c r="AM538" s="145"/>
      <c r="AN538" s="146"/>
      <c r="AO538" s="145"/>
      <c r="AP538" s="145"/>
      <c r="AR538" s="5">
        <v>516</v>
      </c>
      <c r="AS538" s="413" t="s">
        <v>3553</v>
      </c>
      <c r="AT538" s="145">
        <v>227</v>
      </c>
      <c r="AU538" s="146">
        <v>3.56</v>
      </c>
      <c r="AV538" s="145">
        <v>3403</v>
      </c>
      <c r="AW538" s="145">
        <v>-13</v>
      </c>
      <c r="AY538" s="5">
        <v>516</v>
      </c>
      <c r="AZ538" s="413" t="s">
        <v>718</v>
      </c>
      <c r="BA538" s="145"/>
      <c r="BB538" s="146"/>
      <c r="BC538" s="145"/>
      <c r="BD538" s="145"/>
      <c r="BF538" s="5">
        <v>516</v>
      </c>
      <c r="BG538" s="413" t="s">
        <v>718</v>
      </c>
      <c r="BH538" s="145"/>
      <c r="BI538" s="146"/>
      <c r="BJ538" s="145"/>
      <c r="BK538" s="145"/>
      <c r="BM538" s="5">
        <v>516</v>
      </c>
      <c r="BN538" s="413" t="s">
        <v>718</v>
      </c>
      <c r="BO538" s="145"/>
      <c r="BP538" s="146"/>
      <c r="BQ538" s="145"/>
      <c r="BR538" s="145"/>
      <c r="BS538" s="5"/>
      <c r="BT538" s="5">
        <v>516</v>
      </c>
      <c r="BU538" s="413" t="s">
        <v>718</v>
      </c>
      <c r="BV538" s="145"/>
      <c r="BW538" s="146"/>
      <c r="BX538" s="145"/>
      <c r="BY538" s="145"/>
      <c r="BZ538" s="5"/>
      <c r="CA538" s="5">
        <v>516</v>
      </c>
      <c r="CB538" s="413" t="s">
        <v>718</v>
      </c>
      <c r="CC538" s="145"/>
      <c r="CD538" s="146"/>
      <c r="CE538" s="145"/>
      <c r="CF538" s="145"/>
      <c r="CG538" s="5"/>
      <c r="CH538" s="5"/>
      <c r="CI538" s="5"/>
    </row>
    <row r="539" spans="13:87" x14ac:dyDescent="0.2">
      <c r="M539" s="5">
        <v>517</v>
      </c>
      <c r="N539" s="413" t="str">
        <f t="shared" si="48"/>
        <v xml:space="preserve"> </v>
      </c>
      <c r="O539" s="414">
        <f t="shared" si="49"/>
        <v>0</v>
      </c>
      <c r="P539" s="414">
        <f t="shared" si="50"/>
        <v>0</v>
      </c>
      <c r="Q539" s="145">
        <f t="shared" si="53"/>
        <v>-8</v>
      </c>
      <c r="R539" s="414">
        <f t="shared" si="51"/>
        <v>0</v>
      </c>
      <c r="S539" s="414">
        <f t="shared" si="52"/>
        <v>0</v>
      </c>
      <c r="T539" s="19"/>
      <c r="U539" s="5"/>
      <c r="V539" s="5"/>
      <c r="W539" s="5">
        <v>517</v>
      </c>
      <c r="X539" s="144" t="s">
        <v>718</v>
      </c>
      <c r="Y539" s="145"/>
      <c r="Z539" s="146"/>
      <c r="AA539" s="145"/>
      <c r="AB539" s="145"/>
      <c r="AD539" s="5">
        <v>517</v>
      </c>
      <c r="AE539" s="413" t="s">
        <v>718</v>
      </c>
      <c r="AF539" s="145"/>
      <c r="AG539" s="146"/>
      <c r="AH539" s="145"/>
      <c r="AI539" s="145"/>
      <c r="AK539" s="5">
        <v>517</v>
      </c>
      <c r="AL539" s="413" t="s">
        <v>718</v>
      </c>
      <c r="AM539" s="145"/>
      <c r="AN539" s="146"/>
      <c r="AO539" s="145"/>
      <c r="AP539" s="145"/>
      <c r="AR539" s="5">
        <v>517</v>
      </c>
      <c r="AS539" s="413" t="s">
        <v>3554</v>
      </c>
      <c r="AT539" s="145">
        <v>235</v>
      </c>
      <c r="AU539" s="146">
        <v>3.6</v>
      </c>
      <c r="AV539" s="145">
        <v>3412</v>
      </c>
      <c r="AW539" s="145">
        <v>-13</v>
      </c>
      <c r="AY539" s="5">
        <v>517</v>
      </c>
      <c r="AZ539" s="413" t="s">
        <v>718</v>
      </c>
      <c r="BA539" s="145"/>
      <c r="BB539" s="146"/>
      <c r="BC539" s="145"/>
      <c r="BD539" s="145"/>
      <c r="BF539" s="5">
        <v>517</v>
      </c>
      <c r="BG539" s="413" t="s">
        <v>718</v>
      </c>
      <c r="BH539" s="145"/>
      <c r="BI539" s="146"/>
      <c r="BJ539" s="145"/>
      <c r="BK539" s="145"/>
      <c r="BM539" s="5">
        <v>517</v>
      </c>
      <c r="BN539" s="413" t="s">
        <v>718</v>
      </c>
      <c r="BO539" s="145"/>
      <c r="BP539" s="146"/>
      <c r="BQ539" s="145"/>
      <c r="BR539" s="145"/>
      <c r="BS539" s="5"/>
      <c r="BT539" s="5">
        <v>517</v>
      </c>
      <c r="BU539" s="413" t="s">
        <v>718</v>
      </c>
      <c r="BV539" s="145"/>
      <c r="BW539" s="146"/>
      <c r="BX539" s="145"/>
      <c r="BY539" s="145"/>
      <c r="BZ539" s="5"/>
      <c r="CA539" s="5">
        <v>517</v>
      </c>
      <c r="CB539" s="413" t="s">
        <v>718</v>
      </c>
      <c r="CC539" s="145"/>
      <c r="CD539" s="146"/>
      <c r="CE539" s="145"/>
      <c r="CF539" s="145"/>
      <c r="CG539" s="5"/>
      <c r="CH539" s="5"/>
      <c r="CI539" s="5"/>
    </row>
    <row r="540" spans="13:87" x14ac:dyDescent="0.2">
      <c r="M540" s="5">
        <v>518</v>
      </c>
      <c r="N540" s="413" t="str">
        <f t="shared" si="48"/>
        <v xml:space="preserve"> </v>
      </c>
      <c r="O540" s="414">
        <f t="shared" si="49"/>
        <v>0</v>
      </c>
      <c r="P540" s="414">
        <f t="shared" si="50"/>
        <v>0</v>
      </c>
      <c r="Q540" s="145">
        <f t="shared" si="53"/>
        <v>-8</v>
      </c>
      <c r="R540" s="414">
        <f t="shared" si="51"/>
        <v>0</v>
      </c>
      <c r="S540" s="414">
        <f t="shared" si="52"/>
        <v>0</v>
      </c>
      <c r="T540" s="19"/>
      <c r="U540" s="5"/>
      <c r="V540" s="5"/>
      <c r="W540" s="5">
        <v>518</v>
      </c>
      <c r="X540" s="144" t="s">
        <v>718</v>
      </c>
      <c r="Y540" s="145"/>
      <c r="Z540" s="146"/>
      <c r="AA540" s="145"/>
      <c r="AB540" s="145"/>
      <c r="AD540" s="5">
        <v>518</v>
      </c>
      <c r="AE540" s="413" t="s">
        <v>718</v>
      </c>
      <c r="AF540" s="145"/>
      <c r="AG540" s="146"/>
      <c r="AH540" s="145"/>
      <c r="AI540" s="145"/>
      <c r="AK540" s="5">
        <v>518</v>
      </c>
      <c r="AL540" s="413" t="s">
        <v>718</v>
      </c>
      <c r="AM540" s="145"/>
      <c r="AN540" s="146"/>
      <c r="AO540" s="145"/>
      <c r="AP540" s="145"/>
      <c r="AR540" s="5">
        <v>518</v>
      </c>
      <c r="AS540" s="413" t="s">
        <v>3555</v>
      </c>
      <c r="AT540" s="145">
        <v>398</v>
      </c>
      <c r="AU540" s="146">
        <v>3.46</v>
      </c>
      <c r="AV540" s="145">
        <v>3622</v>
      </c>
      <c r="AW540" s="145">
        <v>-14</v>
      </c>
      <c r="AY540" s="5">
        <v>518</v>
      </c>
      <c r="AZ540" s="413" t="s">
        <v>718</v>
      </c>
      <c r="BA540" s="145"/>
      <c r="BB540" s="146"/>
      <c r="BC540" s="145"/>
      <c r="BD540" s="145"/>
      <c r="BF540" s="5">
        <v>518</v>
      </c>
      <c r="BG540" s="413" t="s">
        <v>718</v>
      </c>
      <c r="BH540" s="145"/>
      <c r="BI540" s="146"/>
      <c r="BJ540" s="145"/>
      <c r="BK540" s="145"/>
      <c r="BM540" s="5">
        <v>518</v>
      </c>
      <c r="BN540" s="413" t="s">
        <v>718</v>
      </c>
      <c r="BO540" s="145"/>
      <c r="BP540" s="146"/>
      <c r="BQ540" s="145"/>
      <c r="BR540" s="145"/>
      <c r="BS540" s="5"/>
      <c r="BT540" s="5">
        <v>518</v>
      </c>
      <c r="BU540" s="413" t="s">
        <v>718</v>
      </c>
      <c r="BV540" s="145"/>
      <c r="BW540" s="146"/>
      <c r="BX540" s="145"/>
      <c r="BY540" s="145"/>
      <c r="BZ540" s="5"/>
      <c r="CA540" s="5">
        <v>518</v>
      </c>
      <c r="CB540" s="413" t="s">
        <v>718</v>
      </c>
      <c r="CC540" s="145"/>
      <c r="CD540" s="146"/>
      <c r="CE540" s="145"/>
      <c r="CF540" s="145"/>
      <c r="CG540" s="5"/>
      <c r="CH540" s="5"/>
      <c r="CI540" s="5"/>
    </row>
    <row r="541" spans="13:87" x14ac:dyDescent="0.2">
      <c r="M541" s="5">
        <v>519</v>
      </c>
      <c r="N541" s="413" t="str">
        <f t="shared" si="48"/>
        <v xml:space="preserve"> </v>
      </c>
      <c r="O541" s="414">
        <f t="shared" si="49"/>
        <v>0</v>
      </c>
      <c r="P541" s="414">
        <f t="shared" si="50"/>
        <v>0</v>
      </c>
      <c r="Q541" s="145">
        <f t="shared" si="53"/>
        <v>-8</v>
      </c>
      <c r="R541" s="414">
        <f t="shared" si="51"/>
        <v>0</v>
      </c>
      <c r="S541" s="414">
        <f t="shared" si="52"/>
        <v>0</v>
      </c>
      <c r="T541" s="19"/>
      <c r="U541" s="5"/>
      <c r="V541" s="5"/>
      <c r="W541" s="5">
        <v>519</v>
      </c>
      <c r="X541" s="144" t="s">
        <v>718</v>
      </c>
      <c r="Y541" s="145"/>
      <c r="Z541" s="146"/>
      <c r="AA541" s="145"/>
      <c r="AB541" s="145"/>
      <c r="AD541" s="5">
        <v>519</v>
      </c>
      <c r="AE541" s="413" t="s">
        <v>718</v>
      </c>
      <c r="AF541" s="145"/>
      <c r="AG541" s="146"/>
      <c r="AH541" s="145"/>
      <c r="AI541" s="145"/>
      <c r="AK541" s="5">
        <v>519</v>
      </c>
      <c r="AL541" s="413" t="s">
        <v>718</v>
      </c>
      <c r="AM541" s="145"/>
      <c r="AN541" s="146"/>
      <c r="AO541" s="145"/>
      <c r="AP541" s="145"/>
      <c r="AR541" s="5">
        <v>519</v>
      </c>
      <c r="AS541" s="413" t="s">
        <v>3556</v>
      </c>
      <c r="AT541" s="145">
        <v>375</v>
      </c>
      <c r="AU541" s="146">
        <v>3.08</v>
      </c>
      <c r="AV541" s="145">
        <v>3943</v>
      </c>
      <c r="AW541" s="145">
        <v>-15</v>
      </c>
      <c r="AY541" s="5">
        <v>519</v>
      </c>
      <c r="AZ541" s="413" t="s">
        <v>718</v>
      </c>
      <c r="BA541" s="145"/>
      <c r="BB541" s="146"/>
      <c r="BC541" s="145"/>
      <c r="BD541" s="145"/>
      <c r="BF541" s="5">
        <v>519</v>
      </c>
      <c r="BG541" s="413" t="s">
        <v>718</v>
      </c>
      <c r="BH541" s="145"/>
      <c r="BI541" s="146"/>
      <c r="BJ541" s="145"/>
      <c r="BK541" s="145"/>
      <c r="BM541" s="5">
        <v>519</v>
      </c>
      <c r="BN541" s="413" t="s">
        <v>718</v>
      </c>
      <c r="BO541" s="145"/>
      <c r="BP541" s="146"/>
      <c r="BQ541" s="145"/>
      <c r="BR541" s="145"/>
      <c r="BS541" s="5"/>
      <c r="BT541" s="5">
        <v>519</v>
      </c>
      <c r="BU541" s="413" t="s">
        <v>718</v>
      </c>
      <c r="BV541" s="145"/>
      <c r="BW541" s="146"/>
      <c r="BX541" s="145"/>
      <c r="BY541" s="145"/>
      <c r="BZ541" s="5"/>
      <c r="CA541" s="5">
        <v>519</v>
      </c>
      <c r="CB541" s="413" t="s">
        <v>718</v>
      </c>
      <c r="CC541" s="145"/>
      <c r="CD541" s="146"/>
      <c r="CE541" s="145"/>
      <c r="CF541" s="145"/>
      <c r="CG541" s="5"/>
      <c r="CH541" s="5"/>
      <c r="CI541" s="5"/>
    </row>
    <row r="542" spans="13:87" x14ac:dyDescent="0.2">
      <c r="M542" s="5">
        <v>520</v>
      </c>
      <c r="N542" s="413" t="str">
        <f t="shared" si="48"/>
        <v xml:space="preserve"> </v>
      </c>
      <c r="O542" s="414">
        <f t="shared" si="49"/>
        <v>0</v>
      </c>
      <c r="P542" s="414">
        <f t="shared" si="50"/>
        <v>0</v>
      </c>
      <c r="Q542" s="145">
        <f t="shared" si="53"/>
        <v>-8</v>
      </c>
      <c r="R542" s="414">
        <f t="shared" si="51"/>
        <v>0</v>
      </c>
      <c r="S542" s="414">
        <f t="shared" si="52"/>
        <v>0</v>
      </c>
      <c r="T542" s="19"/>
      <c r="U542" s="5"/>
      <c r="V542" s="5"/>
      <c r="W542" s="5">
        <v>520</v>
      </c>
      <c r="X542" s="144" t="s">
        <v>718</v>
      </c>
      <c r="Y542" s="145"/>
      <c r="Z542" s="146"/>
      <c r="AA542" s="145"/>
      <c r="AB542" s="145"/>
      <c r="AD542" s="5">
        <v>520</v>
      </c>
      <c r="AE542" s="413" t="s">
        <v>718</v>
      </c>
      <c r="AF542" s="145"/>
      <c r="AG542" s="146"/>
      <c r="AH542" s="145"/>
      <c r="AI542" s="145"/>
      <c r="AK542" s="5">
        <v>520</v>
      </c>
      <c r="AL542" s="413" t="s">
        <v>718</v>
      </c>
      <c r="AM542" s="145"/>
      <c r="AN542" s="146"/>
      <c r="AO542" s="145"/>
      <c r="AP542" s="145"/>
      <c r="AR542" s="5">
        <v>520</v>
      </c>
      <c r="AS542" s="413" t="s">
        <v>3557</v>
      </c>
      <c r="AT542" s="145">
        <v>486</v>
      </c>
      <c r="AU542" s="146">
        <v>2.65</v>
      </c>
      <c r="AV542" s="145">
        <v>4198</v>
      </c>
      <c r="AW542" s="145">
        <v>-16</v>
      </c>
      <c r="AY542" s="5">
        <v>520</v>
      </c>
      <c r="AZ542" s="413" t="s">
        <v>718</v>
      </c>
      <c r="BA542" s="145"/>
      <c r="BB542" s="146"/>
      <c r="BC542" s="145"/>
      <c r="BD542" s="145"/>
      <c r="BF542" s="5">
        <v>520</v>
      </c>
      <c r="BG542" s="413" t="s">
        <v>718</v>
      </c>
      <c r="BH542" s="145"/>
      <c r="BI542" s="146"/>
      <c r="BJ542" s="145"/>
      <c r="BK542" s="145"/>
      <c r="BM542" s="5">
        <v>520</v>
      </c>
      <c r="BN542" s="413" t="s">
        <v>718</v>
      </c>
      <c r="BO542" s="145"/>
      <c r="BP542" s="146"/>
      <c r="BQ542" s="145"/>
      <c r="BR542" s="145"/>
      <c r="BS542" s="5"/>
      <c r="BT542" s="5">
        <v>520</v>
      </c>
      <c r="BU542" s="413" t="s">
        <v>718</v>
      </c>
      <c r="BV542" s="145"/>
      <c r="BW542" s="146"/>
      <c r="BX542" s="145"/>
      <c r="BY542" s="145"/>
      <c r="BZ542" s="5"/>
      <c r="CA542" s="5">
        <v>520</v>
      </c>
      <c r="CB542" s="413" t="s">
        <v>718</v>
      </c>
      <c r="CC542" s="145"/>
      <c r="CD542" s="146"/>
      <c r="CE542" s="145"/>
      <c r="CF542" s="145"/>
      <c r="CG542" s="5"/>
      <c r="CH542" s="5"/>
      <c r="CI542" s="5"/>
    </row>
    <row r="543" spans="13:87" x14ac:dyDescent="0.2">
      <c r="M543" s="5">
        <v>521</v>
      </c>
      <c r="N543" s="413" t="str">
        <f t="shared" si="48"/>
        <v xml:space="preserve"> </v>
      </c>
      <c r="O543" s="414">
        <f t="shared" si="49"/>
        <v>0</v>
      </c>
      <c r="P543" s="414">
        <f t="shared" si="50"/>
        <v>0</v>
      </c>
      <c r="Q543" s="145">
        <f t="shared" si="53"/>
        <v>-8</v>
      </c>
      <c r="R543" s="414">
        <f t="shared" si="51"/>
        <v>0</v>
      </c>
      <c r="S543" s="414">
        <f t="shared" si="52"/>
        <v>0</v>
      </c>
      <c r="T543" s="19"/>
      <c r="U543" s="5"/>
      <c r="V543" s="5"/>
      <c r="W543" s="5">
        <v>521</v>
      </c>
      <c r="X543" s="144" t="s">
        <v>718</v>
      </c>
      <c r="Y543" s="145"/>
      <c r="Z543" s="146"/>
      <c r="AA543" s="145"/>
      <c r="AB543" s="145"/>
      <c r="AD543" s="5">
        <v>521</v>
      </c>
      <c r="AE543" s="413" t="s">
        <v>718</v>
      </c>
      <c r="AF543" s="145"/>
      <c r="AG543" s="146"/>
      <c r="AH543" s="145"/>
      <c r="AI543" s="145"/>
      <c r="AK543" s="5">
        <v>521</v>
      </c>
      <c r="AL543" s="413" t="s">
        <v>718</v>
      </c>
      <c r="AM543" s="145"/>
      <c r="AN543" s="146"/>
      <c r="AO543" s="145"/>
      <c r="AP543" s="145"/>
      <c r="AR543" s="5">
        <v>521</v>
      </c>
      <c r="AS543" s="413" t="s">
        <v>3558</v>
      </c>
      <c r="AT543" s="145">
        <v>419</v>
      </c>
      <c r="AU543" s="146">
        <v>2.59</v>
      </c>
      <c r="AV543" s="145">
        <v>4109</v>
      </c>
      <c r="AW543" s="145">
        <v>-15</v>
      </c>
      <c r="AY543" s="5">
        <v>521</v>
      </c>
      <c r="AZ543" s="413" t="s">
        <v>718</v>
      </c>
      <c r="BA543" s="145"/>
      <c r="BB543" s="146"/>
      <c r="BC543" s="145"/>
      <c r="BD543" s="145"/>
      <c r="BF543" s="5">
        <v>521</v>
      </c>
      <c r="BG543" s="413" t="s">
        <v>718</v>
      </c>
      <c r="BH543" s="145"/>
      <c r="BI543" s="146"/>
      <c r="BJ543" s="145"/>
      <c r="BK543" s="145"/>
      <c r="BM543" s="5">
        <v>521</v>
      </c>
      <c r="BN543" s="413" t="s">
        <v>718</v>
      </c>
      <c r="BO543" s="145"/>
      <c r="BP543" s="146"/>
      <c r="BQ543" s="145"/>
      <c r="BR543" s="145"/>
      <c r="BS543" s="5"/>
      <c r="BT543" s="5">
        <v>521</v>
      </c>
      <c r="BU543" s="413" t="s">
        <v>718</v>
      </c>
      <c r="BV543" s="145"/>
      <c r="BW543" s="146"/>
      <c r="BX543" s="145"/>
      <c r="BY543" s="145"/>
      <c r="BZ543" s="5"/>
      <c r="CA543" s="5">
        <v>521</v>
      </c>
      <c r="CB543" s="413" t="s">
        <v>718</v>
      </c>
      <c r="CC543" s="145"/>
      <c r="CD543" s="146"/>
      <c r="CE543" s="145"/>
      <c r="CF543" s="145"/>
      <c r="CG543" s="5"/>
      <c r="CH543" s="5"/>
      <c r="CI543" s="5"/>
    </row>
    <row r="544" spans="13:87" x14ac:dyDescent="0.2">
      <c r="M544" s="5">
        <v>522</v>
      </c>
      <c r="N544" s="413" t="str">
        <f t="shared" si="48"/>
        <v xml:space="preserve"> </v>
      </c>
      <c r="O544" s="414">
        <f t="shared" si="49"/>
        <v>0</v>
      </c>
      <c r="P544" s="414">
        <f t="shared" si="50"/>
        <v>0</v>
      </c>
      <c r="Q544" s="145">
        <f t="shared" si="53"/>
        <v>-8</v>
      </c>
      <c r="R544" s="414">
        <f t="shared" si="51"/>
        <v>0</v>
      </c>
      <c r="S544" s="414">
        <f t="shared" si="52"/>
        <v>0</v>
      </c>
      <c r="T544" s="19"/>
      <c r="U544" s="5"/>
      <c r="V544" s="5"/>
      <c r="W544" s="5">
        <v>522</v>
      </c>
      <c r="X544" s="144" t="s">
        <v>718</v>
      </c>
      <c r="Y544" s="145"/>
      <c r="Z544" s="146"/>
      <c r="AA544" s="145"/>
      <c r="AB544" s="145"/>
      <c r="AD544" s="5">
        <v>522</v>
      </c>
      <c r="AE544" s="413" t="s">
        <v>718</v>
      </c>
      <c r="AF544" s="145"/>
      <c r="AG544" s="146"/>
      <c r="AH544" s="145"/>
      <c r="AI544" s="145"/>
      <c r="AK544" s="5">
        <v>522</v>
      </c>
      <c r="AL544" s="413" t="s">
        <v>718</v>
      </c>
      <c r="AM544" s="145"/>
      <c r="AN544" s="146"/>
      <c r="AO544" s="145"/>
      <c r="AP544" s="145"/>
      <c r="AR544" s="5">
        <v>522</v>
      </c>
      <c r="AS544" s="413" t="s">
        <v>3559</v>
      </c>
      <c r="AT544" s="145">
        <v>282</v>
      </c>
      <c r="AU544" s="146">
        <v>3.38</v>
      </c>
      <c r="AV544" s="145">
        <v>3540</v>
      </c>
      <c r="AW544" s="145">
        <v>-13</v>
      </c>
      <c r="AY544" s="5">
        <v>522</v>
      </c>
      <c r="AZ544" s="413" t="s">
        <v>718</v>
      </c>
      <c r="BA544" s="145"/>
      <c r="BB544" s="146"/>
      <c r="BC544" s="145"/>
      <c r="BD544" s="145"/>
      <c r="BF544" s="5">
        <v>522</v>
      </c>
      <c r="BG544" s="413" t="s">
        <v>718</v>
      </c>
      <c r="BH544" s="145"/>
      <c r="BI544" s="146"/>
      <c r="BJ544" s="145"/>
      <c r="BK544" s="145"/>
      <c r="BM544" s="5">
        <v>522</v>
      </c>
      <c r="BN544" s="413" t="s">
        <v>718</v>
      </c>
      <c r="BO544" s="145"/>
      <c r="BP544" s="146"/>
      <c r="BQ544" s="145"/>
      <c r="BR544" s="145"/>
      <c r="BS544" s="5"/>
      <c r="BT544" s="5">
        <v>522</v>
      </c>
      <c r="BU544" s="413" t="s">
        <v>718</v>
      </c>
      <c r="BV544" s="145"/>
      <c r="BW544" s="146"/>
      <c r="BX544" s="145"/>
      <c r="BY544" s="145"/>
      <c r="BZ544" s="5"/>
      <c r="CA544" s="5">
        <v>522</v>
      </c>
      <c r="CB544" s="413" t="s">
        <v>718</v>
      </c>
      <c r="CC544" s="145"/>
      <c r="CD544" s="146"/>
      <c r="CE544" s="145"/>
      <c r="CF544" s="145"/>
      <c r="CG544" s="5"/>
      <c r="CH544" s="5"/>
      <c r="CI544" s="5"/>
    </row>
    <row r="545" spans="13:87" x14ac:dyDescent="0.2">
      <c r="M545" s="5">
        <v>523</v>
      </c>
      <c r="N545" s="413" t="str">
        <f t="shared" si="48"/>
        <v xml:space="preserve"> </v>
      </c>
      <c r="O545" s="414">
        <f t="shared" si="49"/>
        <v>0</v>
      </c>
      <c r="P545" s="414">
        <f t="shared" si="50"/>
        <v>0</v>
      </c>
      <c r="Q545" s="145">
        <f t="shared" si="53"/>
        <v>-8</v>
      </c>
      <c r="R545" s="414">
        <f t="shared" si="51"/>
        <v>0</v>
      </c>
      <c r="S545" s="414">
        <f t="shared" si="52"/>
        <v>0</v>
      </c>
      <c r="T545" s="19"/>
      <c r="U545" s="5"/>
      <c r="V545" s="5"/>
      <c r="W545" s="5">
        <v>523</v>
      </c>
      <c r="X545" s="144" t="s">
        <v>718</v>
      </c>
      <c r="Y545" s="145"/>
      <c r="Z545" s="146"/>
      <c r="AA545" s="145"/>
      <c r="AB545" s="145"/>
      <c r="AD545" s="5">
        <v>523</v>
      </c>
      <c r="AE545" s="413" t="s">
        <v>718</v>
      </c>
      <c r="AF545" s="145"/>
      <c r="AG545" s="146"/>
      <c r="AH545" s="145"/>
      <c r="AI545" s="145"/>
      <c r="AK545" s="5">
        <v>523</v>
      </c>
      <c r="AL545" s="413" t="s">
        <v>718</v>
      </c>
      <c r="AM545" s="145"/>
      <c r="AN545" s="146"/>
      <c r="AO545" s="145"/>
      <c r="AP545" s="145"/>
      <c r="AR545" s="5">
        <v>523</v>
      </c>
      <c r="AS545" s="413" t="s">
        <v>3560</v>
      </c>
      <c r="AT545" s="145">
        <v>402</v>
      </c>
      <c r="AU545" s="146">
        <v>3.14</v>
      </c>
      <c r="AV545" s="145">
        <v>3894</v>
      </c>
      <c r="AW545" s="145">
        <v>-14</v>
      </c>
      <c r="AY545" s="5">
        <v>523</v>
      </c>
      <c r="AZ545" s="413" t="s">
        <v>718</v>
      </c>
      <c r="BA545" s="145"/>
      <c r="BB545" s="146"/>
      <c r="BC545" s="145"/>
      <c r="BD545" s="145"/>
      <c r="BF545" s="5">
        <v>523</v>
      </c>
      <c r="BG545" s="413" t="s">
        <v>718</v>
      </c>
      <c r="BH545" s="145"/>
      <c r="BI545" s="146"/>
      <c r="BJ545" s="145"/>
      <c r="BK545" s="145"/>
      <c r="BM545" s="5">
        <v>523</v>
      </c>
      <c r="BN545" s="413" t="s">
        <v>718</v>
      </c>
      <c r="BO545" s="145"/>
      <c r="BP545" s="146"/>
      <c r="BQ545" s="145"/>
      <c r="BR545" s="145"/>
      <c r="BS545" s="5"/>
      <c r="BT545" s="5">
        <v>523</v>
      </c>
      <c r="BU545" s="413" t="s">
        <v>718</v>
      </c>
      <c r="BV545" s="145"/>
      <c r="BW545" s="146"/>
      <c r="BX545" s="145"/>
      <c r="BY545" s="145"/>
      <c r="BZ545" s="5"/>
      <c r="CA545" s="5">
        <v>523</v>
      </c>
      <c r="CB545" s="413" t="s">
        <v>718</v>
      </c>
      <c r="CC545" s="145"/>
      <c r="CD545" s="146"/>
      <c r="CE545" s="145"/>
      <c r="CF545" s="145"/>
      <c r="CG545" s="5"/>
      <c r="CH545" s="5"/>
      <c r="CI545" s="5"/>
    </row>
    <row r="546" spans="13:87" x14ac:dyDescent="0.2">
      <c r="M546" s="5">
        <v>524</v>
      </c>
      <c r="N546" s="413" t="str">
        <f t="shared" si="48"/>
        <v xml:space="preserve"> </v>
      </c>
      <c r="O546" s="414">
        <f t="shared" si="49"/>
        <v>0</v>
      </c>
      <c r="P546" s="414">
        <f t="shared" si="50"/>
        <v>0</v>
      </c>
      <c r="Q546" s="145">
        <f t="shared" si="53"/>
        <v>-8</v>
      </c>
      <c r="R546" s="414">
        <f t="shared" si="51"/>
        <v>0</v>
      </c>
      <c r="S546" s="414">
        <f t="shared" si="52"/>
        <v>0</v>
      </c>
      <c r="T546" s="19"/>
      <c r="U546" s="5"/>
      <c r="V546" s="5"/>
      <c r="W546" s="5">
        <v>524</v>
      </c>
      <c r="X546" s="144" t="s">
        <v>718</v>
      </c>
      <c r="Y546" s="145"/>
      <c r="Z546" s="146"/>
      <c r="AA546" s="145"/>
      <c r="AB546" s="145"/>
      <c r="AD546" s="5">
        <v>524</v>
      </c>
      <c r="AE546" s="413" t="s">
        <v>718</v>
      </c>
      <c r="AF546" s="145"/>
      <c r="AG546" s="146"/>
      <c r="AH546" s="145"/>
      <c r="AI546" s="145"/>
      <c r="AK546" s="5">
        <v>524</v>
      </c>
      <c r="AL546" s="413" t="s">
        <v>718</v>
      </c>
      <c r="AM546" s="145"/>
      <c r="AN546" s="146"/>
      <c r="AO546" s="145"/>
      <c r="AP546" s="145"/>
      <c r="AR546" s="5">
        <v>524</v>
      </c>
      <c r="AS546" s="413" t="s">
        <v>3561</v>
      </c>
      <c r="AT546" s="145">
        <v>344</v>
      </c>
      <c r="AU546" s="146">
        <v>3.38</v>
      </c>
      <c r="AV546" s="145">
        <v>3822</v>
      </c>
      <c r="AW546" s="145">
        <v>-14</v>
      </c>
      <c r="AY546" s="5">
        <v>524</v>
      </c>
      <c r="AZ546" s="413" t="s">
        <v>718</v>
      </c>
      <c r="BA546" s="145"/>
      <c r="BB546" s="146"/>
      <c r="BC546" s="145"/>
      <c r="BD546" s="145"/>
      <c r="BF546" s="5">
        <v>524</v>
      </c>
      <c r="BG546" s="413" t="s">
        <v>718</v>
      </c>
      <c r="BH546" s="145"/>
      <c r="BI546" s="146"/>
      <c r="BJ546" s="145"/>
      <c r="BK546" s="145"/>
      <c r="BM546" s="5">
        <v>524</v>
      </c>
      <c r="BN546" s="413" t="s">
        <v>718</v>
      </c>
      <c r="BO546" s="145"/>
      <c r="BP546" s="146"/>
      <c r="BQ546" s="145"/>
      <c r="BR546" s="145"/>
      <c r="BS546" s="5"/>
      <c r="BT546" s="5">
        <v>524</v>
      </c>
      <c r="BU546" s="413" t="s">
        <v>718</v>
      </c>
      <c r="BV546" s="145"/>
      <c r="BW546" s="146"/>
      <c r="BX546" s="145"/>
      <c r="BY546" s="145"/>
      <c r="BZ546" s="5"/>
      <c r="CA546" s="5">
        <v>524</v>
      </c>
      <c r="CB546" s="413" t="s">
        <v>718</v>
      </c>
      <c r="CC546" s="145"/>
      <c r="CD546" s="146"/>
      <c r="CE546" s="145"/>
      <c r="CF546" s="145"/>
      <c r="CG546" s="5"/>
      <c r="CH546" s="5"/>
      <c r="CI546" s="5"/>
    </row>
    <row r="547" spans="13:87" x14ac:dyDescent="0.2">
      <c r="M547" s="5">
        <v>525</v>
      </c>
      <c r="N547" s="413" t="str">
        <f t="shared" si="48"/>
        <v xml:space="preserve"> </v>
      </c>
      <c r="O547" s="414">
        <f t="shared" si="49"/>
        <v>0</v>
      </c>
      <c r="P547" s="414">
        <f t="shared" si="50"/>
        <v>0</v>
      </c>
      <c r="Q547" s="145">
        <f t="shared" si="53"/>
        <v>-8</v>
      </c>
      <c r="R547" s="414">
        <f t="shared" si="51"/>
        <v>0</v>
      </c>
      <c r="S547" s="414">
        <f t="shared" si="52"/>
        <v>0</v>
      </c>
      <c r="T547" s="19"/>
      <c r="U547" s="5"/>
      <c r="V547" s="5"/>
      <c r="W547" s="5">
        <v>525</v>
      </c>
      <c r="X547" s="144" t="s">
        <v>718</v>
      </c>
      <c r="Y547" s="145"/>
      <c r="Z547" s="146"/>
      <c r="AA547" s="145"/>
      <c r="AB547" s="145"/>
      <c r="AD547" s="5">
        <v>525</v>
      </c>
      <c r="AE547" s="413" t="s">
        <v>718</v>
      </c>
      <c r="AF547" s="145"/>
      <c r="AG547" s="146"/>
      <c r="AH547" s="145"/>
      <c r="AI547" s="145"/>
      <c r="AK547" s="5">
        <v>525</v>
      </c>
      <c r="AL547" s="413" t="s">
        <v>718</v>
      </c>
      <c r="AM547" s="145"/>
      <c r="AN547" s="146"/>
      <c r="AO547" s="145"/>
      <c r="AP547" s="145"/>
      <c r="AR547" s="5">
        <v>525</v>
      </c>
      <c r="AS547" s="413" t="s">
        <v>3562</v>
      </c>
      <c r="AT547" s="145">
        <v>200</v>
      </c>
      <c r="AU547" s="146">
        <v>3.74</v>
      </c>
      <c r="AV547" s="145">
        <v>3300</v>
      </c>
      <c r="AW547" s="145">
        <v>-13</v>
      </c>
      <c r="AY547" s="5">
        <v>525</v>
      </c>
      <c r="AZ547" s="413" t="s">
        <v>718</v>
      </c>
      <c r="BA547" s="145"/>
      <c r="BB547" s="146"/>
      <c r="BC547" s="145"/>
      <c r="BD547" s="145"/>
      <c r="BF547" s="5">
        <v>525</v>
      </c>
      <c r="BG547" s="413" t="s">
        <v>718</v>
      </c>
      <c r="BH547" s="145"/>
      <c r="BI547" s="146"/>
      <c r="BJ547" s="145"/>
      <c r="BK547" s="145"/>
      <c r="BM547" s="5">
        <v>525</v>
      </c>
      <c r="BN547" s="413" t="s">
        <v>718</v>
      </c>
      <c r="BO547" s="145"/>
      <c r="BP547" s="146"/>
      <c r="BQ547" s="145"/>
      <c r="BR547" s="145"/>
      <c r="BS547" s="5"/>
      <c r="BT547" s="5">
        <v>525</v>
      </c>
      <c r="BU547" s="413" t="s">
        <v>718</v>
      </c>
      <c r="BV547" s="145"/>
      <c r="BW547" s="146"/>
      <c r="BX547" s="145"/>
      <c r="BY547" s="145"/>
      <c r="BZ547" s="5"/>
      <c r="CA547" s="5">
        <v>525</v>
      </c>
      <c r="CB547" s="413" t="s">
        <v>718</v>
      </c>
      <c r="CC547" s="145"/>
      <c r="CD547" s="146"/>
      <c r="CE547" s="145"/>
      <c r="CF547" s="145"/>
      <c r="CG547" s="5"/>
      <c r="CH547" s="5"/>
      <c r="CI547" s="5"/>
    </row>
    <row r="548" spans="13:87" x14ac:dyDescent="0.2">
      <c r="M548" s="5">
        <v>526</v>
      </c>
      <c r="N548" s="413" t="str">
        <f t="shared" si="48"/>
        <v xml:space="preserve"> </v>
      </c>
      <c r="O548" s="414">
        <f t="shared" si="49"/>
        <v>0</v>
      </c>
      <c r="P548" s="414">
        <f t="shared" si="50"/>
        <v>0</v>
      </c>
      <c r="Q548" s="145">
        <f t="shared" si="53"/>
        <v>-8</v>
      </c>
      <c r="R548" s="414">
        <f t="shared" si="51"/>
        <v>0</v>
      </c>
      <c r="S548" s="414">
        <f t="shared" si="52"/>
        <v>0</v>
      </c>
      <c r="T548" s="19"/>
      <c r="U548" s="5"/>
      <c r="V548" s="5"/>
      <c r="W548" s="5">
        <v>526</v>
      </c>
      <c r="X548" s="144" t="s">
        <v>718</v>
      </c>
      <c r="Y548" s="145"/>
      <c r="Z548" s="146"/>
      <c r="AA548" s="145"/>
      <c r="AB548" s="145"/>
      <c r="AD548" s="5">
        <v>526</v>
      </c>
      <c r="AE548" s="413" t="s">
        <v>718</v>
      </c>
      <c r="AF548" s="145"/>
      <c r="AG548" s="146"/>
      <c r="AH548" s="145"/>
      <c r="AI548" s="145"/>
      <c r="AK548" s="5">
        <v>526</v>
      </c>
      <c r="AL548" s="413" t="s">
        <v>718</v>
      </c>
      <c r="AM548" s="145"/>
      <c r="AN548" s="146"/>
      <c r="AO548" s="145"/>
      <c r="AP548" s="145"/>
      <c r="AR548" s="5">
        <v>526</v>
      </c>
      <c r="AS548" s="413" t="s">
        <v>3563</v>
      </c>
      <c r="AT548" s="145">
        <v>194</v>
      </c>
      <c r="AU548" s="146">
        <v>3.48</v>
      </c>
      <c r="AV548" s="145">
        <v>3502</v>
      </c>
      <c r="AW548" s="145">
        <v>-13</v>
      </c>
      <c r="AY548" s="5">
        <v>526</v>
      </c>
      <c r="AZ548" s="413" t="s">
        <v>718</v>
      </c>
      <c r="BA548" s="145"/>
      <c r="BB548" s="146"/>
      <c r="BC548" s="145"/>
      <c r="BD548" s="145"/>
      <c r="BF548" s="5">
        <v>526</v>
      </c>
      <c r="BG548" s="413" t="s">
        <v>718</v>
      </c>
      <c r="BH548" s="145"/>
      <c r="BI548" s="146"/>
      <c r="BJ548" s="145"/>
      <c r="BK548" s="145"/>
      <c r="BM548" s="5">
        <v>526</v>
      </c>
      <c r="BN548" s="413" t="s">
        <v>718</v>
      </c>
      <c r="BO548" s="145"/>
      <c r="BP548" s="146"/>
      <c r="BQ548" s="145"/>
      <c r="BR548" s="145"/>
      <c r="BS548" s="5"/>
      <c r="BT548" s="5">
        <v>526</v>
      </c>
      <c r="BU548" s="413" t="s">
        <v>718</v>
      </c>
      <c r="BV548" s="145"/>
      <c r="BW548" s="146"/>
      <c r="BX548" s="145"/>
      <c r="BY548" s="145"/>
      <c r="BZ548" s="5"/>
      <c r="CA548" s="5">
        <v>526</v>
      </c>
      <c r="CB548" s="413" t="s">
        <v>718</v>
      </c>
      <c r="CC548" s="145"/>
      <c r="CD548" s="146"/>
      <c r="CE548" s="145"/>
      <c r="CF548" s="145"/>
      <c r="CG548" s="5"/>
      <c r="CH548" s="5"/>
      <c r="CI548" s="5"/>
    </row>
    <row r="549" spans="13:87" x14ac:dyDescent="0.2">
      <c r="M549" s="5">
        <v>527</v>
      </c>
      <c r="N549" s="413" t="str">
        <f t="shared" si="48"/>
        <v xml:space="preserve"> </v>
      </c>
      <c r="O549" s="414">
        <f t="shared" si="49"/>
        <v>0</v>
      </c>
      <c r="P549" s="414">
        <f t="shared" si="50"/>
        <v>0</v>
      </c>
      <c r="Q549" s="145">
        <f t="shared" si="53"/>
        <v>-8</v>
      </c>
      <c r="R549" s="414">
        <f t="shared" si="51"/>
        <v>0</v>
      </c>
      <c r="S549" s="414">
        <f t="shared" si="52"/>
        <v>0</v>
      </c>
      <c r="T549" s="19"/>
      <c r="U549" s="5"/>
      <c r="V549" s="5"/>
      <c r="W549" s="5">
        <v>527</v>
      </c>
      <c r="X549" s="144" t="s">
        <v>718</v>
      </c>
      <c r="Y549" s="145"/>
      <c r="Z549" s="146"/>
      <c r="AA549" s="145"/>
      <c r="AB549" s="145"/>
      <c r="AD549" s="5">
        <v>527</v>
      </c>
      <c r="AE549" s="413" t="s">
        <v>718</v>
      </c>
      <c r="AF549" s="145"/>
      <c r="AG549" s="146"/>
      <c r="AH549" s="145"/>
      <c r="AI549" s="145"/>
      <c r="AK549" s="5">
        <v>527</v>
      </c>
      <c r="AL549" s="413" t="s">
        <v>718</v>
      </c>
      <c r="AM549" s="145"/>
      <c r="AN549" s="146"/>
      <c r="AO549" s="145"/>
      <c r="AP549" s="145"/>
      <c r="AR549" s="5">
        <v>527</v>
      </c>
      <c r="AS549" s="413" t="s">
        <v>3191</v>
      </c>
      <c r="AT549" s="145">
        <v>777</v>
      </c>
      <c r="AU549" s="146">
        <v>2.92</v>
      </c>
      <c r="AV549" s="145">
        <v>4338</v>
      </c>
      <c r="AW549" s="145">
        <v>-15</v>
      </c>
      <c r="AY549" s="5">
        <v>527</v>
      </c>
      <c r="AZ549" s="413" t="s">
        <v>718</v>
      </c>
      <c r="BA549" s="145"/>
      <c r="BB549" s="146"/>
      <c r="BC549" s="145"/>
      <c r="BD549" s="145"/>
      <c r="BF549" s="5">
        <v>527</v>
      </c>
      <c r="BG549" s="413" t="s">
        <v>718</v>
      </c>
      <c r="BH549" s="145"/>
      <c r="BI549" s="146"/>
      <c r="BJ549" s="145"/>
      <c r="BK549" s="145"/>
      <c r="BM549" s="5">
        <v>527</v>
      </c>
      <c r="BN549" s="413" t="s">
        <v>718</v>
      </c>
      <c r="BO549" s="145"/>
      <c r="BP549" s="146"/>
      <c r="BQ549" s="145"/>
      <c r="BR549" s="145"/>
      <c r="BS549" s="5"/>
      <c r="BT549" s="5">
        <v>527</v>
      </c>
      <c r="BU549" s="413" t="s">
        <v>718</v>
      </c>
      <c r="BV549" s="145"/>
      <c r="BW549" s="146"/>
      <c r="BX549" s="145"/>
      <c r="BY549" s="145"/>
      <c r="BZ549" s="5"/>
      <c r="CA549" s="5">
        <v>527</v>
      </c>
      <c r="CB549" s="413" t="s">
        <v>718</v>
      </c>
      <c r="CC549" s="145"/>
      <c r="CD549" s="146"/>
      <c r="CE549" s="145"/>
      <c r="CF549" s="145"/>
      <c r="CG549" s="5"/>
      <c r="CH549" s="5"/>
      <c r="CI549" s="5"/>
    </row>
    <row r="550" spans="13:87" x14ac:dyDescent="0.2">
      <c r="M550" s="5">
        <v>528</v>
      </c>
      <c r="N550" s="413" t="str">
        <f t="shared" si="48"/>
        <v xml:space="preserve"> </v>
      </c>
      <c r="O550" s="414">
        <f t="shared" si="49"/>
        <v>0</v>
      </c>
      <c r="P550" s="414">
        <f t="shared" si="50"/>
        <v>0</v>
      </c>
      <c r="Q550" s="145">
        <f t="shared" si="53"/>
        <v>-8</v>
      </c>
      <c r="R550" s="414">
        <f t="shared" si="51"/>
        <v>0</v>
      </c>
      <c r="S550" s="414">
        <f t="shared" si="52"/>
        <v>0</v>
      </c>
      <c r="T550" s="19"/>
      <c r="U550" s="5"/>
      <c r="V550" s="5"/>
      <c r="W550" s="5">
        <v>528</v>
      </c>
      <c r="X550" s="144" t="s">
        <v>718</v>
      </c>
      <c r="Y550" s="145"/>
      <c r="Z550" s="146"/>
      <c r="AA550" s="145"/>
      <c r="AB550" s="145"/>
      <c r="AD550" s="5">
        <v>528</v>
      </c>
      <c r="AE550" s="413" t="s">
        <v>718</v>
      </c>
      <c r="AF550" s="145"/>
      <c r="AG550" s="146"/>
      <c r="AH550" s="145"/>
      <c r="AI550" s="145"/>
      <c r="AK550" s="5">
        <v>528</v>
      </c>
      <c r="AL550" s="413" t="s">
        <v>718</v>
      </c>
      <c r="AM550" s="145"/>
      <c r="AN550" s="146"/>
      <c r="AO550" s="145"/>
      <c r="AP550" s="145"/>
      <c r="AR550" s="5">
        <v>528</v>
      </c>
      <c r="AS550" s="413" t="s">
        <v>3564</v>
      </c>
      <c r="AT550" s="145">
        <v>905</v>
      </c>
      <c r="AU550" s="146">
        <v>1.87</v>
      </c>
      <c r="AV550" s="145">
        <v>5112</v>
      </c>
      <c r="AW550" s="145">
        <v>-17</v>
      </c>
      <c r="AY550" s="5">
        <v>528</v>
      </c>
      <c r="AZ550" s="413" t="s">
        <v>718</v>
      </c>
      <c r="BA550" s="145"/>
      <c r="BB550" s="146"/>
      <c r="BC550" s="145"/>
      <c r="BD550" s="145"/>
      <c r="BF550" s="5">
        <v>528</v>
      </c>
      <c r="BG550" s="413" t="s">
        <v>718</v>
      </c>
      <c r="BH550" s="145"/>
      <c r="BI550" s="146"/>
      <c r="BJ550" s="145"/>
      <c r="BK550" s="145"/>
      <c r="BM550" s="5">
        <v>528</v>
      </c>
      <c r="BN550" s="413" t="s">
        <v>718</v>
      </c>
      <c r="BO550" s="145"/>
      <c r="BP550" s="146"/>
      <c r="BQ550" s="145"/>
      <c r="BR550" s="145"/>
      <c r="BS550" s="5"/>
      <c r="BT550" s="5">
        <v>528</v>
      </c>
      <c r="BU550" s="413" t="s">
        <v>718</v>
      </c>
      <c r="BV550" s="145"/>
      <c r="BW550" s="146"/>
      <c r="BX550" s="145"/>
      <c r="BY550" s="145"/>
      <c r="BZ550" s="5"/>
      <c r="CA550" s="5">
        <v>528</v>
      </c>
      <c r="CB550" s="413" t="s">
        <v>718</v>
      </c>
      <c r="CC550" s="145"/>
      <c r="CD550" s="146"/>
      <c r="CE550" s="145"/>
      <c r="CF550" s="145"/>
      <c r="CG550" s="5"/>
      <c r="CH550" s="5"/>
      <c r="CI550" s="5"/>
    </row>
    <row r="551" spans="13:87" x14ac:dyDescent="0.2">
      <c r="M551" s="5">
        <v>529</v>
      </c>
      <c r="N551" s="413" t="str">
        <f t="shared" si="48"/>
        <v xml:space="preserve"> </v>
      </c>
      <c r="O551" s="414">
        <f t="shared" si="49"/>
        <v>0</v>
      </c>
      <c r="P551" s="414">
        <f t="shared" si="50"/>
        <v>0</v>
      </c>
      <c r="Q551" s="145">
        <f t="shared" si="53"/>
        <v>-8</v>
      </c>
      <c r="R551" s="414">
        <f t="shared" si="51"/>
        <v>0</v>
      </c>
      <c r="S551" s="414">
        <f t="shared" si="52"/>
        <v>0</v>
      </c>
      <c r="T551" s="19"/>
      <c r="U551" s="5"/>
      <c r="V551" s="5"/>
      <c r="W551" s="5">
        <v>529</v>
      </c>
      <c r="X551" s="144" t="s">
        <v>718</v>
      </c>
      <c r="Y551" s="145"/>
      <c r="Z551" s="146"/>
      <c r="AA551" s="145"/>
      <c r="AB551" s="145"/>
      <c r="AD551" s="5">
        <v>529</v>
      </c>
      <c r="AE551" s="413" t="s">
        <v>718</v>
      </c>
      <c r="AF551" s="145"/>
      <c r="AG551" s="146"/>
      <c r="AH551" s="145"/>
      <c r="AI551" s="145"/>
      <c r="AK551" s="5">
        <v>529</v>
      </c>
      <c r="AL551" s="413" t="s">
        <v>718</v>
      </c>
      <c r="AM551" s="145"/>
      <c r="AN551" s="146"/>
      <c r="AO551" s="145"/>
      <c r="AP551" s="145"/>
      <c r="AR551" s="5">
        <v>529</v>
      </c>
      <c r="AS551" s="413" t="s">
        <v>3565</v>
      </c>
      <c r="AT551" s="145">
        <v>167</v>
      </c>
      <c r="AU551" s="146">
        <v>3.46</v>
      </c>
      <c r="AV551" s="145">
        <v>3423</v>
      </c>
      <c r="AW551" s="145">
        <v>-14</v>
      </c>
      <c r="AY551" s="5">
        <v>529</v>
      </c>
      <c r="AZ551" s="413" t="s">
        <v>718</v>
      </c>
      <c r="BA551" s="145"/>
      <c r="BB551" s="146"/>
      <c r="BC551" s="145"/>
      <c r="BD551" s="145"/>
      <c r="BF551" s="5">
        <v>529</v>
      </c>
      <c r="BG551" s="413" t="s">
        <v>718</v>
      </c>
      <c r="BH551" s="145"/>
      <c r="BI551" s="146"/>
      <c r="BJ551" s="145"/>
      <c r="BK551" s="145"/>
      <c r="BM551" s="5">
        <v>529</v>
      </c>
      <c r="BN551" s="413" t="s">
        <v>718</v>
      </c>
      <c r="BO551" s="145"/>
      <c r="BP551" s="146"/>
      <c r="BQ551" s="145"/>
      <c r="BR551" s="145"/>
      <c r="BS551" s="5"/>
      <c r="BT551" s="5">
        <v>529</v>
      </c>
      <c r="BU551" s="413" t="s">
        <v>718</v>
      </c>
      <c r="BV551" s="145"/>
      <c r="BW551" s="146"/>
      <c r="BX551" s="145"/>
      <c r="BY551" s="145"/>
      <c r="BZ551" s="5"/>
      <c r="CA551" s="5">
        <v>529</v>
      </c>
      <c r="CB551" s="413" t="s">
        <v>718</v>
      </c>
      <c r="CC551" s="145"/>
      <c r="CD551" s="146"/>
      <c r="CE551" s="145"/>
      <c r="CF551" s="145"/>
      <c r="CG551" s="5"/>
      <c r="CH551" s="5"/>
      <c r="CI551" s="5"/>
    </row>
    <row r="552" spans="13:87" x14ac:dyDescent="0.2">
      <c r="M552" s="5">
        <v>530</v>
      </c>
      <c r="N552" s="413" t="str">
        <f t="shared" si="48"/>
        <v xml:space="preserve"> </v>
      </c>
      <c r="O552" s="414">
        <f t="shared" si="49"/>
        <v>0</v>
      </c>
      <c r="P552" s="414">
        <f t="shared" si="50"/>
        <v>0</v>
      </c>
      <c r="Q552" s="145">
        <f t="shared" si="53"/>
        <v>-8</v>
      </c>
      <c r="R552" s="414">
        <f t="shared" si="51"/>
        <v>0</v>
      </c>
      <c r="S552" s="414">
        <f t="shared" si="52"/>
        <v>0</v>
      </c>
      <c r="T552" s="19"/>
      <c r="U552" s="5"/>
      <c r="V552" s="5"/>
      <c r="W552" s="5">
        <v>530</v>
      </c>
      <c r="X552" s="144" t="s">
        <v>718</v>
      </c>
      <c r="Y552" s="145"/>
      <c r="Z552" s="146"/>
      <c r="AA552" s="145"/>
      <c r="AB552" s="145"/>
      <c r="AD552" s="5">
        <v>530</v>
      </c>
      <c r="AE552" s="413" t="s">
        <v>718</v>
      </c>
      <c r="AF552" s="145"/>
      <c r="AG552" s="146"/>
      <c r="AH552" s="145"/>
      <c r="AI552" s="145"/>
      <c r="AK552" s="5">
        <v>530</v>
      </c>
      <c r="AL552" s="413" t="s">
        <v>718</v>
      </c>
      <c r="AM552" s="145"/>
      <c r="AN552" s="146"/>
      <c r="AO552" s="145"/>
      <c r="AP552" s="145"/>
      <c r="AR552" s="5">
        <v>530</v>
      </c>
      <c r="AS552" s="413" t="s">
        <v>3566</v>
      </c>
      <c r="AT552" s="145">
        <v>215</v>
      </c>
      <c r="AU552" s="146">
        <v>3.7</v>
      </c>
      <c r="AV552" s="145">
        <v>3325</v>
      </c>
      <c r="AW552" s="145">
        <v>-13</v>
      </c>
      <c r="AY552" s="5">
        <v>530</v>
      </c>
      <c r="AZ552" s="413" t="s">
        <v>718</v>
      </c>
      <c r="BA552" s="145"/>
      <c r="BB552" s="146"/>
      <c r="BC552" s="145"/>
      <c r="BD552" s="145"/>
      <c r="BF552" s="5">
        <v>530</v>
      </c>
      <c r="BG552" s="413" t="s">
        <v>718</v>
      </c>
      <c r="BH552" s="145"/>
      <c r="BI552" s="146"/>
      <c r="BJ552" s="145"/>
      <c r="BK552" s="145"/>
      <c r="BM552" s="5">
        <v>530</v>
      </c>
      <c r="BN552" s="413" t="s">
        <v>718</v>
      </c>
      <c r="BO552" s="145"/>
      <c r="BP552" s="146"/>
      <c r="BQ552" s="145"/>
      <c r="BR552" s="145"/>
      <c r="BS552" s="5"/>
      <c r="BT552" s="5">
        <v>530</v>
      </c>
      <c r="BU552" s="413" t="s">
        <v>718</v>
      </c>
      <c r="BV552" s="145"/>
      <c r="BW552" s="146"/>
      <c r="BX552" s="145"/>
      <c r="BY552" s="145"/>
      <c r="BZ552" s="5"/>
      <c r="CA552" s="5">
        <v>530</v>
      </c>
      <c r="CB552" s="413" t="s">
        <v>718</v>
      </c>
      <c r="CC552" s="145"/>
      <c r="CD552" s="146"/>
      <c r="CE552" s="145"/>
      <c r="CF552" s="145"/>
      <c r="CG552" s="5"/>
      <c r="CH552" s="5"/>
      <c r="CI552" s="5"/>
    </row>
    <row r="553" spans="13:87" x14ac:dyDescent="0.2">
      <c r="M553" s="5">
        <v>531</v>
      </c>
      <c r="N553" s="413" t="str">
        <f t="shared" si="48"/>
        <v xml:space="preserve"> </v>
      </c>
      <c r="O553" s="414">
        <f t="shared" si="49"/>
        <v>0</v>
      </c>
      <c r="P553" s="414">
        <f t="shared" si="50"/>
        <v>0</v>
      </c>
      <c r="Q553" s="145">
        <f t="shared" si="53"/>
        <v>-8</v>
      </c>
      <c r="R553" s="414">
        <f t="shared" si="51"/>
        <v>0</v>
      </c>
      <c r="S553" s="414">
        <f t="shared" si="52"/>
        <v>0</v>
      </c>
      <c r="T553" s="19"/>
      <c r="U553" s="5"/>
      <c r="V553" s="5"/>
      <c r="W553" s="5">
        <v>531</v>
      </c>
      <c r="X553" s="144" t="s">
        <v>718</v>
      </c>
      <c r="Y553" s="145"/>
      <c r="Z553" s="146"/>
      <c r="AA553" s="145"/>
      <c r="AB553" s="145"/>
      <c r="AD553" s="5">
        <v>531</v>
      </c>
      <c r="AE553" s="413" t="s">
        <v>718</v>
      </c>
      <c r="AF553" s="145"/>
      <c r="AG553" s="146"/>
      <c r="AH553" s="145"/>
      <c r="AI553" s="145"/>
      <c r="AK553" s="5">
        <v>531</v>
      </c>
      <c r="AL553" s="413" t="s">
        <v>718</v>
      </c>
      <c r="AM553" s="145"/>
      <c r="AN553" s="146"/>
      <c r="AO553" s="145"/>
      <c r="AP553" s="145"/>
      <c r="AR553" s="5">
        <v>531</v>
      </c>
      <c r="AS553" s="413" t="s">
        <v>3567</v>
      </c>
      <c r="AT553" s="145">
        <v>202</v>
      </c>
      <c r="AU553" s="146">
        <v>3.59</v>
      </c>
      <c r="AV553" s="145">
        <v>3396</v>
      </c>
      <c r="AW553" s="145">
        <v>-13</v>
      </c>
      <c r="AY553" s="5">
        <v>531</v>
      </c>
      <c r="AZ553" s="413" t="s">
        <v>718</v>
      </c>
      <c r="BA553" s="145"/>
      <c r="BB553" s="146"/>
      <c r="BC553" s="145"/>
      <c r="BD553" s="145"/>
      <c r="BF553" s="5">
        <v>531</v>
      </c>
      <c r="BG553" s="413" t="s">
        <v>718</v>
      </c>
      <c r="BH553" s="145"/>
      <c r="BI553" s="146"/>
      <c r="BJ553" s="145"/>
      <c r="BK553" s="145"/>
      <c r="BM553" s="5">
        <v>531</v>
      </c>
      <c r="BN553" s="413" t="s">
        <v>718</v>
      </c>
      <c r="BO553" s="145"/>
      <c r="BP553" s="146"/>
      <c r="BQ553" s="145"/>
      <c r="BR553" s="145"/>
      <c r="BS553" s="5"/>
      <c r="BT553" s="5">
        <v>531</v>
      </c>
      <c r="BU553" s="413" t="s">
        <v>718</v>
      </c>
      <c r="BV553" s="145"/>
      <c r="BW553" s="146"/>
      <c r="BX553" s="145"/>
      <c r="BY553" s="145"/>
      <c r="BZ553" s="5"/>
      <c r="CA553" s="5">
        <v>531</v>
      </c>
      <c r="CB553" s="413" t="s">
        <v>718</v>
      </c>
      <c r="CC553" s="145"/>
      <c r="CD553" s="146"/>
      <c r="CE553" s="145"/>
      <c r="CF553" s="145"/>
      <c r="CG553" s="5"/>
      <c r="CH553" s="5"/>
      <c r="CI553" s="5"/>
    </row>
    <row r="554" spans="13:87" x14ac:dyDescent="0.2">
      <c r="M554" s="5">
        <v>532</v>
      </c>
      <c r="N554" s="413" t="str">
        <f t="shared" si="48"/>
        <v xml:space="preserve"> </v>
      </c>
      <c r="O554" s="414">
        <f t="shared" si="49"/>
        <v>0</v>
      </c>
      <c r="P554" s="414">
        <f t="shared" si="50"/>
        <v>0</v>
      </c>
      <c r="Q554" s="145">
        <f t="shared" si="53"/>
        <v>-8</v>
      </c>
      <c r="R554" s="414">
        <f t="shared" si="51"/>
        <v>0</v>
      </c>
      <c r="S554" s="414">
        <f t="shared" si="52"/>
        <v>0</v>
      </c>
      <c r="T554" s="19"/>
      <c r="U554" s="5"/>
      <c r="V554" s="5"/>
      <c r="W554" s="5">
        <v>532</v>
      </c>
      <c r="X554" s="144" t="s">
        <v>718</v>
      </c>
      <c r="Y554" s="145"/>
      <c r="Z554" s="146"/>
      <c r="AA554" s="145"/>
      <c r="AB554" s="145"/>
      <c r="AD554" s="5">
        <v>532</v>
      </c>
      <c r="AE554" s="413" t="s">
        <v>718</v>
      </c>
      <c r="AF554" s="145"/>
      <c r="AG554" s="146"/>
      <c r="AH554" s="145"/>
      <c r="AI554" s="145"/>
      <c r="AK554" s="5">
        <v>532</v>
      </c>
      <c r="AL554" s="413" t="s">
        <v>718</v>
      </c>
      <c r="AM554" s="145"/>
      <c r="AN554" s="146"/>
      <c r="AO554" s="145"/>
      <c r="AP554" s="145"/>
      <c r="AR554" s="5">
        <v>532</v>
      </c>
      <c r="AS554" s="413" t="s">
        <v>3568</v>
      </c>
      <c r="AT554" s="145">
        <v>206</v>
      </c>
      <c r="AU554" s="146">
        <v>3.34</v>
      </c>
      <c r="AV554" s="145">
        <v>3565</v>
      </c>
      <c r="AW554" s="145">
        <v>-13</v>
      </c>
      <c r="AY554" s="5">
        <v>532</v>
      </c>
      <c r="AZ554" s="413" t="s">
        <v>718</v>
      </c>
      <c r="BA554" s="145"/>
      <c r="BB554" s="146"/>
      <c r="BC554" s="145"/>
      <c r="BD554" s="145"/>
      <c r="BF554" s="5">
        <v>532</v>
      </c>
      <c r="BG554" s="413" t="s">
        <v>718</v>
      </c>
      <c r="BH554" s="145"/>
      <c r="BI554" s="146"/>
      <c r="BJ554" s="145"/>
      <c r="BK554" s="145"/>
      <c r="BM554" s="5">
        <v>532</v>
      </c>
      <c r="BN554" s="413" t="s">
        <v>718</v>
      </c>
      <c r="BO554" s="145"/>
      <c r="BP554" s="146"/>
      <c r="BQ554" s="145"/>
      <c r="BR554" s="145"/>
      <c r="BS554" s="5"/>
      <c r="BT554" s="5">
        <v>532</v>
      </c>
      <c r="BU554" s="413" t="s">
        <v>718</v>
      </c>
      <c r="BV554" s="145"/>
      <c r="BW554" s="146"/>
      <c r="BX554" s="145"/>
      <c r="BY554" s="145"/>
      <c r="BZ554" s="5"/>
      <c r="CA554" s="5">
        <v>532</v>
      </c>
      <c r="CB554" s="413" t="s">
        <v>718</v>
      </c>
      <c r="CC554" s="145"/>
      <c r="CD554" s="146"/>
      <c r="CE554" s="145"/>
      <c r="CF554" s="145"/>
      <c r="CG554" s="5"/>
      <c r="CH554" s="5"/>
      <c r="CI554" s="5"/>
    </row>
    <row r="555" spans="13:87" x14ac:dyDescent="0.2">
      <c r="M555" s="5">
        <v>533</v>
      </c>
      <c r="N555" s="413" t="str">
        <f t="shared" si="48"/>
        <v xml:space="preserve"> </v>
      </c>
      <c r="O555" s="414">
        <f t="shared" si="49"/>
        <v>0</v>
      </c>
      <c r="P555" s="414">
        <f t="shared" si="50"/>
        <v>0</v>
      </c>
      <c r="Q555" s="145">
        <f t="shared" si="53"/>
        <v>-8</v>
      </c>
      <c r="R555" s="414">
        <f t="shared" si="51"/>
        <v>0</v>
      </c>
      <c r="S555" s="414">
        <f t="shared" si="52"/>
        <v>0</v>
      </c>
      <c r="T555" s="19"/>
      <c r="U555" s="5"/>
      <c r="V555" s="5"/>
      <c r="W555" s="5">
        <v>533</v>
      </c>
      <c r="X555" s="144" t="s">
        <v>718</v>
      </c>
      <c r="Y555" s="145"/>
      <c r="Z555" s="146"/>
      <c r="AA555" s="145"/>
      <c r="AB555" s="145"/>
      <c r="AD555" s="5">
        <v>533</v>
      </c>
      <c r="AE555" s="413" t="s">
        <v>718</v>
      </c>
      <c r="AF555" s="145"/>
      <c r="AG555" s="146"/>
      <c r="AH555" s="145"/>
      <c r="AI555" s="145"/>
      <c r="AK555" s="5">
        <v>533</v>
      </c>
      <c r="AL555" s="413" t="s">
        <v>718</v>
      </c>
      <c r="AM555" s="145"/>
      <c r="AN555" s="146"/>
      <c r="AO555" s="145"/>
      <c r="AP555" s="145"/>
      <c r="AR555" s="5">
        <v>533</v>
      </c>
      <c r="AS555" s="413" t="s">
        <v>3569</v>
      </c>
      <c r="AT555" s="145">
        <v>177</v>
      </c>
      <c r="AU555" s="146">
        <v>3.41</v>
      </c>
      <c r="AV555" s="145">
        <v>3533</v>
      </c>
      <c r="AW555" s="145">
        <v>-13</v>
      </c>
      <c r="AY555" s="5">
        <v>533</v>
      </c>
      <c r="AZ555" s="413" t="s">
        <v>718</v>
      </c>
      <c r="BA555" s="145"/>
      <c r="BB555" s="146"/>
      <c r="BC555" s="145"/>
      <c r="BD555" s="145"/>
      <c r="BF555" s="5">
        <v>533</v>
      </c>
      <c r="BG555" s="413" t="s">
        <v>718</v>
      </c>
      <c r="BH555" s="145"/>
      <c r="BI555" s="146"/>
      <c r="BJ555" s="145"/>
      <c r="BK555" s="145"/>
      <c r="BM555" s="5">
        <v>533</v>
      </c>
      <c r="BN555" s="413" t="s">
        <v>718</v>
      </c>
      <c r="BO555" s="145"/>
      <c r="BP555" s="146"/>
      <c r="BQ555" s="145"/>
      <c r="BR555" s="145"/>
      <c r="BS555" s="5"/>
      <c r="BT555" s="5">
        <v>533</v>
      </c>
      <c r="BU555" s="413" t="s">
        <v>718</v>
      </c>
      <c r="BV555" s="145"/>
      <c r="BW555" s="146"/>
      <c r="BX555" s="145"/>
      <c r="BY555" s="145"/>
      <c r="BZ555" s="5"/>
      <c r="CA555" s="5">
        <v>533</v>
      </c>
      <c r="CB555" s="413" t="s">
        <v>718</v>
      </c>
      <c r="CC555" s="145"/>
      <c r="CD555" s="146"/>
      <c r="CE555" s="145"/>
      <c r="CF555" s="145"/>
      <c r="CG555" s="5"/>
      <c r="CH555" s="5"/>
      <c r="CI555" s="5"/>
    </row>
    <row r="556" spans="13:87" x14ac:dyDescent="0.2">
      <c r="M556" s="5">
        <v>534</v>
      </c>
      <c r="N556" s="413" t="str">
        <f t="shared" si="48"/>
        <v xml:space="preserve"> </v>
      </c>
      <c r="O556" s="414">
        <f t="shared" si="49"/>
        <v>0</v>
      </c>
      <c r="P556" s="414">
        <f t="shared" si="50"/>
        <v>0</v>
      </c>
      <c r="Q556" s="145">
        <f t="shared" si="53"/>
        <v>-8</v>
      </c>
      <c r="R556" s="414">
        <f t="shared" si="51"/>
        <v>0</v>
      </c>
      <c r="S556" s="414">
        <f t="shared" si="52"/>
        <v>0</v>
      </c>
      <c r="T556" s="19"/>
      <c r="U556" s="5"/>
      <c r="V556" s="5"/>
      <c r="W556" s="5">
        <v>534</v>
      </c>
      <c r="X556" s="144" t="s">
        <v>718</v>
      </c>
      <c r="Y556" s="145"/>
      <c r="Z556" s="146"/>
      <c r="AA556" s="145"/>
      <c r="AB556" s="145"/>
      <c r="AD556" s="5">
        <v>534</v>
      </c>
      <c r="AE556" s="413" t="s">
        <v>718</v>
      </c>
      <c r="AF556" s="145"/>
      <c r="AG556" s="146"/>
      <c r="AH556" s="145"/>
      <c r="AI556" s="145"/>
      <c r="AK556" s="5">
        <v>534</v>
      </c>
      <c r="AL556" s="413" t="s">
        <v>718</v>
      </c>
      <c r="AM556" s="145"/>
      <c r="AN556" s="146"/>
      <c r="AO556" s="145"/>
      <c r="AP556" s="145"/>
      <c r="AR556" s="5">
        <v>534</v>
      </c>
      <c r="AS556" s="413" t="s">
        <v>3570</v>
      </c>
      <c r="AT556" s="145">
        <v>331</v>
      </c>
      <c r="AU556" s="146">
        <v>3.21</v>
      </c>
      <c r="AV556" s="145">
        <v>3762</v>
      </c>
      <c r="AW556" s="145">
        <v>-14</v>
      </c>
      <c r="AY556" s="5">
        <v>534</v>
      </c>
      <c r="AZ556" s="413" t="s">
        <v>718</v>
      </c>
      <c r="BA556" s="145"/>
      <c r="BB556" s="146"/>
      <c r="BC556" s="145"/>
      <c r="BD556" s="145"/>
      <c r="BF556" s="5">
        <v>534</v>
      </c>
      <c r="BG556" s="413" t="s">
        <v>718</v>
      </c>
      <c r="BH556" s="145"/>
      <c r="BI556" s="146"/>
      <c r="BJ556" s="145"/>
      <c r="BK556" s="145"/>
      <c r="BM556" s="5">
        <v>534</v>
      </c>
      <c r="BN556" s="413" t="s">
        <v>718</v>
      </c>
      <c r="BO556" s="145"/>
      <c r="BP556" s="146"/>
      <c r="BQ556" s="145"/>
      <c r="BR556" s="145"/>
      <c r="BS556" s="5"/>
      <c r="BT556" s="5">
        <v>534</v>
      </c>
      <c r="BU556" s="413" t="s">
        <v>718</v>
      </c>
      <c r="BV556" s="145"/>
      <c r="BW556" s="146"/>
      <c r="BX556" s="145"/>
      <c r="BY556" s="145"/>
      <c r="BZ556" s="5"/>
      <c r="CA556" s="5">
        <v>534</v>
      </c>
      <c r="CB556" s="413" t="s">
        <v>718</v>
      </c>
      <c r="CC556" s="145"/>
      <c r="CD556" s="146"/>
      <c r="CE556" s="145"/>
      <c r="CF556" s="145"/>
      <c r="CG556" s="5"/>
      <c r="CH556" s="5"/>
      <c r="CI556" s="5"/>
    </row>
    <row r="557" spans="13:87" x14ac:dyDescent="0.2">
      <c r="M557" s="5">
        <v>535</v>
      </c>
      <c r="N557" s="413" t="str">
        <f t="shared" si="48"/>
        <v xml:space="preserve"> </v>
      </c>
      <c r="O557" s="414">
        <f t="shared" si="49"/>
        <v>0</v>
      </c>
      <c r="P557" s="414">
        <f t="shared" si="50"/>
        <v>0</v>
      </c>
      <c r="Q557" s="145">
        <f t="shared" si="53"/>
        <v>-8</v>
      </c>
      <c r="R557" s="414">
        <f t="shared" si="51"/>
        <v>0</v>
      </c>
      <c r="S557" s="414">
        <f t="shared" si="52"/>
        <v>0</v>
      </c>
      <c r="T557" s="19"/>
      <c r="U557" s="5"/>
      <c r="V557" s="5"/>
      <c r="W557" s="5">
        <v>535</v>
      </c>
      <c r="X557" s="144" t="s">
        <v>718</v>
      </c>
      <c r="Y557" s="145"/>
      <c r="Z557" s="146"/>
      <c r="AA557" s="145"/>
      <c r="AB557" s="145"/>
      <c r="AD557" s="5">
        <v>535</v>
      </c>
      <c r="AE557" s="413" t="s">
        <v>718</v>
      </c>
      <c r="AF557" s="145"/>
      <c r="AG557" s="146"/>
      <c r="AH557" s="145"/>
      <c r="AI557" s="145"/>
      <c r="AK557" s="5">
        <v>535</v>
      </c>
      <c r="AL557" s="413" t="s">
        <v>718</v>
      </c>
      <c r="AM557" s="145"/>
      <c r="AN557" s="146"/>
      <c r="AO557" s="145"/>
      <c r="AP557" s="145"/>
      <c r="AR557" s="5">
        <v>535</v>
      </c>
      <c r="AS557" s="413" t="s">
        <v>3571</v>
      </c>
      <c r="AT557" s="145">
        <v>461</v>
      </c>
      <c r="AU557" s="146">
        <v>3.47</v>
      </c>
      <c r="AV557" s="145">
        <v>3902</v>
      </c>
      <c r="AW557" s="145">
        <v>-14</v>
      </c>
      <c r="AY557" s="5">
        <v>535</v>
      </c>
      <c r="AZ557" s="413" t="s">
        <v>718</v>
      </c>
      <c r="BA557" s="145"/>
      <c r="BB557" s="146"/>
      <c r="BC557" s="145"/>
      <c r="BD557" s="145"/>
      <c r="BF557" s="5">
        <v>535</v>
      </c>
      <c r="BG557" s="413" t="s">
        <v>718</v>
      </c>
      <c r="BH557" s="145"/>
      <c r="BI557" s="146"/>
      <c r="BJ557" s="145"/>
      <c r="BK557" s="145"/>
      <c r="BM557" s="5">
        <v>535</v>
      </c>
      <c r="BN557" s="413" t="s">
        <v>718</v>
      </c>
      <c r="BO557" s="145"/>
      <c r="BP557" s="146"/>
      <c r="BQ557" s="145"/>
      <c r="BR557" s="145"/>
      <c r="BS557" s="5"/>
      <c r="BT557" s="5">
        <v>535</v>
      </c>
      <c r="BU557" s="413" t="s">
        <v>718</v>
      </c>
      <c r="BV557" s="145"/>
      <c r="BW557" s="146"/>
      <c r="BX557" s="145"/>
      <c r="BY557" s="145"/>
      <c r="BZ557" s="5"/>
      <c r="CA557" s="5">
        <v>535</v>
      </c>
      <c r="CB557" s="413" t="s">
        <v>718</v>
      </c>
      <c r="CC557" s="145"/>
      <c r="CD557" s="146"/>
      <c r="CE557" s="145"/>
      <c r="CF557" s="145"/>
      <c r="CG557" s="5"/>
      <c r="CH557" s="5"/>
      <c r="CI557" s="5"/>
    </row>
    <row r="558" spans="13:87" x14ac:dyDescent="0.2">
      <c r="M558" s="5">
        <v>536</v>
      </c>
      <c r="N558" s="413" t="str">
        <f t="shared" si="48"/>
        <v xml:space="preserve"> </v>
      </c>
      <c r="O558" s="414">
        <f t="shared" si="49"/>
        <v>0</v>
      </c>
      <c r="P558" s="414">
        <f t="shared" si="50"/>
        <v>0</v>
      </c>
      <c r="Q558" s="145">
        <f t="shared" si="53"/>
        <v>-8</v>
      </c>
      <c r="R558" s="414">
        <f t="shared" si="51"/>
        <v>0</v>
      </c>
      <c r="S558" s="414">
        <f t="shared" si="52"/>
        <v>0</v>
      </c>
      <c r="T558" s="19"/>
      <c r="U558" s="5"/>
      <c r="V558" s="5"/>
      <c r="W558" s="5">
        <v>536</v>
      </c>
      <c r="X558" s="144" t="s">
        <v>718</v>
      </c>
      <c r="Y558" s="145"/>
      <c r="Z558" s="146"/>
      <c r="AA558" s="145"/>
      <c r="AB558" s="145"/>
      <c r="AD558" s="5">
        <v>536</v>
      </c>
      <c r="AE558" s="413" t="s">
        <v>718</v>
      </c>
      <c r="AF558" s="145"/>
      <c r="AG558" s="146"/>
      <c r="AH558" s="145"/>
      <c r="AI558" s="145"/>
      <c r="AK558" s="5">
        <v>536</v>
      </c>
      <c r="AL558" s="413" t="s">
        <v>718</v>
      </c>
      <c r="AM558" s="145"/>
      <c r="AN558" s="146"/>
      <c r="AO558" s="145"/>
      <c r="AP558" s="145"/>
      <c r="AR558" s="5">
        <v>536</v>
      </c>
      <c r="AS558" s="413" t="s">
        <v>3572</v>
      </c>
      <c r="AT558" s="145">
        <v>323</v>
      </c>
      <c r="AU558" s="146">
        <v>3.31</v>
      </c>
      <c r="AV558" s="145">
        <v>3705</v>
      </c>
      <c r="AW558" s="145">
        <v>-13</v>
      </c>
      <c r="AY558" s="5">
        <v>536</v>
      </c>
      <c r="AZ558" s="413" t="s">
        <v>718</v>
      </c>
      <c r="BA558" s="145"/>
      <c r="BB558" s="146"/>
      <c r="BC558" s="145"/>
      <c r="BD558" s="145"/>
      <c r="BF558" s="5">
        <v>536</v>
      </c>
      <c r="BG558" s="413" t="s">
        <v>718</v>
      </c>
      <c r="BH558" s="145"/>
      <c r="BI558" s="146"/>
      <c r="BJ558" s="145"/>
      <c r="BK558" s="145"/>
      <c r="BM558" s="5">
        <v>536</v>
      </c>
      <c r="BN558" s="413" t="s">
        <v>718</v>
      </c>
      <c r="BO558" s="145"/>
      <c r="BP558" s="146"/>
      <c r="BQ558" s="145"/>
      <c r="BR558" s="145"/>
      <c r="BS558" s="5"/>
      <c r="BT558" s="5">
        <v>536</v>
      </c>
      <c r="BU558" s="413" t="s">
        <v>718</v>
      </c>
      <c r="BV558" s="145"/>
      <c r="BW558" s="146"/>
      <c r="BX558" s="145"/>
      <c r="BY558" s="145"/>
      <c r="BZ558" s="5"/>
      <c r="CA558" s="5">
        <v>536</v>
      </c>
      <c r="CB558" s="413" t="s">
        <v>718</v>
      </c>
      <c r="CC558" s="145"/>
      <c r="CD558" s="146"/>
      <c r="CE558" s="145"/>
      <c r="CF558" s="145"/>
      <c r="CG558" s="5"/>
      <c r="CH558" s="5"/>
      <c r="CI558" s="5"/>
    </row>
    <row r="559" spans="13:87" x14ac:dyDescent="0.2">
      <c r="M559" s="5">
        <v>537</v>
      </c>
      <c r="N559" s="413" t="str">
        <f t="shared" si="48"/>
        <v xml:space="preserve"> </v>
      </c>
      <c r="O559" s="414">
        <f t="shared" si="49"/>
        <v>0</v>
      </c>
      <c r="P559" s="414">
        <f t="shared" si="50"/>
        <v>0</v>
      </c>
      <c r="Q559" s="145">
        <f t="shared" si="53"/>
        <v>-8</v>
      </c>
      <c r="R559" s="414">
        <f t="shared" si="51"/>
        <v>0</v>
      </c>
      <c r="S559" s="414">
        <f t="shared" si="52"/>
        <v>0</v>
      </c>
      <c r="T559" s="19"/>
      <c r="U559" s="5"/>
      <c r="V559" s="5"/>
      <c r="W559" s="5">
        <v>537</v>
      </c>
      <c r="X559" s="144" t="s">
        <v>718</v>
      </c>
      <c r="Y559" s="145"/>
      <c r="Z559" s="146"/>
      <c r="AA559" s="145"/>
      <c r="AB559" s="145"/>
      <c r="AD559" s="5">
        <v>537</v>
      </c>
      <c r="AE559" s="413" t="s">
        <v>718</v>
      </c>
      <c r="AF559" s="145"/>
      <c r="AG559" s="146"/>
      <c r="AH559" s="145"/>
      <c r="AI559" s="145"/>
      <c r="AK559" s="5">
        <v>537</v>
      </c>
      <c r="AL559" s="413" t="s">
        <v>718</v>
      </c>
      <c r="AM559" s="145"/>
      <c r="AN559" s="146"/>
      <c r="AO559" s="145"/>
      <c r="AP559" s="145"/>
      <c r="AR559" s="5">
        <v>537</v>
      </c>
      <c r="AS559" s="413" t="s">
        <v>3573</v>
      </c>
      <c r="AT559" s="145">
        <v>185</v>
      </c>
      <c r="AU559" s="146">
        <v>3.26</v>
      </c>
      <c r="AV559" s="145">
        <v>3616</v>
      </c>
      <c r="AW559" s="145">
        <v>-14</v>
      </c>
      <c r="AY559" s="5">
        <v>537</v>
      </c>
      <c r="AZ559" s="413" t="s">
        <v>718</v>
      </c>
      <c r="BA559" s="145"/>
      <c r="BB559" s="146"/>
      <c r="BC559" s="145"/>
      <c r="BD559" s="145"/>
      <c r="BF559" s="5">
        <v>537</v>
      </c>
      <c r="BG559" s="413" t="s">
        <v>718</v>
      </c>
      <c r="BH559" s="145"/>
      <c r="BI559" s="146"/>
      <c r="BJ559" s="145"/>
      <c r="BK559" s="145"/>
      <c r="BM559" s="5">
        <v>537</v>
      </c>
      <c r="BN559" s="413" t="s">
        <v>718</v>
      </c>
      <c r="BO559" s="145"/>
      <c r="BP559" s="146"/>
      <c r="BQ559" s="145"/>
      <c r="BR559" s="145"/>
      <c r="BS559" s="5"/>
      <c r="BT559" s="5">
        <v>537</v>
      </c>
      <c r="BU559" s="413" t="s">
        <v>718</v>
      </c>
      <c r="BV559" s="145"/>
      <c r="BW559" s="146"/>
      <c r="BX559" s="145"/>
      <c r="BY559" s="145"/>
      <c r="BZ559" s="5"/>
      <c r="CA559" s="5">
        <v>537</v>
      </c>
      <c r="CB559" s="413" t="s">
        <v>718</v>
      </c>
      <c r="CC559" s="145"/>
      <c r="CD559" s="146"/>
      <c r="CE559" s="145"/>
      <c r="CF559" s="145"/>
      <c r="CG559" s="5"/>
      <c r="CH559" s="5"/>
      <c r="CI559" s="5"/>
    </row>
    <row r="560" spans="13:87" x14ac:dyDescent="0.2">
      <c r="M560" s="5">
        <v>538</v>
      </c>
      <c r="N560" s="413" t="str">
        <f t="shared" si="48"/>
        <v xml:space="preserve"> </v>
      </c>
      <c r="O560" s="414">
        <f t="shared" si="49"/>
        <v>0</v>
      </c>
      <c r="P560" s="414">
        <f t="shared" si="50"/>
        <v>0</v>
      </c>
      <c r="Q560" s="145">
        <f t="shared" si="53"/>
        <v>-8</v>
      </c>
      <c r="R560" s="414">
        <f t="shared" si="51"/>
        <v>0</v>
      </c>
      <c r="S560" s="414">
        <f t="shared" si="52"/>
        <v>0</v>
      </c>
      <c r="T560" s="19"/>
      <c r="U560" s="5"/>
      <c r="V560" s="5"/>
      <c r="W560" s="5">
        <v>538</v>
      </c>
      <c r="X560" s="144" t="s">
        <v>718</v>
      </c>
      <c r="Y560" s="145"/>
      <c r="Z560" s="146"/>
      <c r="AA560" s="145"/>
      <c r="AB560" s="145"/>
      <c r="AD560" s="5">
        <v>538</v>
      </c>
      <c r="AE560" s="413" t="s">
        <v>718</v>
      </c>
      <c r="AF560" s="145"/>
      <c r="AG560" s="146"/>
      <c r="AH560" s="145"/>
      <c r="AI560" s="145"/>
      <c r="AK560" s="5">
        <v>538</v>
      </c>
      <c r="AL560" s="413" t="s">
        <v>718</v>
      </c>
      <c r="AM560" s="145"/>
      <c r="AN560" s="146"/>
      <c r="AO560" s="145"/>
      <c r="AP560" s="145"/>
      <c r="AR560" s="5">
        <v>538</v>
      </c>
      <c r="AS560" s="413" t="s">
        <v>3574</v>
      </c>
      <c r="AT560" s="145">
        <v>242</v>
      </c>
      <c r="AU560" s="146">
        <v>3.22</v>
      </c>
      <c r="AV560" s="145">
        <v>3642</v>
      </c>
      <c r="AW560" s="145">
        <v>-14</v>
      </c>
      <c r="AY560" s="5">
        <v>538</v>
      </c>
      <c r="AZ560" s="413" t="s">
        <v>718</v>
      </c>
      <c r="BA560" s="145"/>
      <c r="BB560" s="146"/>
      <c r="BC560" s="145"/>
      <c r="BD560" s="145"/>
      <c r="BF560" s="5">
        <v>538</v>
      </c>
      <c r="BG560" s="413" t="s">
        <v>718</v>
      </c>
      <c r="BH560" s="145"/>
      <c r="BI560" s="146"/>
      <c r="BJ560" s="145"/>
      <c r="BK560" s="145"/>
      <c r="BM560" s="5">
        <v>538</v>
      </c>
      <c r="BN560" s="413" t="s">
        <v>718</v>
      </c>
      <c r="BO560" s="145"/>
      <c r="BP560" s="146"/>
      <c r="BQ560" s="145"/>
      <c r="BR560" s="145"/>
      <c r="BS560" s="5"/>
      <c r="BT560" s="5">
        <v>538</v>
      </c>
      <c r="BU560" s="413" t="s">
        <v>718</v>
      </c>
      <c r="BV560" s="145"/>
      <c r="BW560" s="146"/>
      <c r="BX560" s="145"/>
      <c r="BY560" s="145"/>
      <c r="BZ560" s="5"/>
      <c r="CA560" s="5">
        <v>538</v>
      </c>
      <c r="CB560" s="413" t="s">
        <v>718</v>
      </c>
      <c r="CC560" s="145"/>
      <c r="CD560" s="146"/>
      <c r="CE560" s="145"/>
      <c r="CF560" s="145"/>
      <c r="CG560" s="5"/>
      <c r="CH560" s="5"/>
      <c r="CI560" s="5"/>
    </row>
    <row r="561" spans="13:87" x14ac:dyDescent="0.2">
      <c r="M561" s="5">
        <v>539</v>
      </c>
      <c r="N561" s="413" t="str">
        <f t="shared" si="48"/>
        <v xml:space="preserve"> </v>
      </c>
      <c r="O561" s="414">
        <f t="shared" si="49"/>
        <v>0</v>
      </c>
      <c r="P561" s="414">
        <f t="shared" si="50"/>
        <v>0</v>
      </c>
      <c r="Q561" s="145">
        <f t="shared" si="53"/>
        <v>-8</v>
      </c>
      <c r="R561" s="414">
        <f t="shared" si="51"/>
        <v>0</v>
      </c>
      <c r="S561" s="414">
        <f t="shared" si="52"/>
        <v>0</v>
      </c>
      <c r="T561" s="19"/>
      <c r="U561" s="5"/>
      <c r="V561" s="5"/>
      <c r="W561" s="5">
        <v>539</v>
      </c>
      <c r="X561" s="144" t="s">
        <v>718</v>
      </c>
      <c r="Y561" s="145"/>
      <c r="Z561" s="146"/>
      <c r="AA561" s="145"/>
      <c r="AB561" s="145"/>
      <c r="AD561" s="5">
        <v>539</v>
      </c>
      <c r="AE561" s="413" t="s">
        <v>718</v>
      </c>
      <c r="AF561" s="145"/>
      <c r="AG561" s="146"/>
      <c r="AH561" s="145"/>
      <c r="AI561" s="145"/>
      <c r="AK561" s="5">
        <v>539</v>
      </c>
      <c r="AL561" s="413" t="s">
        <v>718</v>
      </c>
      <c r="AM561" s="145"/>
      <c r="AN561" s="146"/>
      <c r="AO561" s="145"/>
      <c r="AP561" s="145"/>
      <c r="AR561" s="5">
        <v>539</v>
      </c>
      <c r="AS561" s="413" t="s">
        <v>3575</v>
      </c>
      <c r="AT561" s="145">
        <v>150</v>
      </c>
      <c r="AU561" s="146">
        <v>3.3</v>
      </c>
      <c r="AV561" s="145">
        <v>3506</v>
      </c>
      <c r="AW561" s="145">
        <v>-14</v>
      </c>
      <c r="AY561" s="5">
        <v>539</v>
      </c>
      <c r="AZ561" s="413" t="s">
        <v>718</v>
      </c>
      <c r="BA561" s="145"/>
      <c r="BB561" s="146"/>
      <c r="BC561" s="145"/>
      <c r="BD561" s="145"/>
      <c r="BF561" s="5">
        <v>539</v>
      </c>
      <c r="BG561" s="413" t="s">
        <v>718</v>
      </c>
      <c r="BH561" s="145"/>
      <c r="BI561" s="146"/>
      <c r="BJ561" s="145"/>
      <c r="BK561" s="145"/>
      <c r="BM561" s="5">
        <v>539</v>
      </c>
      <c r="BN561" s="413" t="s">
        <v>718</v>
      </c>
      <c r="BO561" s="145"/>
      <c r="BP561" s="146"/>
      <c r="BQ561" s="145"/>
      <c r="BR561" s="145"/>
      <c r="BS561" s="5"/>
      <c r="BT561" s="5">
        <v>539</v>
      </c>
      <c r="BU561" s="413" t="s">
        <v>718</v>
      </c>
      <c r="BV561" s="145"/>
      <c r="BW561" s="146"/>
      <c r="BX561" s="145"/>
      <c r="BY561" s="145"/>
      <c r="BZ561" s="5"/>
      <c r="CA561" s="5">
        <v>539</v>
      </c>
      <c r="CB561" s="413" t="s">
        <v>718</v>
      </c>
      <c r="CC561" s="145"/>
      <c r="CD561" s="146"/>
      <c r="CE561" s="145"/>
      <c r="CF561" s="145"/>
      <c r="CG561" s="5"/>
      <c r="CH561" s="5"/>
      <c r="CI561" s="5"/>
    </row>
    <row r="562" spans="13:87" x14ac:dyDescent="0.2">
      <c r="M562" s="5">
        <v>540</v>
      </c>
      <c r="N562" s="413" t="str">
        <f t="shared" si="48"/>
        <v xml:space="preserve"> </v>
      </c>
      <c r="O562" s="414">
        <f t="shared" si="49"/>
        <v>0</v>
      </c>
      <c r="P562" s="414">
        <f t="shared" si="50"/>
        <v>0</v>
      </c>
      <c r="Q562" s="145">
        <f t="shared" si="53"/>
        <v>-8</v>
      </c>
      <c r="R562" s="414">
        <f t="shared" si="51"/>
        <v>0</v>
      </c>
      <c r="S562" s="414">
        <f t="shared" si="52"/>
        <v>0</v>
      </c>
      <c r="T562" s="19"/>
      <c r="U562" s="5"/>
      <c r="V562" s="5"/>
      <c r="W562" s="5">
        <v>540</v>
      </c>
      <c r="X562" s="144" t="s">
        <v>718</v>
      </c>
      <c r="Y562" s="145"/>
      <c r="Z562" s="146"/>
      <c r="AA562" s="145"/>
      <c r="AB562" s="145"/>
      <c r="AD562" s="5">
        <v>540</v>
      </c>
      <c r="AE562" s="413" t="s">
        <v>718</v>
      </c>
      <c r="AF562" s="145"/>
      <c r="AG562" s="146"/>
      <c r="AH562" s="145"/>
      <c r="AI562" s="145"/>
      <c r="AK562" s="5">
        <v>540</v>
      </c>
      <c r="AL562" s="413" t="s">
        <v>718</v>
      </c>
      <c r="AM562" s="145"/>
      <c r="AN562" s="146"/>
      <c r="AO562" s="145"/>
      <c r="AP562" s="145"/>
      <c r="AR562" s="5">
        <v>540</v>
      </c>
      <c r="AS562" s="413" t="s">
        <v>3576</v>
      </c>
      <c r="AT562" s="145">
        <v>198</v>
      </c>
      <c r="AU562" s="146">
        <v>3.22</v>
      </c>
      <c r="AV562" s="145">
        <v>3541</v>
      </c>
      <c r="AW562" s="145">
        <v>-14</v>
      </c>
      <c r="AY562" s="5">
        <v>540</v>
      </c>
      <c r="AZ562" s="413" t="s">
        <v>718</v>
      </c>
      <c r="BA562" s="145"/>
      <c r="BB562" s="146"/>
      <c r="BC562" s="145"/>
      <c r="BD562" s="145"/>
      <c r="BF562" s="5">
        <v>540</v>
      </c>
      <c r="BG562" s="413" t="s">
        <v>718</v>
      </c>
      <c r="BH562" s="145"/>
      <c r="BI562" s="146"/>
      <c r="BJ562" s="145"/>
      <c r="BK562" s="145"/>
      <c r="BM562" s="5">
        <v>540</v>
      </c>
      <c r="BN562" s="413" t="s">
        <v>718</v>
      </c>
      <c r="BO562" s="145"/>
      <c r="BP562" s="146"/>
      <c r="BQ562" s="145"/>
      <c r="BR562" s="145"/>
      <c r="BS562" s="5"/>
      <c r="BT562" s="5">
        <v>540</v>
      </c>
      <c r="BU562" s="413" t="s">
        <v>718</v>
      </c>
      <c r="BV562" s="145"/>
      <c r="BW562" s="146"/>
      <c r="BX562" s="145"/>
      <c r="BY562" s="145"/>
      <c r="BZ562" s="5"/>
      <c r="CA562" s="5">
        <v>540</v>
      </c>
      <c r="CB562" s="413" t="s">
        <v>718</v>
      </c>
      <c r="CC562" s="145"/>
      <c r="CD562" s="146"/>
      <c r="CE562" s="145"/>
      <c r="CF562" s="145"/>
      <c r="CG562" s="5"/>
      <c r="CH562" s="5"/>
      <c r="CI562" s="5"/>
    </row>
    <row r="563" spans="13:87" x14ac:dyDescent="0.2">
      <c r="M563" s="5">
        <v>541</v>
      </c>
      <c r="N563" s="413" t="str">
        <f t="shared" si="48"/>
        <v xml:space="preserve"> </v>
      </c>
      <c r="O563" s="414">
        <f t="shared" si="49"/>
        <v>0</v>
      </c>
      <c r="P563" s="414">
        <f t="shared" si="50"/>
        <v>0</v>
      </c>
      <c r="Q563" s="145">
        <f t="shared" si="53"/>
        <v>-8</v>
      </c>
      <c r="R563" s="414">
        <f t="shared" si="51"/>
        <v>0</v>
      </c>
      <c r="S563" s="414">
        <f t="shared" si="52"/>
        <v>0</v>
      </c>
      <c r="T563" s="19"/>
      <c r="U563" s="5"/>
      <c r="V563" s="5"/>
      <c r="W563" s="5">
        <v>541</v>
      </c>
      <c r="X563" s="144" t="s">
        <v>718</v>
      </c>
      <c r="Y563" s="145"/>
      <c r="Z563" s="146"/>
      <c r="AA563" s="145"/>
      <c r="AB563" s="145"/>
      <c r="AD563" s="5">
        <v>541</v>
      </c>
      <c r="AE563" s="413" t="s">
        <v>718</v>
      </c>
      <c r="AF563" s="145"/>
      <c r="AG563" s="146"/>
      <c r="AH563" s="145"/>
      <c r="AI563" s="145"/>
      <c r="AK563" s="5">
        <v>541</v>
      </c>
      <c r="AL563" s="413" t="s">
        <v>718</v>
      </c>
      <c r="AM563" s="145"/>
      <c r="AN563" s="146"/>
      <c r="AO563" s="145"/>
      <c r="AP563" s="145"/>
      <c r="AR563" s="5">
        <v>541</v>
      </c>
      <c r="AS563" s="413" t="s">
        <v>3577</v>
      </c>
      <c r="AT563" s="145">
        <v>288</v>
      </c>
      <c r="AU563" s="146">
        <v>3.25</v>
      </c>
      <c r="AV563" s="145">
        <v>3685</v>
      </c>
      <c r="AW563" s="145">
        <v>-14</v>
      </c>
      <c r="AY563" s="5">
        <v>541</v>
      </c>
      <c r="AZ563" s="413" t="s">
        <v>718</v>
      </c>
      <c r="BA563" s="145"/>
      <c r="BB563" s="146"/>
      <c r="BC563" s="145"/>
      <c r="BD563" s="145"/>
      <c r="BF563" s="5">
        <v>541</v>
      </c>
      <c r="BG563" s="413" t="s">
        <v>718</v>
      </c>
      <c r="BH563" s="145"/>
      <c r="BI563" s="146"/>
      <c r="BJ563" s="145"/>
      <c r="BK563" s="145"/>
      <c r="BM563" s="5">
        <v>541</v>
      </c>
      <c r="BN563" s="413" t="s">
        <v>718</v>
      </c>
      <c r="BO563" s="145"/>
      <c r="BP563" s="146"/>
      <c r="BQ563" s="145"/>
      <c r="BR563" s="145"/>
      <c r="BS563" s="5"/>
      <c r="BT563" s="5">
        <v>541</v>
      </c>
      <c r="BU563" s="413" t="s">
        <v>718</v>
      </c>
      <c r="BV563" s="145"/>
      <c r="BW563" s="146"/>
      <c r="BX563" s="145"/>
      <c r="BY563" s="145"/>
      <c r="BZ563" s="5"/>
      <c r="CA563" s="5">
        <v>541</v>
      </c>
      <c r="CB563" s="413" t="s">
        <v>718</v>
      </c>
      <c r="CC563" s="145"/>
      <c r="CD563" s="146"/>
      <c r="CE563" s="145"/>
      <c r="CF563" s="145"/>
      <c r="CG563" s="5"/>
      <c r="CH563" s="5"/>
      <c r="CI563" s="5"/>
    </row>
    <row r="564" spans="13:87" x14ac:dyDescent="0.2">
      <c r="M564" s="5">
        <v>542</v>
      </c>
      <c r="N564" s="413" t="str">
        <f t="shared" si="48"/>
        <v xml:space="preserve"> </v>
      </c>
      <c r="O564" s="414">
        <f t="shared" si="49"/>
        <v>0</v>
      </c>
      <c r="P564" s="414">
        <f t="shared" si="50"/>
        <v>0</v>
      </c>
      <c r="Q564" s="145">
        <f t="shared" si="53"/>
        <v>-8</v>
      </c>
      <c r="R564" s="414">
        <f t="shared" si="51"/>
        <v>0</v>
      </c>
      <c r="S564" s="414">
        <f t="shared" si="52"/>
        <v>0</v>
      </c>
      <c r="T564" s="19"/>
      <c r="U564" s="5"/>
      <c r="V564" s="5"/>
      <c r="W564" s="5">
        <v>542</v>
      </c>
      <c r="X564" s="144" t="s">
        <v>718</v>
      </c>
      <c r="Y564" s="145"/>
      <c r="Z564" s="146"/>
      <c r="AA564" s="145"/>
      <c r="AB564" s="145"/>
      <c r="AD564" s="5">
        <v>542</v>
      </c>
      <c r="AE564" s="413" t="s">
        <v>718</v>
      </c>
      <c r="AF564" s="145"/>
      <c r="AG564" s="146"/>
      <c r="AH564" s="145"/>
      <c r="AI564" s="145"/>
      <c r="AK564" s="5">
        <v>542</v>
      </c>
      <c r="AL564" s="413" t="s">
        <v>718</v>
      </c>
      <c r="AM564" s="145"/>
      <c r="AN564" s="146"/>
      <c r="AO564" s="145"/>
      <c r="AP564" s="145"/>
      <c r="AR564" s="5">
        <v>542</v>
      </c>
      <c r="AS564" s="413" t="s">
        <v>3578</v>
      </c>
      <c r="AT564" s="145">
        <v>198</v>
      </c>
      <c r="AU564" s="146">
        <v>3.48</v>
      </c>
      <c r="AV564" s="145">
        <v>3452</v>
      </c>
      <c r="AW564" s="145">
        <v>-13</v>
      </c>
      <c r="AY564" s="5">
        <v>542</v>
      </c>
      <c r="AZ564" s="413" t="s">
        <v>718</v>
      </c>
      <c r="BA564" s="145"/>
      <c r="BB564" s="146"/>
      <c r="BC564" s="145"/>
      <c r="BD564" s="145"/>
      <c r="BF564" s="5">
        <v>542</v>
      </c>
      <c r="BG564" s="413" t="s">
        <v>718</v>
      </c>
      <c r="BH564" s="145"/>
      <c r="BI564" s="146"/>
      <c r="BJ564" s="145"/>
      <c r="BK564" s="145"/>
      <c r="BM564" s="5">
        <v>542</v>
      </c>
      <c r="BN564" s="413" t="s">
        <v>718</v>
      </c>
      <c r="BO564" s="145"/>
      <c r="BP564" s="146"/>
      <c r="BQ564" s="145"/>
      <c r="BR564" s="145"/>
      <c r="BS564" s="5"/>
      <c r="BT564" s="5">
        <v>542</v>
      </c>
      <c r="BU564" s="413" t="s">
        <v>718</v>
      </c>
      <c r="BV564" s="145"/>
      <c r="BW564" s="146"/>
      <c r="BX564" s="145"/>
      <c r="BY564" s="145"/>
      <c r="BZ564" s="5"/>
      <c r="CA564" s="5">
        <v>542</v>
      </c>
      <c r="CB564" s="413" t="s">
        <v>718</v>
      </c>
      <c r="CC564" s="145"/>
      <c r="CD564" s="146"/>
      <c r="CE564" s="145"/>
      <c r="CF564" s="145"/>
      <c r="CG564" s="5"/>
      <c r="CH564" s="5"/>
      <c r="CI564" s="5"/>
    </row>
    <row r="565" spans="13:87" x14ac:dyDescent="0.2">
      <c r="M565" s="5">
        <v>543</v>
      </c>
      <c r="N565" s="413" t="str">
        <f t="shared" si="48"/>
        <v xml:space="preserve"> </v>
      </c>
      <c r="O565" s="414">
        <f t="shared" si="49"/>
        <v>0</v>
      </c>
      <c r="P565" s="414">
        <f t="shared" si="50"/>
        <v>0</v>
      </c>
      <c r="Q565" s="145">
        <f t="shared" si="53"/>
        <v>-8</v>
      </c>
      <c r="R565" s="414">
        <f t="shared" si="51"/>
        <v>0</v>
      </c>
      <c r="S565" s="414">
        <f t="shared" si="52"/>
        <v>0</v>
      </c>
      <c r="T565" s="19"/>
      <c r="U565" s="5"/>
      <c r="V565" s="5"/>
      <c r="W565" s="5">
        <v>543</v>
      </c>
      <c r="X565" s="144" t="s">
        <v>718</v>
      </c>
      <c r="Y565" s="145"/>
      <c r="Z565" s="146"/>
      <c r="AA565" s="145"/>
      <c r="AB565" s="145"/>
      <c r="AD565" s="5">
        <v>543</v>
      </c>
      <c r="AE565" s="413" t="s">
        <v>718</v>
      </c>
      <c r="AF565" s="145"/>
      <c r="AG565" s="146"/>
      <c r="AH565" s="145"/>
      <c r="AI565" s="145"/>
      <c r="AK565" s="5">
        <v>543</v>
      </c>
      <c r="AL565" s="413" t="s">
        <v>718</v>
      </c>
      <c r="AM565" s="145"/>
      <c r="AN565" s="146"/>
      <c r="AO565" s="145"/>
      <c r="AP565" s="145"/>
      <c r="AR565" s="5">
        <v>543</v>
      </c>
      <c r="AS565" s="413" t="s">
        <v>3579</v>
      </c>
      <c r="AT565" s="145">
        <v>340</v>
      </c>
      <c r="AU565" s="146">
        <v>3.31</v>
      </c>
      <c r="AV565" s="145">
        <v>3639</v>
      </c>
      <c r="AW565" s="145">
        <v>-14</v>
      </c>
      <c r="AY565" s="5">
        <v>543</v>
      </c>
      <c r="AZ565" s="413" t="s">
        <v>718</v>
      </c>
      <c r="BA565" s="145"/>
      <c r="BB565" s="146"/>
      <c r="BC565" s="145"/>
      <c r="BD565" s="145"/>
      <c r="BF565" s="5">
        <v>543</v>
      </c>
      <c r="BG565" s="413" t="s">
        <v>718</v>
      </c>
      <c r="BH565" s="145"/>
      <c r="BI565" s="146"/>
      <c r="BJ565" s="145"/>
      <c r="BK565" s="145"/>
      <c r="BM565" s="5">
        <v>543</v>
      </c>
      <c r="BN565" s="413" t="s">
        <v>718</v>
      </c>
      <c r="BO565" s="145"/>
      <c r="BP565" s="146"/>
      <c r="BQ565" s="145"/>
      <c r="BR565" s="145"/>
      <c r="BS565" s="5"/>
      <c r="BT565" s="5">
        <v>543</v>
      </c>
      <c r="BU565" s="413" t="s">
        <v>718</v>
      </c>
      <c r="BV565" s="145"/>
      <c r="BW565" s="146"/>
      <c r="BX565" s="145"/>
      <c r="BY565" s="145"/>
      <c r="BZ565" s="5"/>
      <c r="CA565" s="5">
        <v>543</v>
      </c>
      <c r="CB565" s="413" t="s">
        <v>718</v>
      </c>
      <c r="CC565" s="145"/>
      <c r="CD565" s="146"/>
      <c r="CE565" s="145"/>
      <c r="CF565" s="145"/>
      <c r="CG565" s="5"/>
      <c r="CH565" s="5"/>
      <c r="CI565" s="5"/>
    </row>
    <row r="566" spans="13:87" x14ac:dyDescent="0.2">
      <c r="M566" s="5">
        <v>544</v>
      </c>
      <c r="N566" s="413" t="str">
        <f t="shared" si="48"/>
        <v xml:space="preserve"> </v>
      </c>
      <c r="O566" s="414">
        <f t="shared" si="49"/>
        <v>0</v>
      </c>
      <c r="P566" s="414">
        <f t="shared" si="50"/>
        <v>0</v>
      </c>
      <c r="Q566" s="145">
        <f t="shared" si="53"/>
        <v>-8</v>
      </c>
      <c r="R566" s="414">
        <f t="shared" si="51"/>
        <v>0</v>
      </c>
      <c r="S566" s="414">
        <f t="shared" si="52"/>
        <v>0</v>
      </c>
      <c r="T566" s="19"/>
      <c r="U566" s="5"/>
      <c r="V566" s="5"/>
      <c r="W566" s="5">
        <v>544</v>
      </c>
      <c r="X566" s="144" t="s">
        <v>718</v>
      </c>
      <c r="Y566" s="145"/>
      <c r="Z566" s="146"/>
      <c r="AA566" s="145"/>
      <c r="AB566" s="145"/>
      <c r="AD566" s="5">
        <v>544</v>
      </c>
      <c r="AE566" s="413" t="s">
        <v>718</v>
      </c>
      <c r="AF566" s="145"/>
      <c r="AG566" s="146"/>
      <c r="AH566" s="145"/>
      <c r="AI566" s="145"/>
      <c r="AK566" s="5">
        <v>544</v>
      </c>
      <c r="AL566" s="413" t="s">
        <v>718</v>
      </c>
      <c r="AM566" s="145"/>
      <c r="AN566" s="146"/>
      <c r="AO566" s="145"/>
      <c r="AP566" s="145"/>
      <c r="AR566" s="5">
        <v>544</v>
      </c>
      <c r="AS566" s="413" t="s">
        <v>3580</v>
      </c>
      <c r="AT566" s="145">
        <v>183</v>
      </c>
      <c r="AU566" s="146">
        <v>3.22</v>
      </c>
      <c r="AV566" s="145">
        <v>3575</v>
      </c>
      <c r="AW566" s="145">
        <v>-14</v>
      </c>
      <c r="AY566" s="5">
        <v>544</v>
      </c>
      <c r="AZ566" s="413" t="s">
        <v>718</v>
      </c>
      <c r="BA566" s="145"/>
      <c r="BB566" s="146"/>
      <c r="BC566" s="145"/>
      <c r="BD566" s="145"/>
      <c r="BF566" s="5">
        <v>544</v>
      </c>
      <c r="BG566" s="413" t="s">
        <v>718</v>
      </c>
      <c r="BH566" s="145"/>
      <c r="BI566" s="146"/>
      <c r="BJ566" s="145"/>
      <c r="BK566" s="145"/>
      <c r="BM566" s="5">
        <v>544</v>
      </c>
      <c r="BN566" s="413" t="s">
        <v>718</v>
      </c>
      <c r="BO566" s="145"/>
      <c r="BP566" s="146"/>
      <c r="BQ566" s="145"/>
      <c r="BR566" s="145"/>
      <c r="BS566" s="5"/>
      <c r="BT566" s="5">
        <v>544</v>
      </c>
      <c r="BU566" s="413" t="s">
        <v>718</v>
      </c>
      <c r="BV566" s="145"/>
      <c r="BW566" s="146"/>
      <c r="BX566" s="145"/>
      <c r="BY566" s="145"/>
      <c r="BZ566" s="5"/>
      <c r="CA566" s="5">
        <v>544</v>
      </c>
      <c r="CB566" s="413" t="s">
        <v>718</v>
      </c>
      <c r="CC566" s="145"/>
      <c r="CD566" s="146"/>
      <c r="CE566" s="145"/>
      <c r="CF566" s="145"/>
      <c r="CG566" s="5"/>
      <c r="CH566" s="5"/>
      <c r="CI566" s="5"/>
    </row>
    <row r="567" spans="13:87" x14ac:dyDescent="0.2">
      <c r="M567" s="5">
        <v>545</v>
      </c>
      <c r="N567" s="413" t="str">
        <f t="shared" si="48"/>
        <v xml:space="preserve"> </v>
      </c>
      <c r="O567" s="414">
        <f t="shared" si="49"/>
        <v>0</v>
      </c>
      <c r="P567" s="414">
        <f t="shared" si="50"/>
        <v>0</v>
      </c>
      <c r="Q567" s="145">
        <f t="shared" si="53"/>
        <v>-8</v>
      </c>
      <c r="R567" s="414">
        <f t="shared" si="51"/>
        <v>0</v>
      </c>
      <c r="S567" s="414">
        <f t="shared" si="52"/>
        <v>0</v>
      </c>
      <c r="T567" s="19"/>
      <c r="U567" s="5"/>
      <c r="V567" s="5"/>
      <c r="W567" s="5">
        <v>545</v>
      </c>
      <c r="X567" s="144" t="s">
        <v>718</v>
      </c>
      <c r="Y567" s="145"/>
      <c r="Z567" s="146"/>
      <c r="AA567" s="145"/>
      <c r="AB567" s="145"/>
      <c r="AD567" s="5">
        <v>545</v>
      </c>
      <c r="AE567" s="413" t="s">
        <v>718</v>
      </c>
      <c r="AF567" s="145"/>
      <c r="AG567" s="146"/>
      <c r="AH567" s="145"/>
      <c r="AI567" s="145"/>
      <c r="AK567" s="5">
        <v>545</v>
      </c>
      <c r="AL567" s="413" t="s">
        <v>718</v>
      </c>
      <c r="AM567" s="145"/>
      <c r="AN567" s="146"/>
      <c r="AO567" s="145"/>
      <c r="AP567" s="145"/>
      <c r="AR567" s="5">
        <v>545</v>
      </c>
      <c r="AS567" s="413" t="s">
        <v>3581</v>
      </c>
      <c r="AT567" s="145">
        <v>359</v>
      </c>
      <c r="AU567" s="146">
        <v>3.22</v>
      </c>
      <c r="AV567" s="145">
        <v>3759</v>
      </c>
      <c r="AW567" s="145">
        <v>-14</v>
      </c>
      <c r="AY567" s="5">
        <v>545</v>
      </c>
      <c r="AZ567" s="413" t="s">
        <v>718</v>
      </c>
      <c r="BA567" s="145"/>
      <c r="BB567" s="146"/>
      <c r="BC567" s="145"/>
      <c r="BD567" s="145"/>
      <c r="BF567" s="5">
        <v>545</v>
      </c>
      <c r="BG567" s="413" t="s">
        <v>718</v>
      </c>
      <c r="BH567" s="145"/>
      <c r="BI567" s="146"/>
      <c r="BJ567" s="145"/>
      <c r="BK567" s="145"/>
      <c r="BM567" s="5">
        <v>545</v>
      </c>
      <c r="BN567" s="413" t="s">
        <v>718</v>
      </c>
      <c r="BO567" s="145"/>
      <c r="BP567" s="146"/>
      <c r="BQ567" s="145"/>
      <c r="BR567" s="145"/>
      <c r="BS567" s="5"/>
      <c r="BT567" s="5">
        <v>545</v>
      </c>
      <c r="BU567" s="413" t="s">
        <v>718</v>
      </c>
      <c r="BV567" s="145"/>
      <c r="BW567" s="146"/>
      <c r="BX567" s="145"/>
      <c r="BY567" s="145"/>
      <c r="BZ567" s="5"/>
      <c r="CA567" s="5">
        <v>545</v>
      </c>
      <c r="CB567" s="413" t="s">
        <v>718</v>
      </c>
      <c r="CC567" s="145"/>
      <c r="CD567" s="146"/>
      <c r="CE567" s="145"/>
      <c r="CF567" s="145"/>
      <c r="CG567" s="5"/>
      <c r="CH567" s="5"/>
      <c r="CI567" s="5"/>
    </row>
    <row r="568" spans="13:87" x14ac:dyDescent="0.2">
      <c r="M568" s="5">
        <v>546</v>
      </c>
      <c r="N568" s="413" t="str">
        <f t="shared" si="48"/>
        <v xml:space="preserve"> </v>
      </c>
      <c r="O568" s="414">
        <f t="shared" si="49"/>
        <v>0</v>
      </c>
      <c r="P568" s="414">
        <f t="shared" si="50"/>
        <v>0</v>
      </c>
      <c r="Q568" s="145">
        <f t="shared" si="53"/>
        <v>-8</v>
      </c>
      <c r="R568" s="414">
        <f t="shared" si="51"/>
        <v>0</v>
      </c>
      <c r="S568" s="414">
        <f t="shared" si="52"/>
        <v>0</v>
      </c>
      <c r="T568" s="19"/>
      <c r="U568" s="5"/>
      <c r="V568" s="5"/>
      <c r="W568" s="5">
        <v>546</v>
      </c>
      <c r="X568" s="144" t="s">
        <v>718</v>
      </c>
      <c r="Y568" s="145"/>
      <c r="Z568" s="146"/>
      <c r="AA568" s="145"/>
      <c r="AB568" s="145"/>
      <c r="AD568" s="5">
        <v>546</v>
      </c>
      <c r="AE568" s="413" t="s">
        <v>718</v>
      </c>
      <c r="AF568" s="145"/>
      <c r="AG568" s="146"/>
      <c r="AH568" s="145"/>
      <c r="AI568" s="145"/>
      <c r="AK568" s="5">
        <v>546</v>
      </c>
      <c r="AL568" s="413" t="s">
        <v>718</v>
      </c>
      <c r="AM568" s="145"/>
      <c r="AN568" s="146"/>
      <c r="AO568" s="145"/>
      <c r="AP568" s="145"/>
      <c r="AR568" s="5">
        <v>546</v>
      </c>
      <c r="AS568" s="413" t="s">
        <v>3582</v>
      </c>
      <c r="AT568" s="145">
        <v>529</v>
      </c>
      <c r="AU568" s="146">
        <v>2.44</v>
      </c>
      <c r="AV568" s="145">
        <v>4372</v>
      </c>
      <c r="AW568" s="145">
        <v>-17</v>
      </c>
      <c r="AY568" s="5">
        <v>546</v>
      </c>
      <c r="AZ568" s="413" t="s">
        <v>718</v>
      </c>
      <c r="BA568" s="145"/>
      <c r="BB568" s="146"/>
      <c r="BC568" s="145"/>
      <c r="BD568" s="145"/>
      <c r="BF568" s="5">
        <v>546</v>
      </c>
      <c r="BG568" s="413" t="s">
        <v>718</v>
      </c>
      <c r="BH568" s="145"/>
      <c r="BI568" s="146"/>
      <c r="BJ568" s="145"/>
      <c r="BK568" s="145"/>
      <c r="BM568" s="5">
        <v>546</v>
      </c>
      <c r="BN568" s="413" t="s">
        <v>718</v>
      </c>
      <c r="BO568" s="145"/>
      <c r="BP568" s="146"/>
      <c r="BQ568" s="145"/>
      <c r="BR568" s="145"/>
      <c r="BS568" s="5"/>
      <c r="BT568" s="5">
        <v>546</v>
      </c>
      <c r="BU568" s="413" t="s">
        <v>718</v>
      </c>
      <c r="BV568" s="145"/>
      <c r="BW568" s="146"/>
      <c r="BX568" s="145"/>
      <c r="BY568" s="145"/>
      <c r="BZ568" s="5"/>
      <c r="CA568" s="5">
        <v>546</v>
      </c>
      <c r="CB568" s="413" t="s">
        <v>718</v>
      </c>
      <c r="CC568" s="145"/>
      <c r="CD568" s="146"/>
      <c r="CE568" s="145"/>
      <c r="CF568" s="145"/>
      <c r="CG568" s="5"/>
      <c r="CH568" s="5"/>
      <c r="CI568" s="5"/>
    </row>
    <row r="569" spans="13:87" x14ac:dyDescent="0.2">
      <c r="M569" s="5">
        <v>547</v>
      </c>
      <c r="N569" s="413" t="str">
        <f t="shared" si="48"/>
        <v xml:space="preserve"> </v>
      </c>
      <c r="O569" s="414">
        <f t="shared" si="49"/>
        <v>0</v>
      </c>
      <c r="P569" s="414">
        <f t="shared" si="50"/>
        <v>0</v>
      </c>
      <c r="Q569" s="145">
        <f t="shared" si="53"/>
        <v>-8</v>
      </c>
      <c r="R569" s="414">
        <f t="shared" si="51"/>
        <v>0</v>
      </c>
      <c r="S569" s="414">
        <f t="shared" si="52"/>
        <v>0</v>
      </c>
      <c r="T569" s="19"/>
      <c r="U569" s="5"/>
      <c r="V569" s="5"/>
      <c r="W569" s="5">
        <v>547</v>
      </c>
      <c r="X569" s="144" t="s">
        <v>718</v>
      </c>
      <c r="Y569" s="145"/>
      <c r="Z569" s="146"/>
      <c r="AA569" s="145"/>
      <c r="AB569" s="145"/>
      <c r="AD569" s="5">
        <v>547</v>
      </c>
      <c r="AE569" s="413" t="s">
        <v>718</v>
      </c>
      <c r="AF569" s="145"/>
      <c r="AG569" s="146"/>
      <c r="AH569" s="145"/>
      <c r="AI569" s="145"/>
      <c r="AK569" s="5">
        <v>547</v>
      </c>
      <c r="AL569" s="413" t="s">
        <v>718</v>
      </c>
      <c r="AM569" s="145"/>
      <c r="AN569" s="146"/>
      <c r="AO569" s="145"/>
      <c r="AP569" s="145"/>
      <c r="AR569" s="5">
        <v>547</v>
      </c>
      <c r="AS569" s="413" t="s">
        <v>3583</v>
      </c>
      <c r="AT569" s="145">
        <v>194</v>
      </c>
      <c r="AU569" s="146">
        <v>3.56</v>
      </c>
      <c r="AV569" s="145">
        <v>3486</v>
      </c>
      <c r="AW569" s="145">
        <v>-13</v>
      </c>
      <c r="AY569" s="5">
        <v>547</v>
      </c>
      <c r="AZ569" s="413" t="s">
        <v>718</v>
      </c>
      <c r="BA569" s="145"/>
      <c r="BB569" s="146"/>
      <c r="BC569" s="145"/>
      <c r="BD569" s="145"/>
      <c r="BF569" s="5">
        <v>547</v>
      </c>
      <c r="BG569" s="413" t="s">
        <v>718</v>
      </c>
      <c r="BH569" s="145"/>
      <c r="BI569" s="146"/>
      <c r="BJ569" s="145"/>
      <c r="BK569" s="145"/>
      <c r="BM569" s="5">
        <v>547</v>
      </c>
      <c r="BN569" s="413" t="s">
        <v>718</v>
      </c>
      <c r="BO569" s="145"/>
      <c r="BP569" s="146"/>
      <c r="BQ569" s="145"/>
      <c r="BR569" s="145"/>
      <c r="BS569" s="5"/>
      <c r="BT569" s="5">
        <v>547</v>
      </c>
      <c r="BU569" s="413" t="s">
        <v>718</v>
      </c>
      <c r="BV569" s="145"/>
      <c r="BW569" s="146"/>
      <c r="BX569" s="145"/>
      <c r="BY569" s="145"/>
      <c r="BZ569" s="5"/>
      <c r="CA569" s="5">
        <v>547</v>
      </c>
      <c r="CB569" s="413" t="s">
        <v>718</v>
      </c>
      <c r="CC569" s="145"/>
      <c r="CD569" s="146"/>
      <c r="CE569" s="145"/>
      <c r="CF569" s="145"/>
      <c r="CG569" s="5"/>
      <c r="CH569" s="5"/>
      <c r="CI569" s="5"/>
    </row>
    <row r="570" spans="13:87" x14ac:dyDescent="0.2">
      <c r="M570" s="5">
        <v>548</v>
      </c>
      <c r="N570" s="413" t="str">
        <f t="shared" si="48"/>
        <v xml:space="preserve"> </v>
      </c>
      <c r="O570" s="414">
        <f t="shared" si="49"/>
        <v>0</v>
      </c>
      <c r="P570" s="414">
        <f t="shared" si="50"/>
        <v>0</v>
      </c>
      <c r="Q570" s="145">
        <f t="shared" si="53"/>
        <v>-8</v>
      </c>
      <c r="R570" s="414">
        <f t="shared" si="51"/>
        <v>0</v>
      </c>
      <c r="S570" s="414">
        <f t="shared" si="52"/>
        <v>0</v>
      </c>
      <c r="T570" s="19"/>
      <c r="U570" s="5"/>
      <c r="V570" s="5"/>
      <c r="W570" s="5">
        <v>548</v>
      </c>
      <c r="X570" s="144" t="s">
        <v>718</v>
      </c>
      <c r="Y570" s="145"/>
      <c r="Z570" s="146"/>
      <c r="AA570" s="145"/>
      <c r="AB570" s="145"/>
      <c r="AD570" s="5">
        <v>548</v>
      </c>
      <c r="AE570" s="413" t="s">
        <v>718</v>
      </c>
      <c r="AF570" s="145"/>
      <c r="AG570" s="146"/>
      <c r="AH570" s="145"/>
      <c r="AI570" s="145"/>
      <c r="AK570" s="5">
        <v>548</v>
      </c>
      <c r="AL570" s="413" t="s">
        <v>718</v>
      </c>
      <c r="AM570" s="145"/>
      <c r="AN570" s="146"/>
      <c r="AO570" s="145"/>
      <c r="AP570" s="145"/>
      <c r="AR570" s="5">
        <v>548</v>
      </c>
      <c r="AS570" s="413" t="s">
        <v>3584</v>
      </c>
      <c r="AT570" s="145">
        <v>510</v>
      </c>
      <c r="AU570" s="146">
        <v>2.6</v>
      </c>
      <c r="AV570" s="145">
        <v>4229</v>
      </c>
      <c r="AW570" s="145">
        <v>-16</v>
      </c>
      <c r="AY570" s="5">
        <v>548</v>
      </c>
      <c r="AZ570" s="413" t="s">
        <v>718</v>
      </c>
      <c r="BA570" s="145"/>
      <c r="BB570" s="146"/>
      <c r="BC570" s="145"/>
      <c r="BD570" s="145"/>
      <c r="BF570" s="5">
        <v>548</v>
      </c>
      <c r="BG570" s="413" t="s">
        <v>718</v>
      </c>
      <c r="BH570" s="145"/>
      <c r="BI570" s="146"/>
      <c r="BJ570" s="145"/>
      <c r="BK570" s="145"/>
      <c r="BM570" s="5">
        <v>548</v>
      </c>
      <c r="BN570" s="413" t="s">
        <v>718</v>
      </c>
      <c r="BO570" s="145"/>
      <c r="BP570" s="146"/>
      <c r="BQ570" s="145"/>
      <c r="BR570" s="145"/>
      <c r="BS570" s="5"/>
      <c r="BT570" s="5">
        <v>548</v>
      </c>
      <c r="BU570" s="413" t="s">
        <v>718</v>
      </c>
      <c r="BV570" s="145"/>
      <c r="BW570" s="146"/>
      <c r="BX570" s="145"/>
      <c r="BY570" s="145"/>
      <c r="BZ570" s="5"/>
      <c r="CA570" s="5">
        <v>548</v>
      </c>
      <c r="CB570" s="413" t="s">
        <v>718</v>
      </c>
      <c r="CC570" s="145"/>
      <c r="CD570" s="146"/>
      <c r="CE570" s="145"/>
      <c r="CF570" s="145"/>
      <c r="CG570" s="5"/>
      <c r="CH570" s="5"/>
      <c r="CI570" s="5"/>
    </row>
    <row r="571" spans="13:87" x14ac:dyDescent="0.2">
      <c r="M571" s="5">
        <v>549</v>
      </c>
      <c r="N571" s="413" t="str">
        <f t="shared" si="48"/>
        <v xml:space="preserve"> </v>
      </c>
      <c r="O571" s="414">
        <f t="shared" si="49"/>
        <v>0</v>
      </c>
      <c r="P571" s="414">
        <f t="shared" si="50"/>
        <v>0</v>
      </c>
      <c r="Q571" s="145">
        <f t="shared" si="53"/>
        <v>-8</v>
      </c>
      <c r="R571" s="414">
        <f t="shared" si="51"/>
        <v>0</v>
      </c>
      <c r="S571" s="414">
        <f t="shared" si="52"/>
        <v>0</v>
      </c>
      <c r="T571" s="19"/>
      <c r="U571" s="5"/>
      <c r="V571" s="5"/>
      <c r="W571" s="5">
        <v>549</v>
      </c>
      <c r="X571" s="144" t="s">
        <v>718</v>
      </c>
      <c r="Y571" s="145"/>
      <c r="Z571" s="146"/>
      <c r="AA571" s="145"/>
      <c r="AB571" s="145"/>
      <c r="AD571" s="5">
        <v>549</v>
      </c>
      <c r="AE571" s="413" t="s">
        <v>718</v>
      </c>
      <c r="AF571" s="145"/>
      <c r="AG571" s="146"/>
      <c r="AH571" s="145"/>
      <c r="AI571" s="145"/>
      <c r="AK571" s="5">
        <v>549</v>
      </c>
      <c r="AL571" s="413" t="s">
        <v>718</v>
      </c>
      <c r="AM571" s="145"/>
      <c r="AN571" s="146"/>
      <c r="AO571" s="145"/>
      <c r="AP571" s="145"/>
      <c r="AR571" s="5">
        <v>549</v>
      </c>
      <c r="AS571" s="413" t="s">
        <v>3585</v>
      </c>
      <c r="AT571" s="145">
        <v>355</v>
      </c>
      <c r="AU571" s="146">
        <v>3.2</v>
      </c>
      <c r="AV571" s="145">
        <v>3830</v>
      </c>
      <c r="AW571" s="145">
        <v>-14</v>
      </c>
      <c r="AY571" s="5">
        <v>549</v>
      </c>
      <c r="AZ571" s="413" t="s">
        <v>718</v>
      </c>
      <c r="BA571" s="145"/>
      <c r="BB571" s="146"/>
      <c r="BC571" s="145"/>
      <c r="BD571" s="145"/>
      <c r="BF571" s="5">
        <v>549</v>
      </c>
      <c r="BG571" s="413" t="s">
        <v>718</v>
      </c>
      <c r="BH571" s="145"/>
      <c r="BI571" s="146"/>
      <c r="BJ571" s="145"/>
      <c r="BK571" s="145"/>
      <c r="BM571" s="5">
        <v>549</v>
      </c>
      <c r="BN571" s="413" t="s">
        <v>718</v>
      </c>
      <c r="BO571" s="145"/>
      <c r="BP571" s="146"/>
      <c r="BQ571" s="145"/>
      <c r="BR571" s="145"/>
      <c r="BS571" s="5"/>
      <c r="BT571" s="5">
        <v>549</v>
      </c>
      <c r="BU571" s="413" t="s">
        <v>718</v>
      </c>
      <c r="BV571" s="145"/>
      <c r="BW571" s="146"/>
      <c r="BX571" s="145"/>
      <c r="BY571" s="145"/>
      <c r="BZ571" s="5"/>
      <c r="CA571" s="5">
        <v>549</v>
      </c>
      <c r="CB571" s="413" t="s">
        <v>718</v>
      </c>
      <c r="CC571" s="145"/>
      <c r="CD571" s="146"/>
      <c r="CE571" s="145"/>
      <c r="CF571" s="145"/>
      <c r="CG571" s="5"/>
      <c r="CH571" s="5"/>
      <c r="CI571" s="5"/>
    </row>
    <row r="572" spans="13:87" x14ac:dyDescent="0.2">
      <c r="M572" s="5">
        <v>550</v>
      </c>
      <c r="N572" s="413" t="str">
        <f t="shared" si="48"/>
        <v xml:space="preserve"> </v>
      </c>
      <c r="O572" s="414">
        <f t="shared" si="49"/>
        <v>0</v>
      </c>
      <c r="P572" s="414">
        <f t="shared" si="50"/>
        <v>0</v>
      </c>
      <c r="Q572" s="145">
        <f t="shared" si="53"/>
        <v>-8</v>
      </c>
      <c r="R572" s="414">
        <f t="shared" si="51"/>
        <v>0</v>
      </c>
      <c r="S572" s="414">
        <f t="shared" si="52"/>
        <v>0</v>
      </c>
      <c r="T572" s="19"/>
      <c r="U572" s="5"/>
      <c r="V572" s="5"/>
      <c r="W572" s="5">
        <v>550</v>
      </c>
      <c r="X572" s="144" t="s">
        <v>718</v>
      </c>
      <c r="Y572" s="145"/>
      <c r="Z572" s="146"/>
      <c r="AA572" s="145"/>
      <c r="AB572" s="145"/>
      <c r="AD572" s="5">
        <v>550</v>
      </c>
      <c r="AE572" s="413" t="s">
        <v>718</v>
      </c>
      <c r="AF572" s="145"/>
      <c r="AG572" s="146"/>
      <c r="AH572" s="145"/>
      <c r="AI572" s="145"/>
      <c r="AK572" s="5">
        <v>550</v>
      </c>
      <c r="AL572" s="413" t="s">
        <v>718</v>
      </c>
      <c r="AM572" s="145"/>
      <c r="AN572" s="146"/>
      <c r="AO572" s="145"/>
      <c r="AP572" s="145"/>
      <c r="AR572" s="5">
        <v>550</v>
      </c>
      <c r="AS572" s="413" t="s">
        <v>3586</v>
      </c>
      <c r="AT572" s="145">
        <v>330</v>
      </c>
      <c r="AU572" s="146">
        <v>3.2</v>
      </c>
      <c r="AV572" s="145">
        <v>3779</v>
      </c>
      <c r="AW572" s="145">
        <v>-14</v>
      </c>
      <c r="AY572" s="5">
        <v>550</v>
      </c>
      <c r="AZ572" s="413" t="s">
        <v>718</v>
      </c>
      <c r="BA572" s="145"/>
      <c r="BB572" s="146"/>
      <c r="BC572" s="145"/>
      <c r="BD572" s="145"/>
      <c r="BF572" s="5">
        <v>550</v>
      </c>
      <c r="BG572" s="413" t="s">
        <v>718</v>
      </c>
      <c r="BH572" s="145"/>
      <c r="BI572" s="146"/>
      <c r="BJ572" s="145"/>
      <c r="BK572" s="145"/>
      <c r="BM572" s="5">
        <v>550</v>
      </c>
      <c r="BN572" s="413" t="s">
        <v>718</v>
      </c>
      <c r="BO572" s="145"/>
      <c r="BP572" s="146"/>
      <c r="BQ572" s="145"/>
      <c r="BR572" s="145"/>
      <c r="BS572" s="5"/>
      <c r="BT572" s="5">
        <v>550</v>
      </c>
      <c r="BU572" s="413" t="s">
        <v>718</v>
      </c>
      <c r="BV572" s="145"/>
      <c r="BW572" s="146"/>
      <c r="BX572" s="145"/>
      <c r="BY572" s="145"/>
      <c r="BZ572" s="5"/>
      <c r="CA572" s="5">
        <v>550</v>
      </c>
      <c r="CB572" s="413" t="s">
        <v>718</v>
      </c>
      <c r="CC572" s="145"/>
      <c r="CD572" s="146"/>
      <c r="CE572" s="145"/>
      <c r="CF572" s="145"/>
      <c r="CG572" s="5"/>
      <c r="CH572" s="5"/>
      <c r="CI572" s="5"/>
    </row>
    <row r="573" spans="13:87" x14ac:dyDescent="0.2">
      <c r="M573" s="5">
        <v>551</v>
      </c>
      <c r="N573" s="413" t="str">
        <f t="shared" si="48"/>
        <v xml:space="preserve"> </v>
      </c>
      <c r="O573" s="414">
        <f t="shared" si="49"/>
        <v>0</v>
      </c>
      <c r="P573" s="414">
        <f t="shared" si="50"/>
        <v>0</v>
      </c>
      <c r="Q573" s="145">
        <f t="shared" si="53"/>
        <v>-8</v>
      </c>
      <c r="R573" s="414">
        <f t="shared" si="51"/>
        <v>0</v>
      </c>
      <c r="S573" s="414">
        <f t="shared" si="52"/>
        <v>0</v>
      </c>
      <c r="T573" s="19"/>
      <c r="U573" s="5"/>
      <c r="V573" s="5"/>
      <c r="W573" s="5">
        <v>551</v>
      </c>
      <c r="X573" s="144" t="s">
        <v>718</v>
      </c>
      <c r="Y573" s="145"/>
      <c r="Z573" s="146"/>
      <c r="AA573" s="145"/>
      <c r="AB573" s="145"/>
      <c r="AD573" s="5">
        <v>551</v>
      </c>
      <c r="AE573" s="413" t="s">
        <v>718</v>
      </c>
      <c r="AF573" s="145"/>
      <c r="AG573" s="146"/>
      <c r="AH573" s="145"/>
      <c r="AI573" s="145"/>
      <c r="AK573" s="5">
        <v>551</v>
      </c>
      <c r="AL573" s="413" t="s">
        <v>718</v>
      </c>
      <c r="AM573" s="145"/>
      <c r="AN573" s="146"/>
      <c r="AO573" s="145"/>
      <c r="AP573" s="145"/>
      <c r="AR573" s="5">
        <v>551</v>
      </c>
      <c r="AS573" s="413" t="s">
        <v>3587</v>
      </c>
      <c r="AT573" s="145">
        <v>370</v>
      </c>
      <c r="AU573" s="146">
        <v>3.18</v>
      </c>
      <c r="AV573" s="145">
        <v>3767</v>
      </c>
      <c r="AW573" s="145">
        <v>-14</v>
      </c>
      <c r="AY573" s="5">
        <v>551</v>
      </c>
      <c r="AZ573" s="413" t="s">
        <v>718</v>
      </c>
      <c r="BA573" s="145"/>
      <c r="BB573" s="146"/>
      <c r="BC573" s="145"/>
      <c r="BD573" s="145"/>
      <c r="BF573" s="5">
        <v>551</v>
      </c>
      <c r="BG573" s="413" t="s">
        <v>718</v>
      </c>
      <c r="BH573" s="145"/>
      <c r="BI573" s="146"/>
      <c r="BJ573" s="145"/>
      <c r="BK573" s="145"/>
      <c r="BM573" s="5">
        <v>551</v>
      </c>
      <c r="BN573" s="413" t="s">
        <v>718</v>
      </c>
      <c r="BO573" s="145"/>
      <c r="BP573" s="146"/>
      <c r="BQ573" s="145"/>
      <c r="BR573" s="145"/>
      <c r="BS573" s="5"/>
      <c r="BT573" s="5">
        <v>551</v>
      </c>
      <c r="BU573" s="413" t="s">
        <v>718</v>
      </c>
      <c r="BV573" s="145"/>
      <c r="BW573" s="146"/>
      <c r="BX573" s="145"/>
      <c r="BY573" s="145"/>
      <c r="BZ573" s="5"/>
      <c r="CA573" s="5">
        <v>551</v>
      </c>
      <c r="CB573" s="413" t="s">
        <v>718</v>
      </c>
      <c r="CC573" s="145"/>
      <c r="CD573" s="146"/>
      <c r="CE573" s="145"/>
      <c r="CF573" s="145"/>
      <c r="CG573" s="5"/>
      <c r="CH573" s="5"/>
      <c r="CI573" s="5"/>
    </row>
    <row r="574" spans="13:87" x14ac:dyDescent="0.2">
      <c r="M574" s="5">
        <v>552</v>
      </c>
      <c r="N574" s="413" t="str">
        <f t="shared" si="48"/>
        <v xml:space="preserve"> </v>
      </c>
      <c r="O574" s="414">
        <f t="shared" si="49"/>
        <v>0</v>
      </c>
      <c r="P574" s="414">
        <f t="shared" si="50"/>
        <v>0</v>
      </c>
      <c r="Q574" s="145">
        <f t="shared" si="53"/>
        <v>-8</v>
      </c>
      <c r="R574" s="414">
        <f t="shared" si="51"/>
        <v>0</v>
      </c>
      <c r="S574" s="414">
        <f t="shared" si="52"/>
        <v>0</v>
      </c>
      <c r="T574" s="19"/>
      <c r="U574" s="5"/>
      <c r="V574" s="5"/>
      <c r="W574" s="5">
        <v>552</v>
      </c>
      <c r="X574" s="144" t="s">
        <v>718</v>
      </c>
      <c r="Y574" s="145"/>
      <c r="Z574" s="146"/>
      <c r="AA574" s="145"/>
      <c r="AB574" s="145"/>
      <c r="AD574" s="5">
        <v>552</v>
      </c>
      <c r="AE574" s="413" t="s">
        <v>718</v>
      </c>
      <c r="AF574" s="145"/>
      <c r="AG574" s="146"/>
      <c r="AH574" s="145"/>
      <c r="AI574" s="145"/>
      <c r="AK574" s="5">
        <v>552</v>
      </c>
      <c r="AL574" s="413" t="s">
        <v>718</v>
      </c>
      <c r="AM574" s="145"/>
      <c r="AN574" s="146"/>
      <c r="AO574" s="145"/>
      <c r="AP574" s="145"/>
      <c r="AR574" s="5">
        <v>552</v>
      </c>
      <c r="AS574" s="413" t="s">
        <v>3588</v>
      </c>
      <c r="AT574" s="145">
        <v>565</v>
      </c>
      <c r="AU574" s="146">
        <v>2.61</v>
      </c>
      <c r="AV574" s="145">
        <v>4347</v>
      </c>
      <c r="AW574" s="145">
        <v>-17</v>
      </c>
      <c r="AY574" s="5">
        <v>552</v>
      </c>
      <c r="AZ574" s="413" t="s">
        <v>718</v>
      </c>
      <c r="BA574" s="145"/>
      <c r="BB574" s="146"/>
      <c r="BC574" s="145"/>
      <c r="BD574" s="145"/>
      <c r="BF574" s="5">
        <v>552</v>
      </c>
      <c r="BG574" s="413" t="s">
        <v>718</v>
      </c>
      <c r="BH574" s="145"/>
      <c r="BI574" s="146"/>
      <c r="BJ574" s="145"/>
      <c r="BK574" s="145"/>
      <c r="BM574" s="5">
        <v>552</v>
      </c>
      <c r="BN574" s="413" t="s">
        <v>718</v>
      </c>
      <c r="BO574" s="145"/>
      <c r="BP574" s="146"/>
      <c r="BQ574" s="145"/>
      <c r="BR574" s="145"/>
      <c r="BS574" s="5"/>
      <c r="BT574" s="5">
        <v>552</v>
      </c>
      <c r="BU574" s="413" t="s">
        <v>718</v>
      </c>
      <c r="BV574" s="145"/>
      <c r="BW574" s="146"/>
      <c r="BX574" s="145"/>
      <c r="BY574" s="145"/>
      <c r="BZ574" s="5"/>
      <c r="CA574" s="5">
        <v>552</v>
      </c>
      <c r="CB574" s="413" t="s">
        <v>718</v>
      </c>
      <c r="CC574" s="145"/>
      <c r="CD574" s="146"/>
      <c r="CE574" s="145"/>
      <c r="CF574" s="145"/>
      <c r="CG574" s="5"/>
      <c r="CH574" s="5"/>
      <c r="CI574" s="5"/>
    </row>
    <row r="575" spans="13:87" x14ac:dyDescent="0.2">
      <c r="M575" s="5">
        <v>553</v>
      </c>
      <c r="N575" s="413" t="str">
        <f t="shared" si="48"/>
        <v xml:space="preserve"> </v>
      </c>
      <c r="O575" s="414">
        <f t="shared" si="49"/>
        <v>0</v>
      </c>
      <c r="P575" s="414">
        <f t="shared" si="50"/>
        <v>0</v>
      </c>
      <c r="Q575" s="145">
        <f t="shared" si="53"/>
        <v>-8</v>
      </c>
      <c r="R575" s="414">
        <f t="shared" si="51"/>
        <v>0</v>
      </c>
      <c r="S575" s="414">
        <f t="shared" si="52"/>
        <v>0</v>
      </c>
      <c r="T575" s="19"/>
      <c r="U575" s="5"/>
      <c r="V575" s="5"/>
      <c r="W575" s="5">
        <v>553</v>
      </c>
      <c r="X575" s="144" t="s">
        <v>718</v>
      </c>
      <c r="Y575" s="145"/>
      <c r="Z575" s="146"/>
      <c r="AA575" s="145"/>
      <c r="AB575" s="145"/>
      <c r="AD575" s="5">
        <v>553</v>
      </c>
      <c r="AE575" s="413" t="s">
        <v>718</v>
      </c>
      <c r="AF575" s="145"/>
      <c r="AG575" s="146"/>
      <c r="AH575" s="145"/>
      <c r="AI575" s="145"/>
      <c r="AK575" s="5">
        <v>553</v>
      </c>
      <c r="AL575" s="413" t="s">
        <v>718</v>
      </c>
      <c r="AM575" s="145"/>
      <c r="AN575" s="146"/>
      <c r="AO575" s="145"/>
      <c r="AP575" s="145"/>
      <c r="AR575" s="5">
        <v>553</v>
      </c>
      <c r="AS575" s="413" t="s">
        <v>3589</v>
      </c>
      <c r="AT575" s="145">
        <v>670</v>
      </c>
      <c r="AU575" s="146">
        <v>2.21</v>
      </c>
      <c r="AV575" s="145">
        <v>4767</v>
      </c>
      <c r="AW575" s="145">
        <v>-18</v>
      </c>
      <c r="AY575" s="5">
        <v>553</v>
      </c>
      <c r="AZ575" s="413" t="s">
        <v>718</v>
      </c>
      <c r="BA575" s="145"/>
      <c r="BB575" s="146"/>
      <c r="BC575" s="145"/>
      <c r="BD575" s="145"/>
      <c r="BF575" s="5">
        <v>553</v>
      </c>
      <c r="BG575" s="413" t="s">
        <v>718</v>
      </c>
      <c r="BH575" s="145"/>
      <c r="BI575" s="146"/>
      <c r="BJ575" s="145"/>
      <c r="BK575" s="145"/>
      <c r="BM575" s="5">
        <v>553</v>
      </c>
      <c r="BN575" s="413" t="s">
        <v>718</v>
      </c>
      <c r="BO575" s="145"/>
      <c r="BP575" s="146"/>
      <c r="BQ575" s="145"/>
      <c r="BR575" s="145"/>
      <c r="BS575" s="5"/>
      <c r="BT575" s="5">
        <v>553</v>
      </c>
      <c r="BU575" s="413" t="s">
        <v>718</v>
      </c>
      <c r="BV575" s="145"/>
      <c r="BW575" s="146"/>
      <c r="BX575" s="145"/>
      <c r="BY575" s="145"/>
      <c r="BZ575" s="5"/>
      <c r="CA575" s="5">
        <v>553</v>
      </c>
      <c r="CB575" s="413" t="s">
        <v>718</v>
      </c>
      <c r="CC575" s="145"/>
      <c r="CD575" s="146"/>
      <c r="CE575" s="145"/>
      <c r="CF575" s="145"/>
      <c r="CG575" s="5"/>
      <c r="CH575" s="5"/>
      <c r="CI575" s="5"/>
    </row>
    <row r="576" spans="13:87" x14ac:dyDescent="0.2">
      <c r="M576" s="5">
        <v>554</v>
      </c>
      <c r="N576" s="413" t="str">
        <f t="shared" si="48"/>
        <v xml:space="preserve"> </v>
      </c>
      <c r="O576" s="414">
        <f t="shared" si="49"/>
        <v>0</v>
      </c>
      <c r="P576" s="414">
        <f t="shared" si="50"/>
        <v>0</v>
      </c>
      <c r="Q576" s="145">
        <f t="shared" si="53"/>
        <v>-8</v>
      </c>
      <c r="R576" s="414">
        <f t="shared" si="51"/>
        <v>0</v>
      </c>
      <c r="S576" s="414">
        <f t="shared" si="52"/>
        <v>0</v>
      </c>
      <c r="T576" s="19"/>
      <c r="U576" s="5"/>
      <c r="V576" s="5"/>
      <c r="W576" s="5">
        <v>554</v>
      </c>
      <c r="X576" s="144" t="s">
        <v>718</v>
      </c>
      <c r="Y576" s="145"/>
      <c r="Z576" s="146"/>
      <c r="AA576" s="145"/>
      <c r="AB576" s="145"/>
      <c r="AD576" s="5">
        <v>554</v>
      </c>
      <c r="AE576" s="413" t="s">
        <v>718</v>
      </c>
      <c r="AF576" s="145"/>
      <c r="AG576" s="146"/>
      <c r="AH576" s="145"/>
      <c r="AI576" s="145"/>
      <c r="AK576" s="5">
        <v>554</v>
      </c>
      <c r="AL576" s="413" t="s">
        <v>718</v>
      </c>
      <c r="AM576" s="145"/>
      <c r="AN576" s="146"/>
      <c r="AO576" s="145"/>
      <c r="AP576" s="145"/>
      <c r="AR576" s="5">
        <v>554</v>
      </c>
      <c r="AS576" s="413" t="s">
        <v>3590</v>
      </c>
      <c r="AT576" s="145">
        <v>475</v>
      </c>
      <c r="AU576" s="146">
        <v>2.6</v>
      </c>
      <c r="AV576" s="145">
        <v>4212</v>
      </c>
      <c r="AW576" s="145">
        <v>-16</v>
      </c>
      <c r="AY576" s="5">
        <v>554</v>
      </c>
      <c r="AZ576" s="413" t="s">
        <v>718</v>
      </c>
      <c r="BA576" s="145"/>
      <c r="BB576" s="146"/>
      <c r="BC576" s="145"/>
      <c r="BD576" s="145"/>
      <c r="BF576" s="5">
        <v>554</v>
      </c>
      <c r="BG576" s="413" t="s">
        <v>718</v>
      </c>
      <c r="BH576" s="145"/>
      <c r="BI576" s="146"/>
      <c r="BJ576" s="145"/>
      <c r="BK576" s="145"/>
      <c r="BM576" s="5">
        <v>554</v>
      </c>
      <c r="BN576" s="413" t="s">
        <v>718</v>
      </c>
      <c r="BO576" s="145"/>
      <c r="BP576" s="146"/>
      <c r="BQ576" s="145"/>
      <c r="BR576" s="145"/>
      <c r="BS576" s="5"/>
      <c r="BT576" s="5">
        <v>554</v>
      </c>
      <c r="BU576" s="413" t="s">
        <v>718</v>
      </c>
      <c r="BV576" s="145"/>
      <c r="BW576" s="146"/>
      <c r="BX576" s="145"/>
      <c r="BY576" s="145"/>
      <c r="BZ576" s="5"/>
      <c r="CA576" s="5">
        <v>554</v>
      </c>
      <c r="CB576" s="413" t="s">
        <v>718</v>
      </c>
      <c r="CC576" s="145"/>
      <c r="CD576" s="146"/>
      <c r="CE576" s="145"/>
      <c r="CF576" s="145"/>
      <c r="CG576" s="5"/>
      <c r="CH576" s="5"/>
      <c r="CI576" s="5"/>
    </row>
    <row r="577" spans="13:87" x14ac:dyDescent="0.2">
      <c r="M577" s="5">
        <v>555</v>
      </c>
      <c r="N577" s="413" t="str">
        <f t="shared" si="48"/>
        <v xml:space="preserve"> </v>
      </c>
      <c r="O577" s="414">
        <f t="shared" si="49"/>
        <v>0</v>
      </c>
      <c r="P577" s="414">
        <f t="shared" si="50"/>
        <v>0</v>
      </c>
      <c r="Q577" s="145">
        <f t="shared" si="53"/>
        <v>-8</v>
      </c>
      <c r="R577" s="414">
        <f t="shared" si="51"/>
        <v>0</v>
      </c>
      <c r="S577" s="414">
        <f t="shared" si="52"/>
        <v>0</v>
      </c>
      <c r="T577" s="19"/>
      <c r="U577" s="5"/>
      <c r="V577" s="5"/>
      <c r="W577" s="5">
        <v>555</v>
      </c>
      <c r="X577" s="144" t="s">
        <v>718</v>
      </c>
      <c r="Y577" s="145"/>
      <c r="Z577" s="146"/>
      <c r="AA577" s="145"/>
      <c r="AB577" s="145"/>
      <c r="AD577" s="5">
        <v>555</v>
      </c>
      <c r="AE577" s="413" t="s">
        <v>718</v>
      </c>
      <c r="AF577" s="145"/>
      <c r="AG577" s="146"/>
      <c r="AH577" s="145"/>
      <c r="AI577" s="145"/>
      <c r="AK577" s="5">
        <v>555</v>
      </c>
      <c r="AL577" s="413" t="s">
        <v>718</v>
      </c>
      <c r="AM577" s="145"/>
      <c r="AN577" s="146"/>
      <c r="AO577" s="145"/>
      <c r="AP577" s="145"/>
      <c r="AR577" s="5">
        <v>555</v>
      </c>
      <c r="AS577" s="413" t="s">
        <v>3591</v>
      </c>
      <c r="AT577" s="145">
        <v>449</v>
      </c>
      <c r="AU577" s="146">
        <v>2.46</v>
      </c>
      <c r="AV577" s="145">
        <v>4192</v>
      </c>
      <c r="AW577" s="145">
        <v>-16</v>
      </c>
      <c r="AY577" s="5">
        <v>555</v>
      </c>
      <c r="AZ577" s="413" t="s">
        <v>718</v>
      </c>
      <c r="BA577" s="145"/>
      <c r="BB577" s="146"/>
      <c r="BC577" s="145"/>
      <c r="BD577" s="145"/>
      <c r="BF577" s="5">
        <v>555</v>
      </c>
      <c r="BG577" s="413" t="s">
        <v>718</v>
      </c>
      <c r="BH577" s="145"/>
      <c r="BI577" s="146"/>
      <c r="BJ577" s="145"/>
      <c r="BK577" s="145"/>
      <c r="BM577" s="5">
        <v>555</v>
      </c>
      <c r="BN577" s="413" t="s">
        <v>718</v>
      </c>
      <c r="BO577" s="145"/>
      <c r="BP577" s="146"/>
      <c r="BQ577" s="145"/>
      <c r="BR577" s="145"/>
      <c r="BS577" s="5"/>
      <c r="BT577" s="5">
        <v>555</v>
      </c>
      <c r="BU577" s="413" t="s">
        <v>718</v>
      </c>
      <c r="BV577" s="145"/>
      <c r="BW577" s="146"/>
      <c r="BX577" s="145"/>
      <c r="BY577" s="145"/>
      <c r="BZ577" s="5"/>
      <c r="CA577" s="5">
        <v>555</v>
      </c>
      <c r="CB577" s="413" t="s">
        <v>718</v>
      </c>
      <c r="CC577" s="145"/>
      <c r="CD577" s="146"/>
      <c r="CE577" s="145"/>
      <c r="CF577" s="145"/>
      <c r="CG577" s="5"/>
      <c r="CH577" s="5"/>
      <c r="CI577" s="5"/>
    </row>
    <row r="578" spans="13:87" x14ac:dyDescent="0.2">
      <c r="M578" s="5">
        <v>556</v>
      </c>
      <c r="N578" s="413" t="str">
        <f t="shared" si="48"/>
        <v xml:space="preserve"> </v>
      </c>
      <c r="O578" s="414">
        <f t="shared" si="49"/>
        <v>0</v>
      </c>
      <c r="P578" s="414">
        <f t="shared" si="50"/>
        <v>0</v>
      </c>
      <c r="Q578" s="145">
        <f t="shared" si="53"/>
        <v>-8</v>
      </c>
      <c r="R578" s="414">
        <f t="shared" si="51"/>
        <v>0</v>
      </c>
      <c r="S578" s="414">
        <f t="shared" si="52"/>
        <v>0</v>
      </c>
      <c r="T578" s="19"/>
      <c r="U578" s="5"/>
      <c r="V578" s="5"/>
      <c r="W578" s="5">
        <v>556</v>
      </c>
      <c r="X578" s="144" t="s">
        <v>718</v>
      </c>
      <c r="Y578" s="145"/>
      <c r="Z578" s="146"/>
      <c r="AA578" s="145"/>
      <c r="AB578" s="145"/>
      <c r="AD578" s="5">
        <v>556</v>
      </c>
      <c r="AE578" s="413" t="s">
        <v>718</v>
      </c>
      <c r="AF578" s="145"/>
      <c r="AG578" s="146"/>
      <c r="AH578" s="145"/>
      <c r="AI578" s="145"/>
      <c r="AK578" s="5">
        <v>556</v>
      </c>
      <c r="AL578" s="413" t="s">
        <v>718</v>
      </c>
      <c r="AM578" s="145"/>
      <c r="AN578" s="146"/>
      <c r="AO578" s="145"/>
      <c r="AP578" s="145"/>
      <c r="AR578" s="5">
        <v>556</v>
      </c>
      <c r="AS578" s="413" t="s">
        <v>3592</v>
      </c>
      <c r="AT578" s="145">
        <v>275</v>
      </c>
      <c r="AU578" s="146">
        <v>2.98</v>
      </c>
      <c r="AV578" s="145">
        <v>3761</v>
      </c>
      <c r="AW578" s="145">
        <v>-14</v>
      </c>
      <c r="AY578" s="5">
        <v>556</v>
      </c>
      <c r="AZ578" s="413" t="s">
        <v>718</v>
      </c>
      <c r="BA578" s="145"/>
      <c r="BB578" s="146"/>
      <c r="BC578" s="145"/>
      <c r="BD578" s="145"/>
      <c r="BF578" s="5">
        <v>556</v>
      </c>
      <c r="BG578" s="413" t="s">
        <v>718</v>
      </c>
      <c r="BH578" s="145"/>
      <c r="BI578" s="146"/>
      <c r="BJ578" s="145"/>
      <c r="BK578" s="145"/>
      <c r="BM578" s="5">
        <v>556</v>
      </c>
      <c r="BN578" s="413" t="s">
        <v>718</v>
      </c>
      <c r="BO578" s="145"/>
      <c r="BP578" s="146"/>
      <c r="BQ578" s="145"/>
      <c r="BR578" s="145"/>
      <c r="BS578" s="5"/>
      <c r="BT578" s="5">
        <v>556</v>
      </c>
      <c r="BU578" s="413" t="s">
        <v>718</v>
      </c>
      <c r="BV578" s="145"/>
      <c r="BW578" s="146"/>
      <c r="BX578" s="145"/>
      <c r="BY578" s="145"/>
      <c r="BZ578" s="5"/>
      <c r="CA578" s="5">
        <v>556</v>
      </c>
      <c r="CB578" s="413" t="s">
        <v>718</v>
      </c>
      <c r="CC578" s="145"/>
      <c r="CD578" s="146"/>
      <c r="CE578" s="145"/>
      <c r="CF578" s="145"/>
      <c r="CG578" s="5"/>
      <c r="CH578" s="5"/>
      <c r="CI578" s="5"/>
    </row>
    <row r="579" spans="13:87" x14ac:dyDescent="0.2">
      <c r="M579" s="5">
        <v>557</v>
      </c>
      <c r="N579" s="413" t="str">
        <f t="shared" si="48"/>
        <v xml:space="preserve"> </v>
      </c>
      <c r="O579" s="414">
        <f t="shared" si="49"/>
        <v>0</v>
      </c>
      <c r="P579" s="414">
        <f t="shared" si="50"/>
        <v>0</v>
      </c>
      <c r="Q579" s="145">
        <f t="shared" si="53"/>
        <v>-8</v>
      </c>
      <c r="R579" s="414">
        <f t="shared" si="51"/>
        <v>0</v>
      </c>
      <c r="S579" s="414">
        <f t="shared" si="52"/>
        <v>0</v>
      </c>
      <c r="T579" s="19"/>
      <c r="U579" s="5"/>
      <c r="V579" s="5"/>
      <c r="W579" s="5">
        <v>557</v>
      </c>
      <c r="X579" s="144" t="s">
        <v>718</v>
      </c>
      <c r="Y579" s="145"/>
      <c r="Z579" s="146"/>
      <c r="AA579" s="145"/>
      <c r="AB579" s="145"/>
      <c r="AD579" s="5">
        <v>557</v>
      </c>
      <c r="AE579" s="413" t="s">
        <v>718</v>
      </c>
      <c r="AF579" s="145"/>
      <c r="AG579" s="146"/>
      <c r="AH579" s="145"/>
      <c r="AI579" s="145"/>
      <c r="AK579" s="5">
        <v>557</v>
      </c>
      <c r="AL579" s="413" t="s">
        <v>718</v>
      </c>
      <c r="AM579" s="145"/>
      <c r="AN579" s="146"/>
      <c r="AO579" s="145"/>
      <c r="AP579" s="145"/>
      <c r="AR579" s="5">
        <v>557</v>
      </c>
      <c r="AS579" s="413" t="s">
        <v>60</v>
      </c>
      <c r="AT579" s="145">
        <v>209</v>
      </c>
      <c r="AU579" s="146">
        <v>3.55</v>
      </c>
      <c r="AV579" s="145">
        <v>3406</v>
      </c>
      <c r="AW579" s="145">
        <v>-13</v>
      </c>
      <c r="AY579" s="5">
        <v>557</v>
      </c>
      <c r="AZ579" s="413" t="s">
        <v>718</v>
      </c>
      <c r="BA579" s="145"/>
      <c r="BB579" s="146"/>
      <c r="BC579" s="145"/>
      <c r="BD579" s="145"/>
      <c r="BF579" s="5">
        <v>557</v>
      </c>
      <c r="BG579" s="413" t="s">
        <v>718</v>
      </c>
      <c r="BH579" s="145"/>
      <c r="BI579" s="146"/>
      <c r="BJ579" s="145"/>
      <c r="BK579" s="145"/>
      <c r="BM579" s="5">
        <v>557</v>
      </c>
      <c r="BN579" s="413" t="s">
        <v>718</v>
      </c>
      <c r="BO579" s="145"/>
      <c r="BP579" s="146"/>
      <c r="BQ579" s="145"/>
      <c r="BR579" s="145"/>
      <c r="BS579" s="5"/>
      <c r="BT579" s="5">
        <v>557</v>
      </c>
      <c r="BU579" s="413" t="s">
        <v>718</v>
      </c>
      <c r="BV579" s="145"/>
      <c r="BW579" s="146"/>
      <c r="BX579" s="145"/>
      <c r="BY579" s="145"/>
      <c r="BZ579" s="5"/>
      <c r="CA579" s="5">
        <v>557</v>
      </c>
      <c r="CB579" s="413" t="s">
        <v>718</v>
      </c>
      <c r="CC579" s="145"/>
      <c r="CD579" s="146"/>
      <c r="CE579" s="145"/>
      <c r="CF579" s="145"/>
      <c r="CG579" s="5"/>
      <c r="CH579" s="5"/>
      <c r="CI579" s="5"/>
    </row>
    <row r="580" spans="13:87" x14ac:dyDescent="0.2">
      <c r="M580" s="5">
        <v>558</v>
      </c>
      <c r="N580" s="413" t="str">
        <f t="shared" si="48"/>
        <v xml:space="preserve"> </v>
      </c>
      <c r="O580" s="414">
        <f t="shared" si="49"/>
        <v>0</v>
      </c>
      <c r="P580" s="414">
        <f t="shared" si="50"/>
        <v>0</v>
      </c>
      <c r="Q580" s="145">
        <f t="shared" si="53"/>
        <v>-8</v>
      </c>
      <c r="R580" s="414">
        <f t="shared" si="51"/>
        <v>0</v>
      </c>
      <c r="S580" s="414">
        <f t="shared" si="52"/>
        <v>0</v>
      </c>
      <c r="T580" s="19"/>
      <c r="U580" s="5"/>
      <c r="V580" s="5"/>
      <c r="W580" s="5">
        <v>558</v>
      </c>
      <c r="X580" s="144" t="s">
        <v>718</v>
      </c>
      <c r="Y580" s="145"/>
      <c r="Z580" s="146"/>
      <c r="AA580" s="145"/>
      <c r="AB580" s="145"/>
      <c r="AD580" s="5">
        <v>558</v>
      </c>
      <c r="AE580" s="413" t="s">
        <v>718</v>
      </c>
      <c r="AF580" s="145"/>
      <c r="AG580" s="146"/>
      <c r="AH580" s="145"/>
      <c r="AI580" s="145"/>
      <c r="AK580" s="5">
        <v>558</v>
      </c>
      <c r="AL580" s="413" t="s">
        <v>718</v>
      </c>
      <c r="AM580" s="145"/>
      <c r="AN580" s="146"/>
      <c r="AO580" s="145"/>
      <c r="AP580" s="145"/>
      <c r="AR580" s="5">
        <v>558</v>
      </c>
      <c r="AS580" s="413" t="s">
        <v>61</v>
      </c>
      <c r="AT580" s="145">
        <v>330</v>
      </c>
      <c r="AU580" s="146">
        <v>3.25</v>
      </c>
      <c r="AV580" s="145">
        <v>3802</v>
      </c>
      <c r="AW580" s="145">
        <v>-14</v>
      </c>
      <c r="AY580" s="5">
        <v>558</v>
      </c>
      <c r="AZ580" s="413" t="s">
        <v>718</v>
      </c>
      <c r="BA580" s="145"/>
      <c r="BB580" s="146"/>
      <c r="BC580" s="145"/>
      <c r="BD580" s="145"/>
      <c r="BF580" s="5">
        <v>558</v>
      </c>
      <c r="BG580" s="413" t="s">
        <v>718</v>
      </c>
      <c r="BH580" s="145"/>
      <c r="BI580" s="146"/>
      <c r="BJ580" s="145"/>
      <c r="BK580" s="145"/>
      <c r="BM580" s="5">
        <v>558</v>
      </c>
      <c r="BN580" s="413" t="s">
        <v>718</v>
      </c>
      <c r="BO580" s="145"/>
      <c r="BP580" s="146"/>
      <c r="BQ580" s="145"/>
      <c r="BR580" s="145"/>
      <c r="BS580" s="5"/>
      <c r="BT580" s="5">
        <v>558</v>
      </c>
      <c r="BU580" s="413" t="s">
        <v>718</v>
      </c>
      <c r="BV580" s="145"/>
      <c r="BW580" s="146"/>
      <c r="BX580" s="145"/>
      <c r="BY580" s="145"/>
      <c r="BZ580" s="5"/>
      <c r="CA580" s="5">
        <v>558</v>
      </c>
      <c r="CB580" s="413" t="s">
        <v>718</v>
      </c>
      <c r="CC580" s="145"/>
      <c r="CD580" s="146"/>
      <c r="CE580" s="145"/>
      <c r="CF580" s="145"/>
      <c r="CG580" s="5"/>
      <c r="CH580" s="5"/>
      <c r="CI580" s="5"/>
    </row>
    <row r="581" spans="13:87" x14ac:dyDescent="0.2">
      <c r="M581" s="5">
        <v>559</v>
      </c>
      <c r="N581" s="413" t="str">
        <f t="shared" si="48"/>
        <v xml:space="preserve"> </v>
      </c>
      <c r="O581" s="414">
        <f t="shared" si="49"/>
        <v>0</v>
      </c>
      <c r="P581" s="414">
        <f t="shared" si="50"/>
        <v>0</v>
      </c>
      <c r="Q581" s="145">
        <f t="shared" si="53"/>
        <v>-8</v>
      </c>
      <c r="R581" s="414">
        <f t="shared" si="51"/>
        <v>0</v>
      </c>
      <c r="S581" s="414">
        <f t="shared" si="52"/>
        <v>0</v>
      </c>
      <c r="T581" s="19"/>
      <c r="U581" s="5"/>
      <c r="V581" s="5"/>
      <c r="W581" s="5">
        <v>559</v>
      </c>
      <c r="X581" s="144" t="s">
        <v>718</v>
      </c>
      <c r="Y581" s="145"/>
      <c r="Z581" s="146"/>
      <c r="AA581" s="145"/>
      <c r="AB581" s="145"/>
      <c r="AD581" s="5">
        <v>559</v>
      </c>
      <c r="AE581" s="413" t="s">
        <v>718</v>
      </c>
      <c r="AF581" s="145"/>
      <c r="AG581" s="146"/>
      <c r="AH581" s="145"/>
      <c r="AI581" s="145"/>
      <c r="AK581" s="5">
        <v>559</v>
      </c>
      <c r="AL581" s="413" t="s">
        <v>718</v>
      </c>
      <c r="AM581" s="145"/>
      <c r="AN581" s="146"/>
      <c r="AO581" s="145"/>
      <c r="AP581" s="145"/>
      <c r="AR581" s="5">
        <v>559</v>
      </c>
      <c r="AS581" s="413" t="s">
        <v>3765</v>
      </c>
      <c r="AT581" s="145">
        <v>377</v>
      </c>
      <c r="AU581" s="146">
        <v>3.17</v>
      </c>
      <c r="AV581" s="145">
        <v>3821</v>
      </c>
      <c r="AW581" s="145">
        <v>-14</v>
      </c>
      <c r="AY581" s="5">
        <v>559</v>
      </c>
      <c r="AZ581" s="413" t="s">
        <v>718</v>
      </c>
      <c r="BA581" s="145"/>
      <c r="BB581" s="146"/>
      <c r="BC581" s="145"/>
      <c r="BD581" s="145"/>
      <c r="BF581" s="5">
        <v>559</v>
      </c>
      <c r="BG581" s="413" t="s">
        <v>718</v>
      </c>
      <c r="BH581" s="145"/>
      <c r="BI581" s="146"/>
      <c r="BJ581" s="145"/>
      <c r="BK581" s="145"/>
      <c r="BM581" s="5">
        <v>559</v>
      </c>
      <c r="BN581" s="413" t="s">
        <v>718</v>
      </c>
      <c r="BO581" s="145"/>
      <c r="BP581" s="146"/>
      <c r="BQ581" s="145"/>
      <c r="BR581" s="145"/>
      <c r="BS581" s="5"/>
      <c r="BT581" s="5">
        <v>559</v>
      </c>
      <c r="BU581" s="413" t="s">
        <v>718</v>
      </c>
      <c r="BV581" s="145"/>
      <c r="BW581" s="146"/>
      <c r="BX581" s="145"/>
      <c r="BY581" s="145"/>
      <c r="BZ581" s="5"/>
      <c r="CA581" s="5">
        <v>559</v>
      </c>
      <c r="CB581" s="413" t="s">
        <v>718</v>
      </c>
      <c r="CC581" s="145"/>
      <c r="CD581" s="146"/>
      <c r="CE581" s="145"/>
      <c r="CF581" s="145"/>
      <c r="CG581" s="5"/>
      <c r="CH581" s="5"/>
      <c r="CI581" s="5"/>
    </row>
    <row r="582" spans="13:87" x14ac:dyDescent="0.2">
      <c r="M582" s="5">
        <v>560</v>
      </c>
      <c r="N582" s="413" t="str">
        <f t="shared" si="48"/>
        <v xml:space="preserve"> </v>
      </c>
      <c r="O582" s="414">
        <f t="shared" si="49"/>
        <v>0</v>
      </c>
      <c r="P582" s="414">
        <f t="shared" si="50"/>
        <v>0</v>
      </c>
      <c r="Q582" s="145">
        <f t="shared" si="53"/>
        <v>-8</v>
      </c>
      <c r="R582" s="414">
        <f t="shared" si="51"/>
        <v>0</v>
      </c>
      <c r="S582" s="414">
        <f t="shared" si="52"/>
        <v>0</v>
      </c>
      <c r="T582" s="19"/>
      <c r="U582" s="5"/>
      <c r="V582" s="5"/>
      <c r="W582" s="5">
        <v>560</v>
      </c>
      <c r="X582" s="144" t="s">
        <v>718</v>
      </c>
      <c r="Y582" s="145"/>
      <c r="Z582" s="146"/>
      <c r="AA582" s="145"/>
      <c r="AB582" s="145"/>
      <c r="AD582" s="5">
        <v>560</v>
      </c>
      <c r="AE582" s="413" t="s">
        <v>718</v>
      </c>
      <c r="AF582" s="145"/>
      <c r="AG582" s="146"/>
      <c r="AH582" s="145"/>
      <c r="AI582" s="145"/>
      <c r="AK582" s="5">
        <v>560</v>
      </c>
      <c r="AL582" s="413" t="s">
        <v>718</v>
      </c>
      <c r="AM582" s="145"/>
      <c r="AN582" s="146"/>
      <c r="AO582" s="145"/>
      <c r="AP582" s="145"/>
      <c r="AR582" s="5">
        <v>560</v>
      </c>
      <c r="AS582" s="413" t="s">
        <v>62</v>
      </c>
      <c r="AT582" s="145">
        <v>149</v>
      </c>
      <c r="AU582" s="146">
        <v>3.32</v>
      </c>
      <c r="AV582" s="145">
        <v>3503</v>
      </c>
      <c r="AW582" s="145">
        <v>-14</v>
      </c>
      <c r="AY582" s="5">
        <v>560</v>
      </c>
      <c r="AZ582" s="413" t="s">
        <v>718</v>
      </c>
      <c r="BA582" s="145"/>
      <c r="BB582" s="146"/>
      <c r="BC582" s="145"/>
      <c r="BD582" s="145"/>
      <c r="BF582" s="5">
        <v>560</v>
      </c>
      <c r="BG582" s="413" t="s">
        <v>718</v>
      </c>
      <c r="BH582" s="145"/>
      <c r="BI582" s="146"/>
      <c r="BJ582" s="145"/>
      <c r="BK582" s="145"/>
      <c r="BM582" s="5">
        <v>560</v>
      </c>
      <c r="BN582" s="413" t="s">
        <v>718</v>
      </c>
      <c r="BO582" s="145"/>
      <c r="BP582" s="146"/>
      <c r="BQ582" s="145"/>
      <c r="BR582" s="145"/>
      <c r="BS582" s="5"/>
      <c r="BT582" s="5">
        <v>560</v>
      </c>
      <c r="BU582" s="413" t="s">
        <v>718</v>
      </c>
      <c r="BV582" s="145"/>
      <c r="BW582" s="146"/>
      <c r="BX582" s="145"/>
      <c r="BY582" s="145"/>
      <c r="BZ582" s="5"/>
      <c r="CA582" s="5">
        <v>560</v>
      </c>
      <c r="CB582" s="413" t="s">
        <v>718</v>
      </c>
      <c r="CC582" s="145"/>
      <c r="CD582" s="146"/>
      <c r="CE582" s="145"/>
      <c r="CF582" s="145"/>
      <c r="CG582" s="5"/>
      <c r="CH582" s="5"/>
      <c r="CI582" s="5"/>
    </row>
    <row r="583" spans="13:87" x14ac:dyDescent="0.2">
      <c r="M583" s="5">
        <v>561</v>
      </c>
      <c r="N583" s="413" t="str">
        <f t="shared" si="48"/>
        <v xml:space="preserve"> </v>
      </c>
      <c r="O583" s="414">
        <f t="shared" si="49"/>
        <v>0</v>
      </c>
      <c r="P583" s="414">
        <f t="shared" si="50"/>
        <v>0</v>
      </c>
      <c r="Q583" s="145">
        <f t="shared" si="53"/>
        <v>-8</v>
      </c>
      <c r="R583" s="414">
        <f t="shared" si="51"/>
        <v>0</v>
      </c>
      <c r="S583" s="414">
        <f t="shared" si="52"/>
        <v>0</v>
      </c>
      <c r="T583" s="19"/>
      <c r="U583" s="5"/>
      <c r="V583" s="5"/>
      <c r="W583" s="5">
        <v>561</v>
      </c>
      <c r="X583" s="144" t="s">
        <v>718</v>
      </c>
      <c r="Y583" s="145"/>
      <c r="Z583" s="146"/>
      <c r="AA583" s="145"/>
      <c r="AB583" s="145"/>
      <c r="AD583" s="5">
        <v>561</v>
      </c>
      <c r="AE583" s="413" t="s">
        <v>718</v>
      </c>
      <c r="AF583" s="145"/>
      <c r="AG583" s="146"/>
      <c r="AH583" s="145"/>
      <c r="AI583" s="145"/>
      <c r="AK583" s="5">
        <v>561</v>
      </c>
      <c r="AL583" s="413" t="s">
        <v>718</v>
      </c>
      <c r="AM583" s="145"/>
      <c r="AN583" s="146"/>
      <c r="AO583" s="145"/>
      <c r="AP583" s="145"/>
      <c r="AR583" s="5">
        <v>561</v>
      </c>
      <c r="AS583" s="413" t="s">
        <v>63</v>
      </c>
      <c r="AT583" s="145">
        <v>440</v>
      </c>
      <c r="AU583" s="146">
        <v>2.64</v>
      </c>
      <c r="AV583" s="145">
        <v>4132</v>
      </c>
      <c r="AW583" s="145">
        <v>-16</v>
      </c>
      <c r="AY583" s="5">
        <v>561</v>
      </c>
      <c r="AZ583" s="413" t="s">
        <v>718</v>
      </c>
      <c r="BA583" s="145"/>
      <c r="BB583" s="146"/>
      <c r="BC583" s="145"/>
      <c r="BD583" s="145"/>
      <c r="BF583" s="5">
        <v>561</v>
      </c>
      <c r="BG583" s="413" t="s">
        <v>718</v>
      </c>
      <c r="BH583" s="145"/>
      <c r="BI583" s="146"/>
      <c r="BJ583" s="145"/>
      <c r="BK583" s="145"/>
      <c r="BM583" s="5">
        <v>561</v>
      </c>
      <c r="BN583" s="413" t="s">
        <v>718</v>
      </c>
      <c r="BO583" s="145"/>
      <c r="BP583" s="146"/>
      <c r="BQ583" s="145"/>
      <c r="BR583" s="145"/>
      <c r="BS583" s="5"/>
      <c r="BT583" s="5">
        <v>561</v>
      </c>
      <c r="BU583" s="413" t="s">
        <v>718</v>
      </c>
      <c r="BV583" s="145"/>
      <c r="BW583" s="146"/>
      <c r="BX583" s="145"/>
      <c r="BY583" s="145"/>
      <c r="BZ583" s="5"/>
      <c r="CA583" s="5">
        <v>561</v>
      </c>
      <c r="CB583" s="413" t="s">
        <v>718</v>
      </c>
      <c r="CC583" s="145"/>
      <c r="CD583" s="146"/>
      <c r="CE583" s="145"/>
      <c r="CF583" s="145"/>
      <c r="CG583" s="5"/>
      <c r="CH583" s="5"/>
      <c r="CI583" s="5"/>
    </row>
    <row r="584" spans="13:87" x14ac:dyDescent="0.2">
      <c r="M584" s="5">
        <v>562</v>
      </c>
      <c r="N584" s="413" t="str">
        <f t="shared" si="48"/>
        <v xml:space="preserve"> </v>
      </c>
      <c r="O584" s="414">
        <f t="shared" si="49"/>
        <v>0</v>
      </c>
      <c r="P584" s="414">
        <f t="shared" si="50"/>
        <v>0</v>
      </c>
      <c r="Q584" s="145">
        <f t="shared" si="53"/>
        <v>-8</v>
      </c>
      <c r="R584" s="414">
        <f t="shared" si="51"/>
        <v>0</v>
      </c>
      <c r="S584" s="414">
        <f t="shared" si="52"/>
        <v>0</v>
      </c>
      <c r="T584" s="19"/>
      <c r="U584" s="5"/>
      <c r="V584" s="5"/>
      <c r="W584" s="5">
        <v>562</v>
      </c>
      <c r="X584" s="144" t="s">
        <v>718</v>
      </c>
      <c r="Y584" s="145"/>
      <c r="Z584" s="146"/>
      <c r="AA584" s="145"/>
      <c r="AB584" s="145"/>
      <c r="AD584" s="5">
        <v>562</v>
      </c>
      <c r="AE584" s="413" t="s">
        <v>718</v>
      </c>
      <c r="AF584" s="145"/>
      <c r="AG584" s="146"/>
      <c r="AH584" s="145"/>
      <c r="AI584" s="145"/>
      <c r="AK584" s="5">
        <v>562</v>
      </c>
      <c r="AL584" s="413" t="s">
        <v>718</v>
      </c>
      <c r="AM584" s="145"/>
      <c r="AN584" s="146"/>
      <c r="AO584" s="145"/>
      <c r="AP584" s="145"/>
      <c r="AR584" s="5">
        <v>562</v>
      </c>
      <c r="AS584" s="413" t="s">
        <v>64</v>
      </c>
      <c r="AT584" s="145">
        <v>361</v>
      </c>
      <c r="AU584" s="146">
        <v>3.03</v>
      </c>
      <c r="AV584" s="145">
        <v>3936</v>
      </c>
      <c r="AW584" s="145">
        <v>-14</v>
      </c>
      <c r="AY584" s="5">
        <v>562</v>
      </c>
      <c r="AZ584" s="413" t="s">
        <v>718</v>
      </c>
      <c r="BA584" s="145"/>
      <c r="BB584" s="146"/>
      <c r="BC584" s="145"/>
      <c r="BD584" s="145"/>
      <c r="BF584" s="5">
        <v>562</v>
      </c>
      <c r="BG584" s="413" t="s">
        <v>718</v>
      </c>
      <c r="BH584" s="145"/>
      <c r="BI584" s="146"/>
      <c r="BJ584" s="145"/>
      <c r="BK584" s="145"/>
      <c r="BM584" s="5">
        <v>562</v>
      </c>
      <c r="BN584" s="413" t="s">
        <v>718</v>
      </c>
      <c r="BO584" s="145"/>
      <c r="BP584" s="146"/>
      <c r="BQ584" s="145"/>
      <c r="BR584" s="145"/>
      <c r="BS584" s="5"/>
      <c r="BT584" s="5">
        <v>562</v>
      </c>
      <c r="BU584" s="413" t="s">
        <v>718</v>
      </c>
      <c r="BV584" s="145"/>
      <c r="BW584" s="146"/>
      <c r="BX584" s="145"/>
      <c r="BY584" s="145"/>
      <c r="BZ584" s="5"/>
      <c r="CA584" s="5">
        <v>562</v>
      </c>
      <c r="CB584" s="413" t="s">
        <v>718</v>
      </c>
      <c r="CC584" s="145"/>
      <c r="CD584" s="146"/>
      <c r="CE584" s="145"/>
      <c r="CF584" s="145"/>
      <c r="CG584" s="5"/>
      <c r="CH584" s="5"/>
      <c r="CI584" s="5"/>
    </row>
    <row r="585" spans="13:87" x14ac:dyDescent="0.2">
      <c r="M585" s="5">
        <v>563</v>
      </c>
      <c r="N585" s="413" t="str">
        <f t="shared" si="48"/>
        <v xml:space="preserve"> </v>
      </c>
      <c r="O585" s="414">
        <f t="shared" si="49"/>
        <v>0</v>
      </c>
      <c r="P585" s="414">
        <f t="shared" si="50"/>
        <v>0</v>
      </c>
      <c r="Q585" s="145">
        <f t="shared" si="53"/>
        <v>-8</v>
      </c>
      <c r="R585" s="414">
        <f t="shared" si="51"/>
        <v>0</v>
      </c>
      <c r="S585" s="414">
        <f t="shared" si="52"/>
        <v>0</v>
      </c>
      <c r="T585" s="19"/>
      <c r="U585" s="5"/>
      <c r="V585" s="5"/>
      <c r="W585" s="5">
        <v>563</v>
      </c>
      <c r="X585" s="144" t="s">
        <v>718</v>
      </c>
      <c r="Y585" s="145"/>
      <c r="Z585" s="146"/>
      <c r="AA585" s="145"/>
      <c r="AB585" s="145"/>
      <c r="AD585" s="5">
        <v>563</v>
      </c>
      <c r="AE585" s="413" t="s">
        <v>718</v>
      </c>
      <c r="AF585" s="145"/>
      <c r="AG585" s="146"/>
      <c r="AH585" s="145"/>
      <c r="AI585" s="145"/>
      <c r="AK585" s="5">
        <v>563</v>
      </c>
      <c r="AL585" s="413" t="s">
        <v>718</v>
      </c>
      <c r="AM585" s="145"/>
      <c r="AN585" s="146"/>
      <c r="AO585" s="145"/>
      <c r="AP585" s="145"/>
      <c r="AR585" s="5">
        <v>563</v>
      </c>
      <c r="AS585" s="413" t="s">
        <v>65</v>
      </c>
      <c r="AT585" s="145">
        <v>205</v>
      </c>
      <c r="AU585" s="146">
        <v>3.61</v>
      </c>
      <c r="AV585" s="145">
        <v>3524</v>
      </c>
      <c r="AW585" s="145">
        <v>-12</v>
      </c>
      <c r="AY585" s="5">
        <v>563</v>
      </c>
      <c r="AZ585" s="413" t="s">
        <v>718</v>
      </c>
      <c r="BA585" s="145"/>
      <c r="BB585" s="146"/>
      <c r="BC585" s="145"/>
      <c r="BD585" s="145"/>
      <c r="BF585" s="5">
        <v>563</v>
      </c>
      <c r="BG585" s="413" t="s">
        <v>718</v>
      </c>
      <c r="BH585" s="145"/>
      <c r="BI585" s="146"/>
      <c r="BJ585" s="145"/>
      <c r="BK585" s="145"/>
      <c r="BM585" s="5">
        <v>563</v>
      </c>
      <c r="BN585" s="413" t="s">
        <v>718</v>
      </c>
      <c r="BO585" s="145"/>
      <c r="BP585" s="146"/>
      <c r="BQ585" s="145"/>
      <c r="BR585" s="145"/>
      <c r="BS585" s="5"/>
      <c r="BT585" s="5">
        <v>563</v>
      </c>
      <c r="BU585" s="413" t="s">
        <v>718</v>
      </c>
      <c r="BV585" s="145"/>
      <c r="BW585" s="146"/>
      <c r="BX585" s="145"/>
      <c r="BY585" s="145"/>
      <c r="BZ585" s="5"/>
      <c r="CA585" s="5">
        <v>563</v>
      </c>
      <c r="CB585" s="413" t="s">
        <v>718</v>
      </c>
      <c r="CC585" s="145"/>
      <c r="CD585" s="146"/>
      <c r="CE585" s="145"/>
      <c r="CF585" s="145"/>
      <c r="CG585" s="5"/>
      <c r="CH585" s="5"/>
      <c r="CI585" s="5"/>
    </row>
    <row r="586" spans="13:87" x14ac:dyDescent="0.2">
      <c r="M586" s="5">
        <v>564</v>
      </c>
      <c r="N586" s="413" t="str">
        <f t="shared" si="48"/>
        <v xml:space="preserve"> </v>
      </c>
      <c r="O586" s="414">
        <f t="shared" si="49"/>
        <v>0</v>
      </c>
      <c r="P586" s="414">
        <f t="shared" si="50"/>
        <v>0</v>
      </c>
      <c r="Q586" s="145">
        <f t="shared" si="53"/>
        <v>-8</v>
      </c>
      <c r="R586" s="414">
        <f t="shared" si="51"/>
        <v>0</v>
      </c>
      <c r="S586" s="414">
        <f t="shared" si="52"/>
        <v>0</v>
      </c>
      <c r="T586" s="19"/>
      <c r="U586" s="5"/>
      <c r="V586" s="5"/>
      <c r="W586" s="5">
        <v>564</v>
      </c>
      <c r="X586" s="144" t="s">
        <v>718</v>
      </c>
      <c r="Y586" s="145"/>
      <c r="Z586" s="146"/>
      <c r="AA586" s="145"/>
      <c r="AB586" s="145"/>
      <c r="AD586" s="5">
        <v>564</v>
      </c>
      <c r="AE586" s="413" t="s">
        <v>718</v>
      </c>
      <c r="AF586" s="145"/>
      <c r="AG586" s="146"/>
      <c r="AH586" s="145"/>
      <c r="AI586" s="145"/>
      <c r="AK586" s="5">
        <v>564</v>
      </c>
      <c r="AL586" s="413" t="s">
        <v>718</v>
      </c>
      <c r="AM586" s="145"/>
      <c r="AN586" s="146"/>
      <c r="AO586" s="145"/>
      <c r="AP586" s="145"/>
      <c r="AR586" s="5">
        <v>564</v>
      </c>
      <c r="AS586" s="413" t="s">
        <v>66</v>
      </c>
      <c r="AT586" s="145">
        <v>355</v>
      </c>
      <c r="AU586" s="146">
        <v>3.21</v>
      </c>
      <c r="AV586" s="145">
        <v>3794</v>
      </c>
      <c r="AW586" s="145">
        <v>-14</v>
      </c>
      <c r="AY586" s="5">
        <v>564</v>
      </c>
      <c r="AZ586" s="413" t="s">
        <v>718</v>
      </c>
      <c r="BA586" s="145"/>
      <c r="BB586" s="146"/>
      <c r="BC586" s="145"/>
      <c r="BD586" s="145"/>
      <c r="BF586" s="5">
        <v>564</v>
      </c>
      <c r="BG586" s="413" t="s">
        <v>718</v>
      </c>
      <c r="BH586" s="145"/>
      <c r="BI586" s="146"/>
      <c r="BJ586" s="145"/>
      <c r="BK586" s="145"/>
      <c r="BM586" s="5">
        <v>564</v>
      </c>
      <c r="BN586" s="413" t="s">
        <v>718</v>
      </c>
      <c r="BO586" s="145"/>
      <c r="BP586" s="146"/>
      <c r="BQ586" s="145"/>
      <c r="BR586" s="145"/>
      <c r="BS586" s="5"/>
      <c r="BT586" s="5">
        <v>564</v>
      </c>
      <c r="BU586" s="413" t="s">
        <v>718</v>
      </c>
      <c r="BV586" s="145"/>
      <c r="BW586" s="146"/>
      <c r="BX586" s="145"/>
      <c r="BY586" s="145"/>
      <c r="BZ586" s="5"/>
      <c r="CA586" s="5">
        <v>564</v>
      </c>
      <c r="CB586" s="413" t="s">
        <v>718</v>
      </c>
      <c r="CC586" s="145"/>
      <c r="CD586" s="146"/>
      <c r="CE586" s="145"/>
      <c r="CF586" s="145"/>
      <c r="CG586" s="5"/>
      <c r="CH586" s="5"/>
      <c r="CI586" s="5"/>
    </row>
    <row r="587" spans="13:87" x14ac:dyDescent="0.2">
      <c r="M587" s="5">
        <v>565</v>
      </c>
      <c r="N587" s="413" t="str">
        <f t="shared" si="48"/>
        <v xml:space="preserve"> </v>
      </c>
      <c r="O587" s="414">
        <f t="shared" si="49"/>
        <v>0</v>
      </c>
      <c r="P587" s="414">
        <f t="shared" si="50"/>
        <v>0</v>
      </c>
      <c r="Q587" s="145">
        <f t="shared" si="53"/>
        <v>-8</v>
      </c>
      <c r="R587" s="414">
        <f t="shared" si="51"/>
        <v>0</v>
      </c>
      <c r="S587" s="414">
        <f t="shared" si="52"/>
        <v>0</v>
      </c>
      <c r="T587" s="19"/>
      <c r="U587" s="5"/>
      <c r="V587" s="5"/>
      <c r="W587" s="5">
        <v>565</v>
      </c>
      <c r="X587" s="144" t="s">
        <v>718</v>
      </c>
      <c r="Y587" s="145"/>
      <c r="Z587" s="146"/>
      <c r="AA587" s="145"/>
      <c r="AB587" s="145"/>
      <c r="AD587" s="5">
        <v>565</v>
      </c>
      <c r="AE587" s="413" t="s">
        <v>718</v>
      </c>
      <c r="AF587" s="145"/>
      <c r="AG587" s="146"/>
      <c r="AH587" s="145"/>
      <c r="AI587" s="145"/>
      <c r="AK587" s="5">
        <v>565</v>
      </c>
      <c r="AL587" s="413" t="s">
        <v>718</v>
      </c>
      <c r="AM587" s="145"/>
      <c r="AN587" s="146"/>
      <c r="AO587" s="145"/>
      <c r="AP587" s="145"/>
      <c r="AR587" s="5">
        <v>565</v>
      </c>
      <c r="AS587" s="413" t="s">
        <v>67</v>
      </c>
      <c r="AT587" s="145">
        <v>330</v>
      </c>
      <c r="AU587" s="146">
        <v>3.1</v>
      </c>
      <c r="AV587" s="145">
        <v>3870</v>
      </c>
      <c r="AW587" s="145">
        <v>-14</v>
      </c>
      <c r="AY587" s="5">
        <v>565</v>
      </c>
      <c r="AZ587" s="413" t="s">
        <v>718</v>
      </c>
      <c r="BA587" s="145"/>
      <c r="BB587" s="146"/>
      <c r="BC587" s="145"/>
      <c r="BD587" s="145"/>
      <c r="BF587" s="5">
        <v>565</v>
      </c>
      <c r="BG587" s="413" t="s">
        <v>718</v>
      </c>
      <c r="BH587" s="145"/>
      <c r="BI587" s="146"/>
      <c r="BJ587" s="145"/>
      <c r="BK587" s="145"/>
      <c r="BM587" s="5">
        <v>565</v>
      </c>
      <c r="BN587" s="413" t="s">
        <v>718</v>
      </c>
      <c r="BO587" s="145"/>
      <c r="BP587" s="146"/>
      <c r="BQ587" s="145"/>
      <c r="BR587" s="145"/>
      <c r="BS587" s="5"/>
      <c r="BT587" s="5">
        <v>565</v>
      </c>
      <c r="BU587" s="413" t="s">
        <v>718</v>
      </c>
      <c r="BV587" s="145"/>
      <c r="BW587" s="146"/>
      <c r="BX587" s="145"/>
      <c r="BY587" s="145"/>
      <c r="BZ587" s="5"/>
      <c r="CA587" s="5">
        <v>565</v>
      </c>
      <c r="CB587" s="413" t="s">
        <v>718</v>
      </c>
      <c r="CC587" s="145"/>
      <c r="CD587" s="146"/>
      <c r="CE587" s="145"/>
      <c r="CF587" s="145"/>
      <c r="CG587" s="5"/>
      <c r="CH587" s="5"/>
      <c r="CI587" s="5"/>
    </row>
    <row r="588" spans="13:87" x14ac:dyDescent="0.2">
      <c r="M588" s="5">
        <v>566</v>
      </c>
      <c r="N588" s="413" t="str">
        <f t="shared" si="48"/>
        <v xml:space="preserve"> </v>
      </c>
      <c r="O588" s="414">
        <f t="shared" si="49"/>
        <v>0</v>
      </c>
      <c r="P588" s="414">
        <f t="shared" si="50"/>
        <v>0</v>
      </c>
      <c r="Q588" s="145">
        <f t="shared" si="53"/>
        <v>-8</v>
      </c>
      <c r="R588" s="414">
        <f t="shared" si="51"/>
        <v>0</v>
      </c>
      <c r="S588" s="414">
        <f t="shared" si="52"/>
        <v>0</v>
      </c>
      <c r="T588" s="19"/>
      <c r="U588" s="5"/>
      <c r="V588" s="5"/>
      <c r="W588" s="5">
        <v>566</v>
      </c>
      <c r="X588" s="144" t="s">
        <v>718</v>
      </c>
      <c r="Y588" s="145"/>
      <c r="Z588" s="146"/>
      <c r="AA588" s="145"/>
      <c r="AB588" s="145"/>
      <c r="AD588" s="5">
        <v>566</v>
      </c>
      <c r="AE588" s="413" t="s">
        <v>718</v>
      </c>
      <c r="AF588" s="145"/>
      <c r="AG588" s="146"/>
      <c r="AH588" s="145"/>
      <c r="AI588" s="145"/>
      <c r="AK588" s="5">
        <v>566</v>
      </c>
      <c r="AL588" s="413" t="s">
        <v>718</v>
      </c>
      <c r="AM588" s="145"/>
      <c r="AN588" s="146"/>
      <c r="AO588" s="145"/>
      <c r="AP588" s="145"/>
      <c r="AR588" s="5">
        <v>566</v>
      </c>
      <c r="AS588" s="413" t="s">
        <v>1253</v>
      </c>
      <c r="AT588" s="145">
        <v>438</v>
      </c>
      <c r="AU588" s="146">
        <v>2.56</v>
      </c>
      <c r="AV588" s="145">
        <v>4150</v>
      </c>
      <c r="AW588" s="145">
        <v>-15</v>
      </c>
      <c r="AY588" s="5">
        <v>566</v>
      </c>
      <c r="AZ588" s="413" t="s">
        <v>718</v>
      </c>
      <c r="BA588" s="145"/>
      <c r="BB588" s="146"/>
      <c r="BC588" s="145"/>
      <c r="BD588" s="145"/>
      <c r="BF588" s="5">
        <v>566</v>
      </c>
      <c r="BG588" s="413" t="s">
        <v>718</v>
      </c>
      <c r="BH588" s="145"/>
      <c r="BI588" s="146"/>
      <c r="BJ588" s="145"/>
      <c r="BK588" s="145"/>
      <c r="BM588" s="5">
        <v>566</v>
      </c>
      <c r="BN588" s="413" t="s">
        <v>718</v>
      </c>
      <c r="BO588" s="145"/>
      <c r="BP588" s="146"/>
      <c r="BQ588" s="145"/>
      <c r="BR588" s="145"/>
      <c r="BS588" s="5"/>
      <c r="BT588" s="5">
        <v>566</v>
      </c>
      <c r="BU588" s="413" t="s">
        <v>718</v>
      </c>
      <c r="BV588" s="145"/>
      <c r="BW588" s="146"/>
      <c r="BX588" s="145"/>
      <c r="BY588" s="145"/>
      <c r="BZ588" s="5"/>
      <c r="CA588" s="5">
        <v>566</v>
      </c>
      <c r="CB588" s="413" t="s">
        <v>718</v>
      </c>
      <c r="CC588" s="145"/>
      <c r="CD588" s="146"/>
      <c r="CE588" s="145"/>
      <c r="CF588" s="145"/>
      <c r="CG588" s="5"/>
      <c r="CH588" s="5"/>
      <c r="CI588" s="5"/>
    </row>
    <row r="589" spans="13:87" x14ac:dyDescent="0.2">
      <c r="M589" s="5">
        <v>567</v>
      </c>
      <c r="N589" s="413" t="str">
        <f t="shared" si="48"/>
        <v xml:space="preserve"> </v>
      </c>
      <c r="O589" s="414">
        <f t="shared" si="49"/>
        <v>0</v>
      </c>
      <c r="P589" s="414">
        <f t="shared" si="50"/>
        <v>0</v>
      </c>
      <c r="Q589" s="145">
        <f t="shared" si="53"/>
        <v>-8</v>
      </c>
      <c r="R589" s="414">
        <f t="shared" si="51"/>
        <v>0</v>
      </c>
      <c r="S589" s="414">
        <f t="shared" si="52"/>
        <v>0</v>
      </c>
      <c r="T589" s="19"/>
      <c r="U589" s="5"/>
      <c r="V589" s="5"/>
      <c r="W589" s="5">
        <v>567</v>
      </c>
      <c r="X589" s="144" t="s">
        <v>718</v>
      </c>
      <c r="Y589" s="145"/>
      <c r="Z589" s="146"/>
      <c r="AA589" s="145"/>
      <c r="AB589" s="145"/>
      <c r="AD589" s="5">
        <v>567</v>
      </c>
      <c r="AE589" s="413" t="s">
        <v>718</v>
      </c>
      <c r="AF589" s="145"/>
      <c r="AG589" s="146"/>
      <c r="AH589" s="145"/>
      <c r="AI589" s="145"/>
      <c r="AK589" s="5">
        <v>567</v>
      </c>
      <c r="AL589" s="413" t="s">
        <v>718</v>
      </c>
      <c r="AM589" s="145"/>
      <c r="AN589" s="146"/>
      <c r="AO589" s="145"/>
      <c r="AP589" s="145"/>
      <c r="AR589" s="5">
        <v>567</v>
      </c>
      <c r="AS589" s="413" t="s">
        <v>1254</v>
      </c>
      <c r="AT589" s="145">
        <v>570</v>
      </c>
      <c r="AU589" s="146">
        <v>2.7</v>
      </c>
      <c r="AV589" s="145">
        <v>4326</v>
      </c>
      <c r="AW589" s="145">
        <v>-17</v>
      </c>
      <c r="AY589" s="5">
        <v>567</v>
      </c>
      <c r="AZ589" s="413" t="s">
        <v>718</v>
      </c>
      <c r="BA589" s="145"/>
      <c r="BB589" s="146"/>
      <c r="BC589" s="145"/>
      <c r="BD589" s="145"/>
      <c r="BF589" s="5">
        <v>567</v>
      </c>
      <c r="BG589" s="413" t="s">
        <v>718</v>
      </c>
      <c r="BH589" s="145"/>
      <c r="BI589" s="146"/>
      <c r="BJ589" s="145"/>
      <c r="BK589" s="145"/>
      <c r="BM589" s="5">
        <v>567</v>
      </c>
      <c r="BN589" s="413" t="s">
        <v>718</v>
      </c>
      <c r="BO589" s="145"/>
      <c r="BP589" s="146"/>
      <c r="BQ589" s="145"/>
      <c r="BR589" s="145"/>
      <c r="BS589" s="5"/>
      <c r="BT589" s="5">
        <v>567</v>
      </c>
      <c r="BU589" s="413" t="s">
        <v>718</v>
      </c>
      <c r="BV589" s="145"/>
      <c r="BW589" s="146"/>
      <c r="BX589" s="145"/>
      <c r="BY589" s="145"/>
      <c r="BZ589" s="5"/>
      <c r="CA589" s="5">
        <v>567</v>
      </c>
      <c r="CB589" s="413" t="s">
        <v>718</v>
      </c>
      <c r="CC589" s="145"/>
      <c r="CD589" s="146"/>
      <c r="CE589" s="145"/>
      <c r="CF589" s="145"/>
      <c r="CG589" s="5"/>
      <c r="CH589" s="5"/>
      <c r="CI589" s="5"/>
    </row>
    <row r="590" spans="13:87" x14ac:dyDescent="0.2">
      <c r="M590" s="5">
        <v>568</v>
      </c>
      <c r="N590" s="413" t="str">
        <f t="shared" si="48"/>
        <v xml:space="preserve"> </v>
      </c>
      <c r="O590" s="414">
        <f t="shared" si="49"/>
        <v>0</v>
      </c>
      <c r="P590" s="414">
        <f t="shared" si="50"/>
        <v>0</v>
      </c>
      <c r="Q590" s="145">
        <f t="shared" si="53"/>
        <v>-8</v>
      </c>
      <c r="R590" s="414">
        <f t="shared" si="51"/>
        <v>0</v>
      </c>
      <c r="S590" s="414">
        <f t="shared" si="52"/>
        <v>0</v>
      </c>
      <c r="T590" s="19"/>
      <c r="U590" s="5"/>
      <c r="V590" s="5"/>
      <c r="W590" s="5">
        <v>568</v>
      </c>
      <c r="X590" s="144" t="s">
        <v>718</v>
      </c>
      <c r="Y590" s="145"/>
      <c r="Z590" s="146"/>
      <c r="AA590" s="145"/>
      <c r="AB590" s="145"/>
      <c r="AD590" s="5">
        <v>568</v>
      </c>
      <c r="AE590" s="413" t="s">
        <v>718</v>
      </c>
      <c r="AF590" s="145"/>
      <c r="AG590" s="146"/>
      <c r="AH590" s="145"/>
      <c r="AI590" s="145"/>
      <c r="AK590" s="5">
        <v>568</v>
      </c>
      <c r="AL590" s="413" t="s">
        <v>718</v>
      </c>
      <c r="AM590" s="145"/>
      <c r="AN590" s="146"/>
      <c r="AO590" s="145"/>
      <c r="AP590" s="145"/>
      <c r="AR590" s="5">
        <v>568</v>
      </c>
      <c r="AS590" s="413" t="s">
        <v>1255</v>
      </c>
      <c r="AT590" s="145">
        <v>201</v>
      </c>
      <c r="AU590" s="146">
        <v>3.66</v>
      </c>
      <c r="AV590" s="145">
        <v>3350</v>
      </c>
      <c r="AW590" s="145">
        <v>-13</v>
      </c>
      <c r="AY590" s="5">
        <v>568</v>
      </c>
      <c r="AZ590" s="413" t="s">
        <v>718</v>
      </c>
      <c r="BA590" s="145"/>
      <c r="BB590" s="146"/>
      <c r="BC590" s="145"/>
      <c r="BD590" s="145"/>
      <c r="BF590" s="5">
        <v>568</v>
      </c>
      <c r="BG590" s="413" t="s">
        <v>718</v>
      </c>
      <c r="BH590" s="145"/>
      <c r="BI590" s="146"/>
      <c r="BJ590" s="145"/>
      <c r="BK590" s="145"/>
      <c r="BM590" s="5">
        <v>568</v>
      </c>
      <c r="BN590" s="413" t="s">
        <v>718</v>
      </c>
      <c r="BO590" s="145"/>
      <c r="BP590" s="146"/>
      <c r="BQ590" s="145"/>
      <c r="BR590" s="145"/>
      <c r="BS590" s="5"/>
      <c r="BT590" s="5">
        <v>568</v>
      </c>
      <c r="BU590" s="413" t="s">
        <v>718</v>
      </c>
      <c r="BV590" s="145"/>
      <c r="BW590" s="146"/>
      <c r="BX590" s="145"/>
      <c r="BY590" s="145"/>
      <c r="BZ590" s="5"/>
      <c r="CA590" s="5">
        <v>568</v>
      </c>
      <c r="CB590" s="413" t="s">
        <v>718</v>
      </c>
      <c r="CC590" s="145"/>
      <c r="CD590" s="146"/>
      <c r="CE590" s="145"/>
      <c r="CF590" s="145"/>
      <c r="CG590" s="5"/>
      <c r="CH590" s="5"/>
      <c r="CI590" s="5"/>
    </row>
    <row r="591" spans="13:87" x14ac:dyDescent="0.2">
      <c r="M591" s="5">
        <v>569</v>
      </c>
      <c r="N591" s="413" t="str">
        <f t="shared" si="48"/>
        <v xml:space="preserve"> </v>
      </c>
      <c r="O591" s="414">
        <f t="shared" si="49"/>
        <v>0</v>
      </c>
      <c r="P591" s="414">
        <f t="shared" si="50"/>
        <v>0</v>
      </c>
      <c r="Q591" s="145">
        <f t="shared" si="53"/>
        <v>-8</v>
      </c>
      <c r="R591" s="414">
        <f t="shared" si="51"/>
        <v>0</v>
      </c>
      <c r="S591" s="414">
        <f t="shared" si="52"/>
        <v>0</v>
      </c>
      <c r="T591" s="19"/>
      <c r="U591" s="5"/>
      <c r="V591" s="5"/>
      <c r="W591" s="5">
        <v>569</v>
      </c>
      <c r="X591" s="144" t="s">
        <v>718</v>
      </c>
      <c r="Y591" s="145"/>
      <c r="Z591" s="146"/>
      <c r="AA591" s="145"/>
      <c r="AB591" s="145"/>
      <c r="AD591" s="5">
        <v>569</v>
      </c>
      <c r="AE591" s="413" t="s">
        <v>718</v>
      </c>
      <c r="AF591" s="145"/>
      <c r="AG591" s="146"/>
      <c r="AH591" s="145"/>
      <c r="AI591" s="145"/>
      <c r="AK591" s="5">
        <v>569</v>
      </c>
      <c r="AL591" s="413" t="s">
        <v>718</v>
      </c>
      <c r="AM591" s="145"/>
      <c r="AN591" s="146"/>
      <c r="AO591" s="145"/>
      <c r="AP591" s="145"/>
      <c r="AR591" s="5">
        <v>569</v>
      </c>
      <c r="AS591" s="413" t="s">
        <v>1256</v>
      </c>
      <c r="AT591" s="145">
        <v>265</v>
      </c>
      <c r="AU591" s="146">
        <v>3.41</v>
      </c>
      <c r="AV591" s="145">
        <v>3501</v>
      </c>
      <c r="AW591" s="145">
        <v>-13</v>
      </c>
      <c r="AY591" s="5">
        <v>569</v>
      </c>
      <c r="AZ591" s="413" t="s">
        <v>718</v>
      </c>
      <c r="BA591" s="145"/>
      <c r="BB591" s="146"/>
      <c r="BC591" s="145"/>
      <c r="BD591" s="145"/>
      <c r="BF591" s="5">
        <v>569</v>
      </c>
      <c r="BG591" s="413" t="s">
        <v>718</v>
      </c>
      <c r="BH591" s="145"/>
      <c r="BI591" s="146"/>
      <c r="BJ591" s="145"/>
      <c r="BK591" s="145"/>
      <c r="BM591" s="5">
        <v>569</v>
      </c>
      <c r="BN591" s="413" t="s">
        <v>718</v>
      </c>
      <c r="BO591" s="145"/>
      <c r="BP591" s="146"/>
      <c r="BQ591" s="145"/>
      <c r="BR591" s="145"/>
      <c r="BS591" s="5"/>
      <c r="BT591" s="5">
        <v>569</v>
      </c>
      <c r="BU591" s="413" t="s">
        <v>718</v>
      </c>
      <c r="BV591" s="145"/>
      <c r="BW591" s="146"/>
      <c r="BX591" s="145"/>
      <c r="BY591" s="145"/>
      <c r="BZ591" s="5"/>
      <c r="CA591" s="5">
        <v>569</v>
      </c>
      <c r="CB591" s="413" t="s">
        <v>718</v>
      </c>
      <c r="CC591" s="145"/>
      <c r="CD591" s="146"/>
      <c r="CE591" s="145"/>
      <c r="CF591" s="145"/>
      <c r="CG591" s="5"/>
      <c r="CH591" s="5"/>
      <c r="CI591" s="5"/>
    </row>
    <row r="592" spans="13:87" x14ac:dyDescent="0.2">
      <c r="M592" s="5">
        <v>570</v>
      </c>
      <c r="N592" s="413" t="str">
        <f t="shared" si="48"/>
        <v xml:space="preserve"> </v>
      </c>
      <c r="O592" s="414">
        <f t="shared" si="49"/>
        <v>0</v>
      </c>
      <c r="P592" s="414">
        <f t="shared" si="50"/>
        <v>0</v>
      </c>
      <c r="Q592" s="145">
        <f t="shared" si="53"/>
        <v>-8</v>
      </c>
      <c r="R592" s="414">
        <f t="shared" si="51"/>
        <v>0</v>
      </c>
      <c r="S592" s="414">
        <f t="shared" si="52"/>
        <v>0</v>
      </c>
      <c r="T592" s="19"/>
      <c r="U592" s="5"/>
      <c r="V592" s="5"/>
      <c r="W592" s="5">
        <v>570</v>
      </c>
      <c r="X592" s="144" t="s">
        <v>718</v>
      </c>
      <c r="Y592" s="145"/>
      <c r="Z592" s="146"/>
      <c r="AA592" s="145"/>
      <c r="AB592" s="145"/>
      <c r="AD592" s="5">
        <v>570</v>
      </c>
      <c r="AE592" s="413" t="s">
        <v>718</v>
      </c>
      <c r="AF592" s="145"/>
      <c r="AG592" s="146"/>
      <c r="AH592" s="145"/>
      <c r="AI592" s="145"/>
      <c r="AK592" s="5">
        <v>570</v>
      </c>
      <c r="AL592" s="413" t="s">
        <v>718</v>
      </c>
      <c r="AM592" s="145"/>
      <c r="AN592" s="146"/>
      <c r="AO592" s="145"/>
      <c r="AP592" s="145"/>
      <c r="AR592" s="5">
        <v>570</v>
      </c>
      <c r="AS592" s="413" t="s">
        <v>1257</v>
      </c>
      <c r="AT592" s="145">
        <v>800</v>
      </c>
      <c r="AU592" s="146">
        <v>3.22</v>
      </c>
      <c r="AV592" s="145">
        <v>4447</v>
      </c>
      <c r="AW592" s="145">
        <v>-15</v>
      </c>
      <c r="AY592" s="5">
        <v>570</v>
      </c>
      <c r="AZ592" s="413" t="s">
        <v>718</v>
      </c>
      <c r="BA592" s="145"/>
      <c r="BB592" s="146"/>
      <c r="BC592" s="145"/>
      <c r="BD592" s="145"/>
      <c r="BF592" s="5">
        <v>570</v>
      </c>
      <c r="BG592" s="413" t="s">
        <v>718</v>
      </c>
      <c r="BH592" s="145"/>
      <c r="BI592" s="146"/>
      <c r="BJ592" s="145"/>
      <c r="BK592" s="145"/>
      <c r="BM592" s="5">
        <v>570</v>
      </c>
      <c r="BN592" s="413" t="s">
        <v>718</v>
      </c>
      <c r="BO592" s="145"/>
      <c r="BP592" s="146"/>
      <c r="BQ592" s="145"/>
      <c r="BR592" s="145"/>
      <c r="BS592" s="5"/>
      <c r="BT592" s="5">
        <v>570</v>
      </c>
      <c r="BU592" s="413" t="s">
        <v>718</v>
      </c>
      <c r="BV592" s="145"/>
      <c r="BW592" s="146"/>
      <c r="BX592" s="145"/>
      <c r="BY592" s="145"/>
      <c r="BZ592" s="5"/>
      <c r="CA592" s="5">
        <v>570</v>
      </c>
      <c r="CB592" s="413" t="s">
        <v>718</v>
      </c>
      <c r="CC592" s="145"/>
      <c r="CD592" s="146"/>
      <c r="CE592" s="145"/>
      <c r="CF592" s="145"/>
      <c r="CG592" s="5"/>
      <c r="CH592" s="5"/>
      <c r="CI592" s="5"/>
    </row>
    <row r="593" spans="13:87" x14ac:dyDescent="0.2">
      <c r="M593" s="5">
        <v>571</v>
      </c>
      <c r="N593" s="413" t="str">
        <f t="shared" si="48"/>
        <v xml:space="preserve"> </v>
      </c>
      <c r="O593" s="414">
        <f t="shared" si="49"/>
        <v>0</v>
      </c>
      <c r="P593" s="414">
        <f t="shared" si="50"/>
        <v>0</v>
      </c>
      <c r="Q593" s="145">
        <f t="shared" si="53"/>
        <v>-8</v>
      </c>
      <c r="R593" s="414">
        <f t="shared" si="51"/>
        <v>0</v>
      </c>
      <c r="S593" s="414">
        <f t="shared" si="52"/>
        <v>0</v>
      </c>
      <c r="T593" s="19"/>
      <c r="U593" s="5"/>
      <c r="V593" s="5"/>
      <c r="W593" s="5">
        <v>571</v>
      </c>
      <c r="X593" s="144" t="s">
        <v>718</v>
      </c>
      <c r="Y593" s="145"/>
      <c r="Z593" s="146"/>
      <c r="AA593" s="145"/>
      <c r="AB593" s="145"/>
      <c r="AD593" s="5">
        <v>571</v>
      </c>
      <c r="AE593" s="413" t="s">
        <v>718</v>
      </c>
      <c r="AF593" s="145"/>
      <c r="AG593" s="146"/>
      <c r="AH593" s="145"/>
      <c r="AI593" s="145"/>
      <c r="AK593" s="5">
        <v>571</v>
      </c>
      <c r="AL593" s="413" t="s">
        <v>718</v>
      </c>
      <c r="AM593" s="145"/>
      <c r="AN593" s="146"/>
      <c r="AO593" s="145"/>
      <c r="AP593" s="145"/>
      <c r="AR593" s="5">
        <v>571</v>
      </c>
      <c r="AS593" s="413" t="s">
        <v>1258</v>
      </c>
      <c r="AT593" s="145">
        <v>260</v>
      </c>
      <c r="AU593" s="146">
        <v>3.24</v>
      </c>
      <c r="AV593" s="145">
        <v>3755</v>
      </c>
      <c r="AW593" s="145">
        <v>-14</v>
      </c>
      <c r="AY593" s="5">
        <v>571</v>
      </c>
      <c r="AZ593" s="413" t="s">
        <v>718</v>
      </c>
      <c r="BA593" s="145"/>
      <c r="BB593" s="146"/>
      <c r="BC593" s="145"/>
      <c r="BD593" s="145"/>
      <c r="BF593" s="5">
        <v>571</v>
      </c>
      <c r="BG593" s="413" t="s">
        <v>718</v>
      </c>
      <c r="BH593" s="145"/>
      <c r="BI593" s="146"/>
      <c r="BJ593" s="145"/>
      <c r="BK593" s="145"/>
      <c r="BM593" s="5">
        <v>571</v>
      </c>
      <c r="BN593" s="413" t="s">
        <v>718</v>
      </c>
      <c r="BO593" s="145"/>
      <c r="BP593" s="146"/>
      <c r="BQ593" s="145"/>
      <c r="BR593" s="145"/>
      <c r="BS593" s="5"/>
      <c r="BT593" s="5">
        <v>571</v>
      </c>
      <c r="BU593" s="413" t="s">
        <v>718</v>
      </c>
      <c r="BV593" s="145"/>
      <c r="BW593" s="146"/>
      <c r="BX593" s="145"/>
      <c r="BY593" s="145"/>
      <c r="BZ593" s="5"/>
      <c r="CA593" s="5">
        <v>571</v>
      </c>
      <c r="CB593" s="413" t="s">
        <v>718</v>
      </c>
      <c r="CC593" s="145"/>
      <c r="CD593" s="146"/>
      <c r="CE593" s="145"/>
      <c r="CF593" s="145"/>
      <c r="CG593" s="5"/>
      <c r="CH593" s="5"/>
      <c r="CI593" s="5"/>
    </row>
    <row r="594" spans="13:87" x14ac:dyDescent="0.2">
      <c r="M594" s="5">
        <v>572</v>
      </c>
      <c r="N594" s="413" t="str">
        <f t="shared" si="48"/>
        <v xml:space="preserve"> </v>
      </c>
      <c r="O594" s="414">
        <f t="shared" si="49"/>
        <v>0</v>
      </c>
      <c r="P594" s="414">
        <f t="shared" si="50"/>
        <v>0</v>
      </c>
      <c r="Q594" s="145">
        <f t="shared" si="53"/>
        <v>-8</v>
      </c>
      <c r="R594" s="414">
        <f t="shared" si="51"/>
        <v>0</v>
      </c>
      <c r="S594" s="414">
        <f t="shared" si="52"/>
        <v>0</v>
      </c>
      <c r="T594" s="19"/>
      <c r="U594" s="5"/>
      <c r="V594" s="5"/>
      <c r="W594" s="5">
        <v>572</v>
      </c>
      <c r="X594" s="144" t="s">
        <v>718</v>
      </c>
      <c r="Y594" s="145"/>
      <c r="Z594" s="146"/>
      <c r="AA594" s="145"/>
      <c r="AB594" s="145"/>
      <c r="AD594" s="5">
        <v>572</v>
      </c>
      <c r="AE594" s="413" t="s">
        <v>718</v>
      </c>
      <c r="AF594" s="145"/>
      <c r="AG594" s="146"/>
      <c r="AH594" s="145"/>
      <c r="AI594" s="145"/>
      <c r="AK594" s="5">
        <v>572</v>
      </c>
      <c r="AL594" s="413" t="s">
        <v>718</v>
      </c>
      <c r="AM594" s="145"/>
      <c r="AN594" s="146"/>
      <c r="AO594" s="145"/>
      <c r="AP594" s="145"/>
      <c r="AR594" s="5">
        <v>572</v>
      </c>
      <c r="AS594" s="413" t="s">
        <v>1259</v>
      </c>
      <c r="AT594" s="145">
        <v>695</v>
      </c>
      <c r="AU594" s="146">
        <v>2.9</v>
      </c>
      <c r="AV594" s="145">
        <v>4327</v>
      </c>
      <c r="AW594" s="145">
        <v>-15</v>
      </c>
      <c r="AY594" s="5">
        <v>572</v>
      </c>
      <c r="AZ594" s="413" t="s">
        <v>718</v>
      </c>
      <c r="BA594" s="145"/>
      <c r="BB594" s="146"/>
      <c r="BC594" s="145"/>
      <c r="BD594" s="145"/>
      <c r="BF594" s="5">
        <v>572</v>
      </c>
      <c r="BG594" s="413" t="s">
        <v>718</v>
      </c>
      <c r="BH594" s="145"/>
      <c r="BI594" s="146"/>
      <c r="BJ594" s="145"/>
      <c r="BK594" s="145"/>
      <c r="BM594" s="5">
        <v>572</v>
      </c>
      <c r="BN594" s="413" t="s">
        <v>718</v>
      </c>
      <c r="BO594" s="145"/>
      <c r="BP594" s="146"/>
      <c r="BQ594" s="145"/>
      <c r="BR594" s="145"/>
      <c r="BS594" s="5"/>
      <c r="BT594" s="5">
        <v>572</v>
      </c>
      <c r="BU594" s="413" t="s">
        <v>718</v>
      </c>
      <c r="BV594" s="145"/>
      <c r="BW594" s="146"/>
      <c r="BX594" s="145"/>
      <c r="BY594" s="145"/>
      <c r="BZ594" s="5"/>
      <c r="CA594" s="5">
        <v>572</v>
      </c>
      <c r="CB594" s="413" t="s">
        <v>718</v>
      </c>
      <c r="CC594" s="145"/>
      <c r="CD594" s="146"/>
      <c r="CE594" s="145"/>
      <c r="CF594" s="145"/>
      <c r="CG594" s="5"/>
      <c r="CH594" s="5"/>
      <c r="CI594" s="5"/>
    </row>
    <row r="595" spans="13:87" x14ac:dyDescent="0.2">
      <c r="M595" s="5">
        <v>573</v>
      </c>
      <c r="N595" s="413" t="str">
        <f t="shared" si="48"/>
        <v xml:space="preserve"> </v>
      </c>
      <c r="O595" s="414">
        <f t="shared" si="49"/>
        <v>0</v>
      </c>
      <c r="P595" s="414">
        <f t="shared" si="50"/>
        <v>0</v>
      </c>
      <c r="Q595" s="145">
        <f t="shared" si="53"/>
        <v>-8</v>
      </c>
      <c r="R595" s="414">
        <f t="shared" si="51"/>
        <v>0</v>
      </c>
      <c r="S595" s="414">
        <f t="shared" si="52"/>
        <v>0</v>
      </c>
      <c r="T595" s="19"/>
      <c r="U595" s="5"/>
      <c r="V595" s="5"/>
      <c r="W595" s="5">
        <v>573</v>
      </c>
      <c r="X595" s="144" t="s">
        <v>718</v>
      </c>
      <c r="Y595" s="145"/>
      <c r="Z595" s="146"/>
      <c r="AA595" s="145"/>
      <c r="AB595" s="145"/>
      <c r="AD595" s="5">
        <v>573</v>
      </c>
      <c r="AE595" s="413" t="s">
        <v>718</v>
      </c>
      <c r="AF595" s="145"/>
      <c r="AG595" s="146"/>
      <c r="AH595" s="145"/>
      <c r="AI595" s="145"/>
      <c r="AK595" s="5">
        <v>573</v>
      </c>
      <c r="AL595" s="413" t="s">
        <v>718</v>
      </c>
      <c r="AM595" s="145"/>
      <c r="AN595" s="146"/>
      <c r="AO595" s="145"/>
      <c r="AP595" s="145"/>
      <c r="AR595" s="5">
        <v>573</v>
      </c>
      <c r="AS595" s="413" t="s">
        <v>1260</v>
      </c>
      <c r="AT595" s="145">
        <v>204</v>
      </c>
      <c r="AU595" s="146">
        <v>3.13</v>
      </c>
      <c r="AV595" s="145">
        <v>3593</v>
      </c>
      <c r="AW595" s="145">
        <v>-14</v>
      </c>
      <c r="AY595" s="5">
        <v>573</v>
      </c>
      <c r="AZ595" s="413" t="s">
        <v>718</v>
      </c>
      <c r="BA595" s="145"/>
      <c r="BB595" s="146"/>
      <c r="BC595" s="145"/>
      <c r="BD595" s="145"/>
      <c r="BF595" s="5">
        <v>573</v>
      </c>
      <c r="BG595" s="413" t="s">
        <v>718</v>
      </c>
      <c r="BH595" s="145"/>
      <c r="BI595" s="146"/>
      <c r="BJ595" s="145"/>
      <c r="BK595" s="145"/>
      <c r="BM595" s="5">
        <v>573</v>
      </c>
      <c r="BN595" s="413" t="s">
        <v>718</v>
      </c>
      <c r="BO595" s="145"/>
      <c r="BP595" s="146"/>
      <c r="BQ595" s="145"/>
      <c r="BR595" s="145"/>
      <c r="BS595" s="5"/>
      <c r="BT595" s="5">
        <v>573</v>
      </c>
      <c r="BU595" s="413" t="s">
        <v>718</v>
      </c>
      <c r="BV595" s="145"/>
      <c r="BW595" s="146"/>
      <c r="BX595" s="145"/>
      <c r="BY595" s="145"/>
      <c r="BZ595" s="5"/>
      <c r="CA595" s="5">
        <v>573</v>
      </c>
      <c r="CB595" s="413" t="s">
        <v>718</v>
      </c>
      <c r="CC595" s="145"/>
      <c r="CD595" s="146"/>
      <c r="CE595" s="145"/>
      <c r="CF595" s="145"/>
      <c r="CG595" s="5"/>
      <c r="CH595" s="5"/>
      <c r="CI595" s="5"/>
    </row>
    <row r="596" spans="13:87" x14ac:dyDescent="0.2">
      <c r="M596" s="5">
        <v>574</v>
      </c>
      <c r="N596" s="413" t="str">
        <f t="shared" si="48"/>
        <v xml:space="preserve"> </v>
      </c>
      <c r="O596" s="414">
        <f t="shared" si="49"/>
        <v>0</v>
      </c>
      <c r="P596" s="414">
        <f t="shared" si="50"/>
        <v>0</v>
      </c>
      <c r="Q596" s="145">
        <f t="shared" si="53"/>
        <v>-8</v>
      </c>
      <c r="R596" s="414">
        <f t="shared" si="51"/>
        <v>0</v>
      </c>
      <c r="S596" s="414">
        <f t="shared" si="52"/>
        <v>0</v>
      </c>
      <c r="T596" s="19"/>
      <c r="U596" s="5"/>
      <c r="V596" s="5"/>
      <c r="W596" s="5">
        <v>574</v>
      </c>
      <c r="X596" s="144" t="s">
        <v>718</v>
      </c>
      <c r="Y596" s="145"/>
      <c r="Z596" s="146"/>
      <c r="AA596" s="145"/>
      <c r="AB596" s="145"/>
      <c r="AD596" s="5">
        <v>574</v>
      </c>
      <c r="AE596" s="413" t="s">
        <v>718</v>
      </c>
      <c r="AF596" s="145"/>
      <c r="AG596" s="146"/>
      <c r="AH596" s="145"/>
      <c r="AI596" s="145"/>
      <c r="AK596" s="5">
        <v>574</v>
      </c>
      <c r="AL596" s="413" t="s">
        <v>718</v>
      </c>
      <c r="AM596" s="145"/>
      <c r="AN596" s="146"/>
      <c r="AO596" s="145"/>
      <c r="AP596" s="145"/>
      <c r="AR596" s="5">
        <v>574</v>
      </c>
      <c r="AS596" s="413" t="s">
        <v>1261</v>
      </c>
      <c r="AT596" s="145">
        <v>190</v>
      </c>
      <c r="AU596" s="146">
        <v>3.12</v>
      </c>
      <c r="AV596" s="145">
        <v>3579</v>
      </c>
      <c r="AW596" s="145">
        <v>-14</v>
      </c>
      <c r="AY596" s="5">
        <v>574</v>
      </c>
      <c r="AZ596" s="413" t="s">
        <v>718</v>
      </c>
      <c r="BA596" s="145"/>
      <c r="BB596" s="146"/>
      <c r="BC596" s="145"/>
      <c r="BD596" s="145"/>
      <c r="BF596" s="5">
        <v>574</v>
      </c>
      <c r="BG596" s="413" t="s">
        <v>718</v>
      </c>
      <c r="BH596" s="145"/>
      <c r="BI596" s="146"/>
      <c r="BJ596" s="145"/>
      <c r="BK596" s="145"/>
      <c r="BM596" s="5">
        <v>574</v>
      </c>
      <c r="BN596" s="413" t="s">
        <v>718</v>
      </c>
      <c r="BO596" s="145"/>
      <c r="BP596" s="146"/>
      <c r="BQ596" s="145"/>
      <c r="BR596" s="145"/>
      <c r="BS596" s="5"/>
      <c r="BT596" s="5">
        <v>574</v>
      </c>
      <c r="BU596" s="413" t="s">
        <v>718</v>
      </c>
      <c r="BV596" s="145"/>
      <c r="BW596" s="146"/>
      <c r="BX596" s="145"/>
      <c r="BY596" s="145"/>
      <c r="BZ596" s="5"/>
      <c r="CA596" s="5">
        <v>574</v>
      </c>
      <c r="CB596" s="413" t="s">
        <v>718</v>
      </c>
      <c r="CC596" s="145"/>
      <c r="CD596" s="146"/>
      <c r="CE596" s="145"/>
      <c r="CF596" s="145"/>
      <c r="CG596" s="5"/>
      <c r="CH596" s="5"/>
      <c r="CI596" s="5"/>
    </row>
    <row r="597" spans="13:87" x14ac:dyDescent="0.2">
      <c r="M597" s="5">
        <v>575</v>
      </c>
      <c r="N597" s="413" t="str">
        <f t="shared" si="48"/>
        <v xml:space="preserve"> </v>
      </c>
      <c r="O597" s="414">
        <f t="shared" si="49"/>
        <v>0</v>
      </c>
      <c r="P597" s="414">
        <f t="shared" si="50"/>
        <v>0</v>
      </c>
      <c r="Q597" s="145">
        <f t="shared" si="53"/>
        <v>-8</v>
      </c>
      <c r="R597" s="414">
        <f t="shared" si="51"/>
        <v>0</v>
      </c>
      <c r="S597" s="414">
        <f t="shared" si="52"/>
        <v>0</v>
      </c>
      <c r="T597" s="19"/>
      <c r="U597" s="5"/>
      <c r="V597" s="5"/>
      <c r="W597" s="5">
        <v>575</v>
      </c>
      <c r="X597" s="144" t="s">
        <v>718</v>
      </c>
      <c r="Y597" s="145"/>
      <c r="Z597" s="146"/>
      <c r="AA597" s="145"/>
      <c r="AB597" s="145"/>
      <c r="AD597" s="5">
        <v>575</v>
      </c>
      <c r="AE597" s="413" t="s">
        <v>718</v>
      </c>
      <c r="AF597" s="145"/>
      <c r="AG597" s="146"/>
      <c r="AH597" s="145"/>
      <c r="AI597" s="145"/>
      <c r="AK597" s="5">
        <v>575</v>
      </c>
      <c r="AL597" s="413" t="s">
        <v>718</v>
      </c>
      <c r="AM597" s="145"/>
      <c r="AN597" s="146"/>
      <c r="AO597" s="145"/>
      <c r="AP597" s="145"/>
      <c r="AR597" s="5">
        <v>575</v>
      </c>
      <c r="AS597" s="413" t="s">
        <v>1262</v>
      </c>
      <c r="AT597" s="145">
        <v>159</v>
      </c>
      <c r="AU597" s="146">
        <v>3.45</v>
      </c>
      <c r="AV597" s="145">
        <v>3425</v>
      </c>
      <c r="AW597" s="145">
        <v>-14</v>
      </c>
      <c r="AY597" s="5">
        <v>575</v>
      </c>
      <c r="AZ597" s="413" t="s">
        <v>718</v>
      </c>
      <c r="BA597" s="145"/>
      <c r="BB597" s="146"/>
      <c r="BC597" s="145"/>
      <c r="BD597" s="145"/>
      <c r="BF597" s="5">
        <v>575</v>
      </c>
      <c r="BG597" s="413" t="s">
        <v>718</v>
      </c>
      <c r="BH597" s="145"/>
      <c r="BI597" s="146"/>
      <c r="BJ597" s="145"/>
      <c r="BK597" s="145"/>
      <c r="BM597" s="5">
        <v>575</v>
      </c>
      <c r="BN597" s="413" t="s">
        <v>718</v>
      </c>
      <c r="BO597" s="145"/>
      <c r="BP597" s="146"/>
      <c r="BQ597" s="145"/>
      <c r="BR597" s="145"/>
      <c r="BS597" s="5"/>
      <c r="BT597" s="5">
        <v>575</v>
      </c>
      <c r="BU597" s="413" t="s">
        <v>718</v>
      </c>
      <c r="BV597" s="145"/>
      <c r="BW597" s="146"/>
      <c r="BX597" s="145"/>
      <c r="BY597" s="145"/>
      <c r="BZ597" s="5"/>
      <c r="CA597" s="5">
        <v>575</v>
      </c>
      <c r="CB597" s="413" t="s">
        <v>718</v>
      </c>
      <c r="CC597" s="145"/>
      <c r="CD597" s="146"/>
      <c r="CE597" s="145"/>
      <c r="CF597" s="145"/>
      <c r="CG597" s="5"/>
      <c r="CH597" s="5"/>
      <c r="CI597" s="5"/>
    </row>
    <row r="598" spans="13:87" x14ac:dyDescent="0.2">
      <c r="M598" s="5">
        <v>576</v>
      </c>
      <c r="N598" s="413" t="str">
        <f t="shared" si="48"/>
        <v xml:space="preserve"> </v>
      </c>
      <c r="O598" s="414">
        <f t="shared" si="49"/>
        <v>0</v>
      </c>
      <c r="P598" s="414">
        <f t="shared" si="50"/>
        <v>0</v>
      </c>
      <c r="Q598" s="145">
        <f t="shared" si="53"/>
        <v>-8</v>
      </c>
      <c r="R598" s="414">
        <f t="shared" si="51"/>
        <v>0</v>
      </c>
      <c r="S598" s="414">
        <f t="shared" si="52"/>
        <v>0</v>
      </c>
      <c r="T598" s="19"/>
      <c r="U598" s="5"/>
      <c r="V598" s="5"/>
      <c r="W598" s="5">
        <v>576</v>
      </c>
      <c r="X598" s="144" t="s">
        <v>718</v>
      </c>
      <c r="Y598" s="145"/>
      <c r="Z598" s="146"/>
      <c r="AA598" s="145"/>
      <c r="AB598" s="145"/>
      <c r="AD598" s="5">
        <v>576</v>
      </c>
      <c r="AE598" s="413" t="s">
        <v>718</v>
      </c>
      <c r="AF598" s="145"/>
      <c r="AG598" s="146"/>
      <c r="AH598" s="145"/>
      <c r="AI598" s="145"/>
      <c r="AK598" s="5">
        <v>576</v>
      </c>
      <c r="AL598" s="413" t="s">
        <v>718</v>
      </c>
      <c r="AM598" s="145"/>
      <c r="AN598" s="146"/>
      <c r="AO598" s="145"/>
      <c r="AP598" s="145"/>
      <c r="AR598" s="5">
        <v>576</v>
      </c>
      <c r="AS598" s="413" t="s">
        <v>1263</v>
      </c>
      <c r="AT598" s="145">
        <v>320</v>
      </c>
      <c r="AU598" s="146">
        <v>3.36</v>
      </c>
      <c r="AV598" s="145">
        <v>3778</v>
      </c>
      <c r="AW598" s="145">
        <v>-14</v>
      </c>
      <c r="AY598" s="5">
        <v>576</v>
      </c>
      <c r="AZ598" s="413" t="s">
        <v>718</v>
      </c>
      <c r="BA598" s="145"/>
      <c r="BB598" s="146"/>
      <c r="BC598" s="145"/>
      <c r="BD598" s="145"/>
      <c r="BF598" s="5">
        <v>576</v>
      </c>
      <c r="BG598" s="413" t="s">
        <v>718</v>
      </c>
      <c r="BH598" s="145"/>
      <c r="BI598" s="146"/>
      <c r="BJ598" s="145"/>
      <c r="BK598" s="145"/>
      <c r="BM598" s="5">
        <v>576</v>
      </c>
      <c r="BN598" s="413" t="s">
        <v>718</v>
      </c>
      <c r="BO598" s="145"/>
      <c r="BP598" s="146"/>
      <c r="BQ598" s="145"/>
      <c r="BR598" s="145"/>
      <c r="BS598" s="5"/>
      <c r="BT598" s="5">
        <v>576</v>
      </c>
      <c r="BU598" s="413" t="s">
        <v>718</v>
      </c>
      <c r="BV598" s="145"/>
      <c r="BW598" s="146"/>
      <c r="BX598" s="145"/>
      <c r="BY598" s="145"/>
      <c r="BZ598" s="5"/>
      <c r="CA598" s="5">
        <v>576</v>
      </c>
      <c r="CB598" s="413" t="s">
        <v>718</v>
      </c>
      <c r="CC598" s="145"/>
      <c r="CD598" s="146"/>
      <c r="CE598" s="145"/>
      <c r="CF598" s="145"/>
      <c r="CG598" s="5"/>
      <c r="CH598" s="5"/>
      <c r="CI598" s="5"/>
    </row>
    <row r="599" spans="13:87" x14ac:dyDescent="0.2">
      <c r="M599" s="5">
        <v>577</v>
      </c>
      <c r="N599" s="413" t="str">
        <f t="shared" ref="N599:N662" si="54">INDEX(X$23:CG$723,$M599,(Bundesland-1)*7+1)</f>
        <v xml:space="preserve"> </v>
      </c>
      <c r="O599" s="414">
        <f t="shared" ref="O599:O662" si="55">INDEX(Y$23:CH$723,$M599,(Bundesland-1)*7+1)</f>
        <v>0</v>
      </c>
      <c r="P599" s="414">
        <f t="shared" ref="P599:P662" si="56">INDEX(Z$23:CI$723,$M599,(Bundesland-1)*7+1)</f>
        <v>0</v>
      </c>
      <c r="Q599" s="145">
        <f t="shared" si="53"/>
        <v>-8</v>
      </c>
      <c r="R599" s="414">
        <f t="shared" ref="R599:R662" si="57">INDEX(AA$23:CK$723,$M599,(Bundesland-1)*7+1)</f>
        <v>0</v>
      </c>
      <c r="S599" s="414">
        <f t="shared" ref="S599:S662" si="58">INDEX(AB$23:CL$723,$M599,(Bundesland-1)*7+1)</f>
        <v>0</v>
      </c>
      <c r="T599" s="19"/>
      <c r="U599" s="5"/>
      <c r="V599" s="5"/>
      <c r="W599" s="5">
        <v>577</v>
      </c>
      <c r="X599" s="144" t="s">
        <v>718</v>
      </c>
      <c r="Y599" s="145"/>
      <c r="Z599" s="146"/>
      <c r="AA599" s="145"/>
      <c r="AB599" s="145"/>
      <c r="AD599" s="5">
        <v>577</v>
      </c>
      <c r="AE599" s="413" t="s">
        <v>718</v>
      </c>
      <c r="AF599" s="145"/>
      <c r="AG599" s="146"/>
      <c r="AH599" s="145"/>
      <c r="AI599" s="145"/>
      <c r="AK599" s="5">
        <v>577</v>
      </c>
      <c r="AL599" s="413" t="s">
        <v>718</v>
      </c>
      <c r="AM599" s="145"/>
      <c r="AN599" s="146"/>
      <c r="AO599" s="145"/>
      <c r="AP599" s="145"/>
      <c r="AR599" s="5">
        <v>577</v>
      </c>
      <c r="AS599" s="413" t="s">
        <v>1264</v>
      </c>
      <c r="AT599" s="145">
        <v>400</v>
      </c>
      <c r="AU599" s="146">
        <v>3.3</v>
      </c>
      <c r="AV599" s="145">
        <v>3723</v>
      </c>
      <c r="AW599" s="145">
        <v>-14</v>
      </c>
      <c r="AY599" s="5">
        <v>577</v>
      </c>
      <c r="AZ599" s="413" t="s">
        <v>718</v>
      </c>
      <c r="BA599" s="145"/>
      <c r="BB599" s="146"/>
      <c r="BC599" s="145"/>
      <c r="BD599" s="145"/>
      <c r="BF599" s="5">
        <v>577</v>
      </c>
      <c r="BG599" s="413" t="s">
        <v>718</v>
      </c>
      <c r="BH599" s="145"/>
      <c r="BI599" s="146"/>
      <c r="BJ599" s="145"/>
      <c r="BK599" s="145"/>
      <c r="BM599" s="5">
        <v>577</v>
      </c>
      <c r="BN599" s="413" t="s">
        <v>718</v>
      </c>
      <c r="BO599" s="145"/>
      <c r="BP599" s="146"/>
      <c r="BQ599" s="145"/>
      <c r="BR599" s="145"/>
      <c r="BS599" s="5"/>
      <c r="BT599" s="5">
        <v>577</v>
      </c>
      <c r="BU599" s="413" t="s">
        <v>718</v>
      </c>
      <c r="BV599" s="145"/>
      <c r="BW599" s="146"/>
      <c r="BX599" s="145"/>
      <c r="BY599" s="145"/>
      <c r="BZ599" s="5"/>
      <c r="CA599" s="5">
        <v>577</v>
      </c>
      <c r="CB599" s="413" t="s">
        <v>718</v>
      </c>
      <c r="CC599" s="145"/>
      <c r="CD599" s="146"/>
      <c r="CE599" s="145"/>
      <c r="CF599" s="145"/>
      <c r="CG599" s="5"/>
      <c r="CH599" s="5"/>
      <c r="CI599" s="5"/>
    </row>
    <row r="600" spans="13:87" x14ac:dyDescent="0.2">
      <c r="M600" s="5">
        <v>578</v>
      </c>
      <c r="N600" s="413" t="str">
        <f t="shared" si="54"/>
        <v xml:space="preserve"> </v>
      </c>
      <c r="O600" s="414">
        <f t="shared" si="55"/>
        <v>0</v>
      </c>
      <c r="P600" s="414">
        <f t="shared" si="56"/>
        <v>0</v>
      </c>
      <c r="Q600" s="145">
        <f t="shared" ref="Q600:Q663" si="59">MIN(S600+Zuschlag_A,-8)</f>
        <v>-8</v>
      </c>
      <c r="R600" s="414">
        <f t="shared" si="57"/>
        <v>0</v>
      </c>
      <c r="S600" s="414">
        <f t="shared" si="58"/>
        <v>0</v>
      </c>
      <c r="T600" s="19"/>
      <c r="U600" s="5"/>
      <c r="V600" s="5"/>
      <c r="W600" s="5">
        <v>578</v>
      </c>
      <c r="X600" s="144" t="s">
        <v>718</v>
      </c>
      <c r="Y600" s="145"/>
      <c r="Z600" s="146"/>
      <c r="AA600" s="145"/>
      <c r="AB600" s="145"/>
      <c r="AD600" s="5">
        <v>578</v>
      </c>
      <c r="AE600" s="413" t="s">
        <v>718</v>
      </c>
      <c r="AF600" s="145"/>
      <c r="AG600" s="146"/>
      <c r="AH600" s="145"/>
      <c r="AI600" s="145"/>
      <c r="AK600" s="5">
        <v>578</v>
      </c>
      <c r="AL600" s="413" t="s">
        <v>718</v>
      </c>
      <c r="AM600" s="145"/>
      <c r="AN600" s="146"/>
      <c r="AO600" s="145"/>
      <c r="AP600" s="145"/>
      <c r="AR600" s="5">
        <v>578</v>
      </c>
      <c r="AS600" s="413" t="s">
        <v>1265</v>
      </c>
      <c r="AT600" s="145">
        <v>396</v>
      </c>
      <c r="AU600" s="146">
        <v>3.42</v>
      </c>
      <c r="AV600" s="145">
        <v>3615</v>
      </c>
      <c r="AW600" s="145">
        <v>-14</v>
      </c>
      <c r="AY600" s="5">
        <v>578</v>
      </c>
      <c r="AZ600" s="413" t="s">
        <v>718</v>
      </c>
      <c r="BA600" s="145"/>
      <c r="BB600" s="146"/>
      <c r="BC600" s="145"/>
      <c r="BD600" s="145"/>
      <c r="BF600" s="5">
        <v>578</v>
      </c>
      <c r="BG600" s="413" t="s">
        <v>718</v>
      </c>
      <c r="BH600" s="145"/>
      <c r="BI600" s="146"/>
      <c r="BJ600" s="145"/>
      <c r="BK600" s="145"/>
      <c r="BM600" s="5">
        <v>578</v>
      </c>
      <c r="BN600" s="413" t="s">
        <v>718</v>
      </c>
      <c r="BO600" s="145"/>
      <c r="BP600" s="146"/>
      <c r="BQ600" s="145"/>
      <c r="BR600" s="145"/>
      <c r="BS600" s="5"/>
      <c r="BT600" s="5">
        <v>578</v>
      </c>
      <c r="BU600" s="413" t="s">
        <v>718</v>
      </c>
      <c r="BV600" s="145"/>
      <c r="BW600" s="146"/>
      <c r="BX600" s="145"/>
      <c r="BY600" s="145"/>
      <c r="BZ600" s="5"/>
      <c r="CA600" s="5">
        <v>578</v>
      </c>
      <c r="CB600" s="413" t="s">
        <v>718</v>
      </c>
      <c r="CC600" s="145"/>
      <c r="CD600" s="146"/>
      <c r="CE600" s="145"/>
      <c r="CF600" s="145"/>
      <c r="CG600" s="5"/>
      <c r="CH600" s="5"/>
      <c r="CI600" s="5"/>
    </row>
    <row r="601" spans="13:87" x14ac:dyDescent="0.2">
      <c r="M601" s="5">
        <v>579</v>
      </c>
      <c r="N601" s="413" t="str">
        <f t="shared" si="54"/>
        <v xml:space="preserve"> </v>
      </c>
      <c r="O601" s="414">
        <f t="shared" si="55"/>
        <v>0</v>
      </c>
      <c r="P601" s="414">
        <f t="shared" si="56"/>
        <v>0</v>
      </c>
      <c r="Q601" s="145">
        <f t="shared" si="59"/>
        <v>-8</v>
      </c>
      <c r="R601" s="414">
        <f t="shared" si="57"/>
        <v>0</v>
      </c>
      <c r="S601" s="414">
        <f t="shared" si="58"/>
        <v>0</v>
      </c>
      <c r="T601" s="19"/>
      <c r="U601" s="5"/>
      <c r="V601" s="5"/>
      <c r="W601" s="5">
        <v>579</v>
      </c>
      <c r="X601" s="144" t="s">
        <v>718</v>
      </c>
      <c r="Y601" s="145"/>
      <c r="Z601" s="146"/>
      <c r="AA601" s="145"/>
      <c r="AB601" s="145"/>
      <c r="AD601" s="5">
        <v>579</v>
      </c>
      <c r="AE601" s="413" t="s">
        <v>718</v>
      </c>
      <c r="AF601" s="145"/>
      <c r="AG601" s="146"/>
      <c r="AH601" s="145"/>
      <c r="AI601" s="145"/>
      <c r="AK601" s="5">
        <v>579</v>
      </c>
      <c r="AL601" s="413" t="s">
        <v>718</v>
      </c>
      <c r="AM601" s="145"/>
      <c r="AN601" s="146"/>
      <c r="AO601" s="145"/>
      <c r="AP601" s="145"/>
      <c r="AR601" s="5">
        <v>579</v>
      </c>
      <c r="AS601" s="413" t="s">
        <v>1266</v>
      </c>
      <c r="AT601" s="145">
        <v>497</v>
      </c>
      <c r="AU601" s="146">
        <v>2.4700000000000002</v>
      </c>
      <c r="AV601" s="145">
        <v>4434</v>
      </c>
      <c r="AW601" s="145">
        <v>-17</v>
      </c>
      <c r="AY601" s="5">
        <v>579</v>
      </c>
      <c r="AZ601" s="413" t="s">
        <v>718</v>
      </c>
      <c r="BA601" s="145"/>
      <c r="BB601" s="146"/>
      <c r="BC601" s="145"/>
      <c r="BD601" s="145"/>
      <c r="BF601" s="5">
        <v>579</v>
      </c>
      <c r="BG601" s="413" t="s">
        <v>718</v>
      </c>
      <c r="BH601" s="145"/>
      <c r="BI601" s="146"/>
      <c r="BJ601" s="145"/>
      <c r="BK601" s="145"/>
      <c r="BM601" s="5">
        <v>579</v>
      </c>
      <c r="BN601" s="413" t="s">
        <v>718</v>
      </c>
      <c r="BO601" s="145"/>
      <c r="BP601" s="146"/>
      <c r="BQ601" s="145"/>
      <c r="BR601" s="145"/>
      <c r="BS601" s="5"/>
      <c r="BT601" s="5">
        <v>579</v>
      </c>
      <c r="BU601" s="413" t="s">
        <v>718</v>
      </c>
      <c r="BV601" s="145"/>
      <c r="BW601" s="146"/>
      <c r="BX601" s="145"/>
      <c r="BY601" s="145"/>
      <c r="BZ601" s="5"/>
      <c r="CA601" s="5">
        <v>579</v>
      </c>
      <c r="CB601" s="413" t="s">
        <v>718</v>
      </c>
      <c r="CC601" s="145"/>
      <c r="CD601" s="146"/>
      <c r="CE601" s="145"/>
      <c r="CF601" s="145"/>
      <c r="CG601" s="5"/>
      <c r="CH601" s="5"/>
      <c r="CI601" s="5"/>
    </row>
    <row r="602" spans="13:87" x14ac:dyDescent="0.2">
      <c r="M602" s="5">
        <v>580</v>
      </c>
      <c r="N602" s="413" t="str">
        <f t="shared" si="54"/>
        <v xml:space="preserve"> </v>
      </c>
      <c r="O602" s="414">
        <f t="shared" si="55"/>
        <v>0</v>
      </c>
      <c r="P602" s="414">
        <f t="shared" si="56"/>
        <v>0</v>
      </c>
      <c r="Q602" s="145">
        <f t="shared" si="59"/>
        <v>-8</v>
      </c>
      <c r="R602" s="414">
        <f t="shared" si="57"/>
        <v>0</v>
      </c>
      <c r="S602" s="414">
        <f t="shared" si="58"/>
        <v>0</v>
      </c>
      <c r="T602" s="19"/>
      <c r="U602" s="5"/>
      <c r="V602" s="5"/>
      <c r="W602" s="5">
        <v>580</v>
      </c>
      <c r="X602" s="144" t="s">
        <v>718</v>
      </c>
      <c r="Y602" s="145"/>
      <c r="Z602" s="146"/>
      <c r="AA602" s="145"/>
      <c r="AB602" s="145"/>
      <c r="AD602" s="5">
        <v>580</v>
      </c>
      <c r="AE602" s="413" t="s">
        <v>718</v>
      </c>
      <c r="AF602" s="145"/>
      <c r="AG602" s="146"/>
      <c r="AH602" s="145"/>
      <c r="AI602" s="145"/>
      <c r="AK602" s="5">
        <v>580</v>
      </c>
      <c r="AL602" s="413" t="s">
        <v>718</v>
      </c>
      <c r="AM602" s="145"/>
      <c r="AN602" s="146"/>
      <c r="AO602" s="145"/>
      <c r="AP602" s="145"/>
      <c r="AR602" s="5">
        <v>580</v>
      </c>
      <c r="AS602" s="413" t="s">
        <v>1267</v>
      </c>
      <c r="AT602" s="145">
        <v>327</v>
      </c>
      <c r="AU602" s="146">
        <v>3.28</v>
      </c>
      <c r="AV602" s="145">
        <v>3628</v>
      </c>
      <c r="AW602" s="145">
        <v>-14</v>
      </c>
      <c r="AY602" s="5">
        <v>580</v>
      </c>
      <c r="AZ602" s="413" t="s">
        <v>718</v>
      </c>
      <c r="BA602" s="145"/>
      <c r="BB602" s="146"/>
      <c r="BC602" s="145"/>
      <c r="BD602" s="145"/>
      <c r="BF602" s="5">
        <v>580</v>
      </c>
      <c r="BG602" s="413" t="s">
        <v>718</v>
      </c>
      <c r="BH602" s="145"/>
      <c r="BI602" s="146"/>
      <c r="BJ602" s="145"/>
      <c r="BK602" s="145"/>
      <c r="BM602" s="5">
        <v>580</v>
      </c>
      <c r="BN602" s="413" t="s">
        <v>718</v>
      </c>
      <c r="BO602" s="145"/>
      <c r="BP602" s="146"/>
      <c r="BQ602" s="145"/>
      <c r="BR602" s="145"/>
      <c r="BS602" s="5"/>
      <c r="BT602" s="5">
        <v>580</v>
      </c>
      <c r="BU602" s="413" t="s">
        <v>718</v>
      </c>
      <c r="BV602" s="145"/>
      <c r="BW602" s="146"/>
      <c r="BX602" s="145"/>
      <c r="BY602" s="145"/>
      <c r="BZ602" s="5"/>
      <c r="CA602" s="5">
        <v>580</v>
      </c>
      <c r="CB602" s="413" t="s">
        <v>718</v>
      </c>
      <c r="CC602" s="145"/>
      <c r="CD602" s="146"/>
      <c r="CE602" s="145"/>
      <c r="CF602" s="145"/>
      <c r="CG602" s="5"/>
      <c r="CH602" s="5"/>
      <c r="CI602" s="5"/>
    </row>
    <row r="603" spans="13:87" x14ac:dyDescent="0.2">
      <c r="M603" s="5">
        <v>581</v>
      </c>
      <c r="N603" s="413" t="str">
        <f t="shared" si="54"/>
        <v xml:space="preserve"> </v>
      </c>
      <c r="O603" s="414">
        <f t="shared" si="55"/>
        <v>0</v>
      </c>
      <c r="P603" s="414">
        <f t="shared" si="56"/>
        <v>0</v>
      </c>
      <c r="Q603" s="145">
        <f t="shared" si="59"/>
        <v>-8</v>
      </c>
      <c r="R603" s="414">
        <f t="shared" si="57"/>
        <v>0</v>
      </c>
      <c r="S603" s="414">
        <f t="shared" si="58"/>
        <v>0</v>
      </c>
      <c r="T603" s="19"/>
      <c r="U603" s="5"/>
      <c r="V603" s="5"/>
      <c r="W603" s="5">
        <v>581</v>
      </c>
      <c r="X603" s="144" t="s">
        <v>718</v>
      </c>
      <c r="Y603" s="145"/>
      <c r="Z603" s="146"/>
      <c r="AA603" s="145"/>
      <c r="AB603" s="145"/>
      <c r="AD603" s="5">
        <v>581</v>
      </c>
      <c r="AE603" s="413" t="s">
        <v>718</v>
      </c>
      <c r="AF603" s="145"/>
      <c r="AG603" s="146"/>
      <c r="AH603" s="145"/>
      <c r="AI603" s="145"/>
      <c r="AK603" s="5">
        <v>581</v>
      </c>
      <c r="AL603" s="413" t="s">
        <v>718</v>
      </c>
      <c r="AM603" s="145"/>
      <c r="AN603" s="146"/>
      <c r="AO603" s="145"/>
      <c r="AP603" s="145"/>
      <c r="AR603" s="5">
        <v>581</v>
      </c>
      <c r="AS603" s="413" t="s">
        <v>2956</v>
      </c>
      <c r="AT603" s="145">
        <v>384</v>
      </c>
      <c r="AU603" s="146">
        <v>3.01</v>
      </c>
      <c r="AV603" s="145">
        <v>3891</v>
      </c>
      <c r="AW603" s="145">
        <v>-14</v>
      </c>
      <c r="AY603" s="5">
        <v>581</v>
      </c>
      <c r="AZ603" s="413" t="s">
        <v>718</v>
      </c>
      <c r="BA603" s="145"/>
      <c r="BB603" s="146"/>
      <c r="BC603" s="145"/>
      <c r="BD603" s="145"/>
      <c r="BF603" s="5">
        <v>581</v>
      </c>
      <c r="BG603" s="413" t="s">
        <v>718</v>
      </c>
      <c r="BH603" s="145"/>
      <c r="BI603" s="146"/>
      <c r="BJ603" s="145"/>
      <c r="BK603" s="145"/>
      <c r="BM603" s="5">
        <v>581</v>
      </c>
      <c r="BN603" s="413" t="s">
        <v>718</v>
      </c>
      <c r="BO603" s="145"/>
      <c r="BP603" s="146"/>
      <c r="BQ603" s="145"/>
      <c r="BR603" s="145"/>
      <c r="BS603" s="5"/>
      <c r="BT603" s="5">
        <v>581</v>
      </c>
      <c r="BU603" s="413" t="s">
        <v>718</v>
      </c>
      <c r="BV603" s="145"/>
      <c r="BW603" s="146"/>
      <c r="BX603" s="145"/>
      <c r="BY603" s="145"/>
      <c r="BZ603" s="5"/>
      <c r="CA603" s="5">
        <v>581</v>
      </c>
      <c r="CB603" s="413" t="s">
        <v>718</v>
      </c>
      <c r="CC603" s="145"/>
      <c r="CD603" s="146"/>
      <c r="CE603" s="145"/>
      <c r="CF603" s="145"/>
      <c r="CG603" s="5"/>
      <c r="CH603" s="5"/>
      <c r="CI603" s="5"/>
    </row>
    <row r="604" spans="13:87" x14ac:dyDescent="0.2">
      <c r="M604" s="5">
        <v>582</v>
      </c>
      <c r="N604" s="413" t="str">
        <f t="shared" si="54"/>
        <v xml:space="preserve"> </v>
      </c>
      <c r="O604" s="414">
        <f t="shared" si="55"/>
        <v>0</v>
      </c>
      <c r="P604" s="414">
        <f t="shared" si="56"/>
        <v>0</v>
      </c>
      <c r="Q604" s="145">
        <f t="shared" si="59"/>
        <v>-8</v>
      </c>
      <c r="R604" s="414">
        <f t="shared" si="57"/>
        <v>0</v>
      </c>
      <c r="S604" s="414">
        <f t="shared" si="58"/>
        <v>0</v>
      </c>
      <c r="T604" s="19"/>
      <c r="U604" s="5"/>
      <c r="V604" s="5"/>
      <c r="W604" s="5">
        <v>582</v>
      </c>
      <c r="X604" s="144" t="s">
        <v>718</v>
      </c>
      <c r="Y604" s="145"/>
      <c r="Z604" s="146"/>
      <c r="AA604" s="145"/>
      <c r="AB604" s="145"/>
      <c r="AD604" s="5">
        <v>582</v>
      </c>
      <c r="AE604" s="413" t="s">
        <v>718</v>
      </c>
      <c r="AF604" s="145"/>
      <c r="AG604" s="146"/>
      <c r="AH604" s="145"/>
      <c r="AI604" s="145"/>
      <c r="AK604" s="5">
        <v>582</v>
      </c>
      <c r="AL604" s="413" t="s">
        <v>718</v>
      </c>
      <c r="AM604" s="145"/>
      <c r="AN604" s="146"/>
      <c r="AO604" s="145"/>
      <c r="AP604" s="145"/>
      <c r="AR604" s="5">
        <v>582</v>
      </c>
      <c r="AS604" s="413" t="s">
        <v>2957</v>
      </c>
      <c r="AT604" s="145">
        <v>323</v>
      </c>
      <c r="AU604" s="146">
        <v>3.27</v>
      </c>
      <c r="AV604" s="145">
        <v>3730</v>
      </c>
      <c r="AW604" s="145">
        <v>-14</v>
      </c>
      <c r="AY604" s="5">
        <v>582</v>
      </c>
      <c r="AZ604" s="413" t="s">
        <v>718</v>
      </c>
      <c r="BA604" s="145"/>
      <c r="BB604" s="146"/>
      <c r="BC604" s="145"/>
      <c r="BD604" s="145"/>
      <c r="BF604" s="5">
        <v>582</v>
      </c>
      <c r="BG604" s="413" t="s">
        <v>718</v>
      </c>
      <c r="BH604" s="145"/>
      <c r="BI604" s="146"/>
      <c r="BJ604" s="145"/>
      <c r="BK604" s="145"/>
      <c r="BM604" s="5">
        <v>582</v>
      </c>
      <c r="BN604" s="413" t="s">
        <v>718</v>
      </c>
      <c r="BO604" s="145"/>
      <c r="BP604" s="146"/>
      <c r="BQ604" s="145"/>
      <c r="BR604" s="145"/>
      <c r="BS604" s="5"/>
      <c r="BT604" s="5">
        <v>582</v>
      </c>
      <c r="BU604" s="413" t="s">
        <v>718</v>
      </c>
      <c r="BV604" s="145"/>
      <c r="BW604" s="146"/>
      <c r="BX604" s="145"/>
      <c r="BY604" s="145"/>
      <c r="BZ604" s="5"/>
      <c r="CA604" s="5">
        <v>582</v>
      </c>
      <c r="CB604" s="413" t="s">
        <v>718</v>
      </c>
      <c r="CC604" s="145"/>
      <c r="CD604" s="146"/>
      <c r="CE604" s="145"/>
      <c r="CF604" s="145"/>
      <c r="CG604" s="5"/>
      <c r="CH604" s="5"/>
      <c r="CI604" s="5"/>
    </row>
    <row r="605" spans="13:87" x14ac:dyDescent="0.2">
      <c r="M605" s="5">
        <v>583</v>
      </c>
      <c r="N605" s="413" t="str">
        <f t="shared" si="54"/>
        <v xml:space="preserve"> </v>
      </c>
      <c r="O605" s="414">
        <f t="shared" si="55"/>
        <v>0</v>
      </c>
      <c r="P605" s="414">
        <f t="shared" si="56"/>
        <v>0</v>
      </c>
      <c r="Q605" s="145">
        <f t="shared" si="59"/>
        <v>-8</v>
      </c>
      <c r="R605" s="414">
        <f t="shared" si="57"/>
        <v>0</v>
      </c>
      <c r="S605" s="414">
        <f t="shared" si="58"/>
        <v>0</v>
      </c>
      <c r="T605" s="19"/>
      <c r="U605" s="5"/>
      <c r="V605" s="5"/>
      <c r="W605" s="5">
        <v>583</v>
      </c>
      <c r="X605" s="144" t="s">
        <v>718</v>
      </c>
      <c r="Y605" s="145"/>
      <c r="Z605" s="146"/>
      <c r="AA605" s="145"/>
      <c r="AB605" s="145"/>
      <c r="AD605" s="5">
        <v>583</v>
      </c>
      <c r="AE605" s="413" t="s">
        <v>718</v>
      </c>
      <c r="AF605" s="145"/>
      <c r="AG605" s="146"/>
      <c r="AH605" s="145"/>
      <c r="AI605" s="145"/>
      <c r="AK605" s="5">
        <v>583</v>
      </c>
      <c r="AL605" s="413" t="s">
        <v>718</v>
      </c>
      <c r="AM605" s="145"/>
      <c r="AN605" s="146"/>
      <c r="AO605" s="145"/>
      <c r="AP605" s="145"/>
      <c r="AR605" s="5">
        <v>583</v>
      </c>
      <c r="AS605" s="413" t="s">
        <v>2958</v>
      </c>
      <c r="AT605" s="145">
        <v>150</v>
      </c>
      <c r="AU605" s="146">
        <v>3.38</v>
      </c>
      <c r="AV605" s="145">
        <v>3424</v>
      </c>
      <c r="AW605" s="145">
        <v>-14</v>
      </c>
      <c r="AY605" s="5">
        <v>583</v>
      </c>
      <c r="AZ605" s="413" t="s">
        <v>718</v>
      </c>
      <c r="BA605" s="145"/>
      <c r="BB605" s="146"/>
      <c r="BC605" s="145"/>
      <c r="BD605" s="145"/>
      <c r="BF605" s="5">
        <v>583</v>
      </c>
      <c r="BG605" s="413" t="s">
        <v>718</v>
      </c>
      <c r="BH605" s="145"/>
      <c r="BI605" s="146"/>
      <c r="BJ605" s="145"/>
      <c r="BK605" s="145"/>
      <c r="BM605" s="5">
        <v>583</v>
      </c>
      <c r="BN605" s="413" t="s">
        <v>718</v>
      </c>
      <c r="BO605" s="145"/>
      <c r="BP605" s="146"/>
      <c r="BQ605" s="145"/>
      <c r="BR605" s="145"/>
      <c r="BS605" s="5"/>
      <c r="BT605" s="5">
        <v>583</v>
      </c>
      <c r="BU605" s="413" t="s">
        <v>718</v>
      </c>
      <c r="BV605" s="145"/>
      <c r="BW605" s="146"/>
      <c r="BX605" s="145"/>
      <c r="BY605" s="145"/>
      <c r="BZ605" s="5"/>
      <c r="CA605" s="5">
        <v>583</v>
      </c>
      <c r="CB605" s="413" t="s">
        <v>718</v>
      </c>
      <c r="CC605" s="145"/>
      <c r="CD605" s="146"/>
      <c r="CE605" s="145"/>
      <c r="CF605" s="145"/>
      <c r="CG605" s="5"/>
      <c r="CH605" s="5"/>
      <c r="CI605" s="5"/>
    </row>
    <row r="606" spans="13:87" x14ac:dyDescent="0.2">
      <c r="M606" s="5">
        <v>584</v>
      </c>
      <c r="N606" s="413" t="str">
        <f t="shared" si="54"/>
        <v xml:space="preserve"> </v>
      </c>
      <c r="O606" s="414">
        <f t="shared" si="55"/>
        <v>0</v>
      </c>
      <c r="P606" s="414">
        <f t="shared" si="56"/>
        <v>0</v>
      </c>
      <c r="Q606" s="145">
        <f t="shared" si="59"/>
        <v>-8</v>
      </c>
      <c r="R606" s="414">
        <f t="shared" si="57"/>
        <v>0</v>
      </c>
      <c r="S606" s="414">
        <f t="shared" si="58"/>
        <v>0</v>
      </c>
      <c r="T606" s="19"/>
      <c r="U606" s="5"/>
      <c r="V606" s="5"/>
      <c r="W606" s="5">
        <v>584</v>
      </c>
      <c r="X606" s="144" t="s">
        <v>718</v>
      </c>
      <c r="Y606" s="145"/>
      <c r="Z606" s="146"/>
      <c r="AA606" s="145"/>
      <c r="AB606" s="145"/>
      <c r="AD606" s="5">
        <v>584</v>
      </c>
      <c r="AE606" s="413" t="s">
        <v>718</v>
      </c>
      <c r="AF606" s="145"/>
      <c r="AG606" s="146"/>
      <c r="AH606" s="145"/>
      <c r="AI606" s="145"/>
      <c r="AK606" s="5">
        <v>584</v>
      </c>
      <c r="AL606" s="413" t="s">
        <v>718</v>
      </c>
      <c r="AM606" s="145"/>
      <c r="AN606" s="146"/>
      <c r="AO606" s="145"/>
      <c r="AP606" s="145"/>
      <c r="AR606" s="5">
        <v>584</v>
      </c>
      <c r="AS606" s="413" t="s">
        <v>2959</v>
      </c>
      <c r="AT606" s="145">
        <v>176</v>
      </c>
      <c r="AU606" s="146">
        <v>3.28</v>
      </c>
      <c r="AV606" s="145">
        <v>3595</v>
      </c>
      <c r="AW606" s="145">
        <v>-14</v>
      </c>
      <c r="AY606" s="5">
        <v>584</v>
      </c>
      <c r="AZ606" s="413" t="s">
        <v>718</v>
      </c>
      <c r="BA606" s="145"/>
      <c r="BB606" s="146"/>
      <c r="BC606" s="145"/>
      <c r="BD606" s="145"/>
      <c r="BF606" s="5">
        <v>584</v>
      </c>
      <c r="BG606" s="413" t="s">
        <v>718</v>
      </c>
      <c r="BH606" s="145"/>
      <c r="BI606" s="146"/>
      <c r="BJ606" s="145"/>
      <c r="BK606" s="145"/>
      <c r="BM606" s="5">
        <v>584</v>
      </c>
      <c r="BN606" s="413" t="s">
        <v>718</v>
      </c>
      <c r="BO606" s="145"/>
      <c r="BP606" s="146"/>
      <c r="BQ606" s="145"/>
      <c r="BR606" s="145"/>
      <c r="BS606" s="5"/>
      <c r="BT606" s="5">
        <v>584</v>
      </c>
      <c r="BU606" s="413" t="s">
        <v>718</v>
      </c>
      <c r="BV606" s="145"/>
      <c r="BW606" s="146"/>
      <c r="BX606" s="145"/>
      <c r="BY606" s="145"/>
      <c r="BZ606" s="5"/>
      <c r="CA606" s="5">
        <v>584</v>
      </c>
      <c r="CB606" s="413" t="s">
        <v>718</v>
      </c>
      <c r="CC606" s="145"/>
      <c r="CD606" s="146"/>
      <c r="CE606" s="145"/>
      <c r="CF606" s="145"/>
      <c r="CG606" s="5"/>
      <c r="CH606" s="5"/>
      <c r="CI606" s="5"/>
    </row>
    <row r="607" spans="13:87" x14ac:dyDescent="0.2">
      <c r="M607" s="5">
        <v>585</v>
      </c>
      <c r="N607" s="413" t="str">
        <f t="shared" si="54"/>
        <v xml:space="preserve"> </v>
      </c>
      <c r="O607" s="414">
        <f t="shared" si="55"/>
        <v>0</v>
      </c>
      <c r="P607" s="414">
        <f t="shared" si="56"/>
        <v>0</v>
      </c>
      <c r="Q607" s="145">
        <f t="shared" si="59"/>
        <v>-8</v>
      </c>
      <c r="R607" s="414">
        <f t="shared" si="57"/>
        <v>0</v>
      </c>
      <c r="S607" s="414">
        <f t="shared" si="58"/>
        <v>0</v>
      </c>
      <c r="T607" s="19"/>
      <c r="U607" s="5"/>
      <c r="V607" s="5"/>
      <c r="W607" s="5">
        <v>585</v>
      </c>
      <c r="X607" s="144" t="s">
        <v>718</v>
      </c>
      <c r="Y607" s="145"/>
      <c r="Z607" s="146"/>
      <c r="AA607" s="145"/>
      <c r="AB607" s="145"/>
      <c r="AD607" s="5">
        <v>585</v>
      </c>
      <c r="AE607" s="413" t="s">
        <v>718</v>
      </c>
      <c r="AF607" s="145"/>
      <c r="AG607" s="146"/>
      <c r="AH607" s="145"/>
      <c r="AI607" s="145"/>
      <c r="AK607" s="5">
        <v>585</v>
      </c>
      <c r="AL607" s="413" t="s">
        <v>718</v>
      </c>
      <c r="AM607" s="145"/>
      <c r="AN607" s="146"/>
      <c r="AO607" s="145"/>
      <c r="AP607" s="145"/>
      <c r="AR607" s="5">
        <v>585</v>
      </c>
      <c r="AS607" s="413" t="s">
        <v>2960</v>
      </c>
      <c r="AT607" s="145">
        <v>315</v>
      </c>
      <c r="AU607" s="146">
        <v>3.3</v>
      </c>
      <c r="AV607" s="145">
        <v>3641</v>
      </c>
      <c r="AW607" s="145">
        <v>-14</v>
      </c>
      <c r="AY607" s="5">
        <v>585</v>
      </c>
      <c r="AZ607" s="413" t="s">
        <v>718</v>
      </c>
      <c r="BA607" s="145"/>
      <c r="BB607" s="146"/>
      <c r="BC607" s="145"/>
      <c r="BD607" s="145"/>
      <c r="BF607" s="5">
        <v>585</v>
      </c>
      <c r="BG607" s="413" t="s">
        <v>718</v>
      </c>
      <c r="BH607" s="145"/>
      <c r="BI607" s="146"/>
      <c r="BJ607" s="145"/>
      <c r="BK607" s="145"/>
      <c r="BM607" s="5">
        <v>585</v>
      </c>
      <c r="BN607" s="413" t="s">
        <v>718</v>
      </c>
      <c r="BO607" s="145"/>
      <c r="BP607" s="146"/>
      <c r="BQ607" s="145"/>
      <c r="BR607" s="145"/>
      <c r="BS607" s="5"/>
      <c r="BT607" s="5">
        <v>585</v>
      </c>
      <c r="BU607" s="413" t="s">
        <v>718</v>
      </c>
      <c r="BV607" s="145"/>
      <c r="BW607" s="146"/>
      <c r="BX607" s="145"/>
      <c r="BY607" s="145"/>
      <c r="BZ607" s="5"/>
      <c r="CA607" s="5">
        <v>585</v>
      </c>
      <c r="CB607" s="413" t="s">
        <v>718</v>
      </c>
      <c r="CC607" s="145"/>
      <c r="CD607" s="146"/>
      <c r="CE607" s="145"/>
      <c r="CF607" s="145"/>
      <c r="CG607" s="5"/>
      <c r="CH607" s="5"/>
      <c r="CI607" s="5"/>
    </row>
    <row r="608" spans="13:87" x14ac:dyDescent="0.2">
      <c r="M608" s="5">
        <v>586</v>
      </c>
      <c r="N608" s="413" t="str">
        <f t="shared" si="54"/>
        <v xml:space="preserve"> </v>
      </c>
      <c r="O608" s="414">
        <f t="shared" si="55"/>
        <v>0</v>
      </c>
      <c r="P608" s="414">
        <f t="shared" si="56"/>
        <v>0</v>
      </c>
      <c r="Q608" s="145">
        <f t="shared" si="59"/>
        <v>-8</v>
      </c>
      <c r="R608" s="414">
        <f t="shared" si="57"/>
        <v>0</v>
      </c>
      <c r="S608" s="414">
        <f t="shared" si="58"/>
        <v>0</v>
      </c>
      <c r="T608" s="19"/>
      <c r="U608" s="5"/>
      <c r="V608" s="5"/>
      <c r="W608" s="5">
        <v>586</v>
      </c>
      <c r="X608" s="144" t="s">
        <v>718</v>
      </c>
      <c r="Y608" s="145"/>
      <c r="Z608" s="146"/>
      <c r="AA608" s="145"/>
      <c r="AB608" s="145"/>
      <c r="AD608" s="5">
        <v>586</v>
      </c>
      <c r="AE608" s="413" t="s">
        <v>718</v>
      </c>
      <c r="AF608" s="145"/>
      <c r="AG608" s="146"/>
      <c r="AH608" s="145"/>
      <c r="AI608" s="145"/>
      <c r="AK608" s="5">
        <v>586</v>
      </c>
      <c r="AL608" s="413" t="s">
        <v>718</v>
      </c>
      <c r="AM608" s="145"/>
      <c r="AN608" s="146"/>
      <c r="AO608" s="145"/>
      <c r="AP608" s="145"/>
      <c r="AR608" s="5">
        <v>586</v>
      </c>
      <c r="AS608" s="413" t="s">
        <v>2961</v>
      </c>
      <c r="AT608" s="145">
        <v>248</v>
      </c>
      <c r="AU608" s="146">
        <v>3.25</v>
      </c>
      <c r="AV608" s="145">
        <v>3634</v>
      </c>
      <c r="AW608" s="145">
        <v>-14</v>
      </c>
      <c r="AY608" s="5">
        <v>586</v>
      </c>
      <c r="AZ608" s="413" t="s">
        <v>718</v>
      </c>
      <c r="BA608" s="145"/>
      <c r="BB608" s="146"/>
      <c r="BC608" s="145"/>
      <c r="BD608" s="145"/>
      <c r="BF608" s="5">
        <v>586</v>
      </c>
      <c r="BG608" s="413" t="s">
        <v>718</v>
      </c>
      <c r="BH608" s="145"/>
      <c r="BI608" s="146"/>
      <c r="BJ608" s="145"/>
      <c r="BK608" s="145"/>
      <c r="BM608" s="5">
        <v>586</v>
      </c>
      <c r="BN608" s="413" t="s">
        <v>718</v>
      </c>
      <c r="BO608" s="145"/>
      <c r="BP608" s="146"/>
      <c r="BQ608" s="145"/>
      <c r="BR608" s="145"/>
      <c r="BS608" s="5"/>
      <c r="BT608" s="5">
        <v>586</v>
      </c>
      <c r="BU608" s="413" t="s">
        <v>718</v>
      </c>
      <c r="BV608" s="145"/>
      <c r="BW608" s="146"/>
      <c r="BX608" s="145"/>
      <c r="BY608" s="145"/>
      <c r="BZ608" s="5"/>
      <c r="CA608" s="5">
        <v>586</v>
      </c>
      <c r="CB608" s="413" t="s">
        <v>718</v>
      </c>
      <c r="CC608" s="145"/>
      <c r="CD608" s="146"/>
      <c r="CE608" s="145"/>
      <c r="CF608" s="145"/>
      <c r="CG608" s="5"/>
      <c r="CH608" s="5"/>
      <c r="CI608" s="5"/>
    </row>
    <row r="609" spans="13:87" x14ac:dyDescent="0.2">
      <c r="M609" s="5">
        <v>587</v>
      </c>
      <c r="N609" s="413" t="str">
        <f t="shared" si="54"/>
        <v xml:space="preserve"> </v>
      </c>
      <c r="O609" s="414">
        <f t="shared" si="55"/>
        <v>0</v>
      </c>
      <c r="P609" s="414">
        <f t="shared" si="56"/>
        <v>0</v>
      </c>
      <c r="Q609" s="145">
        <f t="shared" si="59"/>
        <v>-8</v>
      </c>
      <c r="R609" s="414">
        <f t="shared" si="57"/>
        <v>0</v>
      </c>
      <c r="S609" s="414">
        <f t="shared" si="58"/>
        <v>0</v>
      </c>
      <c r="T609" s="19"/>
      <c r="U609" s="5"/>
      <c r="V609" s="5"/>
      <c r="W609" s="5">
        <v>587</v>
      </c>
      <c r="X609" s="144" t="s">
        <v>718</v>
      </c>
      <c r="Y609" s="145"/>
      <c r="Z609" s="146"/>
      <c r="AA609" s="145"/>
      <c r="AB609" s="145"/>
      <c r="AD609" s="5">
        <v>587</v>
      </c>
      <c r="AE609" s="413" t="s">
        <v>718</v>
      </c>
      <c r="AF609" s="145"/>
      <c r="AG609" s="146"/>
      <c r="AH609" s="145"/>
      <c r="AI609" s="145"/>
      <c r="AK609" s="5">
        <v>587</v>
      </c>
      <c r="AL609" s="413" t="s">
        <v>718</v>
      </c>
      <c r="AM609" s="145"/>
      <c r="AN609" s="146"/>
      <c r="AO609" s="145"/>
      <c r="AP609" s="145"/>
      <c r="AR609" s="5">
        <v>587</v>
      </c>
      <c r="AS609" s="413" t="s">
        <v>2962</v>
      </c>
      <c r="AT609" s="145">
        <v>184</v>
      </c>
      <c r="AU609" s="146">
        <v>3.26</v>
      </c>
      <c r="AV609" s="145">
        <v>3515</v>
      </c>
      <c r="AW609" s="145">
        <v>-14</v>
      </c>
      <c r="AY609" s="5">
        <v>587</v>
      </c>
      <c r="AZ609" s="413" t="s">
        <v>718</v>
      </c>
      <c r="BA609" s="145"/>
      <c r="BB609" s="146"/>
      <c r="BC609" s="145"/>
      <c r="BD609" s="145"/>
      <c r="BF609" s="5">
        <v>587</v>
      </c>
      <c r="BG609" s="413" t="s">
        <v>718</v>
      </c>
      <c r="BH609" s="145"/>
      <c r="BI609" s="146"/>
      <c r="BJ609" s="145"/>
      <c r="BK609" s="145"/>
      <c r="BM609" s="5">
        <v>587</v>
      </c>
      <c r="BN609" s="413" t="s">
        <v>718</v>
      </c>
      <c r="BO609" s="145"/>
      <c r="BP609" s="146"/>
      <c r="BQ609" s="145"/>
      <c r="BR609" s="145"/>
      <c r="BS609" s="5"/>
      <c r="BT609" s="5">
        <v>587</v>
      </c>
      <c r="BU609" s="413" t="s">
        <v>718</v>
      </c>
      <c r="BV609" s="145"/>
      <c r="BW609" s="146"/>
      <c r="BX609" s="145"/>
      <c r="BY609" s="145"/>
      <c r="BZ609" s="5"/>
      <c r="CA609" s="5">
        <v>587</v>
      </c>
      <c r="CB609" s="413" t="s">
        <v>718</v>
      </c>
      <c r="CC609" s="145"/>
      <c r="CD609" s="146"/>
      <c r="CE609" s="145"/>
      <c r="CF609" s="145"/>
      <c r="CG609" s="5"/>
      <c r="CH609" s="5"/>
      <c r="CI609" s="5"/>
    </row>
    <row r="610" spans="13:87" x14ac:dyDescent="0.2">
      <c r="M610" s="5">
        <v>588</v>
      </c>
      <c r="N610" s="413" t="str">
        <f t="shared" si="54"/>
        <v xml:space="preserve"> </v>
      </c>
      <c r="O610" s="414">
        <f t="shared" si="55"/>
        <v>0</v>
      </c>
      <c r="P610" s="414">
        <f t="shared" si="56"/>
        <v>0</v>
      </c>
      <c r="Q610" s="145">
        <f t="shared" si="59"/>
        <v>-8</v>
      </c>
      <c r="R610" s="414">
        <f t="shared" si="57"/>
        <v>0</v>
      </c>
      <c r="S610" s="414">
        <f t="shared" si="58"/>
        <v>0</v>
      </c>
      <c r="T610" s="19"/>
      <c r="U610" s="5"/>
      <c r="V610" s="5"/>
      <c r="W610" s="5">
        <v>588</v>
      </c>
      <c r="X610" s="144" t="s">
        <v>718</v>
      </c>
      <c r="Y610" s="145"/>
      <c r="Z610" s="146"/>
      <c r="AA610" s="145"/>
      <c r="AB610" s="145"/>
      <c r="AD610" s="5">
        <v>588</v>
      </c>
      <c r="AE610" s="413" t="s">
        <v>718</v>
      </c>
      <c r="AF610" s="145"/>
      <c r="AG610" s="146"/>
      <c r="AH610" s="145"/>
      <c r="AI610" s="145"/>
      <c r="AK610" s="5">
        <v>588</v>
      </c>
      <c r="AL610" s="413" t="s">
        <v>718</v>
      </c>
      <c r="AM610" s="145"/>
      <c r="AN610" s="146"/>
      <c r="AO610" s="145"/>
      <c r="AP610" s="145"/>
      <c r="AR610" s="5">
        <v>588</v>
      </c>
      <c r="AS610" s="413" t="s">
        <v>2963</v>
      </c>
      <c r="AT610" s="145">
        <v>230</v>
      </c>
      <c r="AU610" s="146">
        <v>3.25</v>
      </c>
      <c r="AV610" s="145">
        <v>3619</v>
      </c>
      <c r="AW610" s="145">
        <v>-14</v>
      </c>
      <c r="AY610" s="5">
        <v>588</v>
      </c>
      <c r="AZ610" s="413" t="s">
        <v>718</v>
      </c>
      <c r="BA610" s="145"/>
      <c r="BB610" s="146"/>
      <c r="BC610" s="145"/>
      <c r="BD610" s="145"/>
      <c r="BF610" s="5">
        <v>588</v>
      </c>
      <c r="BG610" s="413" t="s">
        <v>718</v>
      </c>
      <c r="BH610" s="145"/>
      <c r="BI610" s="146"/>
      <c r="BJ610" s="145"/>
      <c r="BK610" s="145"/>
      <c r="BM610" s="5">
        <v>588</v>
      </c>
      <c r="BN610" s="413" t="s">
        <v>718</v>
      </c>
      <c r="BO610" s="145"/>
      <c r="BP610" s="146"/>
      <c r="BQ610" s="145"/>
      <c r="BR610" s="145"/>
      <c r="BS610" s="5"/>
      <c r="BT610" s="5">
        <v>588</v>
      </c>
      <c r="BU610" s="413" t="s">
        <v>718</v>
      </c>
      <c r="BV610" s="145"/>
      <c r="BW610" s="146"/>
      <c r="BX610" s="145"/>
      <c r="BY610" s="145"/>
      <c r="BZ610" s="5"/>
      <c r="CA610" s="5">
        <v>588</v>
      </c>
      <c r="CB610" s="413" t="s">
        <v>718</v>
      </c>
      <c r="CC610" s="145"/>
      <c r="CD610" s="146"/>
      <c r="CE610" s="145"/>
      <c r="CF610" s="145"/>
      <c r="CG610" s="5"/>
      <c r="CH610" s="5"/>
      <c r="CI610" s="5"/>
    </row>
    <row r="611" spans="13:87" x14ac:dyDescent="0.2">
      <c r="M611" s="5">
        <v>589</v>
      </c>
      <c r="N611" s="413" t="str">
        <f t="shared" si="54"/>
        <v xml:space="preserve"> </v>
      </c>
      <c r="O611" s="414">
        <f t="shared" si="55"/>
        <v>0</v>
      </c>
      <c r="P611" s="414">
        <f t="shared" si="56"/>
        <v>0</v>
      </c>
      <c r="Q611" s="145">
        <f t="shared" si="59"/>
        <v>-8</v>
      </c>
      <c r="R611" s="414">
        <f t="shared" si="57"/>
        <v>0</v>
      </c>
      <c r="S611" s="414">
        <f t="shared" si="58"/>
        <v>0</v>
      </c>
      <c r="T611" s="19"/>
      <c r="U611" s="5"/>
      <c r="V611" s="5"/>
      <c r="W611" s="5">
        <v>589</v>
      </c>
      <c r="X611" s="144" t="s">
        <v>718</v>
      </c>
      <c r="Y611" s="145"/>
      <c r="Z611" s="146"/>
      <c r="AA611" s="145"/>
      <c r="AB611" s="145"/>
      <c r="AD611" s="5">
        <v>589</v>
      </c>
      <c r="AE611" s="413" t="s">
        <v>718</v>
      </c>
      <c r="AF611" s="145"/>
      <c r="AG611" s="146"/>
      <c r="AH611" s="145"/>
      <c r="AI611" s="145"/>
      <c r="AK611" s="5">
        <v>589</v>
      </c>
      <c r="AL611" s="413" t="s">
        <v>718</v>
      </c>
      <c r="AM611" s="145"/>
      <c r="AN611" s="146"/>
      <c r="AO611" s="145"/>
      <c r="AP611" s="145"/>
      <c r="AR611" s="5">
        <v>589</v>
      </c>
      <c r="AS611" s="413" t="s">
        <v>2964</v>
      </c>
      <c r="AT611" s="145">
        <v>269</v>
      </c>
      <c r="AU611" s="146">
        <v>3.05</v>
      </c>
      <c r="AV611" s="145">
        <v>3746</v>
      </c>
      <c r="AW611" s="145">
        <v>-14</v>
      </c>
      <c r="AY611" s="5">
        <v>589</v>
      </c>
      <c r="AZ611" s="413" t="s">
        <v>718</v>
      </c>
      <c r="BA611" s="145"/>
      <c r="BB611" s="146"/>
      <c r="BC611" s="145"/>
      <c r="BD611" s="145"/>
      <c r="BF611" s="5">
        <v>589</v>
      </c>
      <c r="BG611" s="413" t="s">
        <v>718</v>
      </c>
      <c r="BH611" s="145"/>
      <c r="BI611" s="146"/>
      <c r="BJ611" s="145"/>
      <c r="BK611" s="145"/>
      <c r="BM611" s="5">
        <v>589</v>
      </c>
      <c r="BN611" s="413" t="s">
        <v>718</v>
      </c>
      <c r="BO611" s="145"/>
      <c r="BP611" s="146"/>
      <c r="BQ611" s="145"/>
      <c r="BR611" s="145"/>
      <c r="BS611" s="5"/>
      <c r="BT611" s="5">
        <v>589</v>
      </c>
      <c r="BU611" s="413" t="s">
        <v>718</v>
      </c>
      <c r="BV611" s="145"/>
      <c r="BW611" s="146"/>
      <c r="BX611" s="145"/>
      <c r="BY611" s="145"/>
      <c r="BZ611" s="5"/>
      <c r="CA611" s="5">
        <v>589</v>
      </c>
      <c r="CB611" s="413" t="s">
        <v>718</v>
      </c>
      <c r="CC611" s="145"/>
      <c r="CD611" s="146"/>
      <c r="CE611" s="145"/>
      <c r="CF611" s="145"/>
      <c r="CG611" s="5"/>
      <c r="CH611" s="5"/>
      <c r="CI611" s="5"/>
    </row>
    <row r="612" spans="13:87" x14ac:dyDescent="0.2">
      <c r="M612" s="5">
        <v>590</v>
      </c>
      <c r="N612" s="413" t="str">
        <f t="shared" si="54"/>
        <v xml:space="preserve"> </v>
      </c>
      <c r="O612" s="414">
        <f t="shared" si="55"/>
        <v>0</v>
      </c>
      <c r="P612" s="414">
        <f t="shared" si="56"/>
        <v>0</v>
      </c>
      <c r="Q612" s="145">
        <f t="shared" si="59"/>
        <v>-8</v>
      </c>
      <c r="R612" s="414">
        <f t="shared" si="57"/>
        <v>0</v>
      </c>
      <c r="S612" s="414">
        <f t="shared" si="58"/>
        <v>0</v>
      </c>
      <c r="T612" s="19"/>
      <c r="U612" s="5"/>
      <c r="V612" s="5"/>
      <c r="W612" s="5">
        <v>590</v>
      </c>
      <c r="X612" s="144" t="s">
        <v>718</v>
      </c>
      <c r="Y612" s="145"/>
      <c r="Z612" s="146"/>
      <c r="AA612" s="145"/>
      <c r="AB612" s="145"/>
      <c r="AD612" s="5">
        <v>590</v>
      </c>
      <c r="AE612" s="413" t="s">
        <v>718</v>
      </c>
      <c r="AF612" s="145"/>
      <c r="AG612" s="146"/>
      <c r="AH612" s="145"/>
      <c r="AI612" s="145"/>
      <c r="AK612" s="5">
        <v>590</v>
      </c>
      <c r="AL612" s="413" t="s">
        <v>718</v>
      </c>
      <c r="AM612" s="145"/>
      <c r="AN612" s="146"/>
      <c r="AO612" s="145"/>
      <c r="AP612" s="145"/>
      <c r="AR612" s="5">
        <v>590</v>
      </c>
      <c r="AS612" s="413" t="s">
        <v>2965</v>
      </c>
      <c r="AT612" s="145">
        <v>220</v>
      </c>
      <c r="AU612" s="146">
        <v>3.44</v>
      </c>
      <c r="AV612" s="145">
        <v>3660</v>
      </c>
      <c r="AW612" s="145">
        <v>-13</v>
      </c>
      <c r="AY612" s="5">
        <v>590</v>
      </c>
      <c r="AZ612" s="413" t="s">
        <v>718</v>
      </c>
      <c r="BA612" s="145"/>
      <c r="BB612" s="146"/>
      <c r="BC612" s="145"/>
      <c r="BD612" s="145"/>
      <c r="BF612" s="5">
        <v>590</v>
      </c>
      <c r="BG612" s="413" t="s">
        <v>718</v>
      </c>
      <c r="BH612" s="145"/>
      <c r="BI612" s="146"/>
      <c r="BJ612" s="145"/>
      <c r="BK612" s="145"/>
      <c r="BM612" s="5">
        <v>590</v>
      </c>
      <c r="BN612" s="413" t="s">
        <v>718</v>
      </c>
      <c r="BO612" s="145"/>
      <c r="BP612" s="146"/>
      <c r="BQ612" s="145"/>
      <c r="BR612" s="145"/>
      <c r="BS612" s="5"/>
      <c r="BT612" s="5">
        <v>590</v>
      </c>
      <c r="BU612" s="413" t="s">
        <v>718</v>
      </c>
      <c r="BV612" s="145"/>
      <c r="BW612" s="146"/>
      <c r="BX612" s="145"/>
      <c r="BY612" s="145"/>
      <c r="BZ612" s="5"/>
      <c r="CA612" s="5">
        <v>590</v>
      </c>
      <c r="CB612" s="413" t="s">
        <v>718</v>
      </c>
      <c r="CC612" s="145"/>
      <c r="CD612" s="146"/>
      <c r="CE612" s="145"/>
      <c r="CF612" s="145"/>
      <c r="CG612" s="5"/>
      <c r="CH612" s="5"/>
      <c r="CI612" s="5"/>
    </row>
    <row r="613" spans="13:87" x14ac:dyDescent="0.2">
      <c r="M613" s="5">
        <v>591</v>
      </c>
      <c r="N613" s="413" t="str">
        <f t="shared" si="54"/>
        <v xml:space="preserve"> </v>
      </c>
      <c r="O613" s="414">
        <f t="shared" si="55"/>
        <v>0</v>
      </c>
      <c r="P613" s="414">
        <f t="shared" si="56"/>
        <v>0</v>
      </c>
      <c r="Q613" s="145">
        <f t="shared" si="59"/>
        <v>-8</v>
      </c>
      <c r="R613" s="414">
        <f t="shared" si="57"/>
        <v>0</v>
      </c>
      <c r="S613" s="414">
        <f t="shared" si="58"/>
        <v>0</v>
      </c>
      <c r="T613" s="19"/>
      <c r="U613" s="5"/>
      <c r="V613" s="5"/>
      <c r="W613" s="5">
        <v>591</v>
      </c>
      <c r="X613" s="144" t="s">
        <v>718</v>
      </c>
      <c r="Y613" s="145"/>
      <c r="Z613" s="146"/>
      <c r="AA613" s="145"/>
      <c r="AB613" s="145"/>
      <c r="AD613" s="5">
        <v>591</v>
      </c>
      <c r="AE613" s="413" t="s">
        <v>718</v>
      </c>
      <c r="AF613" s="145"/>
      <c r="AG613" s="146"/>
      <c r="AH613" s="145"/>
      <c r="AI613" s="145"/>
      <c r="AK613" s="5">
        <v>591</v>
      </c>
      <c r="AL613" s="413" t="s">
        <v>718</v>
      </c>
      <c r="AM613" s="145"/>
      <c r="AN613" s="146"/>
      <c r="AO613" s="145"/>
      <c r="AP613" s="145"/>
      <c r="AR613" s="5">
        <v>591</v>
      </c>
      <c r="AS613" s="413" t="s">
        <v>2966</v>
      </c>
      <c r="AT613" s="145">
        <v>414</v>
      </c>
      <c r="AU613" s="146">
        <v>3.1</v>
      </c>
      <c r="AV613" s="145">
        <v>3937</v>
      </c>
      <c r="AW613" s="145">
        <v>-15</v>
      </c>
      <c r="AY613" s="5">
        <v>591</v>
      </c>
      <c r="AZ613" s="413" t="s">
        <v>718</v>
      </c>
      <c r="BA613" s="145"/>
      <c r="BB613" s="146"/>
      <c r="BC613" s="145"/>
      <c r="BD613" s="145"/>
      <c r="BF613" s="5">
        <v>591</v>
      </c>
      <c r="BG613" s="413" t="s">
        <v>718</v>
      </c>
      <c r="BH613" s="145"/>
      <c r="BI613" s="146"/>
      <c r="BJ613" s="145"/>
      <c r="BK613" s="145"/>
      <c r="BM613" s="5">
        <v>591</v>
      </c>
      <c r="BN613" s="413" t="s">
        <v>718</v>
      </c>
      <c r="BO613" s="145"/>
      <c r="BP613" s="146"/>
      <c r="BQ613" s="145"/>
      <c r="BR613" s="145"/>
      <c r="BS613" s="5"/>
      <c r="BT613" s="5">
        <v>591</v>
      </c>
      <c r="BU613" s="413" t="s">
        <v>718</v>
      </c>
      <c r="BV613" s="145"/>
      <c r="BW613" s="146"/>
      <c r="BX613" s="145"/>
      <c r="BY613" s="145"/>
      <c r="BZ613" s="5"/>
      <c r="CA613" s="5">
        <v>591</v>
      </c>
      <c r="CB613" s="413" t="s">
        <v>718</v>
      </c>
      <c r="CC613" s="145"/>
      <c r="CD613" s="146"/>
      <c r="CE613" s="145"/>
      <c r="CF613" s="145"/>
      <c r="CG613" s="5"/>
      <c r="CH613" s="5"/>
      <c r="CI613" s="5"/>
    </row>
    <row r="614" spans="13:87" x14ac:dyDescent="0.2">
      <c r="M614" s="5">
        <v>592</v>
      </c>
      <c r="N614" s="413" t="str">
        <f t="shared" si="54"/>
        <v xml:space="preserve"> </v>
      </c>
      <c r="O614" s="414">
        <f t="shared" si="55"/>
        <v>0</v>
      </c>
      <c r="P614" s="414">
        <f t="shared" si="56"/>
        <v>0</v>
      </c>
      <c r="Q614" s="145">
        <f t="shared" si="59"/>
        <v>-8</v>
      </c>
      <c r="R614" s="414">
        <f t="shared" si="57"/>
        <v>0</v>
      </c>
      <c r="S614" s="414">
        <f t="shared" si="58"/>
        <v>0</v>
      </c>
      <c r="T614" s="19"/>
      <c r="U614" s="5"/>
      <c r="V614" s="5"/>
      <c r="W614" s="5">
        <v>592</v>
      </c>
      <c r="X614" s="144" t="s">
        <v>718</v>
      </c>
      <c r="Y614" s="145"/>
      <c r="Z614" s="146"/>
      <c r="AA614" s="145"/>
      <c r="AB614" s="145"/>
      <c r="AD614" s="5">
        <v>592</v>
      </c>
      <c r="AE614" s="413" t="s">
        <v>718</v>
      </c>
      <c r="AF614" s="145"/>
      <c r="AG614" s="146"/>
      <c r="AH614" s="145"/>
      <c r="AI614" s="145"/>
      <c r="AK614" s="5">
        <v>592</v>
      </c>
      <c r="AL614" s="413" t="s">
        <v>718</v>
      </c>
      <c r="AM614" s="145"/>
      <c r="AN614" s="146"/>
      <c r="AO614" s="145"/>
      <c r="AP614" s="145"/>
      <c r="AR614" s="5">
        <v>592</v>
      </c>
      <c r="AS614" s="413" t="s">
        <v>2967</v>
      </c>
      <c r="AT614" s="145">
        <v>495</v>
      </c>
      <c r="AU614" s="146">
        <v>2.77</v>
      </c>
      <c r="AV614" s="145">
        <v>4186</v>
      </c>
      <c r="AW614" s="145">
        <v>-15</v>
      </c>
      <c r="AY614" s="5">
        <v>592</v>
      </c>
      <c r="AZ614" s="413" t="s">
        <v>718</v>
      </c>
      <c r="BA614" s="145"/>
      <c r="BB614" s="146"/>
      <c r="BC614" s="145"/>
      <c r="BD614" s="145"/>
      <c r="BF614" s="5">
        <v>592</v>
      </c>
      <c r="BG614" s="413" t="s">
        <v>718</v>
      </c>
      <c r="BH614" s="145"/>
      <c r="BI614" s="146"/>
      <c r="BJ614" s="145"/>
      <c r="BK614" s="145"/>
      <c r="BM614" s="5">
        <v>592</v>
      </c>
      <c r="BN614" s="413" t="s">
        <v>718</v>
      </c>
      <c r="BO614" s="145"/>
      <c r="BP614" s="146"/>
      <c r="BQ614" s="145"/>
      <c r="BR614" s="145"/>
      <c r="BS614" s="5"/>
      <c r="BT614" s="5">
        <v>592</v>
      </c>
      <c r="BU614" s="413" t="s">
        <v>718</v>
      </c>
      <c r="BV614" s="145"/>
      <c r="BW614" s="146"/>
      <c r="BX614" s="145"/>
      <c r="BY614" s="145"/>
      <c r="BZ614" s="5"/>
      <c r="CA614" s="5">
        <v>592</v>
      </c>
      <c r="CB614" s="413" t="s">
        <v>718</v>
      </c>
      <c r="CC614" s="145"/>
      <c r="CD614" s="146"/>
      <c r="CE614" s="145"/>
      <c r="CF614" s="145"/>
      <c r="CG614" s="5"/>
      <c r="CH614" s="5"/>
      <c r="CI614" s="5"/>
    </row>
    <row r="615" spans="13:87" x14ac:dyDescent="0.2">
      <c r="M615" s="5">
        <v>593</v>
      </c>
      <c r="N615" s="413" t="str">
        <f t="shared" si="54"/>
        <v xml:space="preserve"> </v>
      </c>
      <c r="O615" s="414">
        <f t="shared" si="55"/>
        <v>0</v>
      </c>
      <c r="P615" s="414">
        <f t="shared" si="56"/>
        <v>0</v>
      </c>
      <c r="Q615" s="145">
        <f t="shared" si="59"/>
        <v>-8</v>
      </c>
      <c r="R615" s="414">
        <f t="shared" si="57"/>
        <v>0</v>
      </c>
      <c r="S615" s="414">
        <f t="shared" si="58"/>
        <v>0</v>
      </c>
      <c r="T615" s="19"/>
      <c r="U615" s="5"/>
      <c r="V615" s="5"/>
      <c r="W615" s="5">
        <v>593</v>
      </c>
      <c r="X615" s="144" t="s">
        <v>718</v>
      </c>
      <c r="Y615" s="145"/>
      <c r="Z615" s="146"/>
      <c r="AA615" s="145"/>
      <c r="AB615" s="145"/>
      <c r="AD615" s="5">
        <v>593</v>
      </c>
      <c r="AE615" s="413" t="s">
        <v>718</v>
      </c>
      <c r="AF615" s="145"/>
      <c r="AG615" s="146"/>
      <c r="AH615" s="145"/>
      <c r="AI615" s="145"/>
      <c r="AK615" s="5">
        <v>593</v>
      </c>
      <c r="AL615" s="413" t="s">
        <v>718</v>
      </c>
      <c r="AM615" s="145"/>
      <c r="AN615" s="146"/>
      <c r="AO615" s="145"/>
      <c r="AP615" s="145"/>
      <c r="AR615" s="5">
        <v>593</v>
      </c>
      <c r="AS615" s="413" t="s">
        <v>2968</v>
      </c>
      <c r="AT615" s="145">
        <v>297</v>
      </c>
      <c r="AU615" s="146">
        <v>3.28</v>
      </c>
      <c r="AV615" s="145">
        <v>3662</v>
      </c>
      <c r="AW615" s="145">
        <v>-13</v>
      </c>
      <c r="AY615" s="5">
        <v>593</v>
      </c>
      <c r="AZ615" s="413" t="s">
        <v>718</v>
      </c>
      <c r="BA615" s="145"/>
      <c r="BB615" s="146"/>
      <c r="BC615" s="145"/>
      <c r="BD615" s="145"/>
      <c r="BF615" s="5">
        <v>593</v>
      </c>
      <c r="BG615" s="413" t="s">
        <v>718</v>
      </c>
      <c r="BH615" s="145"/>
      <c r="BI615" s="146"/>
      <c r="BJ615" s="145"/>
      <c r="BK615" s="145"/>
      <c r="BM615" s="5">
        <v>593</v>
      </c>
      <c r="BN615" s="413" t="s">
        <v>718</v>
      </c>
      <c r="BO615" s="145"/>
      <c r="BP615" s="146"/>
      <c r="BQ615" s="145"/>
      <c r="BR615" s="145"/>
      <c r="BS615" s="5"/>
      <c r="BT615" s="5">
        <v>593</v>
      </c>
      <c r="BU615" s="413" t="s">
        <v>718</v>
      </c>
      <c r="BV615" s="145"/>
      <c r="BW615" s="146"/>
      <c r="BX615" s="145"/>
      <c r="BY615" s="145"/>
      <c r="BZ615" s="5"/>
      <c r="CA615" s="5">
        <v>593</v>
      </c>
      <c r="CB615" s="413" t="s">
        <v>718</v>
      </c>
      <c r="CC615" s="145"/>
      <c r="CD615" s="146"/>
      <c r="CE615" s="145"/>
      <c r="CF615" s="145"/>
      <c r="CG615" s="5"/>
      <c r="CH615" s="5"/>
      <c r="CI615" s="5"/>
    </row>
    <row r="616" spans="13:87" x14ac:dyDescent="0.2">
      <c r="M616" s="5">
        <v>594</v>
      </c>
      <c r="N616" s="413" t="str">
        <f t="shared" si="54"/>
        <v xml:space="preserve"> </v>
      </c>
      <c r="O616" s="414">
        <f t="shared" si="55"/>
        <v>0</v>
      </c>
      <c r="P616" s="414">
        <f t="shared" si="56"/>
        <v>0</v>
      </c>
      <c r="Q616" s="145">
        <f t="shared" si="59"/>
        <v>-8</v>
      </c>
      <c r="R616" s="414">
        <f t="shared" si="57"/>
        <v>0</v>
      </c>
      <c r="S616" s="414">
        <f t="shared" si="58"/>
        <v>0</v>
      </c>
      <c r="T616" s="19"/>
      <c r="U616" s="5"/>
      <c r="V616" s="5"/>
      <c r="W616" s="5">
        <v>594</v>
      </c>
      <c r="X616" s="144" t="s">
        <v>718</v>
      </c>
      <c r="Y616" s="145"/>
      <c r="Z616" s="146"/>
      <c r="AA616" s="145"/>
      <c r="AB616" s="145"/>
      <c r="AD616" s="5">
        <v>594</v>
      </c>
      <c r="AE616" s="413" t="s">
        <v>718</v>
      </c>
      <c r="AF616" s="145"/>
      <c r="AG616" s="146"/>
      <c r="AH616" s="145"/>
      <c r="AI616" s="145"/>
      <c r="AK616" s="5">
        <v>594</v>
      </c>
      <c r="AL616" s="413" t="s">
        <v>718</v>
      </c>
      <c r="AM616" s="145"/>
      <c r="AN616" s="146"/>
      <c r="AO616" s="145"/>
      <c r="AP616" s="145"/>
      <c r="AR616" s="5">
        <v>594</v>
      </c>
      <c r="AS616" s="413" t="s">
        <v>2969</v>
      </c>
      <c r="AT616" s="145">
        <v>175</v>
      </c>
      <c r="AU616" s="146">
        <v>3.42</v>
      </c>
      <c r="AV616" s="145">
        <v>3498</v>
      </c>
      <c r="AW616" s="145">
        <v>-13</v>
      </c>
      <c r="AY616" s="5">
        <v>594</v>
      </c>
      <c r="AZ616" s="413" t="s">
        <v>718</v>
      </c>
      <c r="BA616" s="145"/>
      <c r="BB616" s="146"/>
      <c r="BC616" s="145"/>
      <c r="BD616" s="145"/>
      <c r="BF616" s="5">
        <v>594</v>
      </c>
      <c r="BG616" s="413" t="s">
        <v>718</v>
      </c>
      <c r="BH616" s="145"/>
      <c r="BI616" s="146"/>
      <c r="BJ616" s="145"/>
      <c r="BK616" s="145"/>
      <c r="BM616" s="5">
        <v>594</v>
      </c>
      <c r="BN616" s="413" t="s">
        <v>718</v>
      </c>
      <c r="BO616" s="145"/>
      <c r="BP616" s="146"/>
      <c r="BQ616" s="145"/>
      <c r="BR616" s="145"/>
      <c r="BS616" s="5"/>
      <c r="BT616" s="5">
        <v>594</v>
      </c>
      <c r="BU616" s="413" t="s">
        <v>718</v>
      </c>
      <c r="BV616" s="145"/>
      <c r="BW616" s="146"/>
      <c r="BX616" s="145"/>
      <c r="BY616" s="145"/>
      <c r="BZ616" s="5"/>
      <c r="CA616" s="5">
        <v>594</v>
      </c>
      <c r="CB616" s="413" t="s">
        <v>718</v>
      </c>
      <c r="CC616" s="145"/>
      <c r="CD616" s="146"/>
      <c r="CE616" s="145"/>
      <c r="CF616" s="145"/>
      <c r="CG616" s="5"/>
      <c r="CH616" s="5"/>
      <c r="CI616" s="5"/>
    </row>
    <row r="617" spans="13:87" x14ac:dyDescent="0.2">
      <c r="M617" s="5">
        <v>595</v>
      </c>
      <c r="N617" s="413" t="str">
        <f t="shared" si="54"/>
        <v xml:space="preserve"> </v>
      </c>
      <c r="O617" s="414">
        <f t="shared" si="55"/>
        <v>0</v>
      </c>
      <c r="P617" s="414">
        <f t="shared" si="56"/>
        <v>0</v>
      </c>
      <c r="Q617" s="145">
        <f t="shared" si="59"/>
        <v>-8</v>
      </c>
      <c r="R617" s="414">
        <f t="shared" si="57"/>
        <v>0</v>
      </c>
      <c r="S617" s="414">
        <f t="shared" si="58"/>
        <v>0</v>
      </c>
      <c r="T617" s="19"/>
      <c r="U617" s="5"/>
      <c r="V617" s="5"/>
      <c r="W617" s="5">
        <v>595</v>
      </c>
      <c r="X617" s="144" t="s">
        <v>718</v>
      </c>
      <c r="Y617" s="145"/>
      <c r="Z617" s="146"/>
      <c r="AA617" s="145"/>
      <c r="AB617" s="145"/>
      <c r="AD617" s="5">
        <v>595</v>
      </c>
      <c r="AE617" s="413" t="s">
        <v>718</v>
      </c>
      <c r="AF617" s="145"/>
      <c r="AG617" s="146"/>
      <c r="AH617" s="145"/>
      <c r="AI617" s="145"/>
      <c r="AK617" s="5">
        <v>595</v>
      </c>
      <c r="AL617" s="413" t="s">
        <v>718</v>
      </c>
      <c r="AM617" s="145"/>
      <c r="AN617" s="146"/>
      <c r="AO617" s="145"/>
      <c r="AP617" s="145"/>
      <c r="AR617" s="5">
        <v>595</v>
      </c>
      <c r="AS617" s="413" t="s">
        <v>2970</v>
      </c>
      <c r="AT617" s="145">
        <v>223</v>
      </c>
      <c r="AU617" s="146">
        <v>3.27</v>
      </c>
      <c r="AV617" s="145">
        <v>3614</v>
      </c>
      <c r="AW617" s="145">
        <v>-14</v>
      </c>
      <c r="AY617" s="5">
        <v>595</v>
      </c>
      <c r="AZ617" s="413" t="s">
        <v>718</v>
      </c>
      <c r="BA617" s="145"/>
      <c r="BB617" s="146"/>
      <c r="BC617" s="145"/>
      <c r="BD617" s="145"/>
      <c r="BF617" s="5">
        <v>595</v>
      </c>
      <c r="BG617" s="413" t="s">
        <v>718</v>
      </c>
      <c r="BH617" s="145"/>
      <c r="BI617" s="146"/>
      <c r="BJ617" s="145"/>
      <c r="BK617" s="145"/>
      <c r="BM617" s="5">
        <v>595</v>
      </c>
      <c r="BN617" s="413" t="s">
        <v>718</v>
      </c>
      <c r="BO617" s="145"/>
      <c r="BP617" s="146"/>
      <c r="BQ617" s="145"/>
      <c r="BR617" s="145"/>
      <c r="BS617" s="5"/>
      <c r="BT617" s="5">
        <v>595</v>
      </c>
      <c r="BU617" s="413" t="s">
        <v>718</v>
      </c>
      <c r="BV617" s="145"/>
      <c r="BW617" s="146"/>
      <c r="BX617" s="145"/>
      <c r="BY617" s="145"/>
      <c r="BZ617" s="5"/>
      <c r="CA617" s="5">
        <v>595</v>
      </c>
      <c r="CB617" s="413" t="s">
        <v>718</v>
      </c>
      <c r="CC617" s="145"/>
      <c r="CD617" s="146"/>
      <c r="CE617" s="145"/>
      <c r="CF617" s="145"/>
      <c r="CG617" s="5"/>
      <c r="CH617" s="5"/>
      <c r="CI617" s="5"/>
    </row>
    <row r="618" spans="13:87" x14ac:dyDescent="0.2">
      <c r="M618" s="5">
        <v>596</v>
      </c>
      <c r="N618" s="413" t="str">
        <f t="shared" si="54"/>
        <v xml:space="preserve"> </v>
      </c>
      <c r="O618" s="414">
        <f t="shared" si="55"/>
        <v>0</v>
      </c>
      <c r="P618" s="414">
        <f t="shared" si="56"/>
        <v>0</v>
      </c>
      <c r="Q618" s="145">
        <f t="shared" si="59"/>
        <v>-8</v>
      </c>
      <c r="R618" s="414">
        <f t="shared" si="57"/>
        <v>0</v>
      </c>
      <c r="S618" s="414">
        <f t="shared" si="58"/>
        <v>0</v>
      </c>
      <c r="T618" s="19"/>
      <c r="U618" s="5"/>
      <c r="V618" s="5"/>
      <c r="W618" s="5">
        <v>596</v>
      </c>
      <c r="X618" s="144" t="s">
        <v>718</v>
      </c>
      <c r="Y618" s="145"/>
      <c r="Z618" s="146"/>
      <c r="AA618" s="145"/>
      <c r="AB618" s="145"/>
      <c r="AD618" s="5">
        <v>596</v>
      </c>
      <c r="AE618" s="413" t="s">
        <v>718</v>
      </c>
      <c r="AF618" s="145"/>
      <c r="AG618" s="146"/>
      <c r="AH618" s="145"/>
      <c r="AI618" s="145"/>
      <c r="AK618" s="5">
        <v>596</v>
      </c>
      <c r="AL618" s="413" t="s">
        <v>718</v>
      </c>
      <c r="AM618" s="145"/>
      <c r="AN618" s="146"/>
      <c r="AO618" s="145"/>
      <c r="AP618" s="145"/>
      <c r="AR618" s="5">
        <v>596</v>
      </c>
      <c r="AS618" s="413" t="s">
        <v>2971</v>
      </c>
      <c r="AT618" s="145">
        <v>227</v>
      </c>
      <c r="AU618" s="146">
        <v>3.35</v>
      </c>
      <c r="AV618" s="145">
        <v>3579</v>
      </c>
      <c r="AW618" s="145">
        <v>-13</v>
      </c>
      <c r="AY618" s="5">
        <v>596</v>
      </c>
      <c r="AZ618" s="413" t="s">
        <v>718</v>
      </c>
      <c r="BA618" s="145"/>
      <c r="BB618" s="146"/>
      <c r="BC618" s="145"/>
      <c r="BD618" s="145"/>
      <c r="BF618" s="5">
        <v>596</v>
      </c>
      <c r="BG618" s="413" t="s">
        <v>718</v>
      </c>
      <c r="BH618" s="145"/>
      <c r="BI618" s="146"/>
      <c r="BJ618" s="145"/>
      <c r="BK618" s="145"/>
      <c r="BM618" s="5">
        <v>596</v>
      </c>
      <c r="BN618" s="413" t="s">
        <v>718</v>
      </c>
      <c r="BO618" s="145"/>
      <c r="BP618" s="146"/>
      <c r="BQ618" s="145"/>
      <c r="BR618" s="145"/>
      <c r="BS618" s="5"/>
      <c r="BT618" s="5">
        <v>596</v>
      </c>
      <c r="BU618" s="413" t="s">
        <v>718</v>
      </c>
      <c r="BV618" s="145"/>
      <c r="BW618" s="146"/>
      <c r="BX618" s="145"/>
      <c r="BY618" s="145"/>
      <c r="BZ618" s="5"/>
      <c r="CA618" s="5">
        <v>596</v>
      </c>
      <c r="CB618" s="413" t="s">
        <v>718</v>
      </c>
      <c r="CC618" s="145"/>
      <c r="CD618" s="146"/>
      <c r="CE618" s="145"/>
      <c r="CF618" s="145"/>
      <c r="CG618" s="5"/>
      <c r="CH618" s="5"/>
      <c r="CI618" s="5"/>
    </row>
    <row r="619" spans="13:87" x14ac:dyDescent="0.2">
      <c r="M619" s="5">
        <v>597</v>
      </c>
      <c r="N619" s="413" t="str">
        <f t="shared" si="54"/>
        <v xml:space="preserve"> </v>
      </c>
      <c r="O619" s="414">
        <f t="shared" si="55"/>
        <v>0</v>
      </c>
      <c r="P619" s="414">
        <f t="shared" si="56"/>
        <v>0</v>
      </c>
      <c r="Q619" s="145">
        <f t="shared" si="59"/>
        <v>-8</v>
      </c>
      <c r="R619" s="414">
        <f t="shared" si="57"/>
        <v>0</v>
      </c>
      <c r="S619" s="414">
        <f t="shared" si="58"/>
        <v>0</v>
      </c>
      <c r="T619" s="19"/>
      <c r="U619" s="5"/>
      <c r="V619" s="5"/>
      <c r="W619" s="5">
        <v>597</v>
      </c>
      <c r="X619" s="144" t="s">
        <v>718</v>
      </c>
      <c r="Y619" s="145"/>
      <c r="Z619" s="146"/>
      <c r="AA619" s="145"/>
      <c r="AB619" s="145"/>
      <c r="AD619" s="5">
        <v>597</v>
      </c>
      <c r="AE619" s="413" t="s">
        <v>718</v>
      </c>
      <c r="AF619" s="145"/>
      <c r="AG619" s="146"/>
      <c r="AH619" s="145"/>
      <c r="AI619" s="145"/>
      <c r="AK619" s="5">
        <v>597</v>
      </c>
      <c r="AL619" s="413" t="s">
        <v>718</v>
      </c>
      <c r="AM619" s="145"/>
      <c r="AN619" s="146"/>
      <c r="AO619" s="145"/>
      <c r="AP619" s="145"/>
      <c r="AR619" s="5">
        <v>597</v>
      </c>
      <c r="AS619" s="413" t="s">
        <v>2972</v>
      </c>
      <c r="AT619" s="145">
        <v>470</v>
      </c>
      <c r="AU619" s="146">
        <v>2.56</v>
      </c>
      <c r="AV619" s="145">
        <v>4202</v>
      </c>
      <c r="AW619" s="145">
        <v>-16</v>
      </c>
      <c r="AY619" s="5">
        <v>597</v>
      </c>
      <c r="AZ619" s="413" t="s">
        <v>718</v>
      </c>
      <c r="BA619" s="145"/>
      <c r="BB619" s="146"/>
      <c r="BC619" s="145"/>
      <c r="BD619" s="145"/>
      <c r="BF619" s="5">
        <v>597</v>
      </c>
      <c r="BG619" s="413" t="s">
        <v>718</v>
      </c>
      <c r="BH619" s="145"/>
      <c r="BI619" s="146"/>
      <c r="BJ619" s="145"/>
      <c r="BK619" s="145"/>
      <c r="BM619" s="5">
        <v>597</v>
      </c>
      <c r="BN619" s="413" t="s">
        <v>718</v>
      </c>
      <c r="BO619" s="145"/>
      <c r="BP619" s="146"/>
      <c r="BQ619" s="145"/>
      <c r="BR619" s="145"/>
      <c r="BS619" s="5"/>
      <c r="BT619" s="5">
        <v>597</v>
      </c>
      <c r="BU619" s="413" t="s">
        <v>718</v>
      </c>
      <c r="BV619" s="145"/>
      <c r="BW619" s="146"/>
      <c r="BX619" s="145"/>
      <c r="BY619" s="145"/>
      <c r="BZ619" s="5"/>
      <c r="CA619" s="5">
        <v>597</v>
      </c>
      <c r="CB619" s="413" t="s">
        <v>718</v>
      </c>
      <c r="CC619" s="145"/>
      <c r="CD619" s="146"/>
      <c r="CE619" s="145"/>
      <c r="CF619" s="145"/>
      <c r="CG619" s="5"/>
      <c r="CH619" s="5"/>
      <c r="CI619" s="5"/>
    </row>
    <row r="620" spans="13:87" x14ac:dyDescent="0.2">
      <c r="M620" s="5">
        <v>598</v>
      </c>
      <c r="N620" s="413" t="str">
        <f t="shared" si="54"/>
        <v xml:space="preserve"> </v>
      </c>
      <c r="O620" s="414">
        <f t="shared" si="55"/>
        <v>0</v>
      </c>
      <c r="P620" s="414">
        <f t="shared" si="56"/>
        <v>0</v>
      </c>
      <c r="Q620" s="145">
        <f t="shared" si="59"/>
        <v>-8</v>
      </c>
      <c r="R620" s="414">
        <f t="shared" si="57"/>
        <v>0</v>
      </c>
      <c r="S620" s="414">
        <f t="shared" si="58"/>
        <v>0</v>
      </c>
      <c r="T620" s="19"/>
      <c r="U620" s="5"/>
      <c r="V620" s="5"/>
      <c r="W620" s="5">
        <v>598</v>
      </c>
      <c r="X620" s="144" t="s">
        <v>718</v>
      </c>
      <c r="Y620" s="145"/>
      <c r="Z620" s="146"/>
      <c r="AA620" s="145"/>
      <c r="AB620" s="145"/>
      <c r="AD620" s="5">
        <v>598</v>
      </c>
      <c r="AE620" s="413" t="s">
        <v>718</v>
      </c>
      <c r="AF620" s="145"/>
      <c r="AG620" s="146"/>
      <c r="AH620" s="145"/>
      <c r="AI620" s="145"/>
      <c r="AK620" s="5">
        <v>598</v>
      </c>
      <c r="AL620" s="413" t="s">
        <v>718</v>
      </c>
      <c r="AM620" s="145"/>
      <c r="AN620" s="146"/>
      <c r="AO620" s="145"/>
      <c r="AP620" s="145"/>
      <c r="AR620" s="5">
        <v>598</v>
      </c>
      <c r="AS620" s="413" t="s">
        <v>2973</v>
      </c>
      <c r="AT620" s="145">
        <v>198</v>
      </c>
      <c r="AU620" s="146">
        <v>3.14</v>
      </c>
      <c r="AV620" s="145">
        <v>3607</v>
      </c>
      <c r="AW620" s="145">
        <v>-14</v>
      </c>
      <c r="AY620" s="5">
        <v>598</v>
      </c>
      <c r="AZ620" s="413" t="s">
        <v>718</v>
      </c>
      <c r="BA620" s="145"/>
      <c r="BB620" s="146"/>
      <c r="BC620" s="145"/>
      <c r="BD620" s="145"/>
      <c r="BF620" s="5">
        <v>598</v>
      </c>
      <c r="BG620" s="413" t="s">
        <v>718</v>
      </c>
      <c r="BH620" s="145"/>
      <c r="BI620" s="146"/>
      <c r="BJ620" s="145"/>
      <c r="BK620" s="145"/>
      <c r="BM620" s="5">
        <v>598</v>
      </c>
      <c r="BN620" s="413" t="s">
        <v>718</v>
      </c>
      <c r="BO620" s="145"/>
      <c r="BP620" s="146"/>
      <c r="BQ620" s="145"/>
      <c r="BR620" s="145"/>
      <c r="BS620" s="5"/>
      <c r="BT620" s="5">
        <v>598</v>
      </c>
      <c r="BU620" s="413" t="s">
        <v>718</v>
      </c>
      <c r="BV620" s="145"/>
      <c r="BW620" s="146"/>
      <c r="BX620" s="145"/>
      <c r="BY620" s="145"/>
      <c r="BZ620" s="5"/>
      <c r="CA620" s="5">
        <v>598</v>
      </c>
      <c r="CB620" s="413" t="s">
        <v>718</v>
      </c>
      <c r="CC620" s="145"/>
      <c r="CD620" s="146"/>
      <c r="CE620" s="145"/>
      <c r="CF620" s="145"/>
      <c r="CG620" s="5"/>
      <c r="CH620" s="5"/>
      <c r="CI620" s="5"/>
    </row>
    <row r="621" spans="13:87" x14ac:dyDescent="0.2">
      <c r="M621" s="5">
        <v>599</v>
      </c>
      <c r="N621" s="413" t="str">
        <f t="shared" si="54"/>
        <v xml:space="preserve"> </v>
      </c>
      <c r="O621" s="414">
        <f t="shared" si="55"/>
        <v>0</v>
      </c>
      <c r="P621" s="414">
        <f t="shared" si="56"/>
        <v>0</v>
      </c>
      <c r="Q621" s="145">
        <f t="shared" si="59"/>
        <v>-8</v>
      </c>
      <c r="R621" s="414">
        <f t="shared" si="57"/>
        <v>0</v>
      </c>
      <c r="S621" s="414">
        <f t="shared" si="58"/>
        <v>0</v>
      </c>
      <c r="T621" s="19"/>
      <c r="U621" s="5"/>
      <c r="V621" s="5"/>
      <c r="W621" s="5">
        <v>599</v>
      </c>
      <c r="X621" s="144" t="s">
        <v>718</v>
      </c>
      <c r="Y621" s="145"/>
      <c r="Z621" s="146"/>
      <c r="AA621" s="145"/>
      <c r="AB621" s="145"/>
      <c r="AD621" s="5">
        <v>599</v>
      </c>
      <c r="AE621" s="413" t="s">
        <v>718</v>
      </c>
      <c r="AF621" s="145"/>
      <c r="AG621" s="146"/>
      <c r="AH621" s="145"/>
      <c r="AI621" s="145"/>
      <c r="AK621" s="5">
        <v>599</v>
      </c>
      <c r="AL621" s="413" t="s">
        <v>718</v>
      </c>
      <c r="AM621" s="145"/>
      <c r="AN621" s="146"/>
      <c r="AO621" s="145"/>
      <c r="AP621" s="145"/>
      <c r="AR621" s="5">
        <v>599</v>
      </c>
      <c r="AS621" s="413" t="s">
        <v>2974</v>
      </c>
      <c r="AT621" s="145">
        <v>591</v>
      </c>
      <c r="AU621" s="146">
        <v>2.87</v>
      </c>
      <c r="AV621" s="145">
        <v>4249</v>
      </c>
      <c r="AW621" s="145">
        <v>-14</v>
      </c>
      <c r="AY621" s="5">
        <v>599</v>
      </c>
      <c r="AZ621" s="413" t="s">
        <v>718</v>
      </c>
      <c r="BA621" s="145"/>
      <c r="BB621" s="146"/>
      <c r="BC621" s="145"/>
      <c r="BD621" s="145"/>
      <c r="BF621" s="5">
        <v>599</v>
      </c>
      <c r="BG621" s="413" t="s">
        <v>718</v>
      </c>
      <c r="BH621" s="145"/>
      <c r="BI621" s="146"/>
      <c r="BJ621" s="145"/>
      <c r="BK621" s="145"/>
      <c r="BM621" s="5">
        <v>599</v>
      </c>
      <c r="BN621" s="413" t="s">
        <v>718</v>
      </c>
      <c r="BO621" s="145"/>
      <c r="BP621" s="146"/>
      <c r="BQ621" s="145"/>
      <c r="BR621" s="145"/>
      <c r="BS621" s="5"/>
      <c r="BT621" s="5">
        <v>599</v>
      </c>
      <c r="BU621" s="413" t="s">
        <v>718</v>
      </c>
      <c r="BV621" s="145"/>
      <c r="BW621" s="146"/>
      <c r="BX621" s="145"/>
      <c r="BY621" s="145"/>
      <c r="BZ621" s="5"/>
      <c r="CA621" s="5">
        <v>599</v>
      </c>
      <c r="CB621" s="413" t="s">
        <v>718</v>
      </c>
      <c r="CC621" s="145"/>
      <c r="CD621" s="146"/>
      <c r="CE621" s="145"/>
      <c r="CF621" s="145"/>
      <c r="CG621" s="5"/>
      <c r="CH621" s="5"/>
      <c r="CI621" s="5"/>
    </row>
    <row r="622" spans="13:87" x14ac:dyDescent="0.2">
      <c r="M622" s="5">
        <v>600</v>
      </c>
      <c r="N622" s="413" t="str">
        <f t="shared" si="54"/>
        <v xml:space="preserve"> </v>
      </c>
      <c r="O622" s="414">
        <f t="shared" si="55"/>
        <v>0</v>
      </c>
      <c r="P622" s="414">
        <f t="shared" si="56"/>
        <v>0</v>
      </c>
      <c r="Q622" s="145">
        <f t="shared" si="59"/>
        <v>-8</v>
      </c>
      <c r="R622" s="414">
        <f t="shared" si="57"/>
        <v>0</v>
      </c>
      <c r="S622" s="414">
        <f t="shared" si="58"/>
        <v>0</v>
      </c>
      <c r="T622" s="19"/>
      <c r="U622" s="5"/>
      <c r="V622" s="5"/>
      <c r="W622" s="5">
        <v>600</v>
      </c>
      <c r="X622" s="144" t="s">
        <v>718</v>
      </c>
      <c r="Y622" s="145"/>
      <c r="Z622" s="146"/>
      <c r="AA622" s="145"/>
      <c r="AB622" s="145"/>
      <c r="AD622" s="5">
        <v>600</v>
      </c>
      <c r="AE622" s="413" t="s">
        <v>718</v>
      </c>
      <c r="AF622" s="145"/>
      <c r="AG622" s="146"/>
      <c r="AH622" s="145"/>
      <c r="AI622" s="145"/>
      <c r="AK622" s="5">
        <v>600</v>
      </c>
      <c r="AL622" s="413" t="s">
        <v>718</v>
      </c>
      <c r="AM622" s="145"/>
      <c r="AN622" s="146"/>
      <c r="AO622" s="145"/>
      <c r="AP622" s="145"/>
      <c r="AR622" s="5">
        <v>600</v>
      </c>
      <c r="AS622" s="413" t="s">
        <v>2975</v>
      </c>
      <c r="AT622" s="145">
        <v>210</v>
      </c>
      <c r="AU622" s="146">
        <v>3.23</v>
      </c>
      <c r="AV622" s="145">
        <v>3673</v>
      </c>
      <c r="AW622" s="145">
        <v>-13</v>
      </c>
      <c r="AY622" s="5">
        <v>600</v>
      </c>
      <c r="AZ622" s="413" t="s">
        <v>718</v>
      </c>
      <c r="BA622" s="145"/>
      <c r="BB622" s="146"/>
      <c r="BC622" s="145"/>
      <c r="BD622" s="145"/>
      <c r="BF622" s="5">
        <v>600</v>
      </c>
      <c r="BG622" s="413" t="s">
        <v>718</v>
      </c>
      <c r="BH622" s="145"/>
      <c r="BI622" s="146"/>
      <c r="BJ622" s="145"/>
      <c r="BK622" s="145"/>
      <c r="BM622" s="5">
        <v>600</v>
      </c>
      <c r="BN622" s="413" t="s">
        <v>718</v>
      </c>
      <c r="BO622" s="145"/>
      <c r="BP622" s="146"/>
      <c r="BQ622" s="145"/>
      <c r="BR622" s="145"/>
      <c r="BS622" s="5"/>
      <c r="BT622" s="5">
        <v>600</v>
      </c>
      <c r="BU622" s="413" t="s">
        <v>718</v>
      </c>
      <c r="BV622" s="145"/>
      <c r="BW622" s="146"/>
      <c r="BX622" s="145"/>
      <c r="BY622" s="145"/>
      <c r="BZ622" s="5"/>
      <c r="CA622" s="5">
        <v>600</v>
      </c>
      <c r="CB622" s="413" t="s">
        <v>718</v>
      </c>
      <c r="CC622" s="145"/>
      <c r="CD622" s="146"/>
      <c r="CE622" s="145"/>
      <c r="CF622" s="145"/>
      <c r="CG622" s="5"/>
      <c r="CH622" s="5"/>
      <c r="CI622" s="5"/>
    </row>
    <row r="623" spans="13:87" x14ac:dyDescent="0.2">
      <c r="M623" s="5">
        <v>601</v>
      </c>
      <c r="N623" s="413" t="str">
        <f t="shared" si="54"/>
        <v xml:space="preserve"> </v>
      </c>
      <c r="O623" s="414">
        <f t="shared" si="55"/>
        <v>0</v>
      </c>
      <c r="P623" s="414">
        <f t="shared" si="56"/>
        <v>0</v>
      </c>
      <c r="Q623" s="145">
        <f t="shared" si="59"/>
        <v>-8</v>
      </c>
      <c r="R623" s="414">
        <f t="shared" si="57"/>
        <v>0</v>
      </c>
      <c r="S623" s="414">
        <f t="shared" si="58"/>
        <v>0</v>
      </c>
      <c r="T623" s="19"/>
      <c r="U623" s="5"/>
      <c r="V623" s="5"/>
      <c r="W623" s="5">
        <v>601</v>
      </c>
      <c r="X623" s="144" t="s">
        <v>718</v>
      </c>
      <c r="Y623" s="145"/>
      <c r="Z623" s="146"/>
      <c r="AA623" s="145"/>
      <c r="AB623" s="145"/>
      <c r="AD623" s="5">
        <v>601</v>
      </c>
      <c r="AE623" s="413" t="s">
        <v>718</v>
      </c>
      <c r="AF623" s="145"/>
      <c r="AG623" s="146"/>
      <c r="AH623" s="145"/>
      <c r="AI623" s="145"/>
      <c r="AK623" s="5">
        <v>601</v>
      </c>
      <c r="AL623" s="413" t="s">
        <v>718</v>
      </c>
      <c r="AM623" s="145"/>
      <c r="AN623" s="146"/>
      <c r="AO623" s="145"/>
      <c r="AP623" s="145"/>
      <c r="AR623" s="5">
        <v>601</v>
      </c>
      <c r="AS623" s="413" t="s">
        <v>2976</v>
      </c>
      <c r="AT623" s="145">
        <v>182</v>
      </c>
      <c r="AU623" s="146">
        <v>3.34</v>
      </c>
      <c r="AV623" s="145">
        <v>3531</v>
      </c>
      <c r="AW623" s="145">
        <v>-13</v>
      </c>
      <c r="AY623" s="5">
        <v>601</v>
      </c>
      <c r="AZ623" s="413" t="s">
        <v>718</v>
      </c>
      <c r="BA623" s="145"/>
      <c r="BB623" s="146"/>
      <c r="BC623" s="145"/>
      <c r="BD623" s="145"/>
      <c r="BF623" s="5">
        <v>601</v>
      </c>
      <c r="BG623" s="413" t="s">
        <v>718</v>
      </c>
      <c r="BH623" s="145"/>
      <c r="BI623" s="146"/>
      <c r="BJ623" s="145"/>
      <c r="BK623" s="145"/>
      <c r="BM623" s="5">
        <v>601</v>
      </c>
      <c r="BN623" s="413" t="s">
        <v>718</v>
      </c>
      <c r="BO623" s="145"/>
      <c r="BP623" s="146"/>
      <c r="BQ623" s="145"/>
      <c r="BR623" s="145"/>
      <c r="BS623" s="5"/>
      <c r="BT623" s="5">
        <v>601</v>
      </c>
      <c r="BU623" s="413" t="s">
        <v>718</v>
      </c>
      <c r="BV623" s="145"/>
      <c r="BW623" s="146"/>
      <c r="BX623" s="145"/>
      <c r="BY623" s="145"/>
      <c r="BZ623" s="5"/>
      <c r="CA623" s="5">
        <v>601</v>
      </c>
      <c r="CB623" s="413" t="s">
        <v>718</v>
      </c>
      <c r="CC623" s="145"/>
      <c r="CD623" s="146"/>
      <c r="CE623" s="145"/>
      <c r="CF623" s="145"/>
      <c r="CG623" s="5"/>
      <c r="CH623" s="5"/>
      <c r="CI623" s="5"/>
    </row>
    <row r="624" spans="13:87" x14ac:dyDescent="0.2">
      <c r="M624" s="5">
        <v>602</v>
      </c>
      <c r="N624" s="413" t="str">
        <f t="shared" si="54"/>
        <v xml:space="preserve"> </v>
      </c>
      <c r="O624" s="414">
        <f t="shared" si="55"/>
        <v>0</v>
      </c>
      <c r="P624" s="414">
        <f t="shared" si="56"/>
        <v>0</v>
      </c>
      <c r="Q624" s="145">
        <f t="shared" si="59"/>
        <v>-8</v>
      </c>
      <c r="R624" s="414">
        <f t="shared" si="57"/>
        <v>0</v>
      </c>
      <c r="S624" s="414">
        <f t="shared" si="58"/>
        <v>0</v>
      </c>
      <c r="T624" s="19"/>
      <c r="U624" s="5"/>
      <c r="V624" s="5"/>
      <c r="W624" s="5">
        <v>602</v>
      </c>
      <c r="X624" s="144" t="s">
        <v>718</v>
      </c>
      <c r="Y624" s="145"/>
      <c r="Z624" s="146"/>
      <c r="AA624" s="145"/>
      <c r="AB624" s="145"/>
      <c r="AD624" s="5">
        <v>602</v>
      </c>
      <c r="AE624" s="413" t="s">
        <v>718</v>
      </c>
      <c r="AF624" s="145"/>
      <c r="AG624" s="146"/>
      <c r="AH624" s="145"/>
      <c r="AI624" s="145"/>
      <c r="AK624" s="5">
        <v>602</v>
      </c>
      <c r="AL624" s="413" t="s">
        <v>718</v>
      </c>
      <c r="AM624" s="145"/>
      <c r="AN624" s="146"/>
      <c r="AO624" s="145"/>
      <c r="AP624" s="145"/>
      <c r="AR624" s="5">
        <v>602</v>
      </c>
      <c r="AS624" s="413" t="s">
        <v>2977</v>
      </c>
      <c r="AT624" s="145">
        <v>515</v>
      </c>
      <c r="AU624" s="146">
        <v>2.5499999999999998</v>
      </c>
      <c r="AV624" s="145">
        <v>4449</v>
      </c>
      <c r="AW624" s="145">
        <v>-17</v>
      </c>
      <c r="AY624" s="5">
        <v>602</v>
      </c>
      <c r="AZ624" s="413" t="s">
        <v>718</v>
      </c>
      <c r="BA624" s="145"/>
      <c r="BB624" s="146"/>
      <c r="BC624" s="145"/>
      <c r="BD624" s="145"/>
      <c r="BF624" s="5">
        <v>602</v>
      </c>
      <c r="BG624" s="413" t="s">
        <v>718</v>
      </c>
      <c r="BH624" s="145"/>
      <c r="BI624" s="146"/>
      <c r="BJ624" s="145"/>
      <c r="BK624" s="145"/>
      <c r="BM624" s="5">
        <v>602</v>
      </c>
      <c r="BN624" s="413" t="s">
        <v>718</v>
      </c>
      <c r="BO624" s="145"/>
      <c r="BP624" s="146"/>
      <c r="BQ624" s="145"/>
      <c r="BR624" s="145"/>
      <c r="BS624" s="5"/>
      <c r="BT624" s="5">
        <v>602</v>
      </c>
      <c r="BU624" s="413" t="s">
        <v>718</v>
      </c>
      <c r="BV624" s="145"/>
      <c r="BW624" s="146"/>
      <c r="BX624" s="145"/>
      <c r="BY624" s="145"/>
      <c r="BZ624" s="5"/>
      <c r="CA624" s="5">
        <v>602</v>
      </c>
      <c r="CB624" s="413" t="s">
        <v>718</v>
      </c>
      <c r="CC624" s="145"/>
      <c r="CD624" s="146"/>
      <c r="CE624" s="145"/>
      <c r="CF624" s="145"/>
      <c r="CG624" s="5"/>
      <c r="CH624" s="5"/>
      <c r="CI624" s="5"/>
    </row>
    <row r="625" spans="13:87" x14ac:dyDescent="0.2">
      <c r="M625" s="5">
        <v>603</v>
      </c>
      <c r="N625" s="413" t="str">
        <f t="shared" si="54"/>
        <v xml:space="preserve"> </v>
      </c>
      <c r="O625" s="414">
        <f t="shared" si="55"/>
        <v>0</v>
      </c>
      <c r="P625" s="414">
        <f t="shared" si="56"/>
        <v>0</v>
      </c>
      <c r="Q625" s="145">
        <f t="shared" si="59"/>
        <v>-8</v>
      </c>
      <c r="R625" s="414">
        <f t="shared" si="57"/>
        <v>0</v>
      </c>
      <c r="S625" s="414">
        <f t="shared" si="58"/>
        <v>0</v>
      </c>
      <c r="T625" s="19"/>
      <c r="U625" s="5"/>
      <c r="V625" s="5"/>
      <c r="W625" s="5">
        <v>603</v>
      </c>
      <c r="X625" s="144" t="s">
        <v>718</v>
      </c>
      <c r="Y625" s="145"/>
      <c r="Z625" s="146"/>
      <c r="AA625" s="145"/>
      <c r="AB625" s="145"/>
      <c r="AD625" s="5">
        <v>603</v>
      </c>
      <c r="AE625" s="413" t="s">
        <v>718</v>
      </c>
      <c r="AF625" s="145"/>
      <c r="AG625" s="146"/>
      <c r="AH625" s="145"/>
      <c r="AI625" s="145"/>
      <c r="AK625" s="5">
        <v>603</v>
      </c>
      <c r="AL625" s="413" t="s">
        <v>718</v>
      </c>
      <c r="AM625" s="145"/>
      <c r="AN625" s="146"/>
      <c r="AO625" s="145"/>
      <c r="AP625" s="145"/>
      <c r="AR625" s="5">
        <v>603</v>
      </c>
      <c r="AS625" s="413" t="s">
        <v>2978</v>
      </c>
      <c r="AT625" s="145">
        <v>186</v>
      </c>
      <c r="AU625" s="146">
        <v>3.31</v>
      </c>
      <c r="AV625" s="145">
        <v>3554</v>
      </c>
      <c r="AW625" s="145">
        <v>-14</v>
      </c>
      <c r="AY625" s="5">
        <v>603</v>
      </c>
      <c r="AZ625" s="413" t="s">
        <v>718</v>
      </c>
      <c r="BA625" s="145"/>
      <c r="BB625" s="146"/>
      <c r="BC625" s="145"/>
      <c r="BD625" s="145"/>
      <c r="BF625" s="5">
        <v>603</v>
      </c>
      <c r="BG625" s="413" t="s">
        <v>718</v>
      </c>
      <c r="BH625" s="145"/>
      <c r="BI625" s="146"/>
      <c r="BJ625" s="145"/>
      <c r="BK625" s="145"/>
      <c r="BM625" s="5">
        <v>603</v>
      </c>
      <c r="BN625" s="413" t="s">
        <v>718</v>
      </c>
      <c r="BO625" s="145"/>
      <c r="BP625" s="146"/>
      <c r="BQ625" s="145"/>
      <c r="BR625" s="145"/>
      <c r="BS625" s="5"/>
      <c r="BT625" s="5">
        <v>603</v>
      </c>
      <c r="BU625" s="413" t="s">
        <v>718</v>
      </c>
      <c r="BV625" s="145"/>
      <c r="BW625" s="146"/>
      <c r="BX625" s="145"/>
      <c r="BY625" s="145"/>
      <c r="BZ625" s="5"/>
      <c r="CA625" s="5">
        <v>603</v>
      </c>
      <c r="CB625" s="413" t="s">
        <v>718</v>
      </c>
      <c r="CC625" s="145"/>
      <c r="CD625" s="146"/>
      <c r="CE625" s="145"/>
      <c r="CF625" s="145"/>
      <c r="CG625" s="5"/>
      <c r="CH625" s="5"/>
      <c r="CI625" s="5"/>
    </row>
    <row r="626" spans="13:87" x14ac:dyDescent="0.2">
      <c r="M626" s="5">
        <v>604</v>
      </c>
      <c r="N626" s="413" t="str">
        <f t="shared" si="54"/>
        <v xml:space="preserve"> </v>
      </c>
      <c r="O626" s="414">
        <f t="shared" si="55"/>
        <v>0</v>
      </c>
      <c r="P626" s="414">
        <f t="shared" si="56"/>
        <v>0</v>
      </c>
      <c r="Q626" s="145">
        <f t="shared" si="59"/>
        <v>-8</v>
      </c>
      <c r="R626" s="414">
        <f t="shared" si="57"/>
        <v>0</v>
      </c>
      <c r="S626" s="414">
        <f t="shared" si="58"/>
        <v>0</v>
      </c>
      <c r="T626" s="19"/>
      <c r="U626" s="5"/>
      <c r="V626" s="5"/>
      <c r="W626" s="5">
        <v>604</v>
      </c>
      <c r="X626" s="144" t="s">
        <v>718</v>
      </c>
      <c r="Y626" s="145"/>
      <c r="Z626" s="146"/>
      <c r="AA626" s="145"/>
      <c r="AB626" s="145"/>
      <c r="AD626" s="5">
        <v>604</v>
      </c>
      <c r="AE626" s="413" t="s">
        <v>718</v>
      </c>
      <c r="AF626" s="145"/>
      <c r="AG626" s="146"/>
      <c r="AH626" s="145"/>
      <c r="AI626" s="145"/>
      <c r="AK626" s="5">
        <v>604</v>
      </c>
      <c r="AL626" s="413" t="s">
        <v>718</v>
      </c>
      <c r="AM626" s="145"/>
      <c r="AN626" s="146"/>
      <c r="AO626" s="145"/>
      <c r="AP626" s="145"/>
      <c r="AR626" s="5">
        <v>604</v>
      </c>
      <c r="AS626" s="413" t="s">
        <v>718</v>
      </c>
      <c r="AT626" s="145"/>
      <c r="AU626" s="146"/>
      <c r="AV626" s="145"/>
      <c r="AW626" s="145"/>
      <c r="AY626" s="5">
        <v>604</v>
      </c>
      <c r="AZ626" s="413" t="s">
        <v>718</v>
      </c>
      <c r="BA626" s="145"/>
      <c r="BB626" s="146"/>
      <c r="BC626" s="145"/>
      <c r="BD626" s="145"/>
      <c r="BF626" s="5">
        <v>604</v>
      </c>
      <c r="BG626" s="413" t="s">
        <v>718</v>
      </c>
      <c r="BH626" s="145"/>
      <c r="BI626" s="146"/>
      <c r="BJ626" s="145"/>
      <c r="BK626" s="145"/>
      <c r="BM626" s="5">
        <v>604</v>
      </c>
      <c r="BN626" s="413" t="s">
        <v>718</v>
      </c>
      <c r="BO626" s="145"/>
      <c r="BP626" s="146"/>
      <c r="BQ626" s="145"/>
      <c r="BR626" s="145"/>
      <c r="BS626" s="5"/>
      <c r="BT626" s="5">
        <v>604</v>
      </c>
      <c r="BU626" s="413" t="s">
        <v>718</v>
      </c>
      <c r="BV626" s="145"/>
      <c r="BW626" s="146"/>
      <c r="BX626" s="145"/>
      <c r="BY626" s="145"/>
      <c r="BZ626" s="5"/>
      <c r="CA626" s="5">
        <v>604</v>
      </c>
      <c r="CB626" s="413" t="s">
        <v>718</v>
      </c>
      <c r="CC626" s="145"/>
      <c r="CD626" s="146"/>
      <c r="CE626" s="145"/>
      <c r="CF626" s="145"/>
      <c r="CG626" s="5"/>
      <c r="CH626" s="5"/>
      <c r="CI626" s="5"/>
    </row>
    <row r="627" spans="13:87" x14ac:dyDescent="0.2">
      <c r="M627" s="5">
        <v>605</v>
      </c>
      <c r="N627" s="413" t="str">
        <f t="shared" si="54"/>
        <v xml:space="preserve"> </v>
      </c>
      <c r="O627" s="414">
        <f t="shared" si="55"/>
        <v>0</v>
      </c>
      <c r="P627" s="414">
        <f t="shared" si="56"/>
        <v>0</v>
      </c>
      <c r="Q627" s="145">
        <f t="shared" si="59"/>
        <v>-8</v>
      </c>
      <c r="R627" s="414">
        <f t="shared" si="57"/>
        <v>0</v>
      </c>
      <c r="S627" s="414">
        <f t="shared" si="58"/>
        <v>0</v>
      </c>
      <c r="T627" s="19"/>
      <c r="U627" s="5"/>
      <c r="V627" s="5"/>
      <c r="W627" s="5">
        <v>605</v>
      </c>
      <c r="X627" s="144" t="s">
        <v>718</v>
      </c>
      <c r="Y627" s="145"/>
      <c r="Z627" s="146"/>
      <c r="AA627" s="145"/>
      <c r="AB627" s="145"/>
      <c r="AD627" s="5">
        <v>605</v>
      </c>
      <c r="AE627" s="413" t="s">
        <v>718</v>
      </c>
      <c r="AF627" s="145"/>
      <c r="AG627" s="146"/>
      <c r="AH627" s="145"/>
      <c r="AI627" s="145"/>
      <c r="AK627" s="5">
        <v>605</v>
      </c>
      <c r="AL627" s="413" t="s">
        <v>718</v>
      </c>
      <c r="AM627" s="145"/>
      <c r="AN627" s="146"/>
      <c r="AO627" s="145"/>
      <c r="AP627" s="145"/>
      <c r="AR627" s="5">
        <v>605</v>
      </c>
      <c r="AS627" s="413" t="s">
        <v>718</v>
      </c>
      <c r="AT627" s="145"/>
      <c r="AU627" s="146"/>
      <c r="AV627" s="145"/>
      <c r="AW627" s="145"/>
      <c r="AY627" s="5">
        <v>605</v>
      </c>
      <c r="AZ627" s="413" t="s">
        <v>718</v>
      </c>
      <c r="BA627" s="145"/>
      <c r="BB627" s="146"/>
      <c r="BC627" s="145"/>
      <c r="BD627" s="145"/>
      <c r="BF627" s="5">
        <v>605</v>
      </c>
      <c r="BG627" s="413" t="s">
        <v>718</v>
      </c>
      <c r="BH627" s="145"/>
      <c r="BI627" s="146"/>
      <c r="BJ627" s="145"/>
      <c r="BK627" s="145"/>
      <c r="BM627" s="5">
        <v>605</v>
      </c>
      <c r="BN627" s="413" t="s">
        <v>718</v>
      </c>
      <c r="BO627" s="145"/>
      <c r="BP627" s="146"/>
      <c r="BQ627" s="145"/>
      <c r="BR627" s="145"/>
      <c r="BS627" s="5"/>
      <c r="BT627" s="5">
        <v>605</v>
      </c>
      <c r="BU627" s="413" t="s">
        <v>718</v>
      </c>
      <c r="BV627" s="145"/>
      <c r="BW627" s="146"/>
      <c r="BX627" s="145"/>
      <c r="BY627" s="145"/>
      <c r="BZ627" s="5"/>
      <c r="CA627" s="5">
        <v>605</v>
      </c>
      <c r="CB627" s="413" t="s">
        <v>718</v>
      </c>
      <c r="CC627" s="145"/>
      <c r="CD627" s="146"/>
      <c r="CE627" s="145"/>
      <c r="CF627" s="145"/>
      <c r="CG627" s="5"/>
      <c r="CH627" s="5"/>
      <c r="CI627" s="5"/>
    </row>
    <row r="628" spans="13:87" x14ac:dyDescent="0.2">
      <c r="M628" s="5">
        <v>606</v>
      </c>
      <c r="N628" s="413" t="str">
        <f t="shared" si="54"/>
        <v xml:space="preserve"> </v>
      </c>
      <c r="O628" s="414">
        <f t="shared" si="55"/>
        <v>0</v>
      </c>
      <c r="P628" s="414">
        <f t="shared" si="56"/>
        <v>0</v>
      </c>
      <c r="Q628" s="145">
        <f t="shared" si="59"/>
        <v>-8</v>
      </c>
      <c r="R628" s="414">
        <f t="shared" si="57"/>
        <v>0</v>
      </c>
      <c r="S628" s="414">
        <f t="shared" si="58"/>
        <v>0</v>
      </c>
      <c r="T628" s="19"/>
      <c r="U628" s="5"/>
      <c r="V628" s="5"/>
      <c r="W628" s="5">
        <v>606</v>
      </c>
      <c r="X628" s="144" t="s">
        <v>718</v>
      </c>
      <c r="Y628" s="145"/>
      <c r="Z628" s="146"/>
      <c r="AA628" s="145"/>
      <c r="AB628" s="145"/>
      <c r="AD628" s="5">
        <v>606</v>
      </c>
      <c r="AE628" s="413" t="s">
        <v>718</v>
      </c>
      <c r="AF628" s="145"/>
      <c r="AG628" s="146"/>
      <c r="AH628" s="145"/>
      <c r="AI628" s="145"/>
      <c r="AK628" s="5">
        <v>606</v>
      </c>
      <c r="AL628" s="413" t="s">
        <v>718</v>
      </c>
      <c r="AM628" s="145"/>
      <c r="AN628" s="146"/>
      <c r="AO628" s="145"/>
      <c r="AP628" s="145"/>
      <c r="AR628" s="5">
        <v>606</v>
      </c>
      <c r="AS628" s="413" t="s">
        <v>718</v>
      </c>
      <c r="AT628" s="145"/>
      <c r="AU628" s="146"/>
      <c r="AV628" s="145"/>
      <c r="AW628" s="145"/>
      <c r="AY628" s="5">
        <v>606</v>
      </c>
      <c r="AZ628" s="413" t="s">
        <v>718</v>
      </c>
      <c r="BA628" s="145"/>
      <c r="BB628" s="146"/>
      <c r="BC628" s="145"/>
      <c r="BD628" s="145"/>
      <c r="BF628" s="5">
        <v>606</v>
      </c>
      <c r="BG628" s="413" t="s">
        <v>718</v>
      </c>
      <c r="BH628" s="145"/>
      <c r="BI628" s="146"/>
      <c r="BJ628" s="145"/>
      <c r="BK628" s="145"/>
      <c r="BM628" s="5">
        <v>606</v>
      </c>
      <c r="BN628" s="413" t="s">
        <v>718</v>
      </c>
      <c r="BO628" s="145"/>
      <c r="BP628" s="146"/>
      <c r="BQ628" s="145"/>
      <c r="BR628" s="145"/>
      <c r="BS628" s="5"/>
      <c r="BT628" s="5">
        <v>606</v>
      </c>
      <c r="BU628" s="413" t="s">
        <v>718</v>
      </c>
      <c r="BV628" s="145"/>
      <c r="BW628" s="146"/>
      <c r="BX628" s="145"/>
      <c r="BY628" s="145"/>
      <c r="BZ628" s="5"/>
      <c r="CA628" s="5">
        <v>606</v>
      </c>
      <c r="CB628" s="413" t="s">
        <v>718</v>
      </c>
      <c r="CC628" s="145"/>
      <c r="CD628" s="146"/>
      <c r="CE628" s="145"/>
      <c r="CF628" s="145"/>
      <c r="CG628" s="5"/>
      <c r="CH628" s="5"/>
      <c r="CI628" s="5"/>
    </row>
    <row r="629" spans="13:87" x14ac:dyDescent="0.2">
      <c r="M629" s="5">
        <v>607</v>
      </c>
      <c r="N629" s="413" t="str">
        <f t="shared" si="54"/>
        <v xml:space="preserve"> </v>
      </c>
      <c r="O629" s="414">
        <f t="shared" si="55"/>
        <v>0</v>
      </c>
      <c r="P629" s="414">
        <f t="shared" si="56"/>
        <v>0</v>
      </c>
      <c r="Q629" s="145">
        <f t="shared" si="59"/>
        <v>-8</v>
      </c>
      <c r="R629" s="414">
        <f t="shared" si="57"/>
        <v>0</v>
      </c>
      <c r="S629" s="414">
        <f t="shared" si="58"/>
        <v>0</v>
      </c>
      <c r="T629" s="19"/>
      <c r="U629" s="5"/>
      <c r="V629" s="5"/>
      <c r="W629" s="5">
        <v>607</v>
      </c>
      <c r="X629" s="144" t="s">
        <v>718</v>
      </c>
      <c r="Y629" s="145"/>
      <c r="Z629" s="146"/>
      <c r="AA629" s="145"/>
      <c r="AB629" s="145"/>
      <c r="AD629" s="5">
        <v>607</v>
      </c>
      <c r="AE629" s="413" t="s">
        <v>718</v>
      </c>
      <c r="AF629" s="145"/>
      <c r="AG629" s="146"/>
      <c r="AH629" s="145"/>
      <c r="AI629" s="145"/>
      <c r="AK629" s="5">
        <v>607</v>
      </c>
      <c r="AL629" s="413" t="s">
        <v>718</v>
      </c>
      <c r="AM629" s="145"/>
      <c r="AN629" s="146"/>
      <c r="AO629" s="145"/>
      <c r="AP629" s="145"/>
      <c r="AR629" s="5">
        <v>607</v>
      </c>
      <c r="AS629" s="413" t="s">
        <v>718</v>
      </c>
      <c r="AT629" s="145"/>
      <c r="AU629" s="146"/>
      <c r="AV629" s="145"/>
      <c r="AW629" s="145"/>
      <c r="AY629" s="5">
        <v>607</v>
      </c>
      <c r="AZ629" s="413" t="s">
        <v>718</v>
      </c>
      <c r="BA629" s="145"/>
      <c r="BB629" s="146"/>
      <c r="BC629" s="145"/>
      <c r="BD629" s="145"/>
      <c r="BF629" s="5">
        <v>607</v>
      </c>
      <c r="BG629" s="413" t="s">
        <v>718</v>
      </c>
      <c r="BH629" s="145"/>
      <c r="BI629" s="146"/>
      <c r="BJ629" s="145"/>
      <c r="BK629" s="145"/>
      <c r="BM629" s="5">
        <v>607</v>
      </c>
      <c r="BN629" s="413" t="s">
        <v>718</v>
      </c>
      <c r="BO629" s="145"/>
      <c r="BP629" s="146"/>
      <c r="BQ629" s="145"/>
      <c r="BR629" s="145"/>
      <c r="BS629" s="5"/>
      <c r="BT629" s="5">
        <v>607</v>
      </c>
      <c r="BU629" s="413" t="s">
        <v>718</v>
      </c>
      <c r="BV629" s="145"/>
      <c r="BW629" s="146"/>
      <c r="BX629" s="145"/>
      <c r="BY629" s="145"/>
      <c r="BZ629" s="5"/>
      <c r="CA629" s="5">
        <v>607</v>
      </c>
      <c r="CB629" s="413" t="s">
        <v>718</v>
      </c>
      <c r="CC629" s="145"/>
      <c r="CD629" s="146"/>
      <c r="CE629" s="145"/>
      <c r="CF629" s="145"/>
      <c r="CG629" s="5"/>
      <c r="CH629" s="5"/>
      <c r="CI629" s="5"/>
    </row>
    <row r="630" spans="13:87" x14ac:dyDescent="0.2">
      <c r="M630" s="5">
        <v>608</v>
      </c>
      <c r="N630" s="413" t="str">
        <f t="shared" si="54"/>
        <v xml:space="preserve"> </v>
      </c>
      <c r="O630" s="414">
        <f t="shared" si="55"/>
        <v>0</v>
      </c>
      <c r="P630" s="414">
        <f t="shared" si="56"/>
        <v>0</v>
      </c>
      <c r="Q630" s="145">
        <f t="shared" si="59"/>
        <v>-8</v>
      </c>
      <c r="R630" s="414">
        <f t="shared" si="57"/>
        <v>0</v>
      </c>
      <c r="S630" s="414">
        <f t="shared" si="58"/>
        <v>0</v>
      </c>
      <c r="T630" s="19"/>
      <c r="U630" s="5"/>
      <c r="V630" s="5"/>
      <c r="W630" s="5">
        <v>608</v>
      </c>
      <c r="X630" s="144" t="s">
        <v>718</v>
      </c>
      <c r="Y630" s="145"/>
      <c r="Z630" s="146"/>
      <c r="AA630" s="145"/>
      <c r="AB630" s="145"/>
      <c r="AD630" s="5">
        <v>608</v>
      </c>
      <c r="AE630" s="413" t="s">
        <v>718</v>
      </c>
      <c r="AF630" s="145"/>
      <c r="AG630" s="146"/>
      <c r="AH630" s="145"/>
      <c r="AI630" s="145"/>
      <c r="AK630" s="5">
        <v>608</v>
      </c>
      <c r="AL630" s="413" t="s">
        <v>718</v>
      </c>
      <c r="AM630" s="145"/>
      <c r="AN630" s="146"/>
      <c r="AO630" s="145"/>
      <c r="AP630" s="145"/>
      <c r="AR630" s="5">
        <v>608</v>
      </c>
      <c r="AS630" s="413" t="s">
        <v>718</v>
      </c>
      <c r="AT630" s="145"/>
      <c r="AU630" s="146"/>
      <c r="AV630" s="145"/>
      <c r="AW630" s="145"/>
      <c r="AY630" s="5">
        <v>608</v>
      </c>
      <c r="AZ630" s="413" t="s">
        <v>718</v>
      </c>
      <c r="BA630" s="145"/>
      <c r="BB630" s="146"/>
      <c r="BC630" s="145"/>
      <c r="BD630" s="145"/>
      <c r="BF630" s="5">
        <v>608</v>
      </c>
      <c r="BG630" s="413" t="s">
        <v>718</v>
      </c>
      <c r="BH630" s="145"/>
      <c r="BI630" s="146"/>
      <c r="BJ630" s="145"/>
      <c r="BK630" s="145"/>
      <c r="BM630" s="5">
        <v>608</v>
      </c>
      <c r="BN630" s="413" t="s">
        <v>718</v>
      </c>
      <c r="BO630" s="145"/>
      <c r="BP630" s="146"/>
      <c r="BQ630" s="145"/>
      <c r="BR630" s="145"/>
      <c r="BS630" s="5"/>
      <c r="BT630" s="5">
        <v>608</v>
      </c>
      <c r="BU630" s="413" t="s">
        <v>718</v>
      </c>
      <c r="BV630" s="145"/>
      <c r="BW630" s="146"/>
      <c r="BX630" s="145"/>
      <c r="BY630" s="145"/>
      <c r="BZ630" s="5"/>
      <c r="CA630" s="5">
        <v>608</v>
      </c>
      <c r="CB630" s="413" t="s">
        <v>718</v>
      </c>
      <c r="CC630" s="145"/>
      <c r="CD630" s="146"/>
      <c r="CE630" s="145"/>
      <c r="CF630" s="145"/>
      <c r="CG630" s="5"/>
      <c r="CH630" s="5"/>
      <c r="CI630" s="5"/>
    </row>
    <row r="631" spans="13:87" x14ac:dyDescent="0.2">
      <c r="M631" s="5">
        <v>609</v>
      </c>
      <c r="N631" s="413" t="str">
        <f t="shared" si="54"/>
        <v xml:space="preserve"> </v>
      </c>
      <c r="O631" s="414">
        <f t="shared" si="55"/>
        <v>0</v>
      </c>
      <c r="P631" s="414">
        <f t="shared" si="56"/>
        <v>0</v>
      </c>
      <c r="Q631" s="145">
        <f t="shared" si="59"/>
        <v>-8</v>
      </c>
      <c r="R631" s="414">
        <f t="shared" si="57"/>
        <v>0</v>
      </c>
      <c r="S631" s="414">
        <f t="shared" si="58"/>
        <v>0</v>
      </c>
      <c r="T631" s="19"/>
      <c r="U631" s="5"/>
      <c r="V631" s="5"/>
      <c r="W631" s="5">
        <v>609</v>
      </c>
      <c r="X631" s="144" t="s">
        <v>718</v>
      </c>
      <c r="Y631" s="145"/>
      <c r="Z631" s="146"/>
      <c r="AA631" s="145"/>
      <c r="AB631" s="145"/>
      <c r="AD631" s="5">
        <v>609</v>
      </c>
      <c r="AE631" s="413" t="s">
        <v>718</v>
      </c>
      <c r="AF631" s="145"/>
      <c r="AG631" s="146"/>
      <c r="AH631" s="145"/>
      <c r="AI631" s="145"/>
      <c r="AK631" s="5">
        <v>609</v>
      </c>
      <c r="AL631" s="413" t="s">
        <v>718</v>
      </c>
      <c r="AM631" s="145"/>
      <c r="AN631" s="146"/>
      <c r="AO631" s="145"/>
      <c r="AP631" s="145"/>
      <c r="AR631" s="5">
        <v>609</v>
      </c>
      <c r="AS631" s="413" t="s">
        <v>718</v>
      </c>
      <c r="AT631" s="145"/>
      <c r="AU631" s="146"/>
      <c r="AV631" s="145"/>
      <c r="AW631" s="145"/>
      <c r="AY631" s="5">
        <v>609</v>
      </c>
      <c r="AZ631" s="413" t="s">
        <v>718</v>
      </c>
      <c r="BA631" s="145"/>
      <c r="BB631" s="146"/>
      <c r="BC631" s="145"/>
      <c r="BD631" s="145"/>
      <c r="BF631" s="5">
        <v>609</v>
      </c>
      <c r="BG631" s="413" t="s">
        <v>718</v>
      </c>
      <c r="BH631" s="145"/>
      <c r="BI631" s="146"/>
      <c r="BJ631" s="145"/>
      <c r="BK631" s="145"/>
      <c r="BM631" s="5">
        <v>609</v>
      </c>
      <c r="BN631" s="413" t="s">
        <v>718</v>
      </c>
      <c r="BO631" s="145"/>
      <c r="BP631" s="146"/>
      <c r="BQ631" s="145"/>
      <c r="BR631" s="145"/>
      <c r="BS631" s="5"/>
      <c r="BT631" s="5">
        <v>609</v>
      </c>
      <c r="BU631" s="413" t="s">
        <v>718</v>
      </c>
      <c r="BV631" s="145"/>
      <c r="BW631" s="146"/>
      <c r="BX631" s="145"/>
      <c r="BY631" s="145"/>
      <c r="BZ631" s="5"/>
      <c r="CA631" s="5">
        <v>609</v>
      </c>
      <c r="CB631" s="413" t="s">
        <v>718</v>
      </c>
      <c r="CC631" s="145"/>
      <c r="CD631" s="146"/>
      <c r="CE631" s="145"/>
      <c r="CF631" s="145"/>
      <c r="CG631" s="5"/>
      <c r="CH631" s="5"/>
      <c r="CI631" s="5"/>
    </row>
    <row r="632" spans="13:87" x14ac:dyDescent="0.2">
      <c r="M632" s="5">
        <v>610</v>
      </c>
      <c r="N632" s="413" t="str">
        <f t="shared" si="54"/>
        <v xml:space="preserve"> </v>
      </c>
      <c r="O632" s="414">
        <f t="shared" si="55"/>
        <v>0</v>
      </c>
      <c r="P632" s="414">
        <f t="shared" si="56"/>
        <v>0</v>
      </c>
      <c r="Q632" s="145">
        <f t="shared" si="59"/>
        <v>-8</v>
      </c>
      <c r="R632" s="414">
        <f t="shared" si="57"/>
        <v>0</v>
      </c>
      <c r="S632" s="414">
        <f t="shared" si="58"/>
        <v>0</v>
      </c>
      <c r="T632" s="19"/>
      <c r="U632" s="5"/>
      <c r="V632" s="5"/>
      <c r="W632" s="5">
        <v>610</v>
      </c>
      <c r="X632" s="144" t="s">
        <v>718</v>
      </c>
      <c r="Y632" s="145"/>
      <c r="Z632" s="146"/>
      <c r="AA632" s="145"/>
      <c r="AB632" s="145"/>
      <c r="AD632" s="5">
        <v>610</v>
      </c>
      <c r="AE632" s="413" t="s">
        <v>718</v>
      </c>
      <c r="AF632" s="145"/>
      <c r="AG632" s="146"/>
      <c r="AH632" s="145"/>
      <c r="AI632" s="145"/>
      <c r="AK632" s="5">
        <v>610</v>
      </c>
      <c r="AL632" s="413" t="s">
        <v>718</v>
      </c>
      <c r="AM632" s="145"/>
      <c r="AN632" s="146"/>
      <c r="AO632" s="145"/>
      <c r="AP632" s="145"/>
      <c r="AR632" s="5">
        <v>610</v>
      </c>
      <c r="AS632" s="413" t="s">
        <v>718</v>
      </c>
      <c r="AT632" s="145"/>
      <c r="AU632" s="146"/>
      <c r="AV632" s="145"/>
      <c r="AW632" s="145"/>
      <c r="AY632" s="5">
        <v>610</v>
      </c>
      <c r="AZ632" s="413" t="s">
        <v>718</v>
      </c>
      <c r="BA632" s="145"/>
      <c r="BB632" s="146"/>
      <c r="BC632" s="145"/>
      <c r="BD632" s="145"/>
      <c r="BF632" s="5">
        <v>610</v>
      </c>
      <c r="BG632" s="413" t="s">
        <v>718</v>
      </c>
      <c r="BH632" s="145"/>
      <c r="BI632" s="146"/>
      <c r="BJ632" s="145"/>
      <c r="BK632" s="145"/>
      <c r="BM632" s="5">
        <v>610</v>
      </c>
      <c r="BN632" s="413" t="s">
        <v>718</v>
      </c>
      <c r="BO632" s="145"/>
      <c r="BP632" s="146"/>
      <c r="BQ632" s="145"/>
      <c r="BR632" s="145"/>
      <c r="BS632" s="5"/>
      <c r="BT632" s="5">
        <v>610</v>
      </c>
      <c r="BU632" s="413" t="s">
        <v>718</v>
      </c>
      <c r="BV632" s="145"/>
      <c r="BW632" s="146"/>
      <c r="BX632" s="145"/>
      <c r="BY632" s="145"/>
      <c r="BZ632" s="5"/>
      <c r="CA632" s="5">
        <v>610</v>
      </c>
      <c r="CB632" s="413" t="s">
        <v>718</v>
      </c>
      <c r="CC632" s="145"/>
      <c r="CD632" s="146"/>
      <c r="CE632" s="145"/>
      <c r="CF632" s="145"/>
      <c r="CG632" s="5"/>
      <c r="CH632" s="5"/>
      <c r="CI632" s="5"/>
    </row>
    <row r="633" spans="13:87" x14ac:dyDescent="0.2">
      <c r="M633" s="5">
        <v>611</v>
      </c>
      <c r="N633" s="413" t="str">
        <f t="shared" si="54"/>
        <v xml:space="preserve"> </v>
      </c>
      <c r="O633" s="414">
        <f t="shared" si="55"/>
        <v>0</v>
      </c>
      <c r="P633" s="414">
        <f t="shared" si="56"/>
        <v>0</v>
      </c>
      <c r="Q633" s="145">
        <f t="shared" si="59"/>
        <v>-8</v>
      </c>
      <c r="R633" s="414">
        <f t="shared" si="57"/>
        <v>0</v>
      </c>
      <c r="S633" s="414">
        <f t="shared" si="58"/>
        <v>0</v>
      </c>
      <c r="T633" s="19"/>
      <c r="U633" s="5"/>
      <c r="V633" s="5"/>
      <c r="W633" s="5">
        <v>611</v>
      </c>
      <c r="X633" s="144" t="s">
        <v>718</v>
      </c>
      <c r="Y633" s="145"/>
      <c r="Z633" s="146"/>
      <c r="AA633" s="145"/>
      <c r="AB633" s="145"/>
      <c r="AD633" s="5">
        <v>611</v>
      </c>
      <c r="AE633" s="413" t="s">
        <v>718</v>
      </c>
      <c r="AF633" s="145"/>
      <c r="AG633" s="146"/>
      <c r="AH633" s="145"/>
      <c r="AI633" s="145"/>
      <c r="AK633" s="5">
        <v>611</v>
      </c>
      <c r="AL633" s="413" t="s">
        <v>718</v>
      </c>
      <c r="AM633" s="145"/>
      <c r="AN633" s="146"/>
      <c r="AO633" s="145"/>
      <c r="AP633" s="145"/>
      <c r="AR633" s="5">
        <v>611</v>
      </c>
      <c r="AS633" s="413" t="s">
        <v>718</v>
      </c>
      <c r="AT633" s="145"/>
      <c r="AU633" s="146"/>
      <c r="AV633" s="145"/>
      <c r="AW633" s="145"/>
      <c r="AY633" s="5">
        <v>611</v>
      </c>
      <c r="AZ633" s="413" t="s">
        <v>718</v>
      </c>
      <c r="BA633" s="145"/>
      <c r="BB633" s="146"/>
      <c r="BC633" s="145"/>
      <c r="BD633" s="145"/>
      <c r="BF633" s="5">
        <v>611</v>
      </c>
      <c r="BG633" s="413" t="s">
        <v>718</v>
      </c>
      <c r="BH633" s="145"/>
      <c r="BI633" s="146"/>
      <c r="BJ633" s="145"/>
      <c r="BK633" s="145"/>
      <c r="BM633" s="5">
        <v>611</v>
      </c>
      <c r="BN633" s="413" t="s">
        <v>718</v>
      </c>
      <c r="BO633" s="145"/>
      <c r="BP633" s="146"/>
      <c r="BQ633" s="145"/>
      <c r="BR633" s="145"/>
      <c r="BS633" s="5"/>
      <c r="BT633" s="5">
        <v>611</v>
      </c>
      <c r="BU633" s="413" t="s">
        <v>718</v>
      </c>
      <c r="BV633" s="145"/>
      <c r="BW633" s="146"/>
      <c r="BX633" s="145"/>
      <c r="BY633" s="145"/>
      <c r="BZ633" s="5"/>
      <c r="CA633" s="5">
        <v>611</v>
      </c>
      <c r="CB633" s="413" t="s">
        <v>718</v>
      </c>
      <c r="CC633" s="145"/>
      <c r="CD633" s="146"/>
      <c r="CE633" s="145"/>
      <c r="CF633" s="145"/>
      <c r="CG633" s="5"/>
      <c r="CH633" s="5"/>
      <c r="CI633" s="5"/>
    </row>
    <row r="634" spans="13:87" x14ac:dyDescent="0.2">
      <c r="M634" s="5">
        <v>612</v>
      </c>
      <c r="N634" s="413" t="str">
        <f t="shared" si="54"/>
        <v xml:space="preserve"> </v>
      </c>
      <c r="O634" s="414">
        <f t="shared" si="55"/>
        <v>0</v>
      </c>
      <c r="P634" s="414">
        <f t="shared" si="56"/>
        <v>0</v>
      </c>
      <c r="Q634" s="145">
        <f t="shared" si="59"/>
        <v>-8</v>
      </c>
      <c r="R634" s="414">
        <f t="shared" si="57"/>
        <v>0</v>
      </c>
      <c r="S634" s="414">
        <f t="shared" si="58"/>
        <v>0</v>
      </c>
      <c r="T634" s="19"/>
      <c r="U634" s="5"/>
      <c r="V634" s="5"/>
      <c r="W634" s="5">
        <v>612</v>
      </c>
      <c r="X634" s="144" t="s">
        <v>718</v>
      </c>
      <c r="Y634" s="145"/>
      <c r="Z634" s="146"/>
      <c r="AA634" s="145"/>
      <c r="AB634" s="145"/>
      <c r="AD634" s="5">
        <v>612</v>
      </c>
      <c r="AE634" s="413" t="s">
        <v>718</v>
      </c>
      <c r="AF634" s="145"/>
      <c r="AG634" s="146"/>
      <c r="AH634" s="145"/>
      <c r="AI634" s="145"/>
      <c r="AK634" s="5">
        <v>612</v>
      </c>
      <c r="AL634" s="413" t="s">
        <v>718</v>
      </c>
      <c r="AM634" s="145"/>
      <c r="AN634" s="146"/>
      <c r="AO634" s="145"/>
      <c r="AP634" s="145"/>
      <c r="AR634" s="5">
        <v>612</v>
      </c>
      <c r="AS634" s="413" t="s">
        <v>718</v>
      </c>
      <c r="AT634" s="145"/>
      <c r="AU634" s="146"/>
      <c r="AV634" s="145"/>
      <c r="AW634" s="145"/>
      <c r="AY634" s="5">
        <v>612</v>
      </c>
      <c r="AZ634" s="413" t="s">
        <v>718</v>
      </c>
      <c r="BA634" s="145"/>
      <c r="BB634" s="146"/>
      <c r="BC634" s="145"/>
      <c r="BD634" s="145"/>
      <c r="BF634" s="5">
        <v>612</v>
      </c>
      <c r="BG634" s="413" t="s">
        <v>718</v>
      </c>
      <c r="BH634" s="145"/>
      <c r="BI634" s="146"/>
      <c r="BJ634" s="145"/>
      <c r="BK634" s="145"/>
      <c r="BM634" s="5">
        <v>612</v>
      </c>
      <c r="BN634" s="413" t="s">
        <v>718</v>
      </c>
      <c r="BO634" s="145"/>
      <c r="BP634" s="146"/>
      <c r="BQ634" s="145"/>
      <c r="BR634" s="145"/>
      <c r="BS634" s="5"/>
      <c r="BT634" s="5">
        <v>612</v>
      </c>
      <c r="BU634" s="413" t="s">
        <v>718</v>
      </c>
      <c r="BV634" s="145"/>
      <c r="BW634" s="146"/>
      <c r="BX634" s="145"/>
      <c r="BY634" s="145"/>
      <c r="BZ634" s="5"/>
      <c r="CA634" s="5">
        <v>612</v>
      </c>
      <c r="CB634" s="413" t="s">
        <v>718</v>
      </c>
      <c r="CC634" s="145"/>
      <c r="CD634" s="146"/>
      <c r="CE634" s="145"/>
      <c r="CF634" s="145"/>
      <c r="CG634" s="5"/>
      <c r="CH634" s="5"/>
      <c r="CI634" s="5"/>
    </row>
    <row r="635" spans="13:87" x14ac:dyDescent="0.2">
      <c r="M635" s="5">
        <v>613</v>
      </c>
      <c r="N635" s="413" t="str">
        <f t="shared" si="54"/>
        <v xml:space="preserve"> </v>
      </c>
      <c r="O635" s="414">
        <f t="shared" si="55"/>
        <v>0</v>
      </c>
      <c r="P635" s="414">
        <f t="shared" si="56"/>
        <v>0</v>
      </c>
      <c r="Q635" s="145">
        <f t="shared" si="59"/>
        <v>-8</v>
      </c>
      <c r="R635" s="414">
        <f t="shared" si="57"/>
        <v>0</v>
      </c>
      <c r="S635" s="414">
        <f t="shared" si="58"/>
        <v>0</v>
      </c>
      <c r="T635" s="19"/>
      <c r="U635" s="5"/>
      <c r="V635" s="5"/>
      <c r="W635" s="5">
        <v>613</v>
      </c>
      <c r="X635" s="144" t="s">
        <v>718</v>
      </c>
      <c r="Y635" s="145"/>
      <c r="Z635" s="146"/>
      <c r="AA635" s="145"/>
      <c r="AB635" s="145"/>
      <c r="AD635" s="5">
        <v>613</v>
      </c>
      <c r="AE635" s="413" t="s">
        <v>718</v>
      </c>
      <c r="AF635" s="145"/>
      <c r="AG635" s="146"/>
      <c r="AH635" s="145"/>
      <c r="AI635" s="145"/>
      <c r="AK635" s="5">
        <v>613</v>
      </c>
      <c r="AL635" s="413" t="s">
        <v>718</v>
      </c>
      <c r="AM635" s="145"/>
      <c r="AN635" s="146"/>
      <c r="AO635" s="145"/>
      <c r="AP635" s="145"/>
      <c r="AR635" s="5">
        <v>613</v>
      </c>
      <c r="AS635" s="413" t="s">
        <v>718</v>
      </c>
      <c r="AT635" s="145"/>
      <c r="AU635" s="146"/>
      <c r="AV635" s="145"/>
      <c r="AW635" s="145"/>
      <c r="AY635" s="5">
        <v>613</v>
      </c>
      <c r="AZ635" s="413" t="s">
        <v>718</v>
      </c>
      <c r="BA635" s="145"/>
      <c r="BB635" s="146"/>
      <c r="BC635" s="145"/>
      <c r="BD635" s="145"/>
      <c r="BF635" s="5">
        <v>613</v>
      </c>
      <c r="BG635" s="413" t="s">
        <v>718</v>
      </c>
      <c r="BH635" s="145"/>
      <c r="BI635" s="146"/>
      <c r="BJ635" s="145"/>
      <c r="BK635" s="145"/>
      <c r="BM635" s="5">
        <v>613</v>
      </c>
      <c r="BN635" s="413" t="s">
        <v>718</v>
      </c>
      <c r="BO635" s="145"/>
      <c r="BP635" s="146"/>
      <c r="BQ635" s="145"/>
      <c r="BR635" s="145"/>
      <c r="BS635" s="5"/>
      <c r="BT635" s="5">
        <v>613</v>
      </c>
      <c r="BU635" s="413" t="s">
        <v>718</v>
      </c>
      <c r="BV635" s="145"/>
      <c r="BW635" s="146"/>
      <c r="BX635" s="145"/>
      <c r="BY635" s="145"/>
      <c r="BZ635" s="5"/>
      <c r="CA635" s="5">
        <v>613</v>
      </c>
      <c r="CB635" s="413" t="s">
        <v>718</v>
      </c>
      <c r="CC635" s="145"/>
      <c r="CD635" s="146"/>
      <c r="CE635" s="145"/>
      <c r="CF635" s="145"/>
      <c r="CG635" s="5"/>
      <c r="CH635" s="5"/>
      <c r="CI635" s="5"/>
    </row>
    <row r="636" spans="13:87" x14ac:dyDescent="0.2">
      <c r="M636" s="5">
        <v>614</v>
      </c>
      <c r="N636" s="413" t="str">
        <f t="shared" si="54"/>
        <v xml:space="preserve"> </v>
      </c>
      <c r="O636" s="414">
        <f t="shared" si="55"/>
        <v>0</v>
      </c>
      <c r="P636" s="414">
        <f t="shared" si="56"/>
        <v>0</v>
      </c>
      <c r="Q636" s="145">
        <f t="shared" si="59"/>
        <v>-8</v>
      </c>
      <c r="R636" s="414">
        <f t="shared" si="57"/>
        <v>0</v>
      </c>
      <c r="S636" s="414">
        <f t="shared" si="58"/>
        <v>0</v>
      </c>
      <c r="T636" s="19"/>
      <c r="U636" s="5"/>
      <c r="V636" s="5"/>
      <c r="W636" s="5">
        <v>614</v>
      </c>
      <c r="X636" s="144" t="s">
        <v>718</v>
      </c>
      <c r="Y636" s="145"/>
      <c r="Z636" s="146"/>
      <c r="AA636" s="145"/>
      <c r="AB636" s="145"/>
      <c r="AD636" s="5">
        <v>614</v>
      </c>
      <c r="AE636" s="413" t="s">
        <v>718</v>
      </c>
      <c r="AF636" s="145"/>
      <c r="AG636" s="146"/>
      <c r="AH636" s="145"/>
      <c r="AI636" s="145"/>
      <c r="AK636" s="5">
        <v>614</v>
      </c>
      <c r="AL636" s="413" t="s">
        <v>718</v>
      </c>
      <c r="AM636" s="145"/>
      <c r="AN636" s="146"/>
      <c r="AO636" s="145"/>
      <c r="AP636" s="145"/>
      <c r="AR636" s="5">
        <v>614</v>
      </c>
      <c r="AS636" s="413" t="s">
        <v>718</v>
      </c>
      <c r="AT636" s="145"/>
      <c r="AU636" s="146"/>
      <c r="AV636" s="145"/>
      <c r="AW636" s="145"/>
      <c r="AY636" s="5">
        <v>614</v>
      </c>
      <c r="AZ636" s="413" t="s">
        <v>718</v>
      </c>
      <c r="BA636" s="145"/>
      <c r="BB636" s="146"/>
      <c r="BC636" s="145"/>
      <c r="BD636" s="145"/>
      <c r="BF636" s="5">
        <v>614</v>
      </c>
      <c r="BG636" s="413" t="s">
        <v>718</v>
      </c>
      <c r="BH636" s="145"/>
      <c r="BI636" s="146"/>
      <c r="BJ636" s="145"/>
      <c r="BK636" s="145"/>
      <c r="BM636" s="5">
        <v>614</v>
      </c>
      <c r="BN636" s="413" t="s">
        <v>718</v>
      </c>
      <c r="BO636" s="145"/>
      <c r="BP636" s="146"/>
      <c r="BQ636" s="145"/>
      <c r="BR636" s="145"/>
      <c r="BS636" s="5"/>
      <c r="BT636" s="5">
        <v>614</v>
      </c>
      <c r="BU636" s="413" t="s">
        <v>718</v>
      </c>
      <c r="BV636" s="145"/>
      <c r="BW636" s="146"/>
      <c r="BX636" s="145"/>
      <c r="BY636" s="145"/>
      <c r="BZ636" s="5"/>
      <c r="CA636" s="5">
        <v>614</v>
      </c>
      <c r="CB636" s="413" t="s">
        <v>718</v>
      </c>
      <c r="CC636" s="145"/>
      <c r="CD636" s="146"/>
      <c r="CE636" s="145"/>
      <c r="CF636" s="145"/>
      <c r="CG636" s="5"/>
      <c r="CH636" s="5"/>
      <c r="CI636" s="5"/>
    </row>
    <row r="637" spans="13:87" x14ac:dyDescent="0.2">
      <c r="M637" s="5">
        <v>615</v>
      </c>
      <c r="N637" s="413" t="str">
        <f t="shared" si="54"/>
        <v xml:space="preserve"> </v>
      </c>
      <c r="O637" s="414">
        <f t="shared" si="55"/>
        <v>0</v>
      </c>
      <c r="P637" s="414">
        <f t="shared" si="56"/>
        <v>0</v>
      </c>
      <c r="Q637" s="145">
        <f t="shared" si="59"/>
        <v>-8</v>
      </c>
      <c r="R637" s="414">
        <f t="shared" si="57"/>
        <v>0</v>
      </c>
      <c r="S637" s="414">
        <f t="shared" si="58"/>
        <v>0</v>
      </c>
      <c r="T637" s="19"/>
      <c r="U637" s="5"/>
      <c r="V637" s="5"/>
      <c r="W637" s="5">
        <v>615</v>
      </c>
      <c r="X637" s="144" t="s">
        <v>718</v>
      </c>
      <c r="Y637" s="145"/>
      <c r="Z637" s="146"/>
      <c r="AA637" s="145"/>
      <c r="AB637" s="145"/>
      <c r="AD637" s="5">
        <v>615</v>
      </c>
      <c r="AE637" s="413" t="s">
        <v>718</v>
      </c>
      <c r="AF637" s="145"/>
      <c r="AG637" s="146"/>
      <c r="AH637" s="145"/>
      <c r="AI637" s="145"/>
      <c r="AK637" s="5">
        <v>615</v>
      </c>
      <c r="AL637" s="413" t="s">
        <v>718</v>
      </c>
      <c r="AM637" s="145"/>
      <c r="AN637" s="146"/>
      <c r="AO637" s="145"/>
      <c r="AP637" s="145"/>
      <c r="AR637" s="5">
        <v>615</v>
      </c>
      <c r="AS637" s="413" t="s">
        <v>718</v>
      </c>
      <c r="AT637" s="145"/>
      <c r="AU637" s="146"/>
      <c r="AV637" s="145"/>
      <c r="AW637" s="145"/>
      <c r="AY637" s="5">
        <v>615</v>
      </c>
      <c r="AZ637" s="413" t="s">
        <v>718</v>
      </c>
      <c r="BA637" s="145"/>
      <c r="BB637" s="146"/>
      <c r="BC637" s="145"/>
      <c r="BD637" s="145"/>
      <c r="BF637" s="5">
        <v>615</v>
      </c>
      <c r="BG637" s="413" t="s">
        <v>718</v>
      </c>
      <c r="BH637" s="145"/>
      <c r="BI637" s="146"/>
      <c r="BJ637" s="145"/>
      <c r="BK637" s="145"/>
      <c r="BM637" s="5">
        <v>615</v>
      </c>
      <c r="BN637" s="413" t="s">
        <v>718</v>
      </c>
      <c r="BO637" s="145"/>
      <c r="BP637" s="146"/>
      <c r="BQ637" s="145"/>
      <c r="BR637" s="145"/>
      <c r="BS637" s="5"/>
      <c r="BT637" s="5">
        <v>615</v>
      </c>
      <c r="BU637" s="413" t="s">
        <v>718</v>
      </c>
      <c r="BV637" s="145"/>
      <c r="BW637" s="146"/>
      <c r="BX637" s="145"/>
      <c r="BY637" s="145"/>
      <c r="BZ637" s="5"/>
      <c r="CA637" s="5">
        <v>615</v>
      </c>
      <c r="CB637" s="413" t="s">
        <v>718</v>
      </c>
      <c r="CC637" s="145"/>
      <c r="CD637" s="146"/>
      <c r="CE637" s="145"/>
      <c r="CF637" s="145"/>
      <c r="CG637" s="5"/>
      <c r="CH637" s="5"/>
      <c r="CI637" s="5"/>
    </row>
    <row r="638" spans="13:87" x14ac:dyDescent="0.2">
      <c r="M638" s="5">
        <v>616</v>
      </c>
      <c r="N638" s="413" t="str">
        <f t="shared" si="54"/>
        <v xml:space="preserve"> </v>
      </c>
      <c r="O638" s="414">
        <f t="shared" si="55"/>
        <v>0</v>
      </c>
      <c r="P638" s="414">
        <f t="shared" si="56"/>
        <v>0</v>
      </c>
      <c r="Q638" s="145">
        <f t="shared" si="59"/>
        <v>-8</v>
      </c>
      <c r="R638" s="414">
        <f t="shared" si="57"/>
        <v>0</v>
      </c>
      <c r="S638" s="414">
        <f t="shared" si="58"/>
        <v>0</v>
      </c>
      <c r="T638" s="19"/>
      <c r="U638" s="5"/>
      <c r="V638" s="5"/>
      <c r="W638" s="5">
        <v>616</v>
      </c>
      <c r="X638" s="144" t="s">
        <v>718</v>
      </c>
      <c r="Y638" s="145"/>
      <c r="Z638" s="146"/>
      <c r="AA638" s="145"/>
      <c r="AB638" s="145"/>
      <c r="AD638" s="5">
        <v>616</v>
      </c>
      <c r="AE638" s="413" t="s">
        <v>718</v>
      </c>
      <c r="AF638" s="145"/>
      <c r="AG638" s="146"/>
      <c r="AH638" s="145"/>
      <c r="AI638" s="145"/>
      <c r="AK638" s="5">
        <v>616</v>
      </c>
      <c r="AL638" s="413" t="s">
        <v>718</v>
      </c>
      <c r="AM638" s="145"/>
      <c r="AN638" s="146"/>
      <c r="AO638" s="145"/>
      <c r="AP638" s="145"/>
      <c r="AR638" s="5">
        <v>616</v>
      </c>
      <c r="AS638" s="413" t="s">
        <v>718</v>
      </c>
      <c r="AT638" s="145"/>
      <c r="AU638" s="146"/>
      <c r="AV638" s="145"/>
      <c r="AW638" s="145"/>
      <c r="AY638" s="5">
        <v>616</v>
      </c>
      <c r="AZ638" s="413" t="s">
        <v>718</v>
      </c>
      <c r="BA638" s="145"/>
      <c r="BB638" s="146"/>
      <c r="BC638" s="145"/>
      <c r="BD638" s="145"/>
      <c r="BF638" s="5">
        <v>616</v>
      </c>
      <c r="BG638" s="413" t="s">
        <v>718</v>
      </c>
      <c r="BH638" s="145"/>
      <c r="BI638" s="146"/>
      <c r="BJ638" s="145"/>
      <c r="BK638" s="145"/>
      <c r="BM638" s="5">
        <v>616</v>
      </c>
      <c r="BN638" s="413" t="s">
        <v>718</v>
      </c>
      <c r="BO638" s="145"/>
      <c r="BP638" s="146"/>
      <c r="BQ638" s="145"/>
      <c r="BR638" s="145"/>
      <c r="BS638" s="5"/>
      <c r="BT638" s="5">
        <v>616</v>
      </c>
      <c r="BU638" s="413" t="s">
        <v>718</v>
      </c>
      <c r="BV638" s="145"/>
      <c r="BW638" s="146"/>
      <c r="BX638" s="145"/>
      <c r="BY638" s="145"/>
      <c r="BZ638" s="5"/>
      <c r="CA638" s="5">
        <v>616</v>
      </c>
      <c r="CB638" s="413" t="s">
        <v>718</v>
      </c>
      <c r="CC638" s="145"/>
      <c r="CD638" s="146"/>
      <c r="CE638" s="145"/>
      <c r="CF638" s="145"/>
      <c r="CG638" s="5"/>
      <c r="CH638" s="5"/>
      <c r="CI638" s="5"/>
    </row>
    <row r="639" spans="13:87" x14ac:dyDescent="0.2">
      <c r="M639" s="5">
        <v>617</v>
      </c>
      <c r="N639" s="413" t="str">
        <f t="shared" si="54"/>
        <v xml:space="preserve"> </v>
      </c>
      <c r="O639" s="414">
        <f t="shared" si="55"/>
        <v>0</v>
      </c>
      <c r="P639" s="414">
        <f t="shared" si="56"/>
        <v>0</v>
      </c>
      <c r="Q639" s="145">
        <f t="shared" si="59"/>
        <v>-8</v>
      </c>
      <c r="R639" s="414">
        <f t="shared" si="57"/>
        <v>0</v>
      </c>
      <c r="S639" s="414">
        <f t="shared" si="58"/>
        <v>0</v>
      </c>
      <c r="T639" s="19"/>
      <c r="U639" s="5"/>
      <c r="V639" s="5"/>
      <c r="W639" s="5">
        <v>617</v>
      </c>
      <c r="X639" s="144" t="s">
        <v>718</v>
      </c>
      <c r="Y639" s="145"/>
      <c r="Z639" s="146"/>
      <c r="AA639" s="145"/>
      <c r="AB639" s="145"/>
      <c r="AD639" s="5">
        <v>617</v>
      </c>
      <c r="AE639" s="413" t="s">
        <v>718</v>
      </c>
      <c r="AF639" s="145"/>
      <c r="AG639" s="146"/>
      <c r="AH639" s="145"/>
      <c r="AI639" s="145"/>
      <c r="AK639" s="5">
        <v>617</v>
      </c>
      <c r="AL639" s="413" t="s">
        <v>718</v>
      </c>
      <c r="AM639" s="145"/>
      <c r="AN639" s="146"/>
      <c r="AO639" s="145"/>
      <c r="AP639" s="145"/>
      <c r="AR639" s="5">
        <v>617</v>
      </c>
      <c r="AS639" s="413" t="s">
        <v>718</v>
      </c>
      <c r="AT639" s="145"/>
      <c r="AU639" s="146"/>
      <c r="AV639" s="145"/>
      <c r="AW639" s="145"/>
      <c r="AY639" s="5">
        <v>617</v>
      </c>
      <c r="AZ639" s="413" t="s">
        <v>718</v>
      </c>
      <c r="BA639" s="145"/>
      <c r="BB639" s="146"/>
      <c r="BC639" s="145"/>
      <c r="BD639" s="145"/>
      <c r="BF639" s="5">
        <v>617</v>
      </c>
      <c r="BG639" s="413" t="s">
        <v>718</v>
      </c>
      <c r="BH639" s="145"/>
      <c r="BI639" s="146"/>
      <c r="BJ639" s="145"/>
      <c r="BK639" s="145"/>
      <c r="BM639" s="5">
        <v>617</v>
      </c>
      <c r="BN639" s="413" t="s">
        <v>718</v>
      </c>
      <c r="BO639" s="145"/>
      <c r="BP639" s="146"/>
      <c r="BQ639" s="145"/>
      <c r="BR639" s="145"/>
      <c r="BS639" s="5"/>
      <c r="BT639" s="5">
        <v>617</v>
      </c>
      <c r="BU639" s="413" t="s">
        <v>718</v>
      </c>
      <c r="BV639" s="145"/>
      <c r="BW639" s="146"/>
      <c r="BX639" s="145"/>
      <c r="BY639" s="145"/>
      <c r="BZ639" s="5"/>
      <c r="CA639" s="5">
        <v>617</v>
      </c>
      <c r="CB639" s="413" t="s">
        <v>718</v>
      </c>
      <c r="CC639" s="145"/>
      <c r="CD639" s="146"/>
      <c r="CE639" s="145"/>
      <c r="CF639" s="145"/>
      <c r="CG639" s="5"/>
      <c r="CH639" s="5"/>
      <c r="CI639" s="5"/>
    </row>
    <row r="640" spans="13:87" x14ac:dyDescent="0.2">
      <c r="M640" s="5">
        <v>618</v>
      </c>
      <c r="N640" s="413" t="str">
        <f t="shared" si="54"/>
        <v xml:space="preserve"> </v>
      </c>
      <c r="O640" s="414">
        <f t="shared" si="55"/>
        <v>0</v>
      </c>
      <c r="P640" s="414">
        <f t="shared" si="56"/>
        <v>0</v>
      </c>
      <c r="Q640" s="145">
        <f t="shared" si="59"/>
        <v>-8</v>
      </c>
      <c r="R640" s="414">
        <f t="shared" si="57"/>
        <v>0</v>
      </c>
      <c r="S640" s="414">
        <f t="shared" si="58"/>
        <v>0</v>
      </c>
      <c r="T640" s="19"/>
      <c r="U640" s="5"/>
      <c r="V640" s="5"/>
      <c r="W640" s="5">
        <v>618</v>
      </c>
      <c r="X640" s="144" t="s">
        <v>718</v>
      </c>
      <c r="Y640" s="145"/>
      <c r="Z640" s="146"/>
      <c r="AA640" s="145"/>
      <c r="AB640" s="145"/>
      <c r="AD640" s="5">
        <v>618</v>
      </c>
      <c r="AE640" s="413" t="s">
        <v>718</v>
      </c>
      <c r="AF640" s="145"/>
      <c r="AG640" s="146"/>
      <c r="AH640" s="145"/>
      <c r="AI640" s="145"/>
      <c r="AK640" s="5">
        <v>618</v>
      </c>
      <c r="AL640" s="413" t="s">
        <v>718</v>
      </c>
      <c r="AM640" s="145"/>
      <c r="AN640" s="146"/>
      <c r="AO640" s="145"/>
      <c r="AP640" s="145"/>
      <c r="AR640" s="5">
        <v>618</v>
      </c>
      <c r="AS640" s="413" t="s">
        <v>718</v>
      </c>
      <c r="AT640" s="145"/>
      <c r="AU640" s="146"/>
      <c r="AV640" s="145"/>
      <c r="AW640" s="145"/>
      <c r="AY640" s="5">
        <v>618</v>
      </c>
      <c r="AZ640" s="413" t="s">
        <v>718</v>
      </c>
      <c r="BA640" s="145"/>
      <c r="BB640" s="146"/>
      <c r="BC640" s="145"/>
      <c r="BD640" s="145"/>
      <c r="BF640" s="5">
        <v>618</v>
      </c>
      <c r="BG640" s="413" t="s">
        <v>718</v>
      </c>
      <c r="BH640" s="145"/>
      <c r="BI640" s="146"/>
      <c r="BJ640" s="145"/>
      <c r="BK640" s="145"/>
      <c r="BM640" s="5">
        <v>618</v>
      </c>
      <c r="BN640" s="413" t="s">
        <v>718</v>
      </c>
      <c r="BO640" s="145"/>
      <c r="BP640" s="146"/>
      <c r="BQ640" s="145"/>
      <c r="BR640" s="145"/>
      <c r="BS640" s="5"/>
      <c r="BT640" s="5">
        <v>618</v>
      </c>
      <c r="BU640" s="413" t="s">
        <v>718</v>
      </c>
      <c r="BV640" s="145"/>
      <c r="BW640" s="146"/>
      <c r="BX640" s="145"/>
      <c r="BY640" s="145"/>
      <c r="BZ640" s="5"/>
      <c r="CA640" s="5">
        <v>618</v>
      </c>
      <c r="CB640" s="413" t="s">
        <v>718</v>
      </c>
      <c r="CC640" s="145"/>
      <c r="CD640" s="146"/>
      <c r="CE640" s="145"/>
      <c r="CF640" s="145"/>
      <c r="CG640" s="5"/>
      <c r="CH640" s="5"/>
      <c r="CI640" s="5"/>
    </row>
    <row r="641" spans="13:87" x14ac:dyDescent="0.2">
      <c r="M641" s="5">
        <v>619</v>
      </c>
      <c r="N641" s="413" t="str">
        <f t="shared" si="54"/>
        <v xml:space="preserve"> </v>
      </c>
      <c r="O641" s="414">
        <f t="shared" si="55"/>
        <v>0</v>
      </c>
      <c r="P641" s="414">
        <f t="shared" si="56"/>
        <v>0</v>
      </c>
      <c r="Q641" s="145">
        <f t="shared" si="59"/>
        <v>-8</v>
      </c>
      <c r="R641" s="414">
        <f t="shared" si="57"/>
        <v>0</v>
      </c>
      <c r="S641" s="414">
        <f t="shared" si="58"/>
        <v>0</v>
      </c>
      <c r="T641" s="19"/>
      <c r="U641" s="5"/>
      <c r="V641" s="5"/>
      <c r="W641" s="5">
        <v>619</v>
      </c>
      <c r="X641" s="144" t="s">
        <v>718</v>
      </c>
      <c r="Y641" s="145"/>
      <c r="Z641" s="146"/>
      <c r="AA641" s="145"/>
      <c r="AB641" s="145"/>
      <c r="AD641" s="5">
        <v>619</v>
      </c>
      <c r="AE641" s="413" t="s">
        <v>718</v>
      </c>
      <c r="AF641" s="145"/>
      <c r="AG641" s="146"/>
      <c r="AH641" s="145"/>
      <c r="AI641" s="145"/>
      <c r="AK641" s="5">
        <v>619</v>
      </c>
      <c r="AL641" s="413" t="s">
        <v>718</v>
      </c>
      <c r="AM641" s="145"/>
      <c r="AN641" s="146"/>
      <c r="AO641" s="145"/>
      <c r="AP641" s="145"/>
      <c r="AR641" s="5">
        <v>619</v>
      </c>
      <c r="AS641" s="413" t="s">
        <v>718</v>
      </c>
      <c r="AT641" s="145"/>
      <c r="AU641" s="146"/>
      <c r="AV641" s="145"/>
      <c r="AW641" s="145"/>
      <c r="AY641" s="5">
        <v>619</v>
      </c>
      <c r="AZ641" s="413" t="s">
        <v>718</v>
      </c>
      <c r="BA641" s="145"/>
      <c r="BB641" s="146"/>
      <c r="BC641" s="145"/>
      <c r="BD641" s="145"/>
      <c r="BF641" s="5">
        <v>619</v>
      </c>
      <c r="BG641" s="413" t="s">
        <v>718</v>
      </c>
      <c r="BH641" s="145"/>
      <c r="BI641" s="146"/>
      <c r="BJ641" s="145"/>
      <c r="BK641" s="145"/>
      <c r="BM641" s="5">
        <v>619</v>
      </c>
      <c r="BN641" s="413" t="s">
        <v>718</v>
      </c>
      <c r="BO641" s="145"/>
      <c r="BP641" s="146"/>
      <c r="BQ641" s="145"/>
      <c r="BR641" s="145"/>
      <c r="BS641" s="5"/>
      <c r="BT641" s="5">
        <v>619</v>
      </c>
      <c r="BU641" s="413" t="s">
        <v>718</v>
      </c>
      <c r="BV641" s="145"/>
      <c r="BW641" s="146"/>
      <c r="BX641" s="145"/>
      <c r="BY641" s="145"/>
      <c r="BZ641" s="5"/>
      <c r="CA641" s="5">
        <v>619</v>
      </c>
      <c r="CB641" s="413" t="s">
        <v>718</v>
      </c>
      <c r="CC641" s="145"/>
      <c r="CD641" s="146"/>
      <c r="CE641" s="145"/>
      <c r="CF641" s="145"/>
      <c r="CG641" s="5"/>
      <c r="CH641" s="5"/>
      <c r="CI641" s="5"/>
    </row>
    <row r="642" spans="13:87" x14ac:dyDescent="0.2">
      <c r="M642" s="5">
        <v>620</v>
      </c>
      <c r="N642" s="413" t="str">
        <f t="shared" si="54"/>
        <v xml:space="preserve"> </v>
      </c>
      <c r="O642" s="414">
        <f t="shared" si="55"/>
        <v>0</v>
      </c>
      <c r="P642" s="414">
        <f t="shared" si="56"/>
        <v>0</v>
      </c>
      <c r="Q642" s="145">
        <f t="shared" si="59"/>
        <v>-8</v>
      </c>
      <c r="R642" s="414">
        <f t="shared" si="57"/>
        <v>0</v>
      </c>
      <c r="S642" s="414">
        <f t="shared" si="58"/>
        <v>0</v>
      </c>
      <c r="T642" s="19"/>
      <c r="U642" s="5"/>
      <c r="V642" s="5"/>
      <c r="W642" s="5">
        <v>620</v>
      </c>
      <c r="X642" s="144" t="s">
        <v>718</v>
      </c>
      <c r="Y642" s="145"/>
      <c r="Z642" s="146"/>
      <c r="AA642" s="145"/>
      <c r="AB642" s="145"/>
      <c r="AD642" s="5">
        <v>620</v>
      </c>
      <c r="AE642" s="413" t="s">
        <v>718</v>
      </c>
      <c r="AF642" s="145"/>
      <c r="AG642" s="146"/>
      <c r="AH642" s="145"/>
      <c r="AI642" s="145"/>
      <c r="AK642" s="5">
        <v>620</v>
      </c>
      <c r="AL642" s="413" t="s">
        <v>718</v>
      </c>
      <c r="AM642" s="145"/>
      <c r="AN642" s="146"/>
      <c r="AO642" s="145"/>
      <c r="AP642" s="145"/>
      <c r="AR642" s="5">
        <v>620</v>
      </c>
      <c r="AS642" s="413" t="s">
        <v>718</v>
      </c>
      <c r="AT642" s="145"/>
      <c r="AU642" s="146"/>
      <c r="AV642" s="145"/>
      <c r="AW642" s="145"/>
      <c r="AY642" s="5">
        <v>620</v>
      </c>
      <c r="AZ642" s="413" t="s">
        <v>718</v>
      </c>
      <c r="BA642" s="145"/>
      <c r="BB642" s="146"/>
      <c r="BC642" s="145"/>
      <c r="BD642" s="145"/>
      <c r="BF642" s="5">
        <v>620</v>
      </c>
      <c r="BG642" s="413" t="s">
        <v>718</v>
      </c>
      <c r="BH642" s="145"/>
      <c r="BI642" s="146"/>
      <c r="BJ642" s="145"/>
      <c r="BK642" s="145"/>
      <c r="BM642" s="5">
        <v>620</v>
      </c>
      <c r="BN642" s="413" t="s">
        <v>718</v>
      </c>
      <c r="BO642" s="145"/>
      <c r="BP642" s="146"/>
      <c r="BQ642" s="145"/>
      <c r="BR642" s="145"/>
      <c r="BS642" s="5"/>
      <c r="BT642" s="5">
        <v>620</v>
      </c>
      <c r="BU642" s="413" t="s">
        <v>718</v>
      </c>
      <c r="BV642" s="145"/>
      <c r="BW642" s="146"/>
      <c r="BX642" s="145"/>
      <c r="BY642" s="145"/>
      <c r="BZ642" s="5"/>
      <c r="CA642" s="5">
        <v>620</v>
      </c>
      <c r="CB642" s="413" t="s">
        <v>718</v>
      </c>
      <c r="CC642" s="145"/>
      <c r="CD642" s="146"/>
      <c r="CE642" s="145"/>
      <c r="CF642" s="145"/>
      <c r="CG642" s="5"/>
      <c r="CH642" s="5"/>
      <c r="CI642" s="5"/>
    </row>
    <row r="643" spans="13:87" x14ac:dyDescent="0.2">
      <c r="M643" s="5">
        <v>621</v>
      </c>
      <c r="N643" s="413" t="str">
        <f t="shared" si="54"/>
        <v xml:space="preserve"> </v>
      </c>
      <c r="O643" s="414">
        <f t="shared" si="55"/>
        <v>0</v>
      </c>
      <c r="P643" s="414">
        <f t="shared" si="56"/>
        <v>0</v>
      </c>
      <c r="Q643" s="145">
        <f t="shared" si="59"/>
        <v>-8</v>
      </c>
      <c r="R643" s="414">
        <f t="shared" si="57"/>
        <v>0</v>
      </c>
      <c r="S643" s="414">
        <f t="shared" si="58"/>
        <v>0</v>
      </c>
      <c r="T643" s="19"/>
      <c r="U643" s="5"/>
      <c r="V643" s="5"/>
      <c r="W643" s="5">
        <v>621</v>
      </c>
      <c r="X643" s="144" t="s">
        <v>718</v>
      </c>
      <c r="Y643" s="145"/>
      <c r="Z643" s="146"/>
      <c r="AA643" s="145"/>
      <c r="AB643" s="145"/>
      <c r="AD643" s="5">
        <v>621</v>
      </c>
      <c r="AE643" s="413" t="s">
        <v>718</v>
      </c>
      <c r="AF643" s="145"/>
      <c r="AG643" s="146"/>
      <c r="AH643" s="145"/>
      <c r="AI643" s="145"/>
      <c r="AK643" s="5">
        <v>621</v>
      </c>
      <c r="AL643" s="413" t="s">
        <v>718</v>
      </c>
      <c r="AM643" s="145"/>
      <c r="AN643" s="146"/>
      <c r="AO643" s="145"/>
      <c r="AP643" s="145"/>
      <c r="AR643" s="5">
        <v>621</v>
      </c>
      <c r="AS643" s="413" t="s">
        <v>718</v>
      </c>
      <c r="AT643" s="145"/>
      <c r="AU643" s="146"/>
      <c r="AV643" s="145"/>
      <c r="AW643" s="145"/>
      <c r="AY643" s="5">
        <v>621</v>
      </c>
      <c r="AZ643" s="413" t="s">
        <v>718</v>
      </c>
      <c r="BA643" s="145"/>
      <c r="BB643" s="146"/>
      <c r="BC643" s="145"/>
      <c r="BD643" s="145"/>
      <c r="BF643" s="5">
        <v>621</v>
      </c>
      <c r="BG643" s="413" t="s">
        <v>718</v>
      </c>
      <c r="BH643" s="145"/>
      <c r="BI643" s="146"/>
      <c r="BJ643" s="145"/>
      <c r="BK643" s="145"/>
      <c r="BM643" s="5">
        <v>621</v>
      </c>
      <c r="BN643" s="413" t="s">
        <v>718</v>
      </c>
      <c r="BO643" s="145"/>
      <c r="BP643" s="146"/>
      <c r="BQ643" s="145"/>
      <c r="BR643" s="145"/>
      <c r="BS643" s="5"/>
      <c r="BT643" s="5">
        <v>621</v>
      </c>
      <c r="BU643" s="413" t="s">
        <v>718</v>
      </c>
      <c r="BV643" s="145"/>
      <c r="BW643" s="146"/>
      <c r="BX643" s="145"/>
      <c r="BY643" s="145"/>
      <c r="BZ643" s="5"/>
      <c r="CA643" s="5">
        <v>621</v>
      </c>
      <c r="CB643" s="413" t="s">
        <v>718</v>
      </c>
      <c r="CC643" s="145"/>
      <c r="CD643" s="146"/>
      <c r="CE643" s="145"/>
      <c r="CF643" s="145"/>
      <c r="CG643" s="5"/>
      <c r="CH643" s="5"/>
      <c r="CI643" s="5"/>
    </row>
    <row r="644" spans="13:87" x14ac:dyDescent="0.2">
      <c r="M644" s="5">
        <v>622</v>
      </c>
      <c r="N644" s="413" t="str">
        <f t="shared" si="54"/>
        <v xml:space="preserve"> </v>
      </c>
      <c r="O644" s="414">
        <f t="shared" si="55"/>
        <v>0</v>
      </c>
      <c r="P644" s="414">
        <f t="shared" si="56"/>
        <v>0</v>
      </c>
      <c r="Q644" s="145">
        <f t="shared" si="59"/>
        <v>-8</v>
      </c>
      <c r="R644" s="414">
        <f t="shared" si="57"/>
        <v>0</v>
      </c>
      <c r="S644" s="414">
        <f t="shared" si="58"/>
        <v>0</v>
      </c>
      <c r="T644" s="19"/>
      <c r="U644" s="5"/>
      <c r="V644" s="5"/>
      <c r="W644" s="5">
        <v>622</v>
      </c>
      <c r="X644" s="144" t="s">
        <v>718</v>
      </c>
      <c r="Y644" s="145"/>
      <c r="Z644" s="146"/>
      <c r="AA644" s="145"/>
      <c r="AB644" s="145"/>
      <c r="AD644" s="5">
        <v>622</v>
      </c>
      <c r="AE644" s="413" t="s">
        <v>718</v>
      </c>
      <c r="AF644" s="145"/>
      <c r="AG644" s="146"/>
      <c r="AH644" s="145"/>
      <c r="AI644" s="145"/>
      <c r="AK644" s="5">
        <v>622</v>
      </c>
      <c r="AL644" s="413" t="s">
        <v>718</v>
      </c>
      <c r="AM644" s="145"/>
      <c r="AN644" s="146"/>
      <c r="AO644" s="145"/>
      <c r="AP644" s="145"/>
      <c r="AR644" s="5">
        <v>622</v>
      </c>
      <c r="AS644" s="413" t="s">
        <v>718</v>
      </c>
      <c r="AT644" s="145"/>
      <c r="AU644" s="146"/>
      <c r="AV644" s="145"/>
      <c r="AW644" s="145"/>
      <c r="AY644" s="5">
        <v>622</v>
      </c>
      <c r="AZ644" s="413" t="s">
        <v>718</v>
      </c>
      <c r="BA644" s="145"/>
      <c r="BB644" s="146"/>
      <c r="BC644" s="145"/>
      <c r="BD644" s="145"/>
      <c r="BF644" s="5">
        <v>622</v>
      </c>
      <c r="BG644" s="413" t="s">
        <v>718</v>
      </c>
      <c r="BH644" s="145"/>
      <c r="BI644" s="146"/>
      <c r="BJ644" s="145"/>
      <c r="BK644" s="145"/>
      <c r="BM644" s="5">
        <v>622</v>
      </c>
      <c r="BN644" s="413" t="s">
        <v>718</v>
      </c>
      <c r="BO644" s="145"/>
      <c r="BP644" s="146"/>
      <c r="BQ644" s="145"/>
      <c r="BR644" s="145"/>
      <c r="BS644" s="5"/>
      <c r="BT644" s="5">
        <v>622</v>
      </c>
      <c r="BU644" s="413" t="s">
        <v>718</v>
      </c>
      <c r="BV644" s="145"/>
      <c r="BW644" s="146"/>
      <c r="BX644" s="145"/>
      <c r="BY644" s="145"/>
      <c r="BZ644" s="5"/>
      <c r="CA644" s="5">
        <v>622</v>
      </c>
      <c r="CB644" s="413" t="s">
        <v>718</v>
      </c>
      <c r="CC644" s="145"/>
      <c r="CD644" s="146"/>
      <c r="CE644" s="145"/>
      <c r="CF644" s="145"/>
      <c r="CG644" s="5"/>
      <c r="CH644" s="5"/>
      <c r="CI644" s="5"/>
    </row>
    <row r="645" spans="13:87" x14ac:dyDescent="0.2">
      <c r="M645" s="5">
        <v>623</v>
      </c>
      <c r="N645" s="413" t="str">
        <f t="shared" si="54"/>
        <v xml:space="preserve"> </v>
      </c>
      <c r="O645" s="414">
        <f t="shared" si="55"/>
        <v>0</v>
      </c>
      <c r="P645" s="414">
        <f t="shared" si="56"/>
        <v>0</v>
      </c>
      <c r="Q645" s="145">
        <f t="shared" si="59"/>
        <v>-8</v>
      </c>
      <c r="R645" s="414">
        <f t="shared" si="57"/>
        <v>0</v>
      </c>
      <c r="S645" s="414">
        <f t="shared" si="58"/>
        <v>0</v>
      </c>
      <c r="T645" s="19"/>
      <c r="U645" s="5"/>
      <c r="V645" s="5"/>
      <c r="W645" s="5">
        <v>623</v>
      </c>
      <c r="X645" s="144" t="s">
        <v>718</v>
      </c>
      <c r="Y645" s="145"/>
      <c r="Z645" s="146"/>
      <c r="AA645" s="145"/>
      <c r="AB645" s="145"/>
      <c r="AD645" s="5">
        <v>623</v>
      </c>
      <c r="AE645" s="413" t="s">
        <v>718</v>
      </c>
      <c r="AF645" s="145"/>
      <c r="AG645" s="146"/>
      <c r="AH645" s="145"/>
      <c r="AI645" s="145"/>
      <c r="AK645" s="5">
        <v>623</v>
      </c>
      <c r="AL645" s="413" t="s">
        <v>718</v>
      </c>
      <c r="AM645" s="145"/>
      <c r="AN645" s="146"/>
      <c r="AO645" s="145"/>
      <c r="AP645" s="145"/>
      <c r="AR645" s="5">
        <v>623</v>
      </c>
      <c r="AS645" s="413" t="s">
        <v>718</v>
      </c>
      <c r="AT645" s="145"/>
      <c r="AU645" s="146"/>
      <c r="AV645" s="145"/>
      <c r="AW645" s="145"/>
      <c r="AY645" s="5">
        <v>623</v>
      </c>
      <c r="AZ645" s="413" t="s">
        <v>718</v>
      </c>
      <c r="BA645" s="145"/>
      <c r="BB645" s="146"/>
      <c r="BC645" s="145"/>
      <c r="BD645" s="145"/>
      <c r="BF645" s="5">
        <v>623</v>
      </c>
      <c r="BG645" s="413" t="s">
        <v>718</v>
      </c>
      <c r="BH645" s="145"/>
      <c r="BI645" s="146"/>
      <c r="BJ645" s="145"/>
      <c r="BK645" s="145"/>
      <c r="BM645" s="5">
        <v>623</v>
      </c>
      <c r="BN645" s="413" t="s">
        <v>718</v>
      </c>
      <c r="BO645" s="145"/>
      <c r="BP645" s="146"/>
      <c r="BQ645" s="145"/>
      <c r="BR645" s="145"/>
      <c r="BS645" s="5"/>
      <c r="BT645" s="5">
        <v>623</v>
      </c>
      <c r="BU645" s="413" t="s">
        <v>718</v>
      </c>
      <c r="BV645" s="145"/>
      <c r="BW645" s="146"/>
      <c r="BX645" s="145"/>
      <c r="BY645" s="145"/>
      <c r="BZ645" s="5"/>
      <c r="CA645" s="5">
        <v>623</v>
      </c>
      <c r="CB645" s="413" t="s">
        <v>718</v>
      </c>
      <c r="CC645" s="145"/>
      <c r="CD645" s="146"/>
      <c r="CE645" s="145"/>
      <c r="CF645" s="145"/>
      <c r="CG645" s="5"/>
      <c r="CH645" s="5"/>
      <c r="CI645" s="5"/>
    </row>
    <row r="646" spans="13:87" x14ac:dyDescent="0.2">
      <c r="M646" s="5">
        <v>624</v>
      </c>
      <c r="N646" s="413" t="str">
        <f t="shared" si="54"/>
        <v xml:space="preserve"> </v>
      </c>
      <c r="O646" s="414">
        <f t="shared" si="55"/>
        <v>0</v>
      </c>
      <c r="P646" s="414">
        <f t="shared" si="56"/>
        <v>0</v>
      </c>
      <c r="Q646" s="145">
        <f t="shared" si="59"/>
        <v>-8</v>
      </c>
      <c r="R646" s="414">
        <f t="shared" si="57"/>
        <v>0</v>
      </c>
      <c r="S646" s="414">
        <f t="shared" si="58"/>
        <v>0</v>
      </c>
      <c r="T646" s="19"/>
      <c r="U646" s="5"/>
      <c r="V646" s="5"/>
      <c r="W646" s="5">
        <v>624</v>
      </c>
      <c r="X646" s="144" t="s">
        <v>718</v>
      </c>
      <c r="Y646" s="145"/>
      <c r="Z646" s="146"/>
      <c r="AA646" s="145"/>
      <c r="AB646" s="145"/>
      <c r="AD646" s="5">
        <v>624</v>
      </c>
      <c r="AE646" s="413" t="s">
        <v>718</v>
      </c>
      <c r="AF646" s="145"/>
      <c r="AG646" s="146"/>
      <c r="AH646" s="145"/>
      <c r="AI646" s="145"/>
      <c r="AK646" s="5">
        <v>624</v>
      </c>
      <c r="AL646" s="413" t="s">
        <v>718</v>
      </c>
      <c r="AM646" s="145"/>
      <c r="AN646" s="146"/>
      <c r="AO646" s="145"/>
      <c r="AP646" s="145"/>
      <c r="AR646" s="5">
        <v>624</v>
      </c>
      <c r="AS646" s="413" t="s">
        <v>718</v>
      </c>
      <c r="AT646" s="145"/>
      <c r="AU646" s="146"/>
      <c r="AV646" s="145"/>
      <c r="AW646" s="145"/>
      <c r="AY646" s="5">
        <v>624</v>
      </c>
      <c r="AZ646" s="413" t="s">
        <v>718</v>
      </c>
      <c r="BA646" s="145"/>
      <c r="BB646" s="146"/>
      <c r="BC646" s="145"/>
      <c r="BD646" s="145"/>
      <c r="BF646" s="5">
        <v>624</v>
      </c>
      <c r="BG646" s="413" t="s">
        <v>718</v>
      </c>
      <c r="BH646" s="145"/>
      <c r="BI646" s="146"/>
      <c r="BJ646" s="145"/>
      <c r="BK646" s="145"/>
      <c r="BM646" s="5">
        <v>624</v>
      </c>
      <c r="BN646" s="413" t="s">
        <v>718</v>
      </c>
      <c r="BO646" s="145"/>
      <c r="BP646" s="146"/>
      <c r="BQ646" s="145"/>
      <c r="BR646" s="145"/>
      <c r="BS646" s="5"/>
      <c r="BT646" s="5">
        <v>624</v>
      </c>
      <c r="BU646" s="413" t="s">
        <v>718</v>
      </c>
      <c r="BV646" s="145"/>
      <c r="BW646" s="146"/>
      <c r="BX646" s="145"/>
      <c r="BY646" s="145"/>
      <c r="BZ646" s="5"/>
      <c r="CA646" s="5">
        <v>624</v>
      </c>
      <c r="CB646" s="413" t="s">
        <v>718</v>
      </c>
      <c r="CC646" s="145"/>
      <c r="CD646" s="146"/>
      <c r="CE646" s="145"/>
      <c r="CF646" s="145"/>
      <c r="CG646" s="5"/>
      <c r="CH646" s="5"/>
      <c r="CI646" s="5"/>
    </row>
    <row r="647" spans="13:87" x14ac:dyDescent="0.2">
      <c r="M647" s="5">
        <v>625</v>
      </c>
      <c r="N647" s="413" t="str">
        <f t="shared" si="54"/>
        <v xml:space="preserve"> </v>
      </c>
      <c r="O647" s="414">
        <f t="shared" si="55"/>
        <v>0</v>
      </c>
      <c r="P647" s="414">
        <f t="shared" si="56"/>
        <v>0</v>
      </c>
      <c r="Q647" s="145">
        <f t="shared" si="59"/>
        <v>-8</v>
      </c>
      <c r="R647" s="414">
        <f t="shared" si="57"/>
        <v>0</v>
      </c>
      <c r="S647" s="414">
        <f t="shared" si="58"/>
        <v>0</v>
      </c>
      <c r="T647" s="19"/>
      <c r="U647" s="5"/>
      <c r="V647" s="5"/>
      <c r="W647" s="5">
        <v>625</v>
      </c>
      <c r="X647" s="144" t="s">
        <v>718</v>
      </c>
      <c r="Y647" s="145"/>
      <c r="Z647" s="146"/>
      <c r="AA647" s="145"/>
      <c r="AB647" s="145"/>
      <c r="AD647" s="5">
        <v>625</v>
      </c>
      <c r="AE647" s="413" t="s">
        <v>718</v>
      </c>
      <c r="AF647" s="145"/>
      <c r="AG647" s="146"/>
      <c r="AH647" s="145"/>
      <c r="AI647" s="145"/>
      <c r="AK647" s="5">
        <v>625</v>
      </c>
      <c r="AL647" s="413" t="s">
        <v>718</v>
      </c>
      <c r="AM647" s="145"/>
      <c r="AN647" s="146"/>
      <c r="AO647" s="145"/>
      <c r="AP647" s="145"/>
      <c r="AR647" s="5">
        <v>625</v>
      </c>
      <c r="AS647" s="413" t="s">
        <v>718</v>
      </c>
      <c r="AT647" s="145"/>
      <c r="AU647" s="146"/>
      <c r="AV647" s="145"/>
      <c r="AW647" s="145"/>
      <c r="AY647" s="5">
        <v>625</v>
      </c>
      <c r="AZ647" s="413" t="s">
        <v>718</v>
      </c>
      <c r="BA647" s="145"/>
      <c r="BB647" s="146"/>
      <c r="BC647" s="145"/>
      <c r="BD647" s="145"/>
      <c r="BF647" s="5">
        <v>625</v>
      </c>
      <c r="BG647" s="413" t="s">
        <v>718</v>
      </c>
      <c r="BH647" s="145"/>
      <c r="BI647" s="146"/>
      <c r="BJ647" s="145"/>
      <c r="BK647" s="145"/>
      <c r="BM647" s="5">
        <v>625</v>
      </c>
      <c r="BN647" s="413" t="s">
        <v>718</v>
      </c>
      <c r="BO647" s="145"/>
      <c r="BP647" s="146"/>
      <c r="BQ647" s="145"/>
      <c r="BR647" s="145"/>
      <c r="BS647" s="5"/>
      <c r="BT647" s="5">
        <v>625</v>
      </c>
      <c r="BU647" s="413" t="s">
        <v>718</v>
      </c>
      <c r="BV647" s="145"/>
      <c r="BW647" s="146"/>
      <c r="BX647" s="145"/>
      <c r="BY647" s="145"/>
      <c r="BZ647" s="5"/>
      <c r="CA647" s="5">
        <v>625</v>
      </c>
      <c r="CB647" s="413" t="s">
        <v>718</v>
      </c>
      <c r="CC647" s="145"/>
      <c r="CD647" s="146"/>
      <c r="CE647" s="145"/>
      <c r="CF647" s="145"/>
      <c r="CG647" s="5"/>
      <c r="CH647" s="5"/>
      <c r="CI647" s="5"/>
    </row>
    <row r="648" spans="13:87" x14ac:dyDescent="0.2">
      <c r="M648" s="5">
        <v>626</v>
      </c>
      <c r="N648" s="413" t="str">
        <f t="shared" si="54"/>
        <v xml:space="preserve"> </v>
      </c>
      <c r="O648" s="414">
        <f t="shared" si="55"/>
        <v>0</v>
      </c>
      <c r="P648" s="414">
        <f t="shared" si="56"/>
        <v>0</v>
      </c>
      <c r="Q648" s="145">
        <f t="shared" si="59"/>
        <v>-8</v>
      </c>
      <c r="R648" s="414">
        <f t="shared" si="57"/>
        <v>0</v>
      </c>
      <c r="S648" s="414">
        <f t="shared" si="58"/>
        <v>0</v>
      </c>
      <c r="T648" s="19"/>
      <c r="U648" s="5"/>
      <c r="V648" s="5"/>
      <c r="W648" s="5">
        <v>626</v>
      </c>
      <c r="X648" s="144" t="s">
        <v>718</v>
      </c>
      <c r="Y648" s="145"/>
      <c r="Z648" s="146"/>
      <c r="AA648" s="145"/>
      <c r="AB648" s="145"/>
      <c r="AD648" s="5">
        <v>626</v>
      </c>
      <c r="AE648" s="413" t="s">
        <v>718</v>
      </c>
      <c r="AF648" s="145"/>
      <c r="AG648" s="146"/>
      <c r="AH648" s="145"/>
      <c r="AI648" s="145"/>
      <c r="AK648" s="5">
        <v>626</v>
      </c>
      <c r="AL648" s="413" t="s">
        <v>718</v>
      </c>
      <c r="AM648" s="145"/>
      <c r="AN648" s="146"/>
      <c r="AO648" s="145"/>
      <c r="AP648" s="145"/>
      <c r="AR648" s="5">
        <v>626</v>
      </c>
      <c r="AS648" s="413" t="s">
        <v>718</v>
      </c>
      <c r="AT648" s="145"/>
      <c r="AU648" s="146"/>
      <c r="AV648" s="145"/>
      <c r="AW648" s="145"/>
      <c r="AY648" s="5">
        <v>626</v>
      </c>
      <c r="AZ648" s="413" t="s">
        <v>718</v>
      </c>
      <c r="BA648" s="145"/>
      <c r="BB648" s="146"/>
      <c r="BC648" s="145"/>
      <c r="BD648" s="145"/>
      <c r="BF648" s="5">
        <v>626</v>
      </c>
      <c r="BG648" s="413" t="s">
        <v>718</v>
      </c>
      <c r="BH648" s="145"/>
      <c r="BI648" s="146"/>
      <c r="BJ648" s="145"/>
      <c r="BK648" s="145"/>
      <c r="BM648" s="5">
        <v>626</v>
      </c>
      <c r="BN648" s="413" t="s">
        <v>718</v>
      </c>
      <c r="BO648" s="145"/>
      <c r="BP648" s="146"/>
      <c r="BQ648" s="145"/>
      <c r="BR648" s="145"/>
      <c r="BS648" s="5"/>
      <c r="BT648" s="5">
        <v>626</v>
      </c>
      <c r="BU648" s="413" t="s">
        <v>718</v>
      </c>
      <c r="BV648" s="145"/>
      <c r="BW648" s="146"/>
      <c r="BX648" s="145"/>
      <c r="BY648" s="145"/>
      <c r="BZ648" s="5"/>
      <c r="CA648" s="5">
        <v>626</v>
      </c>
      <c r="CB648" s="413" t="s">
        <v>718</v>
      </c>
      <c r="CC648" s="145"/>
      <c r="CD648" s="146"/>
      <c r="CE648" s="145"/>
      <c r="CF648" s="145"/>
      <c r="CG648" s="5"/>
      <c r="CH648" s="5"/>
      <c r="CI648" s="5"/>
    </row>
    <row r="649" spans="13:87" x14ac:dyDescent="0.2">
      <c r="M649" s="5">
        <v>627</v>
      </c>
      <c r="N649" s="413" t="str">
        <f t="shared" si="54"/>
        <v xml:space="preserve"> </v>
      </c>
      <c r="O649" s="414">
        <f t="shared" si="55"/>
        <v>0</v>
      </c>
      <c r="P649" s="414">
        <f t="shared" si="56"/>
        <v>0</v>
      </c>
      <c r="Q649" s="145">
        <f t="shared" si="59"/>
        <v>-8</v>
      </c>
      <c r="R649" s="414">
        <f t="shared" si="57"/>
        <v>0</v>
      </c>
      <c r="S649" s="414">
        <f t="shared" si="58"/>
        <v>0</v>
      </c>
      <c r="T649" s="19"/>
      <c r="U649" s="5"/>
      <c r="V649" s="5"/>
      <c r="W649" s="5">
        <v>627</v>
      </c>
      <c r="X649" s="144" t="s">
        <v>718</v>
      </c>
      <c r="Y649" s="145"/>
      <c r="Z649" s="146"/>
      <c r="AA649" s="145"/>
      <c r="AB649" s="145"/>
      <c r="AD649" s="5">
        <v>627</v>
      </c>
      <c r="AE649" s="413" t="s">
        <v>718</v>
      </c>
      <c r="AF649" s="145"/>
      <c r="AG649" s="146"/>
      <c r="AH649" s="145"/>
      <c r="AI649" s="145"/>
      <c r="AK649" s="5">
        <v>627</v>
      </c>
      <c r="AL649" s="413" t="s">
        <v>718</v>
      </c>
      <c r="AM649" s="145"/>
      <c r="AN649" s="146"/>
      <c r="AO649" s="145"/>
      <c r="AP649" s="145"/>
      <c r="AR649" s="5">
        <v>627</v>
      </c>
      <c r="AS649" s="413" t="s">
        <v>718</v>
      </c>
      <c r="AT649" s="145"/>
      <c r="AU649" s="146"/>
      <c r="AV649" s="145"/>
      <c r="AW649" s="145"/>
      <c r="AY649" s="5">
        <v>627</v>
      </c>
      <c r="AZ649" s="413" t="s">
        <v>718</v>
      </c>
      <c r="BA649" s="145"/>
      <c r="BB649" s="146"/>
      <c r="BC649" s="145"/>
      <c r="BD649" s="145"/>
      <c r="BF649" s="5">
        <v>627</v>
      </c>
      <c r="BG649" s="413" t="s">
        <v>718</v>
      </c>
      <c r="BH649" s="145"/>
      <c r="BI649" s="146"/>
      <c r="BJ649" s="145"/>
      <c r="BK649" s="145"/>
      <c r="BM649" s="5">
        <v>627</v>
      </c>
      <c r="BN649" s="413" t="s">
        <v>718</v>
      </c>
      <c r="BO649" s="145"/>
      <c r="BP649" s="146"/>
      <c r="BQ649" s="145"/>
      <c r="BR649" s="145"/>
      <c r="BS649" s="5"/>
      <c r="BT649" s="5">
        <v>627</v>
      </c>
      <c r="BU649" s="413" t="s">
        <v>718</v>
      </c>
      <c r="BV649" s="145"/>
      <c r="BW649" s="146"/>
      <c r="BX649" s="145"/>
      <c r="BY649" s="145"/>
      <c r="BZ649" s="5"/>
      <c r="CA649" s="5">
        <v>627</v>
      </c>
      <c r="CB649" s="413" t="s">
        <v>718</v>
      </c>
      <c r="CC649" s="145"/>
      <c r="CD649" s="146"/>
      <c r="CE649" s="145"/>
      <c r="CF649" s="145"/>
      <c r="CG649" s="5"/>
      <c r="CH649" s="5"/>
      <c r="CI649" s="5"/>
    </row>
    <row r="650" spans="13:87" x14ac:dyDescent="0.2">
      <c r="M650" s="5">
        <v>628</v>
      </c>
      <c r="N650" s="413" t="str">
        <f t="shared" si="54"/>
        <v xml:space="preserve"> </v>
      </c>
      <c r="O650" s="414">
        <f t="shared" si="55"/>
        <v>0</v>
      </c>
      <c r="P650" s="414">
        <f t="shared" si="56"/>
        <v>0</v>
      </c>
      <c r="Q650" s="145">
        <f t="shared" si="59"/>
        <v>-8</v>
      </c>
      <c r="R650" s="414">
        <f t="shared" si="57"/>
        <v>0</v>
      </c>
      <c r="S650" s="414">
        <f t="shared" si="58"/>
        <v>0</v>
      </c>
      <c r="T650" s="19"/>
      <c r="U650" s="5"/>
      <c r="V650" s="5"/>
      <c r="W650" s="5">
        <v>628</v>
      </c>
      <c r="X650" s="144" t="s">
        <v>718</v>
      </c>
      <c r="Y650" s="145"/>
      <c r="Z650" s="146"/>
      <c r="AA650" s="145"/>
      <c r="AB650" s="145"/>
      <c r="AD650" s="5">
        <v>628</v>
      </c>
      <c r="AE650" s="413" t="s">
        <v>718</v>
      </c>
      <c r="AF650" s="145"/>
      <c r="AG650" s="146"/>
      <c r="AH650" s="145"/>
      <c r="AI650" s="145"/>
      <c r="AK650" s="5">
        <v>628</v>
      </c>
      <c r="AL650" s="413" t="s">
        <v>718</v>
      </c>
      <c r="AM650" s="145"/>
      <c r="AN650" s="146"/>
      <c r="AO650" s="145"/>
      <c r="AP650" s="145"/>
      <c r="AR650" s="5">
        <v>628</v>
      </c>
      <c r="AS650" s="413" t="s">
        <v>718</v>
      </c>
      <c r="AT650" s="145"/>
      <c r="AU650" s="146"/>
      <c r="AV650" s="145"/>
      <c r="AW650" s="145"/>
      <c r="AY650" s="5">
        <v>628</v>
      </c>
      <c r="AZ650" s="413" t="s">
        <v>718</v>
      </c>
      <c r="BA650" s="145"/>
      <c r="BB650" s="146"/>
      <c r="BC650" s="145"/>
      <c r="BD650" s="145"/>
      <c r="BF650" s="5">
        <v>628</v>
      </c>
      <c r="BG650" s="413" t="s">
        <v>718</v>
      </c>
      <c r="BH650" s="145"/>
      <c r="BI650" s="146"/>
      <c r="BJ650" s="145"/>
      <c r="BK650" s="145"/>
      <c r="BM650" s="5">
        <v>628</v>
      </c>
      <c r="BN650" s="413" t="s">
        <v>718</v>
      </c>
      <c r="BO650" s="145"/>
      <c r="BP650" s="146"/>
      <c r="BQ650" s="145"/>
      <c r="BR650" s="145"/>
      <c r="BS650" s="5"/>
      <c r="BT650" s="5">
        <v>628</v>
      </c>
      <c r="BU650" s="413" t="s">
        <v>718</v>
      </c>
      <c r="BV650" s="145"/>
      <c r="BW650" s="146"/>
      <c r="BX650" s="145"/>
      <c r="BY650" s="145"/>
      <c r="BZ650" s="5"/>
      <c r="CA650" s="5">
        <v>628</v>
      </c>
      <c r="CB650" s="413" t="s">
        <v>718</v>
      </c>
      <c r="CC650" s="145"/>
      <c r="CD650" s="146"/>
      <c r="CE650" s="145"/>
      <c r="CF650" s="145"/>
      <c r="CG650" s="5"/>
      <c r="CH650" s="5"/>
      <c r="CI650" s="5"/>
    </row>
    <row r="651" spans="13:87" x14ac:dyDescent="0.2">
      <c r="M651" s="5">
        <v>629</v>
      </c>
      <c r="N651" s="413" t="str">
        <f t="shared" si="54"/>
        <v xml:space="preserve"> </v>
      </c>
      <c r="O651" s="414">
        <f t="shared" si="55"/>
        <v>0</v>
      </c>
      <c r="P651" s="414">
        <f t="shared" si="56"/>
        <v>0</v>
      </c>
      <c r="Q651" s="145">
        <f t="shared" si="59"/>
        <v>-8</v>
      </c>
      <c r="R651" s="414">
        <f t="shared" si="57"/>
        <v>0</v>
      </c>
      <c r="S651" s="414">
        <f t="shared" si="58"/>
        <v>0</v>
      </c>
      <c r="T651" s="19"/>
      <c r="U651" s="5"/>
      <c r="V651" s="5"/>
      <c r="W651" s="5">
        <v>629</v>
      </c>
      <c r="X651" s="144" t="s">
        <v>718</v>
      </c>
      <c r="Y651" s="145"/>
      <c r="Z651" s="146"/>
      <c r="AA651" s="145"/>
      <c r="AB651" s="145"/>
      <c r="AD651" s="5">
        <v>629</v>
      </c>
      <c r="AE651" s="413" t="s">
        <v>718</v>
      </c>
      <c r="AF651" s="145"/>
      <c r="AG651" s="146"/>
      <c r="AH651" s="145"/>
      <c r="AI651" s="145"/>
      <c r="AK651" s="5">
        <v>629</v>
      </c>
      <c r="AL651" s="413" t="s">
        <v>718</v>
      </c>
      <c r="AM651" s="145"/>
      <c r="AN651" s="146"/>
      <c r="AO651" s="145"/>
      <c r="AP651" s="145"/>
      <c r="AR651" s="5">
        <v>629</v>
      </c>
      <c r="AS651" s="413" t="s">
        <v>718</v>
      </c>
      <c r="AT651" s="145"/>
      <c r="AU651" s="146"/>
      <c r="AV651" s="145"/>
      <c r="AW651" s="145"/>
      <c r="AY651" s="5">
        <v>629</v>
      </c>
      <c r="AZ651" s="413" t="s">
        <v>718</v>
      </c>
      <c r="BA651" s="145"/>
      <c r="BB651" s="146"/>
      <c r="BC651" s="145"/>
      <c r="BD651" s="145"/>
      <c r="BF651" s="5">
        <v>629</v>
      </c>
      <c r="BG651" s="413" t="s">
        <v>718</v>
      </c>
      <c r="BH651" s="145"/>
      <c r="BI651" s="146"/>
      <c r="BJ651" s="145"/>
      <c r="BK651" s="145"/>
      <c r="BM651" s="5">
        <v>629</v>
      </c>
      <c r="BN651" s="413" t="s">
        <v>718</v>
      </c>
      <c r="BO651" s="145"/>
      <c r="BP651" s="146"/>
      <c r="BQ651" s="145"/>
      <c r="BR651" s="145"/>
      <c r="BS651" s="5"/>
      <c r="BT651" s="5">
        <v>629</v>
      </c>
      <c r="BU651" s="413" t="s">
        <v>718</v>
      </c>
      <c r="BV651" s="145"/>
      <c r="BW651" s="146"/>
      <c r="BX651" s="145"/>
      <c r="BY651" s="145"/>
      <c r="BZ651" s="5"/>
      <c r="CA651" s="5">
        <v>629</v>
      </c>
      <c r="CB651" s="413" t="s">
        <v>718</v>
      </c>
      <c r="CC651" s="145"/>
      <c r="CD651" s="146"/>
      <c r="CE651" s="145"/>
      <c r="CF651" s="145"/>
      <c r="CG651" s="5"/>
      <c r="CH651" s="5"/>
      <c r="CI651" s="5"/>
    </row>
    <row r="652" spans="13:87" x14ac:dyDescent="0.2">
      <c r="M652" s="5">
        <v>630</v>
      </c>
      <c r="N652" s="413" t="str">
        <f t="shared" si="54"/>
        <v xml:space="preserve"> </v>
      </c>
      <c r="O652" s="414">
        <f t="shared" si="55"/>
        <v>0</v>
      </c>
      <c r="P652" s="414">
        <f t="shared" si="56"/>
        <v>0</v>
      </c>
      <c r="Q652" s="145">
        <f t="shared" si="59"/>
        <v>-8</v>
      </c>
      <c r="R652" s="414">
        <f t="shared" si="57"/>
        <v>0</v>
      </c>
      <c r="S652" s="414">
        <f t="shared" si="58"/>
        <v>0</v>
      </c>
      <c r="T652" s="19"/>
      <c r="U652" s="5"/>
      <c r="V652" s="5"/>
      <c r="W652" s="5">
        <v>630</v>
      </c>
      <c r="X652" s="144" t="s">
        <v>718</v>
      </c>
      <c r="Y652" s="145"/>
      <c r="Z652" s="146"/>
      <c r="AA652" s="145"/>
      <c r="AB652" s="145"/>
      <c r="AD652" s="5">
        <v>630</v>
      </c>
      <c r="AE652" s="413" t="s">
        <v>718</v>
      </c>
      <c r="AF652" s="145"/>
      <c r="AG652" s="146"/>
      <c r="AH652" s="145"/>
      <c r="AI652" s="145"/>
      <c r="AK652" s="5">
        <v>630</v>
      </c>
      <c r="AL652" s="413" t="s">
        <v>718</v>
      </c>
      <c r="AM652" s="145"/>
      <c r="AN652" s="146"/>
      <c r="AO652" s="145"/>
      <c r="AP652" s="145"/>
      <c r="AR652" s="5">
        <v>630</v>
      </c>
      <c r="AS652" s="413" t="s">
        <v>718</v>
      </c>
      <c r="AT652" s="145"/>
      <c r="AU652" s="146"/>
      <c r="AV652" s="145"/>
      <c r="AW652" s="145"/>
      <c r="AY652" s="5">
        <v>630</v>
      </c>
      <c r="AZ652" s="413" t="s">
        <v>718</v>
      </c>
      <c r="BA652" s="145"/>
      <c r="BB652" s="146"/>
      <c r="BC652" s="145"/>
      <c r="BD652" s="145"/>
      <c r="BF652" s="5">
        <v>630</v>
      </c>
      <c r="BG652" s="413" t="s">
        <v>718</v>
      </c>
      <c r="BH652" s="145"/>
      <c r="BI652" s="146"/>
      <c r="BJ652" s="145"/>
      <c r="BK652" s="145"/>
      <c r="BM652" s="5">
        <v>630</v>
      </c>
      <c r="BN652" s="413" t="s">
        <v>718</v>
      </c>
      <c r="BO652" s="145"/>
      <c r="BP652" s="146"/>
      <c r="BQ652" s="145"/>
      <c r="BR652" s="145"/>
      <c r="BS652" s="5"/>
      <c r="BT652" s="5">
        <v>630</v>
      </c>
      <c r="BU652" s="413" t="s">
        <v>718</v>
      </c>
      <c r="BV652" s="145"/>
      <c r="BW652" s="146"/>
      <c r="BX652" s="145"/>
      <c r="BY652" s="145"/>
      <c r="BZ652" s="5"/>
      <c r="CA652" s="5">
        <v>630</v>
      </c>
      <c r="CB652" s="413" t="s">
        <v>718</v>
      </c>
      <c r="CC652" s="145"/>
      <c r="CD652" s="146"/>
      <c r="CE652" s="145"/>
      <c r="CF652" s="145"/>
      <c r="CG652" s="5"/>
      <c r="CH652" s="5"/>
      <c r="CI652" s="5"/>
    </row>
    <row r="653" spans="13:87" x14ac:dyDescent="0.2">
      <c r="M653" s="5">
        <v>631</v>
      </c>
      <c r="N653" s="413" t="str">
        <f t="shared" si="54"/>
        <v xml:space="preserve"> </v>
      </c>
      <c r="O653" s="414">
        <f t="shared" si="55"/>
        <v>0</v>
      </c>
      <c r="P653" s="414">
        <f t="shared" si="56"/>
        <v>0</v>
      </c>
      <c r="Q653" s="145">
        <f t="shared" si="59"/>
        <v>-8</v>
      </c>
      <c r="R653" s="414">
        <f t="shared" si="57"/>
        <v>0</v>
      </c>
      <c r="S653" s="414">
        <f t="shared" si="58"/>
        <v>0</v>
      </c>
      <c r="T653" s="19"/>
      <c r="U653" s="5"/>
      <c r="V653" s="5"/>
      <c r="W653" s="5">
        <v>631</v>
      </c>
      <c r="X653" s="144" t="s">
        <v>718</v>
      </c>
      <c r="Y653" s="145"/>
      <c r="Z653" s="146"/>
      <c r="AA653" s="145"/>
      <c r="AB653" s="145"/>
      <c r="AD653" s="5">
        <v>631</v>
      </c>
      <c r="AE653" s="413" t="s">
        <v>718</v>
      </c>
      <c r="AF653" s="145"/>
      <c r="AG653" s="146"/>
      <c r="AH653" s="145"/>
      <c r="AI653" s="145"/>
      <c r="AK653" s="5">
        <v>631</v>
      </c>
      <c r="AL653" s="413" t="s">
        <v>718</v>
      </c>
      <c r="AM653" s="145"/>
      <c r="AN653" s="146"/>
      <c r="AO653" s="145"/>
      <c r="AP653" s="145"/>
      <c r="AR653" s="5">
        <v>631</v>
      </c>
      <c r="AS653" s="413" t="s">
        <v>718</v>
      </c>
      <c r="AT653" s="145"/>
      <c r="AU653" s="146"/>
      <c r="AV653" s="145"/>
      <c r="AW653" s="145"/>
      <c r="AY653" s="5">
        <v>631</v>
      </c>
      <c r="AZ653" s="413" t="s">
        <v>718</v>
      </c>
      <c r="BA653" s="145"/>
      <c r="BB653" s="146"/>
      <c r="BC653" s="145"/>
      <c r="BD653" s="145"/>
      <c r="BF653" s="5">
        <v>631</v>
      </c>
      <c r="BG653" s="413" t="s">
        <v>718</v>
      </c>
      <c r="BH653" s="145"/>
      <c r="BI653" s="146"/>
      <c r="BJ653" s="145"/>
      <c r="BK653" s="145"/>
      <c r="BM653" s="5">
        <v>631</v>
      </c>
      <c r="BN653" s="413" t="s">
        <v>718</v>
      </c>
      <c r="BO653" s="145"/>
      <c r="BP653" s="146"/>
      <c r="BQ653" s="145"/>
      <c r="BR653" s="145"/>
      <c r="BS653" s="5"/>
      <c r="BT653" s="5">
        <v>631</v>
      </c>
      <c r="BU653" s="413" t="s">
        <v>718</v>
      </c>
      <c r="BV653" s="145"/>
      <c r="BW653" s="146"/>
      <c r="BX653" s="145"/>
      <c r="BY653" s="145"/>
      <c r="BZ653" s="5"/>
      <c r="CA653" s="5">
        <v>631</v>
      </c>
      <c r="CB653" s="413" t="s">
        <v>718</v>
      </c>
      <c r="CC653" s="145"/>
      <c r="CD653" s="146"/>
      <c r="CE653" s="145"/>
      <c r="CF653" s="145"/>
      <c r="CG653" s="5"/>
      <c r="CH653" s="5"/>
      <c r="CI653" s="5"/>
    </row>
    <row r="654" spans="13:87" x14ac:dyDescent="0.2">
      <c r="M654" s="5">
        <v>632</v>
      </c>
      <c r="N654" s="413" t="str">
        <f t="shared" si="54"/>
        <v xml:space="preserve"> </v>
      </c>
      <c r="O654" s="414">
        <f t="shared" si="55"/>
        <v>0</v>
      </c>
      <c r="P654" s="414">
        <f t="shared" si="56"/>
        <v>0</v>
      </c>
      <c r="Q654" s="145">
        <f t="shared" si="59"/>
        <v>-8</v>
      </c>
      <c r="R654" s="414">
        <f t="shared" si="57"/>
        <v>0</v>
      </c>
      <c r="S654" s="414">
        <f t="shared" si="58"/>
        <v>0</v>
      </c>
      <c r="T654" s="19"/>
      <c r="U654" s="5"/>
      <c r="V654" s="5"/>
      <c r="W654" s="5">
        <v>632</v>
      </c>
      <c r="X654" s="144" t="s">
        <v>718</v>
      </c>
      <c r="Y654" s="145"/>
      <c r="Z654" s="146"/>
      <c r="AA654" s="145"/>
      <c r="AB654" s="145"/>
      <c r="AD654" s="5">
        <v>632</v>
      </c>
      <c r="AE654" s="413" t="s">
        <v>718</v>
      </c>
      <c r="AF654" s="145"/>
      <c r="AG654" s="146"/>
      <c r="AH654" s="145"/>
      <c r="AI654" s="145"/>
      <c r="AK654" s="5">
        <v>632</v>
      </c>
      <c r="AL654" s="413" t="s">
        <v>718</v>
      </c>
      <c r="AM654" s="145"/>
      <c r="AN654" s="146"/>
      <c r="AO654" s="145"/>
      <c r="AP654" s="145"/>
      <c r="AR654" s="5">
        <v>632</v>
      </c>
      <c r="AS654" s="413" t="s">
        <v>718</v>
      </c>
      <c r="AT654" s="145"/>
      <c r="AU654" s="146"/>
      <c r="AV654" s="145"/>
      <c r="AW654" s="145"/>
      <c r="AY654" s="5">
        <v>632</v>
      </c>
      <c r="AZ654" s="413" t="s">
        <v>718</v>
      </c>
      <c r="BA654" s="145"/>
      <c r="BB654" s="146"/>
      <c r="BC654" s="145"/>
      <c r="BD654" s="145"/>
      <c r="BF654" s="5">
        <v>632</v>
      </c>
      <c r="BG654" s="413" t="s">
        <v>718</v>
      </c>
      <c r="BH654" s="145"/>
      <c r="BI654" s="146"/>
      <c r="BJ654" s="145"/>
      <c r="BK654" s="145"/>
      <c r="BM654" s="5">
        <v>632</v>
      </c>
      <c r="BN654" s="413" t="s">
        <v>718</v>
      </c>
      <c r="BO654" s="145"/>
      <c r="BP654" s="146"/>
      <c r="BQ654" s="145"/>
      <c r="BR654" s="145"/>
      <c r="BS654" s="5"/>
      <c r="BT654" s="5">
        <v>632</v>
      </c>
      <c r="BU654" s="413" t="s">
        <v>718</v>
      </c>
      <c r="BV654" s="145"/>
      <c r="BW654" s="146"/>
      <c r="BX654" s="145"/>
      <c r="BY654" s="145"/>
      <c r="BZ654" s="5"/>
      <c r="CA654" s="5">
        <v>632</v>
      </c>
      <c r="CB654" s="413" t="s">
        <v>718</v>
      </c>
      <c r="CC654" s="145"/>
      <c r="CD654" s="146"/>
      <c r="CE654" s="145"/>
      <c r="CF654" s="145"/>
      <c r="CG654" s="5"/>
      <c r="CH654" s="5"/>
      <c r="CI654" s="5"/>
    </row>
    <row r="655" spans="13:87" x14ac:dyDescent="0.2">
      <c r="M655" s="5">
        <v>633</v>
      </c>
      <c r="N655" s="413" t="str">
        <f t="shared" si="54"/>
        <v xml:space="preserve"> </v>
      </c>
      <c r="O655" s="414">
        <f t="shared" si="55"/>
        <v>0</v>
      </c>
      <c r="P655" s="414">
        <f t="shared" si="56"/>
        <v>0</v>
      </c>
      <c r="Q655" s="145">
        <f t="shared" si="59"/>
        <v>-8</v>
      </c>
      <c r="R655" s="414">
        <f t="shared" si="57"/>
        <v>0</v>
      </c>
      <c r="S655" s="414">
        <f t="shared" si="58"/>
        <v>0</v>
      </c>
      <c r="T655" s="19"/>
      <c r="U655" s="5"/>
      <c r="V655" s="5"/>
      <c r="W655" s="5">
        <v>633</v>
      </c>
      <c r="X655" s="144" t="s">
        <v>718</v>
      </c>
      <c r="Y655" s="145"/>
      <c r="Z655" s="146"/>
      <c r="AA655" s="145"/>
      <c r="AB655" s="145"/>
      <c r="AD655" s="5">
        <v>633</v>
      </c>
      <c r="AE655" s="413" t="s">
        <v>718</v>
      </c>
      <c r="AF655" s="145"/>
      <c r="AG655" s="146"/>
      <c r="AH655" s="145"/>
      <c r="AI655" s="145"/>
      <c r="AK655" s="5">
        <v>633</v>
      </c>
      <c r="AL655" s="413" t="s">
        <v>718</v>
      </c>
      <c r="AM655" s="145"/>
      <c r="AN655" s="146"/>
      <c r="AO655" s="145"/>
      <c r="AP655" s="145"/>
      <c r="AR655" s="5">
        <v>633</v>
      </c>
      <c r="AS655" s="413" t="s">
        <v>718</v>
      </c>
      <c r="AT655" s="145"/>
      <c r="AU655" s="146"/>
      <c r="AV655" s="145"/>
      <c r="AW655" s="145"/>
      <c r="AY655" s="5">
        <v>633</v>
      </c>
      <c r="AZ655" s="413" t="s">
        <v>718</v>
      </c>
      <c r="BA655" s="145"/>
      <c r="BB655" s="146"/>
      <c r="BC655" s="145"/>
      <c r="BD655" s="145"/>
      <c r="BF655" s="5">
        <v>633</v>
      </c>
      <c r="BG655" s="413" t="s">
        <v>718</v>
      </c>
      <c r="BH655" s="145"/>
      <c r="BI655" s="146"/>
      <c r="BJ655" s="145"/>
      <c r="BK655" s="145"/>
      <c r="BM655" s="5">
        <v>633</v>
      </c>
      <c r="BN655" s="413" t="s">
        <v>718</v>
      </c>
      <c r="BO655" s="145"/>
      <c r="BP655" s="146"/>
      <c r="BQ655" s="145"/>
      <c r="BR655" s="145"/>
      <c r="BS655" s="5"/>
      <c r="BT655" s="5">
        <v>633</v>
      </c>
      <c r="BU655" s="413" t="s">
        <v>718</v>
      </c>
      <c r="BV655" s="145"/>
      <c r="BW655" s="146"/>
      <c r="BX655" s="145"/>
      <c r="BY655" s="145"/>
      <c r="BZ655" s="5"/>
      <c r="CA655" s="5">
        <v>633</v>
      </c>
      <c r="CB655" s="413" t="s">
        <v>718</v>
      </c>
      <c r="CC655" s="145"/>
      <c r="CD655" s="146"/>
      <c r="CE655" s="145"/>
      <c r="CF655" s="145"/>
      <c r="CG655" s="5"/>
      <c r="CH655" s="5"/>
      <c r="CI655" s="5"/>
    </row>
    <row r="656" spans="13:87" x14ac:dyDescent="0.2">
      <c r="M656" s="5">
        <v>634</v>
      </c>
      <c r="N656" s="413" t="str">
        <f t="shared" si="54"/>
        <v xml:space="preserve"> </v>
      </c>
      <c r="O656" s="414">
        <f t="shared" si="55"/>
        <v>0</v>
      </c>
      <c r="P656" s="414">
        <f t="shared" si="56"/>
        <v>0</v>
      </c>
      <c r="Q656" s="145">
        <f t="shared" si="59"/>
        <v>-8</v>
      </c>
      <c r="R656" s="414">
        <f t="shared" si="57"/>
        <v>0</v>
      </c>
      <c r="S656" s="414">
        <f t="shared" si="58"/>
        <v>0</v>
      </c>
      <c r="T656" s="19"/>
      <c r="U656" s="5"/>
      <c r="V656" s="5"/>
      <c r="W656" s="5">
        <v>634</v>
      </c>
      <c r="X656" s="144" t="s">
        <v>718</v>
      </c>
      <c r="Y656" s="145"/>
      <c r="Z656" s="146"/>
      <c r="AA656" s="145"/>
      <c r="AB656" s="145"/>
      <c r="AD656" s="5">
        <v>634</v>
      </c>
      <c r="AE656" s="413" t="s">
        <v>718</v>
      </c>
      <c r="AF656" s="145"/>
      <c r="AG656" s="146"/>
      <c r="AH656" s="145"/>
      <c r="AI656" s="145"/>
      <c r="AK656" s="5">
        <v>634</v>
      </c>
      <c r="AL656" s="413" t="s">
        <v>718</v>
      </c>
      <c r="AM656" s="145"/>
      <c r="AN656" s="146"/>
      <c r="AO656" s="145"/>
      <c r="AP656" s="145"/>
      <c r="AR656" s="5">
        <v>634</v>
      </c>
      <c r="AS656" s="413" t="s">
        <v>718</v>
      </c>
      <c r="AT656" s="145"/>
      <c r="AU656" s="146"/>
      <c r="AV656" s="145"/>
      <c r="AW656" s="145"/>
      <c r="AY656" s="5">
        <v>634</v>
      </c>
      <c r="AZ656" s="413" t="s">
        <v>718</v>
      </c>
      <c r="BA656" s="145"/>
      <c r="BB656" s="146"/>
      <c r="BC656" s="145"/>
      <c r="BD656" s="145"/>
      <c r="BF656" s="5">
        <v>634</v>
      </c>
      <c r="BG656" s="413" t="s">
        <v>718</v>
      </c>
      <c r="BH656" s="145"/>
      <c r="BI656" s="146"/>
      <c r="BJ656" s="145"/>
      <c r="BK656" s="145"/>
      <c r="BM656" s="5">
        <v>634</v>
      </c>
      <c r="BN656" s="413" t="s">
        <v>718</v>
      </c>
      <c r="BO656" s="145"/>
      <c r="BP656" s="146"/>
      <c r="BQ656" s="145"/>
      <c r="BR656" s="145"/>
      <c r="BS656" s="5"/>
      <c r="BT656" s="5">
        <v>634</v>
      </c>
      <c r="BU656" s="413" t="s">
        <v>718</v>
      </c>
      <c r="BV656" s="145"/>
      <c r="BW656" s="146"/>
      <c r="BX656" s="145"/>
      <c r="BY656" s="145"/>
      <c r="BZ656" s="5"/>
      <c r="CA656" s="5">
        <v>634</v>
      </c>
      <c r="CB656" s="413" t="s">
        <v>718</v>
      </c>
      <c r="CC656" s="145"/>
      <c r="CD656" s="146"/>
      <c r="CE656" s="145"/>
      <c r="CF656" s="145"/>
      <c r="CG656" s="5"/>
      <c r="CH656" s="5"/>
      <c r="CI656" s="5"/>
    </row>
    <row r="657" spans="13:87" x14ac:dyDescent="0.2">
      <c r="M657" s="5">
        <v>635</v>
      </c>
      <c r="N657" s="413" t="str">
        <f t="shared" si="54"/>
        <v xml:space="preserve"> </v>
      </c>
      <c r="O657" s="414">
        <f t="shared" si="55"/>
        <v>0</v>
      </c>
      <c r="P657" s="414">
        <f t="shared" si="56"/>
        <v>0</v>
      </c>
      <c r="Q657" s="145">
        <f t="shared" si="59"/>
        <v>-8</v>
      </c>
      <c r="R657" s="414">
        <f t="shared" si="57"/>
        <v>0</v>
      </c>
      <c r="S657" s="414">
        <f t="shared" si="58"/>
        <v>0</v>
      </c>
      <c r="T657" s="19"/>
      <c r="U657" s="5"/>
      <c r="V657" s="5"/>
      <c r="W657" s="5">
        <v>635</v>
      </c>
      <c r="X657" s="144" t="s">
        <v>718</v>
      </c>
      <c r="Y657" s="145"/>
      <c r="Z657" s="146"/>
      <c r="AA657" s="145"/>
      <c r="AB657" s="145"/>
      <c r="AD657" s="5">
        <v>635</v>
      </c>
      <c r="AE657" s="413" t="s">
        <v>718</v>
      </c>
      <c r="AF657" s="145"/>
      <c r="AG657" s="146"/>
      <c r="AH657" s="145"/>
      <c r="AI657" s="145"/>
      <c r="AK657" s="5">
        <v>635</v>
      </c>
      <c r="AL657" s="413" t="s">
        <v>718</v>
      </c>
      <c r="AM657" s="145"/>
      <c r="AN657" s="146"/>
      <c r="AO657" s="145"/>
      <c r="AP657" s="145"/>
      <c r="AR657" s="5">
        <v>635</v>
      </c>
      <c r="AS657" s="413" t="s">
        <v>718</v>
      </c>
      <c r="AT657" s="145"/>
      <c r="AU657" s="146"/>
      <c r="AV657" s="145"/>
      <c r="AW657" s="145"/>
      <c r="AY657" s="5">
        <v>635</v>
      </c>
      <c r="AZ657" s="413" t="s">
        <v>718</v>
      </c>
      <c r="BA657" s="145"/>
      <c r="BB657" s="146"/>
      <c r="BC657" s="145"/>
      <c r="BD657" s="145"/>
      <c r="BF657" s="5">
        <v>635</v>
      </c>
      <c r="BG657" s="413" t="s">
        <v>718</v>
      </c>
      <c r="BH657" s="145"/>
      <c r="BI657" s="146"/>
      <c r="BJ657" s="145"/>
      <c r="BK657" s="145"/>
      <c r="BM657" s="5">
        <v>635</v>
      </c>
      <c r="BN657" s="413" t="s">
        <v>718</v>
      </c>
      <c r="BO657" s="145"/>
      <c r="BP657" s="146"/>
      <c r="BQ657" s="145"/>
      <c r="BR657" s="145"/>
      <c r="BS657" s="5"/>
      <c r="BT657" s="5">
        <v>635</v>
      </c>
      <c r="BU657" s="413" t="s">
        <v>718</v>
      </c>
      <c r="BV657" s="145"/>
      <c r="BW657" s="146"/>
      <c r="BX657" s="145"/>
      <c r="BY657" s="145"/>
      <c r="BZ657" s="5"/>
      <c r="CA657" s="5">
        <v>635</v>
      </c>
      <c r="CB657" s="413" t="s">
        <v>718</v>
      </c>
      <c r="CC657" s="145"/>
      <c r="CD657" s="146"/>
      <c r="CE657" s="145"/>
      <c r="CF657" s="145"/>
      <c r="CG657" s="5"/>
      <c r="CH657" s="5"/>
      <c r="CI657" s="5"/>
    </row>
    <row r="658" spans="13:87" x14ac:dyDescent="0.2">
      <c r="M658" s="5">
        <v>636</v>
      </c>
      <c r="N658" s="413" t="str">
        <f t="shared" si="54"/>
        <v xml:space="preserve"> </v>
      </c>
      <c r="O658" s="414">
        <f t="shared" si="55"/>
        <v>0</v>
      </c>
      <c r="P658" s="414">
        <f t="shared" si="56"/>
        <v>0</v>
      </c>
      <c r="Q658" s="145">
        <f t="shared" si="59"/>
        <v>-8</v>
      </c>
      <c r="R658" s="414">
        <f t="shared" si="57"/>
        <v>0</v>
      </c>
      <c r="S658" s="414">
        <f t="shared" si="58"/>
        <v>0</v>
      </c>
      <c r="T658" s="19"/>
      <c r="U658" s="5"/>
      <c r="V658" s="5"/>
      <c r="W658" s="5">
        <v>636</v>
      </c>
      <c r="X658" s="144" t="s">
        <v>718</v>
      </c>
      <c r="Y658" s="145"/>
      <c r="Z658" s="146"/>
      <c r="AA658" s="145"/>
      <c r="AB658" s="145"/>
      <c r="AD658" s="5">
        <v>636</v>
      </c>
      <c r="AE658" s="413" t="s">
        <v>718</v>
      </c>
      <c r="AF658" s="145"/>
      <c r="AG658" s="146"/>
      <c r="AH658" s="145"/>
      <c r="AI658" s="145"/>
      <c r="AK658" s="5">
        <v>636</v>
      </c>
      <c r="AL658" s="413" t="s">
        <v>718</v>
      </c>
      <c r="AM658" s="145"/>
      <c r="AN658" s="146"/>
      <c r="AO658" s="145"/>
      <c r="AP658" s="145"/>
      <c r="AR658" s="5">
        <v>636</v>
      </c>
      <c r="AS658" s="413" t="s">
        <v>718</v>
      </c>
      <c r="AT658" s="145"/>
      <c r="AU658" s="146"/>
      <c r="AV658" s="145"/>
      <c r="AW658" s="145"/>
      <c r="AY658" s="5">
        <v>636</v>
      </c>
      <c r="AZ658" s="413" t="s">
        <v>718</v>
      </c>
      <c r="BA658" s="145"/>
      <c r="BB658" s="146"/>
      <c r="BC658" s="145"/>
      <c r="BD658" s="145"/>
      <c r="BF658" s="5">
        <v>636</v>
      </c>
      <c r="BG658" s="413" t="s">
        <v>718</v>
      </c>
      <c r="BH658" s="145"/>
      <c r="BI658" s="146"/>
      <c r="BJ658" s="145"/>
      <c r="BK658" s="145"/>
      <c r="BM658" s="5">
        <v>636</v>
      </c>
      <c r="BN658" s="413" t="s">
        <v>718</v>
      </c>
      <c r="BO658" s="145"/>
      <c r="BP658" s="146"/>
      <c r="BQ658" s="145"/>
      <c r="BR658" s="145"/>
      <c r="BS658" s="5"/>
      <c r="BT658" s="5">
        <v>636</v>
      </c>
      <c r="BU658" s="413" t="s">
        <v>718</v>
      </c>
      <c r="BV658" s="145"/>
      <c r="BW658" s="146"/>
      <c r="BX658" s="145"/>
      <c r="BY658" s="145"/>
      <c r="BZ658" s="5"/>
      <c r="CA658" s="5">
        <v>636</v>
      </c>
      <c r="CB658" s="413" t="s">
        <v>718</v>
      </c>
      <c r="CC658" s="145"/>
      <c r="CD658" s="146"/>
      <c r="CE658" s="145"/>
      <c r="CF658" s="145"/>
      <c r="CG658" s="5"/>
      <c r="CH658" s="5"/>
      <c r="CI658" s="5"/>
    </row>
    <row r="659" spans="13:87" x14ac:dyDescent="0.2">
      <c r="M659" s="5">
        <v>637</v>
      </c>
      <c r="N659" s="413" t="str">
        <f t="shared" si="54"/>
        <v xml:space="preserve"> </v>
      </c>
      <c r="O659" s="414">
        <f t="shared" si="55"/>
        <v>0</v>
      </c>
      <c r="P659" s="414">
        <f t="shared" si="56"/>
        <v>0</v>
      </c>
      <c r="Q659" s="145">
        <f t="shared" si="59"/>
        <v>-8</v>
      </c>
      <c r="R659" s="414">
        <f t="shared" si="57"/>
        <v>0</v>
      </c>
      <c r="S659" s="414">
        <f t="shared" si="58"/>
        <v>0</v>
      </c>
      <c r="T659" s="19"/>
      <c r="U659" s="5"/>
      <c r="V659" s="5"/>
      <c r="W659" s="5">
        <v>637</v>
      </c>
      <c r="X659" s="144" t="s">
        <v>718</v>
      </c>
      <c r="Y659" s="145"/>
      <c r="Z659" s="146"/>
      <c r="AA659" s="145"/>
      <c r="AB659" s="145"/>
      <c r="AD659" s="5">
        <v>637</v>
      </c>
      <c r="AE659" s="413" t="s">
        <v>718</v>
      </c>
      <c r="AF659" s="145"/>
      <c r="AG659" s="146"/>
      <c r="AH659" s="145"/>
      <c r="AI659" s="145"/>
      <c r="AK659" s="5">
        <v>637</v>
      </c>
      <c r="AL659" s="413" t="s">
        <v>718</v>
      </c>
      <c r="AM659" s="145"/>
      <c r="AN659" s="146"/>
      <c r="AO659" s="145"/>
      <c r="AP659" s="145"/>
      <c r="AR659" s="5">
        <v>637</v>
      </c>
      <c r="AS659" s="413" t="s">
        <v>718</v>
      </c>
      <c r="AT659" s="145"/>
      <c r="AU659" s="146"/>
      <c r="AV659" s="145"/>
      <c r="AW659" s="145"/>
      <c r="AY659" s="5">
        <v>637</v>
      </c>
      <c r="AZ659" s="413" t="s">
        <v>718</v>
      </c>
      <c r="BA659" s="145"/>
      <c r="BB659" s="146"/>
      <c r="BC659" s="145"/>
      <c r="BD659" s="145"/>
      <c r="BF659" s="5">
        <v>637</v>
      </c>
      <c r="BG659" s="413" t="s">
        <v>718</v>
      </c>
      <c r="BH659" s="145"/>
      <c r="BI659" s="146"/>
      <c r="BJ659" s="145"/>
      <c r="BK659" s="145"/>
      <c r="BM659" s="5">
        <v>637</v>
      </c>
      <c r="BN659" s="413" t="s">
        <v>718</v>
      </c>
      <c r="BO659" s="145"/>
      <c r="BP659" s="146"/>
      <c r="BQ659" s="145"/>
      <c r="BR659" s="145"/>
      <c r="BS659" s="5"/>
      <c r="BT659" s="5">
        <v>637</v>
      </c>
      <c r="BU659" s="413" t="s">
        <v>718</v>
      </c>
      <c r="BV659" s="145"/>
      <c r="BW659" s="146"/>
      <c r="BX659" s="145"/>
      <c r="BY659" s="145"/>
      <c r="BZ659" s="5"/>
      <c r="CA659" s="5">
        <v>637</v>
      </c>
      <c r="CB659" s="413" t="s">
        <v>718</v>
      </c>
      <c r="CC659" s="145"/>
      <c r="CD659" s="146"/>
      <c r="CE659" s="145"/>
      <c r="CF659" s="145"/>
      <c r="CG659" s="5"/>
      <c r="CH659" s="5"/>
      <c r="CI659" s="5"/>
    </row>
    <row r="660" spans="13:87" x14ac:dyDescent="0.2">
      <c r="M660" s="5">
        <v>638</v>
      </c>
      <c r="N660" s="413" t="str">
        <f t="shared" si="54"/>
        <v xml:space="preserve"> </v>
      </c>
      <c r="O660" s="414">
        <f t="shared" si="55"/>
        <v>0</v>
      </c>
      <c r="P660" s="414">
        <f t="shared" si="56"/>
        <v>0</v>
      </c>
      <c r="Q660" s="145">
        <f t="shared" si="59"/>
        <v>-8</v>
      </c>
      <c r="R660" s="414">
        <f t="shared" si="57"/>
        <v>0</v>
      </c>
      <c r="S660" s="414">
        <f t="shared" si="58"/>
        <v>0</v>
      </c>
      <c r="T660" s="19"/>
      <c r="U660" s="5"/>
      <c r="V660" s="5"/>
      <c r="W660" s="5">
        <v>638</v>
      </c>
      <c r="X660" s="144" t="s">
        <v>718</v>
      </c>
      <c r="Y660" s="145"/>
      <c r="Z660" s="146"/>
      <c r="AA660" s="145"/>
      <c r="AB660" s="145"/>
      <c r="AD660" s="5">
        <v>638</v>
      </c>
      <c r="AE660" s="413" t="s">
        <v>718</v>
      </c>
      <c r="AF660" s="145"/>
      <c r="AG660" s="146"/>
      <c r="AH660" s="145"/>
      <c r="AI660" s="145"/>
      <c r="AK660" s="5">
        <v>638</v>
      </c>
      <c r="AL660" s="413" t="s">
        <v>718</v>
      </c>
      <c r="AM660" s="145"/>
      <c r="AN660" s="146"/>
      <c r="AO660" s="145"/>
      <c r="AP660" s="145"/>
      <c r="AR660" s="5">
        <v>638</v>
      </c>
      <c r="AS660" s="413" t="s">
        <v>718</v>
      </c>
      <c r="AT660" s="145"/>
      <c r="AU660" s="146"/>
      <c r="AV660" s="145"/>
      <c r="AW660" s="145"/>
      <c r="AY660" s="5">
        <v>638</v>
      </c>
      <c r="AZ660" s="413" t="s">
        <v>718</v>
      </c>
      <c r="BA660" s="145"/>
      <c r="BB660" s="146"/>
      <c r="BC660" s="145"/>
      <c r="BD660" s="145"/>
      <c r="BF660" s="5">
        <v>638</v>
      </c>
      <c r="BG660" s="413" t="s">
        <v>718</v>
      </c>
      <c r="BH660" s="145"/>
      <c r="BI660" s="146"/>
      <c r="BJ660" s="145"/>
      <c r="BK660" s="145"/>
      <c r="BM660" s="5">
        <v>638</v>
      </c>
      <c r="BN660" s="413" t="s">
        <v>718</v>
      </c>
      <c r="BO660" s="145"/>
      <c r="BP660" s="146"/>
      <c r="BQ660" s="145"/>
      <c r="BR660" s="145"/>
      <c r="BS660" s="5"/>
      <c r="BT660" s="5">
        <v>638</v>
      </c>
      <c r="BU660" s="413" t="s">
        <v>718</v>
      </c>
      <c r="BV660" s="145"/>
      <c r="BW660" s="146"/>
      <c r="BX660" s="145"/>
      <c r="BY660" s="145"/>
      <c r="BZ660" s="5"/>
      <c r="CA660" s="5">
        <v>638</v>
      </c>
      <c r="CB660" s="413" t="s">
        <v>718</v>
      </c>
      <c r="CC660" s="145"/>
      <c r="CD660" s="146"/>
      <c r="CE660" s="145"/>
      <c r="CF660" s="145"/>
      <c r="CG660" s="5"/>
      <c r="CH660" s="5"/>
      <c r="CI660" s="5"/>
    </row>
    <row r="661" spans="13:87" x14ac:dyDescent="0.2">
      <c r="M661" s="5">
        <v>639</v>
      </c>
      <c r="N661" s="413" t="str">
        <f t="shared" si="54"/>
        <v xml:space="preserve"> </v>
      </c>
      <c r="O661" s="414">
        <f t="shared" si="55"/>
        <v>0</v>
      </c>
      <c r="P661" s="414">
        <f t="shared" si="56"/>
        <v>0</v>
      </c>
      <c r="Q661" s="145">
        <f t="shared" si="59"/>
        <v>-8</v>
      </c>
      <c r="R661" s="414">
        <f t="shared" si="57"/>
        <v>0</v>
      </c>
      <c r="S661" s="414">
        <f t="shared" si="58"/>
        <v>0</v>
      </c>
      <c r="T661" s="19"/>
      <c r="U661" s="5"/>
      <c r="V661" s="5"/>
      <c r="W661" s="5">
        <v>639</v>
      </c>
      <c r="X661" s="144" t="s">
        <v>718</v>
      </c>
      <c r="Y661" s="145"/>
      <c r="Z661" s="146"/>
      <c r="AA661" s="145"/>
      <c r="AB661" s="145"/>
      <c r="AD661" s="5">
        <v>639</v>
      </c>
      <c r="AE661" s="413" t="s">
        <v>718</v>
      </c>
      <c r="AF661" s="145"/>
      <c r="AG661" s="146"/>
      <c r="AH661" s="145"/>
      <c r="AI661" s="145"/>
      <c r="AK661" s="5">
        <v>639</v>
      </c>
      <c r="AL661" s="413" t="s">
        <v>718</v>
      </c>
      <c r="AM661" s="145"/>
      <c r="AN661" s="146"/>
      <c r="AO661" s="145"/>
      <c r="AP661" s="145"/>
      <c r="AR661" s="5">
        <v>639</v>
      </c>
      <c r="AS661" s="413" t="s">
        <v>718</v>
      </c>
      <c r="AT661" s="145"/>
      <c r="AU661" s="146"/>
      <c r="AV661" s="145"/>
      <c r="AW661" s="145"/>
      <c r="AY661" s="5">
        <v>639</v>
      </c>
      <c r="AZ661" s="413" t="s">
        <v>718</v>
      </c>
      <c r="BA661" s="145"/>
      <c r="BB661" s="146"/>
      <c r="BC661" s="145"/>
      <c r="BD661" s="145"/>
      <c r="BF661" s="5">
        <v>639</v>
      </c>
      <c r="BG661" s="413" t="s">
        <v>718</v>
      </c>
      <c r="BH661" s="145"/>
      <c r="BI661" s="146"/>
      <c r="BJ661" s="145"/>
      <c r="BK661" s="145"/>
      <c r="BM661" s="5">
        <v>639</v>
      </c>
      <c r="BN661" s="413" t="s">
        <v>718</v>
      </c>
      <c r="BO661" s="145"/>
      <c r="BP661" s="146"/>
      <c r="BQ661" s="145"/>
      <c r="BR661" s="145"/>
      <c r="BS661" s="5"/>
      <c r="BT661" s="5">
        <v>639</v>
      </c>
      <c r="BU661" s="413" t="s">
        <v>718</v>
      </c>
      <c r="BV661" s="145"/>
      <c r="BW661" s="146"/>
      <c r="BX661" s="145"/>
      <c r="BY661" s="145"/>
      <c r="BZ661" s="5"/>
      <c r="CA661" s="5">
        <v>639</v>
      </c>
      <c r="CB661" s="413" t="s">
        <v>718</v>
      </c>
      <c r="CC661" s="145"/>
      <c r="CD661" s="146"/>
      <c r="CE661" s="145"/>
      <c r="CF661" s="145"/>
      <c r="CG661" s="5"/>
      <c r="CH661" s="5"/>
      <c r="CI661" s="5"/>
    </row>
    <row r="662" spans="13:87" x14ac:dyDescent="0.2">
      <c r="M662" s="5">
        <v>640</v>
      </c>
      <c r="N662" s="413" t="str">
        <f t="shared" si="54"/>
        <v xml:space="preserve"> </v>
      </c>
      <c r="O662" s="414">
        <f t="shared" si="55"/>
        <v>0</v>
      </c>
      <c r="P662" s="414">
        <f t="shared" si="56"/>
        <v>0</v>
      </c>
      <c r="Q662" s="145">
        <f t="shared" si="59"/>
        <v>-8</v>
      </c>
      <c r="R662" s="414">
        <f t="shared" si="57"/>
        <v>0</v>
      </c>
      <c r="S662" s="414">
        <f t="shared" si="58"/>
        <v>0</v>
      </c>
      <c r="T662" s="19"/>
      <c r="U662" s="5"/>
      <c r="V662" s="5"/>
      <c r="W662" s="5">
        <v>640</v>
      </c>
      <c r="X662" s="144" t="s">
        <v>718</v>
      </c>
      <c r="Y662" s="145"/>
      <c r="Z662" s="146"/>
      <c r="AA662" s="145"/>
      <c r="AB662" s="145"/>
      <c r="AD662" s="5">
        <v>640</v>
      </c>
      <c r="AE662" s="413" t="s">
        <v>718</v>
      </c>
      <c r="AF662" s="145"/>
      <c r="AG662" s="146"/>
      <c r="AH662" s="145"/>
      <c r="AI662" s="145"/>
      <c r="AK662" s="5">
        <v>640</v>
      </c>
      <c r="AL662" s="413" t="s">
        <v>718</v>
      </c>
      <c r="AM662" s="145"/>
      <c r="AN662" s="146"/>
      <c r="AO662" s="145"/>
      <c r="AP662" s="145"/>
      <c r="AR662" s="5">
        <v>640</v>
      </c>
      <c r="AS662" s="413" t="s">
        <v>718</v>
      </c>
      <c r="AT662" s="145"/>
      <c r="AU662" s="146"/>
      <c r="AV662" s="145"/>
      <c r="AW662" s="145"/>
      <c r="AY662" s="5">
        <v>640</v>
      </c>
      <c r="AZ662" s="413" t="s">
        <v>718</v>
      </c>
      <c r="BA662" s="145"/>
      <c r="BB662" s="146"/>
      <c r="BC662" s="145"/>
      <c r="BD662" s="145"/>
      <c r="BF662" s="5">
        <v>640</v>
      </c>
      <c r="BG662" s="413" t="s">
        <v>718</v>
      </c>
      <c r="BH662" s="145"/>
      <c r="BI662" s="146"/>
      <c r="BJ662" s="145"/>
      <c r="BK662" s="145"/>
      <c r="BM662" s="5">
        <v>640</v>
      </c>
      <c r="BN662" s="413" t="s">
        <v>718</v>
      </c>
      <c r="BO662" s="145"/>
      <c r="BP662" s="146"/>
      <c r="BQ662" s="145"/>
      <c r="BR662" s="145"/>
      <c r="BS662" s="5"/>
      <c r="BT662" s="5">
        <v>640</v>
      </c>
      <c r="BU662" s="413" t="s">
        <v>718</v>
      </c>
      <c r="BV662" s="145"/>
      <c r="BW662" s="146"/>
      <c r="BX662" s="145"/>
      <c r="BY662" s="145"/>
      <c r="BZ662" s="5"/>
      <c r="CA662" s="5">
        <v>640</v>
      </c>
      <c r="CB662" s="413" t="s">
        <v>718</v>
      </c>
      <c r="CC662" s="145"/>
      <c r="CD662" s="146"/>
      <c r="CE662" s="145"/>
      <c r="CF662" s="145"/>
      <c r="CG662" s="5"/>
      <c r="CH662" s="5"/>
      <c r="CI662" s="5"/>
    </row>
    <row r="663" spans="13:87" x14ac:dyDescent="0.2">
      <c r="M663" s="5">
        <v>641</v>
      </c>
      <c r="N663" s="413" t="str">
        <f t="shared" ref="N663:N721" si="60">INDEX(X$23:CG$723,$M663,(Bundesland-1)*7+1)</f>
        <v xml:space="preserve"> </v>
      </c>
      <c r="O663" s="414">
        <f t="shared" ref="O663:O721" si="61">INDEX(Y$23:CH$723,$M663,(Bundesland-1)*7+1)</f>
        <v>0</v>
      </c>
      <c r="P663" s="414">
        <f t="shared" ref="P663:P721" si="62">INDEX(Z$23:CI$723,$M663,(Bundesland-1)*7+1)</f>
        <v>0</v>
      </c>
      <c r="Q663" s="145">
        <f t="shared" si="59"/>
        <v>-8</v>
      </c>
      <c r="R663" s="414">
        <f t="shared" ref="R663:R722" si="63">INDEX(AA$23:CK$723,$M663,(Bundesland-1)*7+1)</f>
        <v>0</v>
      </c>
      <c r="S663" s="414">
        <f t="shared" ref="S663:S722" si="64">INDEX(AB$23:CL$723,$M663,(Bundesland-1)*7+1)</f>
        <v>0</v>
      </c>
      <c r="T663" s="19"/>
      <c r="U663" s="5"/>
      <c r="V663" s="5"/>
      <c r="W663" s="5">
        <v>641</v>
      </c>
      <c r="X663" s="144" t="s">
        <v>718</v>
      </c>
      <c r="Y663" s="145"/>
      <c r="Z663" s="146"/>
      <c r="AA663" s="145"/>
      <c r="AB663" s="145"/>
      <c r="AD663" s="5">
        <v>641</v>
      </c>
      <c r="AE663" s="413" t="s">
        <v>718</v>
      </c>
      <c r="AF663" s="145"/>
      <c r="AG663" s="146"/>
      <c r="AH663" s="145"/>
      <c r="AI663" s="145"/>
      <c r="AK663" s="5">
        <v>641</v>
      </c>
      <c r="AL663" s="413" t="s">
        <v>718</v>
      </c>
      <c r="AM663" s="145"/>
      <c r="AN663" s="146"/>
      <c r="AO663" s="145"/>
      <c r="AP663" s="145"/>
      <c r="AR663" s="5">
        <v>641</v>
      </c>
      <c r="AS663" s="413" t="s">
        <v>718</v>
      </c>
      <c r="AT663" s="145"/>
      <c r="AU663" s="146"/>
      <c r="AV663" s="145"/>
      <c r="AW663" s="145"/>
      <c r="AY663" s="5">
        <v>641</v>
      </c>
      <c r="AZ663" s="413" t="s">
        <v>718</v>
      </c>
      <c r="BA663" s="145"/>
      <c r="BB663" s="146"/>
      <c r="BC663" s="145"/>
      <c r="BD663" s="145"/>
      <c r="BF663" s="5">
        <v>641</v>
      </c>
      <c r="BG663" s="413" t="s">
        <v>718</v>
      </c>
      <c r="BH663" s="145"/>
      <c r="BI663" s="146"/>
      <c r="BJ663" s="145"/>
      <c r="BK663" s="145"/>
      <c r="BM663" s="5">
        <v>641</v>
      </c>
      <c r="BN663" s="413" t="s">
        <v>718</v>
      </c>
      <c r="BO663" s="145"/>
      <c r="BP663" s="146"/>
      <c r="BQ663" s="145"/>
      <c r="BR663" s="145"/>
      <c r="BS663" s="5"/>
      <c r="BT663" s="5">
        <v>641</v>
      </c>
      <c r="BU663" s="413" t="s">
        <v>718</v>
      </c>
      <c r="BV663" s="145"/>
      <c r="BW663" s="146"/>
      <c r="BX663" s="145"/>
      <c r="BY663" s="145"/>
      <c r="BZ663" s="5"/>
      <c r="CA663" s="5">
        <v>641</v>
      </c>
      <c r="CB663" s="413" t="s">
        <v>718</v>
      </c>
      <c r="CC663" s="145"/>
      <c r="CD663" s="146"/>
      <c r="CE663" s="145"/>
      <c r="CF663" s="145"/>
      <c r="CG663" s="5"/>
      <c r="CH663" s="5"/>
      <c r="CI663" s="5"/>
    </row>
    <row r="664" spans="13:87" x14ac:dyDescent="0.2">
      <c r="M664" s="5">
        <v>642</v>
      </c>
      <c r="N664" s="413" t="str">
        <f t="shared" si="60"/>
        <v xml:space="preserve"> </v>
      </c>
      <c r="O664" s="414">
        <f t="shared" si="61"/>
        <v>0</v>
      </c>
      <c r="P664" s="414">
        <f t="shared" si="62"/>
        <v>0</v>
      </c>
      <c r="Q664" s="145">
        <f t="shared" ref="Q664:Q722" si="65">MIN(S664+Zuschlag_A,-8)</f>
        <v>-8</v>
      </c>
      <c r="R664" s="414">
        <f t="shared" si="63"/>
        <v>0</v>
      </c>
      <c r="S664" s="414">
        <f t="shared" si="64"/>
        <v>0</v>
      </c>
      <c r="T664" s="19"/>
      <c r="U664" s="5"/>
      <c r="V664" s="5"/>
      <c r="W664" s="5">
        <v>642</v>
      </c>
      <c r="X664" s="144" t="s">
        <v>718</v>
      </c>
      <c r="Y664" s="145"/>
      <c r="Z664" s="146"/>
      <c r="AA664" s="145"/>
      <c r="AB664" s="145"/>
      <c r="AD664" s="5">
        <v>642</v>
      </c>
      <c r="AE664" s="413" t="s">
        <v>718</v>
      </c>
      <c r="AF664" s="145"/>
      <c r="AG664" s="146"/>
      <c r="AH664" s="145"/>
      <c r="AI664" s="145"/>
      <c r="AK664" s="5">
        <v>642</v>
      </c>
      <c r="AL664" s="413" t="s">
        <v>718</v>
      </c>
      <c r="AM664" s="145"/>
      <c r="AN664" s="146"/>
      <c r="AO664" s="145"/>
      <c r="AP664" s="145"/>
      <c r="AR664" s="5">
        <v>642</v>
      </c>
      <c r="AS664" s="413" t="s">
        <v>718</v>
      </c>
      <c r="AT664" s="145"/>
      <c r="AU664" s="146"/>
      <c r="AV664" s="145"/>
      <c r="AW664" s="145"/>
      <c r="AY664" s="5">
        <v>642</v>
      </c>
      <c r="AZ664" s="413" t="s">
        <v>718</v>
      </c>
      <c r="BA664" s="145"/>
      <c r="BB664" s="146"/>
      <c r="BC664" s="145"/>
      <c r="BD664" s="145"/>
      <c r="BF664" s="5">
        <v>642</v>
      </c>
      <c r="BG664" s="413" t="s">
        <v>718</v>
      </c>
      <c r="BH664" s="145"/>
      <c r="BI664" s="146"/>
      <c r="BJ664" s="145"/>
      <c r="BK664" s="145"/>
      <c r="BM664" s="5">
        <v>642</v>
      </c>
      <c r="BN664" s="413" t="s">
        <v>718</v>
      </c>
      <c r="BO664" s="145"/>
      <c r="BP664" s="146"/>
      <c r="BQ664" s="145"/>
      <c r="BR664" s="145"/>
      <c r="BS664" s="5"/>
      <c r="BT664" s="5">
        <v>642</v>
      </c>
      <c r="BU664" s="413" t="s">
        <v>718</v>
      </c>
      <c r="BV664" s="145"/>
      <c r="BW664" s="146"/>
      <c r="BX664" s="145"/>
      <c r="BY664" s="145"/>
      <c r="BZ664" s="5"/>
      <c r="CA664" s="5">
        <v>642</v>
      </c>
      <c r="CB664" s="413" t="s">
        <v>718</v>
      </c>
      <c r="CC664" s="145"/>
      <c r="CD664" s="146"/>
      <c r="CE664" s="145"/>
      <c r="CF664" s="145"/>
      <c r="CG664" s="5"/>
      <c r="CH664" s="5"/>
      <c r="CI664" s="5"/>
    </row>
    <row r="665" spans="13:87" x14ac:dyDescent="0.2">
      <c r="M665" s="5">
        <v>643</v>
      </c>
      <c r="N665" s="413" t="str">
        <f t="shared" si="60"/>
        <v xml:space="preserve"> </v>
      </c>
      <c r="O665" s="414">
        <f t="shared" si="61"/>
        <v>0</v>
      </c>
      <c r="P665" s="414">
        <f t="shared" si="62"/>
        <v>0</v>
      </c>
      <c r="Q665" s="145">
        <f t="shared" si="65"/>
        <v>-8</v>
      </c>
      <c r="R665" s="414">
        <f t="shared" si="63"/>
        <v>0</v>
      </c>
      <c r="S665" s="414">
        <f t="shared" si="64"/>
        <v>0</v>
      </c>
      <c r="T665" s="19"/>
      <c r="U665" s="5"/>
      <c r="V665" s="5"/>
      <c r="W665" s="5">
        <v>643</v>
      </c>
      <c r="X665" s="144" t="s">
        <v>718</v>
      </c>
      <c r="Y665" s="145"/>
      <c r="Z665" s="146"/>
      <c r="AA665" s="145"/>
      <c r="AB665" s="145"/>
      <c r="AD665" s="5">
        <v>643</v>
      </c>
      <c r="AE665" s="413" t="s">
        <v>718</v>
      </c>
      <c r="AF665" s="145"/>
      <c r="AG665" s="146"/>
      <c r="AH665" s="145"/>
      <c r="AI665" s="145"/>
      <c r="AK665" s="5">
        <v>643</v>
      </c>
      <c r="AL665" s="413" t="s">
        <v>718</v>
      </c>
      <c r="AM665" s="145"/>
      <c r="AN665" s="146"/>
      <c r="AO665" s="145"/>
      <c r="AP665" s="145"/>
      <c r="AR665" s="5">
        <v>643</v>
      </c>
      <c r="AS665" s="413" t="s">
        <v>718</v>
      </c>
      <c r="AT665" s="145"/>
      <c r="AU665" s="146"/>
      <c r="AV665" s="145"/>
      <c r="AW665" s="145"/>
      <c r="AY665" s="5">
        <v>643</v>
      </c>
      <c r="AZ665" s="413" t="s">
        <v>718</v>
      </c>
      <c r="BA665" s="145"/>
      <c r="BB665" s="146"/>
      <c r="BC665" s="145"/>
      <c r="BD665" s="145"/>
      <c r="BF665" s="5">
        <v>643</v>
      </c>
      <c r="BG665" s="413" t="s">
        <v>718</v>
      </c>
      <c r="BH665" s="145"/>
      <c r="BI665" s="146"/>
      <c r="BJ665" s="145"/>
      <c r="BK665" s="145"/>
      <c r="BM665" s="5">
        <v>643</v>
      </c>
      <c r="BN665" s="413" t="s">
        <v>718</v>
      </c>
      <c r="BO665" s="145"/>
      <c r="BP665" s="146"/>
      <c r="BQ665" s="145"/>
      <c r="BR665" s="145"/>
      <c r="BS665" s="5"/>
      <c r="BT665" s="5">
        <v>643</v>
      </c>
      <c r="BU665" s="413" t="s">
        <v>718</v>
      </c>
      <c r="BV665" s="145"/>
      <c r="BW665" s="146"/>
      <c r="BX665" s="145"/>
      <c r="BY665" s="145"/>
      <c r="BZ665" s="5"/>
      <c r="CA665" s="5">
        <v>643</v>
      </c>
      <c r="CB665" s="413" t="s">
        <v>718</v>
      </c>
      <c r="CC665" s="145"/>
      <c r="CD665" s="146"/>
      <c r="CE665" s="145"/>
      <c r="CF665" s="145"/>
      <c r="CG665" s="5"/>
      <c r="CH665" s="5"/>
      <c r="CI665" s="5"/>
    </row>
    <row r="666" spans="13:87" x14ac:dyDescent="0.2">
      <c r="M666" s="5">
        <v>644</v>
      </c>
      <c r="N666" s="413" t="str">
        <f t="shared" si="60"/>
        <v xml:space="preserve"> </v>
      </c>
      <c r="O666" s="414">
        <f t="shared" si="61"/>
        <v>0</v>
      </c>
      <c r="P666" s="414">
        <f t="shared" si="62"/>
        <v>0</v>
      </c>
      <c r="Q666" s="145">
        <f t="shared" si="65"/>
        <v>-8</v>
      </c>
      <c r="R666" s="414">
        <f t="shared" si="63"/>
        <v>0</v>
      </c>
      <c r="S666" s="414">
        <f t="shared" si="64"/>
        <v>0</v>
      </c>
      <c r="T666" s="19"/>
      <c r="U666" s="5"/>
      <c r="V666" s="5"/>
      <c r="W666" s="5">
        <v>644</v>
      </c>
      <c r="X666" s="144" t="s">
        <v>718</v>
      </c>
      <c r="Y666" s="145"/>
      <c r="Z666" s="146"/>
      <c r="AA666" s="145"/>
      <c r="AB666" s="145"/>
      <c r="AD666" s="5">
        <v>644</v>
      </c>
      <c r="AE666" s="413" t="s">
        <v>718</v>
      </c>
      <c r="AF666" s="145"/>
      <c r="AG666" s="146"/>
      <c r="AH666" s="145"/>
      <c r="AI666" s="145"/>
      <c r="AK666" s="5">
        <v>644</v>
      </c>
      <c r="AL666" s="413" t="s">
        <v>718</v>
      </c>
      <c r="AM666" s="145"/>
      <c r="AN666" s="146"/>
      <c r="AO666" s="145"/>
      <c r="AP666" s="145"/>
      <c r="AR666" s="5">
        <v>644</v>
      </c>
      <c r="AS666" s="413" t="s">
        <v>718</v>
      </c>
      <c r="AT666" s="145"/>
      <c r="AU666" s="146"/>
      <c r="AV666" s="145"/>
      <c r="AW666" s="145"/>
      <c r="AY666" s="5">
        <v>644</v>
      </c>
      <c r="AZ666" s="413" t="s">
        <v>718</v>
      </c>
      <c r="BA666" s="145"/>
      <c r="BB666" s="146"/>
      <c r="BC666" s="145"/>
      <c r="BD666" s="145"/>
      <c r="BF666" s="5">
        <v>644</v>
      </c>
      <c r="BG666" s="413" t="s">
        <v>718</v>
      </c>
      <c r="BH666" s="145"/>
      <c r="BI666" s="146"/>
      <c r="BJ666" s="145"/>
      <c r="BK666" s="145"/>
      <c r="BM666" s="5">
        <v>644</v>
      </c>
      <c r="BN666" s="413" t="s">
        <v>718</v>
      </c>
      <c r="BO666" s="145"/>
      <c r="BP666" s="146"/>
      <c r="BQ666" s="145"/>
      <c r="BR666" s="145"/>
      <c r="BS666" s="5"/>
      <c r="BT666" s="5">
        <v>644</v>
      </c>
      <c r="BU666" s="413" t="s">
        <v>718</v>
      </c>
      <c r="BV666" s="145"/>
      <c r="BW666" s="146"/>
      <c r="BX666" s="145"/>
      <c r="BY666" s="145"/>
      <c r="BZ666" s="5"/>
      <c r="CA666" s="5">
        <v>644</v>
      </c>
      <c r="CB666" s="413" t="s">
        <v>718</v>
      </c>
      <c r="CC666" s="145"/>
      <c r="CD666" s="146"/>
      <c r="CE666" s="145"/>
      <c r="CF666" s="145"/>
      <c r="CG666" s="5"/>
      <c r="CH666" s="5"/>
      <c r="CI666" s="5"/>
    </row>
    <row r="667" spans="13:87" x14ac:dyDescent="0.2">
      <c r="M667" s="5">
        <v>645</v>
      </c>
      <c r="N667" s="413" t="str">
        <f t="shared" si="60"/>
        <v xml:space="preserve"> </v>
      </c>
      <c r="O667" s="414">
        <f t="shared" si="61"/>
        <v>0</v>
      </c>
      <c r="P667" s="414">
        <f t="shared" si="62"/>
        <v>0</v>
      </c>
      <c r="Q667" s="145">
        <f t="shared" si="65"/>
        <v>-8</v>
      </c>
      <c r="R667" s="414">
        <f t="shared" si="63"/>
        <v>0</v>
      </c>
      <c r="S667" s="414">
        <f t="shared" si="64"/>
        <v>0</v>
      </c>
      <c r="T667" s="19"/>
      <c r="U667" s="5"/>
      <c r="V667" s="5"/>
      <c r="W667" s="5">
        <v>645</v>
      </c>
      <c r="X667" s="144" t="s">
        <v>718</v>
      </c>
      <c r="Y667" s="145"/>
      <c r="Z667" s="146"/>
      <c r="AA667" s="145"/>
      <c r="AB667" s="145"/>
      <c r="AD667" s="5">
        <v>645</v>
      </c>
      <c r="AE667" s="413" t="s">
        <v>718</v>
      </c>
      <c r="AF667" s="145"/>
      <c r="AG667" s="146"/>
      <c r="AH667" s="145"/>
      <c r="AI667" s="145"/>
      <c r="AK667" s="5">
        <v>645</v>
      </c>
      <c r="AL667" s="413" t="s">
        <v>718</v>
      </c>
      <c r="AM667" s="145"/>
      <c r="AN667" s="146"/>
      <c r="AO667" s="145"/>
      <c r="AP667" s="145"/>
      <c r="AR667" s="5">
        <v>645</v>
      </c>
      <c r="AS667" s="413" t="s">
        <v>718</v>
      </c>
      <c r="AT667" s="145"/>
      <c r="AU667" s="146"/>
      <c r="AV667" s="145"/>
      <c r="AW667" s="145"/>
      <c r="AY667" s="5">
        <v>645</v>
      </c>
      <c r="AZ667" s="413" t="s">
        <v>718</v>
      </c>
      <c r="BA667" s="145"/>
      <c r="BB667" s="146"/>
      <c r="BC667" s="145"/>
      <c r="BD667" s="145"/>
      <c r="BF667" s="5">
        <v>645</v>
      </c>
      <c r="BG667" s="413" t="s">
        <v>718</v>
      </c>
      <c r="BH667" s="145"/>
      <c r="BI667" s="146"/>
      <c r="BJ667" s="145"/>
      <c r="BK667" s="145"/>
      <c r="BM667" s="5">
        <v>645</v>
      </c>
      <c r="BN667" s="413" t="s">
        <v>718</v>
      </c>
      <c r="BO667" s="145"/>
      <c r="BP667" s="146"/>
      <c r="BQ667" s="145"/>
      <c r="BR667" s="145"/>
      <c r="BS667" s="5"/>
      <c r="BT667" s="5">
        <v>645</v>
      </c>
      <c r="BU667" s="413" t="s">
        <v>718</v>
      </c>
      <c r="BV667" s="145"/>
      <c r="BW667" s="146"/>
      <c r="BX667" s="145"/>
      <c r="BY667" s="145"/>
      <c r="BZ667" s="5"/>
      <c r="CA667" s="5">
        <v>645</v>
      </c>
      <c r="CB667" s="413" t="s">
        <v>718</v>
      </c>
      <c r="CC667" s="145"/>
      <c r="CD667" s="146"/>
      <c r="CE667" s="145"/>
      <c r="CF667" s="145"/>
      <c r="CG667" s="5"/>
      <c r="CH667" s="5"/>
      <c r="CI667" s="5"/>
    </row>
    <row r="668" spans="13:87" x14ac:dyDescent="0.2">
      <c r="M668" s="5">
        <v>646</v>
      </c>
      <c r="N668" s="413" t="str">
        <f t="shared" si="60"/>
        <v xml:space="preserve"> </v>
      </c>
      <c r="O668" s="414">
        <f t="shared" si="61"/>
        <v>0</v>
      </c>
      <c r="P668" s="414">
        <f t="shared" si="62"/>
        <v>0</v>
      </c>
      <c r="Q668" s="145">
        <f t="shared" si="65"/>
        <v>-8</v>
      </c>
      <c r="R668" s="414">
        <f t="shared" si="63"/>
        <v>0</v>
      </c>
      <c r="S668" s="414">
        <f t="shared" si="64"/>
        <v>0</v>
      </c>
      <c r="T668" s="19"/>
      <c r="U668" s="5"/>
      <c r="V668" s="5"/>
      <c r="W668" s="5">
        <v>646</v>
      </c>
      <c r="X668" s="144" t="s">
        <v>718</v>
      </c>
      <c r="Y668" s="145"/>
      <c r="Z668" s="146"/>
      <c r="AA668" s="145"/>
      <c r="AB668" s="145"/>
      <c r="AD668" s="5">
        <v>646</v>
      </c>
      <c r="AE668" s="413" t="s">
        <v>718</v>
      </c>
      <c r="AF668" s="145"/>
      <c r="AG668" s="146"/>
      <c r="AH668" s="145"/>
      <c r="AI668" s="145"/>
      <c r="AK668" s="5">
        <v>646</v>
      </c>
      <c r="AL668" s="413" t="s">
        <v>718</v>
      </c>
      <c r="AM668" s="145"/>
      <c r="AN668" s="146"/>
      <c r="AO668" s="145"/>
      <c r="AP668" s="145"/>
      <c r="AR668" s="5">
        <v>646</v>
      </c>
      <c r="AS668" s="413" t="s">
        <v>718</v>
      </c>
      <c r="AT668" s="145"/>
      <c r="AU668" s="146"/>
      <c r="AV668" s="145"/>
      <c r="AW668" s="145"/>
      <c r="AY668" s="5">
        <v>646</v>
      </c>
      <c r="AZ668" s="413" t="s">
        <v>718</v>
      </c>
      <c r="BA668" s="145"/>
      <c r="BB668" s="146"/>
      <c r="BC668" s="145"/>
      <c r="BD668" s="145"/>
      <c r="BF668" s="5">
        <v>646</v>
      </c>
      <c r="BG668" s="413" t="s">
        <v>718</v>
      </c>
      <c r="BH668" s="145"/>
      <c r="BI668" s="146"/>
      <c r="BJ668" s="145"/>
      <c r="BK668" s="145"/>
      <c r="BM668" s="5">
        <v>646</v>
      </c>
      <c r="BN668" s="413" t="s">
        <v>718</v>
      </c>
      <c r="BO668" s="145"/>
      <c r="BP668" s="146"/>
      <c r="BQ668" s="145"/>
      <c r="BR668" s="145"/>
      <c r="BS668" s="5"/>
      <c r="BT668" s="5">
        <v>646</v>
      </c>
      <c r="BU668" s="413" t="s">
        <v>718</v>
      </c>
      <c r="BV668" s="145"/>
      <c r="BW668" s="146"/>
      <c r="BX668" s="145"/>
      <c r="BY668" s="145"/>
      <c r="BZ668" s="5"/>
      <c r="CA668" s="5">
        <v>646</v>
      </c>
      <c r="CB668" s="413" t="s">
        <v>718</v>
      </c>
      <c r="CC668" s="145"/>
      <c r="CD668" s="146"/>
      <c r="CE668" s="145"/>
      <c r="CF668" s="145"/>
      <c r="CG668" s="5"/>
      <c r="CH668" s="5"/>
      <c r="CI668" s="5"/>
    </row>
    <row r="669" spans="13:87" x14ac:dyDescent="0.2">
      <c r="M669" s="5">
        <v>647</v>
      </c>
      <c r="N669" s="413" t="str">
        <f t="shared" si="60"/>
        <v xml:space="preserve"> </v>
      </c>
      <c r="O669" s="414">
        <f t="shared" si="61"/>
        <v>0</v>
      </c>
      <c r="P669" s="414">
        <f t="shared" si="62"/>
        <v>0</v>
      </c>
      <c r="Q669" s="145">
        <f t="shared" si="65"/>
        <v>-8</v>
      </c>
      <c r="R669" s="414">
        <f t="shared" si="63"/>
        <v>0</v>
      </c>
      <c r="S669" s="414">
        <f t="shared" si="64"/>
        <v>0</v>
      </c>
      <c r="T669" s="19"/>
      <c r="U669" s="5"/>
      <c r="V669" s="5"/>
      <c r="W669" s="5">
        <v>647</v>
      </c>
      <c r="X669" s="144" t="s">
        <v>718</v>
      </c>
      <c r="Y669" s="145"/>
      <c r="Z669" s="146"/>
      <c r="AA669" s="145"/>
      <c r="AB669" s="145"/>
      <c r="AD669" s="5">
        <v>647</v>
      </c>
      <c r="AE669" s="413" t="s">
        <v>718</v>
      </c>
      <c r="AF669" s="145"/>
      <c r="AG669" s="146"/>
      <c r="AH669" s="145"/>
      <c r="AI669" s="145"/>
      <c r="AK669" s="5">
        <v>647</v>
      </c>
      <c r="AL669" s="413" t="s">
        <v>718</v>
      </c>
      <c r="AM669" s="145"/>
      <c r="AN669" s="146"/>
      <c r="AO669" s="145"/>
      <c r="AP669" s="145"/>
      <c r="AR669" s="5">
        <v>647</v>
      </c>
      <c r="AS669" s="413" t="s">
        <v>718</v>
      </c>
      <c r="AT669" s="145"/>
      <c r="AU669" s="146"/>
      <c r="AV669" s="145"/>
      <c r="AW669" s="145"/>
      <c r="AY669" s="5">
        <v>647</v>
      </c>
      <c r="AZ669" s="413" t="s">
        <v>718</v>
      </c>
      <c r="BA669" s="145"/>
      <c r="BB669" s="146"/>
      <c r="BC669" s="145"/>
      <c r="BD669" s="145"/>
      <c r="BF669" s="5">
        <v>647</v>
      </c>
      <c r="BG669" s="413" t="s">
        <v>718</v>
      </c>
      <c r="BH669" s="145"/>
      <c r="BI669" s="146"/>
      <c r="BJ669" s="145"/>
      <c r="BK669" s="145"/>
      <c r="BM669" s="5">
        <v>647</v>
      </c>
      <c r="BN669" s="413" t="s">
        <v>718</v>
      </c>
      <c r="BO669" s="145"/>
      <c r="BP669" s="146"/>
      <c r="BQ669" s="145"/>
      <c r="BR669" s="145"/>
      <c r="BS669" s="5"/>
      <c r="BT669" s="5">
        <v>647</v>
      </c>
      <c r="BU669" s="413" t="s">
        <v>718</v>
      </c>
      <c r="BV669" s="145"/>
      <c r="BW669" s="146"/>
      <c r="BX669" s="145"/>
      <c r="BY669" s="145"/>
      <c r="BZ669" s="5"/>
      <c r="CA669" s="5">
        <v>647</v>
      </c>
      <c r="CB669" s="413" t="s">
        <v>718</v>
      </c>
      <c r="CC669" s="145"/>
      <c r="CD669" s="146"/>
      <c r="CE669" s="145"/>
      <c r="CF669" s="145"/>
      <c r="CG669" s="5"/>
      <c r="CH669" s="5"/>
      <c r="CI669" s="5"/>
    </row>
    <row r="670" spans="13:87" x14ac:dyDescent="0.2">
      <c r="M670" s="5">
        <v>648</v>
      </c>
      <c r="N670" s="413" t="str">
        <f t="shared" si="60"/>
        <v xml:space="preserve"> </v>
      </c>
      <c r="O670" s="414">
        <f t="shared" si="61"/>
        <v>0</v>
      </c>
      <c r="P670" s="414">
        <f t="shared" si="62"/>
        <v>0</v>
      </c>
      <c r="Q670" s="145">
        <f t="shared" si="65"/>
        <v>-8</v>
      </c>
      <c r="R670" s="414">
        <f t="shared" si="63"/>
        <v>0</v>
      </c>
      <c r="S670" s="414">
        <f t="shared" si="64"/>
        <v>0</v>
      </c>
      <c r="T670" s="19"/>
      <c r="U670" s="5"/>
      <c r="V670" s="5"/>
      <c r="W670" s="5">
        <v>648</v>
      </c>
      <c r="X670" s="144" t="s">
        <v>718</v>
      </c>
      <c r="Y670" s="145"/>
      <c r="Z670" s="146"/>
      <c r="AA670" s="145"/>
      <c r="AB670" s="145"/>
      <c r="AD670" s="5">
        <v>648</v>
      </c>
      <c r="AE670" s="413" t="s">
        <v>718</v>
      </c>
      <c r="AF670" s="145"/>
      <c r="AG670" s="146"/>
      <c r="AH670" s="145"/>
      <c r="AI670" s="145"/>
      <c r="AK670" s="5">
        <v>648</v>
      </c>
      <c r="AL670" s="413" t="s">
        <v>718</v>
      </c>
      <c r="AM670" s="145"/>
      <c r="AN670" s="146"/>
      <c r="AO670" s="145"/>
      <c r="AP670" s="145"/>
      <c r="AR670" s="5">
        <v>648</v>
      </c>
      <c r="AS670" s="413" t="s">
        <v>718</v>
      </c>
      <c r="AT670" s="145"/>
      <c r="AU670" s="146"/>
      <c r="AV670" s="145"/>
      <c r="AW670" s="145"/>
      <c r="AY670" s="5">
        <v>648</v>
      </c>
      <c r="AZ670" s="413" t="s">
        <v>718</v>
      </c>
      <c r="BA670" s="145"/>
      <c r="BB670" s="146"/>
      <c r="BC670" s="145"/>
      <c r="BD670" s="145"/>
      <c r="BF670" s="5">
        <v>648</v>
      </c>
      <c r="BG670" s="413" t="s">
        <v>718</v>
      </c>
      <c r="BH670" s="145"/>
      <c r="BI670" s="146"/>
      <c r="BJ670" s="145"/>
      <c r="BK670" s="145"/>
      <c r="BM670" s="5">
        <v>648</v>
      </c>
      <c r="BN670" s="413" t="s">
        <v>718</v>
      </c>
      <c r="BO670" s="145"/>
      <c r="BP670" s="146"/>
      <c r="BQ670" s="145"/>
      <c r="BR670" s="145"/>
      <c r="BS670" s="5"/>
      <c r="BT670" s="5">
        <v>648</v>
      </c>
      <c r="BU670" s="413" t="s">
        <v>718</v>
      </c>
      <c r="BV670" s="145"/>
      <c r="BW670" s="146"/>
      <c r="BX670" s="145"/>
      <c r="BY670" s="145"/>
      <c r="BZ670" s="5"/>
      <c r="CA670" s="5">
        <v>648</v>
      </c>
      <c r="CB670" s="413" t="s">
        <v>718</v>
      </c>
      <c r="CC670" s="145"/>
      <c r="CD670" s="146"/>
      <c r="CE670" s="145"/>
      <c r="CF670" s="145"/>
      <c r="CG670" s="5"/>
      <c r="CH670" s="5"/>
      <c r="CI670" s="5"/>
    </row>
    <row r="671" spans="13:87" x14ac:dyDescent="0.2">
      <c r="M671" s="5">
        <v>649</v>
      </c>
      <c r="N671" s="413" t="str">
        <f t="shared" si="60"/>
        <v xml:space="preserve"> </v>
      </c>
      <c r="O671" s="414">
        <f t="shared" si="61"/>
        <v>0</v>
      </c>
      <c r="P671" s="414">
        <f t="shared" si="62"/>
        <v>0</v>
      </c>
      <c r="Q671" s="145">
        <f t="shared" si="65"/>
        <v>-8</v>
      </c>
      <c r="R671" s="414">
        <f t="shared" si="63"/>
        <v>0</v>
      </c>
      <c r="S671" s="414">
        <f t="shared" si="64"/>
        <v>0</v>
      </c>
      <c r="T671" s="19"/>
      <c r="U671" s="5"/>
      <c r="V671" s="5"/>
      <c r="W671" s="5">
        <v>649</v>
      </c>
      <c r="X671" s="144" t="s">
        <v>718</v>
      </c>
      <c r="Y671" s="145"/>
      <c r="Z671" s="146"/>
      <c r="AA671" s="145"/>
      <c r="AB671" s="145"/>
      <c r="AD671" s="5">
        <v>649</v>
      </c>
      <c r="AE671" s="413" t="s">
        <v>718</v>
      </c>
      <c r="AF671" s="145"/>
      <c r="AG671" s="146"/>
      <c r="AH671" s="145"/>
      <c r="AI671" s="145"/>
      <c r="AK671" s="5">
        <v>649</v>
      </c>
      <c r="AL671" s="413" t="s">
        <v>718</v>
      </c>
      <c r="AM671" s="145"/>
      <c r="AN671" s="146"/>
      <c r="AO671" s="145"/>
      <c r="AP671" s="145"/>
      <c r="AR671" s="5">
        <v>649</v>
      </c>
      <c r="AS671" s="413" t="s">
        <v>718</v>
      </c>
      <c r="AT671" s="145"/>
      <c r="AU671" s="146"/>
      <c r="AV671" s="145"/>
      <c r="AW671" s="145"/>
      <c r="AY671" s="5">
        <v>649</v>
      </c>
      <c r="AZ671" s="413" t="s">
        <v>718</v>
      </c>
      <c r="BA671" s="145"/>
      <c r="BB671" s="146"/>
      <c r="BC671" s="145"/>
      <c r="BD671" s="145"/>
      <c r="BF671" s="5">
        <v>649</v>
      </c>
      <c r="BG671" s="413" t="s">
        <v>718</v>
      </c>
      <c r="BH671" s="145"/>
      <c r="BI671" s="146"/>
      <c r="BJ671" s="145"/>
      <c r="BK671" s="145"/>
      <c r="BM671" s="5">
        <v>649</v>
      </c>
      <c r="BN671" s="413" t="s">
        <v>718</v>
      </c>
      <c r="BO671" s="145"/>
      <c r="BP671" s="146"/>
      <c r="BQ671" s="145"/>
      <c r="BR671" s="145"/>
      <c r="BS671" s="5"/>
      <c r="BT671" s="5">
        <v>649</v>
      </c>
      <c r="BU671" s="413" t="s">
        <v>718</v>
      </c>
      <c r="BV671" s="145"/>
      <c r="BW671" s="146"/>
      <c r="BX671" s="145"/>
      <c r="BY671" s="145"/>
      <c r="BZ671" s="5"/>
      <c r="CA671" s="5">
        <v>649</v>
      </c>
      <c r="CB671" s="413" t="s">
        <v>718</v>
      </c>
      <c r="CC671" s="145"/>
      <c r="CD671" s="146"/>
      <c r="CE671" s="145"/>
      <c r="CF671" s="145"/>
      <c r="CG671" s="5"/>
      <c r="CH671" s="5"/>
      <c r="CI671" s="5"/>
    </row>
    <row r="672" spans="13:87" x14ac:dyDescent="0.2">
      <c r="M672" s="5">
        <v>650</v>
      </c>
      <c r="N672" s="413" t="str">
        <f t="shared" si="60"/>
        <v xml:space="preserve"> </v>
      </c>
      <c r="O672" s="414">
        <f t="shared" si="61"/>
        <v>0</v>
      </c>
      <c r="P672" s="414">
        <f t="shared" si="62"/>
        <v>0</v>
      </c>
      <c r="Q672" s="145">
        <f t="shared" si="65"/>
        <v>-8</v>
      </c>
      <c r="R672" s="414">
        <f t="shared" si="63"/>
        <v>0</v>
      </c>
      <c r="S672" s="414">
        <f t="shared" si="64"/>
        <v>0</v>
      </c>
      <c r="T672" s="19"/>
      <c r="U672" s="5"/>
      <c r="V672" s="5"/>
      <c r="W672" s="5">
        <v>650</v>
      </c>
      <c r="X672" s="144" t="s">
        <v>718</v>
      </c>
      <c r="Y672" s="145"/>
      <c r="Z672" s="146"/>
      <c r="AA672" s="145"/>
      <c r="AB672" s="145"/>
      <c r="AD672" s="5">
        <v>650</v>
      </c>
      <c r="AE672" s="413" t="s">
        <v>718</v>
      </c>
      <c r="AF672" s="145"/>
      <c r="AG672" s="146"/>
      <c r="AH672" s="145"/>
      <c r="AI672" s="145"/>
      <c r="AK672" s="5">
        <v>650</v>
      </c>
      <c r="AL672" s="413" t="s">
        <v>718</v>
      </c>
      <c r="AM672" s="145"/>
      <c r="AN672" s="146"/>
      <c r="AO672" s="145"/>
      <c r="AP672" s="145"/>
      <c r="AR672" s="5">
        <v>650</v>
      </c>
      <c r="AS672" s="413" t="s">
        <v>718</v>
      </c>
      <c r="AT672" s="145"/>
      <c r="AU672" s="146"/>
      <c r="AV672" s="145"/>
      <c r="AW672" s="145"/>
      <c r="AY672" s="5">
        <v>650</v>
      </c>
      <c r="AZ672" s="413" t="s">
        <v>718</v>
      </c>
      <c r="BA672" s="145"/>
      <c r="BB672" s="146"/>
      <c r="BC672" s="145"/>
      <c r="BD672" s="145"/>
      <c r="BF672" s="5">
        <v>650</v>
      </c>
      <c r="BG672" s="413" t="s">
        <v>718</v>
      </c>
      <c r="BH672" s="145"/>
      <c r="BI672" s="146"/>
      <c r="BJ672" s="145"/>
      <c r="BK672" s="145"/>
      <c r="BM672" s="5">
        <v>650</v>
      </c>
      <c r="BN672" s="413" t="s">
        <v>718</v>
      </c>
      <c r="BO672" s="145"/>
      <c r="BP672" s="146"/>
      <c r="BQ672" s="145"/>
      <c r="BR672" s="145"/>
      <c r="BS672" s="5"/>
      <c r="BT672" s="5">
        <v>650</v>
      </c>
      <c r="BU672" s="413" t="s">
        <v>718</v>
      </c>
      <c r="BV672" s="145"/>
      <c r="BW672" s="146"/>
      <c r="BX672" s="145"/>
      <c r="BY672" s="145"/>
      <c r="BZ672" s="5"/>
      <c r="CA672" s="5">
        <v>650</v>
      </c>
      <c r="CB672" s="413" t="s">
        <v>718</v>
      </c>
      <c r="CC672" s="145"/>
      <c r="CD672" s="146"/>
      <c r="CE672" s="145"/>
      <c r="CF672" s="145"/>
      <c r="CG672" s="5"/>
      <c r="CH672" s="5"/>
      <c r="CI672" s="5"/>
    </row>
    <row r="673" spans="13:87" x14ac:dyDescent="0.2">
      <c r="M673" s="5">
        <v>651</v>
      </c>
      <c r="N673" s="413" t="str">
        <f t="shared" si="60"/>
        <v xml:space="preserve"> </v>
      </c>
      <c r="O673" s="414">
        <f t="shared" si="61"/>
        <v>0</v>
      </c>
      <c r="P673" s="414">
        <f t="shared" si="62"/>
        <v>0</v>
      </c>
      <c r="Q673" s="145">
        <f t="shared" si="65"/>
        <v>-8</v>
      </c>
      <c r="R673" s="414">
        <f t="shared" si="63"/>
        <v>0</v>
      </c>
      <c r="S673" s="414">
        <f t="shared" si="64"/>
        <v>0</v>
      </c>
      <c r="T673" s="19"/>
      <c r="U673" s="5"/>
      <c r="V673" s="5"/>
      <c r="W673" s="5">
        <v>651</v>
      </c>
      <c r="X673" s="144" t="s">
        <v>718</v>
      </c>
      <c r="Y673" s="145"/>
      <c r="Z673" s="146"/>
      <c r="AA673" s="145"/>
      <c r="AB673" s="145"/>
      <c r="AD673" s="5">
        <v>651</v>
      </c>
      <c r="AE673" s="413" t="s">
        <v>718</v>
      </c>
      <c r="AF673" s="145"/>
      <c r="AG673" s="146"/>
      <c r="AH673" s="145"/>
      <c r="AI673" s="145"/>
      <c r="AK673" s="5">
        <v>651</v>
      </c>
      <c r="AL673" s="413" t="s">
        <v>718</v>
      </c>
      <c r="AM673" s="145"/>
      <c r="AN673" s="146"/>
      <c r="AO673" s="145"/>
      <c r="AP673" s="145"/>
      <c r="AR673" s="5">
        <v>651</v>
      </c>
      <c r="AS673" s="413" t="s">
        <v>718</v>
      </c>
      <c r="AT673" s="145"/>
      <c r="AU673" s="146"/>
      <c r="AV673" s="145"/>
      <c r="AW673" s="145"/>
      <c r="AY673" s="5">
        <v>651</v>
      </c>
      <c r="AZ673" s="413" t="s">
        <v>718</v>
      </c>
      <c r="BA673" s="145"/>
      <c r="BB673" s="146"/>
      <c r="BC673" s="145"/>
      <c r="BD673" s="145"/>
      <c r="BF673" s="5">
        <v>651</v>
      </c>
      <c r="BG673" s="413" t="s">
        <v>718</v>
      </c>
      <c r="BH673" s="145"/>
      <c r="BI673" s="146"/>
      <c r="BJ673" s="145"/>
      <c r="BK673" s="145"/>
      <c r="BM673" s="5">
        <v>651</v>
      </c>
      <c r="BN673" s="413" t="s">
        <v>718</v>
      </c>
      <c r="BO673" s="145"/>
      <c r="BP673" s="146"/>
      <c r="BQ673" s="145"/>
      <c r="BR673" s="145"/>
      <c r="BS673" s="5"/>
      <c r="BT673" s="5">
        <v>651</v>
      </c>
      <c r="BU673" s="413" t="s">
        <v>718</v>
      </c>
      <c r="BV673" s="145"/>
      <c r="BW673" s="146"/>
      <c r="BX673" s="145"/>
      <c r="BY673" s="145"/>
      <c r="BZ673" s="5"/>
      <c r="CA673" s="5">
        <v>651</v>
      </c>
      <c r="CB673" s="413" t="s">
        <v>718</v>
      </c>
      <c r="CC673" s="145"/>
      <c r="CD673" s="146"/>
      <c r="CE673" s="145"/>
      <c r="CF673" s="145"/>
      <c r="CG673" s="5"/>
      <c r="CH673" s="5"/>
      <c r="CI673" s="5"/>
    </row>
    <row r="674" spans="13:87" x14ac:dyDescent="0.2">
      <c r="M674" s="5">
        <v>652</v>
      </c>
      <c r="N674" s="413" t="str">
        <f t="shared" si="60"/>
        <v xml:space="preserve"> </v>
      </c>
      <c r="O674" s="414">
        <f t="shared" si="61"/>
        <v>0</v>
      </c>
      <c r="P674" s="414">
        <f t="shared" si="62"/>
        <v>0</v>
      </c>
      <c r="Q674" s="145">
        <f t="shared" si="65"/>
        <v>-8</v>
      </c>
      <c r="R674" s="414">
        <f t="shared" si="63"/>
        <v>0</v>
      </c>
      <c r="S674" s="414">
        <f t="shared" si="64"/>
        <v>0</v>
      </c>
      <c r="T674" s="19"/>
      <c r="U674" s="5"/>
      <c r="V674" s="5"/>
      <c r="W674" s="5">
        <v>652</v>
      </c>
      <c r="X674" s="144" t="s">
        <v>718</v>
      </c>
      <c r="Y674" s="145"/>
      <c r="Z674" s="146"/>
      <c r="AA674" s="145"/>
      <c r="AB674" s="145"/>
      <c r="AD674" s="5">
        <v>652</v>
      </c>
      <c r="AE674" s="413" t="s">
        <v>718</v>
      </c>
      <c r="AF674" s="145"/>
      <c r="AG674" s="146"/>
      <c r="AH674" s="145"/>
      <c r="AI674" s="145"/>
      <c r="AK674" s="5">
        <v>652</v>
      </c>
      <c r="AL674" s="413" t="s">
        <v>718</v>
      </c>
      <c r="AM674" s="145"/>
      <c r="AN674" s="146"/>
      <c r="AO674" s="145"/>
      <c r="AP674" s="145"/>
      <c r="AR674" s="5">
        <v>652</v>
      </c>
      <c r="AS674" s="413" t="s">
        <v>718</v>
      </c>
      <c r="AT674" s="145"/>
      <c r="AU674" s="146"/>
      <c r="AV674" s="145"/>
      <c r="AW674" s="145"/>
      <c r="AY674" s="5">
        <v>652</v>
      </c>
      <c r="AZ674" s="413" t="s">
        <v>718</v>
      </c>
      <c r="BA674" s="145"/>
      <c r="BB674" s="146"/>
      <c r="BC674" s="145"/>
      <c r="BD674" s="145"/>
      <c r="BF674" s="5">
        <v>652</v>
      </c>
      <c r="BG674" s="413" t="s">
        <v>718</v>
      </c>
      <c r="BH674" s="145"/>
      <c r="BI674" s="146"/>
      <c r="BJ674" s="145"/>
      <c r="BK674" s="145"/>
      <c r="BM674" s="5">
        <v>652</v>
      </c>
      <c r="BN674" s="413" t="s">
        <v>718</v>
      </c>
      <c r="BO674" s="145"/>
      <c r="BP674" s="146"/>
      <c r="BQ674" s="145"/>
      <c r="BR674" s="145"/>
      <c r="BS674" s="5"/>
      <c r="BT674" s="5">
        <v>652</v>
      </c>
      <c r="BU674" s="413" t="s">
        <v>718</v>
      </c>
      <c r="BV674" s="145"/>
      <c r="BW674" s="146"/>
      <c r="BX674" s="145"/>
      <c r="BY674" s="145"/>
      <c r="BZ674" s="5"/>
      <c r="CA674" s="5">
        <v>652</v>
      </c>
      <c r="CB674" s="413" t="s">
        <v>718</v>
      </c>
      <c r="CC674" s="145"/>
      <c r="CD674" s="146"/>
      <c r="CE674" s="145"/>
      <c r="CF674" s="145"/>
      <c r="CG674" s="5"/>
      <c r="CH674" s="5"/>
      <c r="CI674" s="5"/>
    </row>
    <row r="675" spans="13:87" x14ac:dyDescent="0.2">
      <c r="M675" s="5">
        <v>653</v>
      </c>
      <c r="N675" s="413" t="str">
        <f t="shared" si="60"/>
        <v xml:space="preserve"> </v>
      </c>
      <c r="O675" s="414">
        <f t="shared" si="61"/>
        <v>0</v>
      </c>
      <c r="P675" s="414">
        <f t="shared" si="62"/>
        <v>0</v>
      </c>
      <c r="Q675" s="145">
        <f t="shared" si="65"/>
        <v>-8</v>
      </c>
      <c r="R675" s="414">
        <f t="shared" si="63"/>
        <v>0</v>
      </c>
      <c r="S675" s="414">
        <f t="shared" si="64"/>
        <v>0</v>
      </c>
      <c r="T675" s="19"/>
      <c r="U675" s="5"/>
      <c r="V675" s="5"/>
      <c r="W675" s="5">
        <v>653</v>
      </c>
      <c r="X675" s="144" t="s">
        <v>718</v>
      </c>
      <c r="Y675" s="145"/>
      <c r="Z675" s="146"/>
      <c r="AA675" s="145"/>
      <c r="AB675" s="145"/>
      <c r="AD675" s="5">
        <v>653</v>
      </c>
      <c r="AE675" s="413" t="s">
        <v>718</v>
      </c>
      <c r="AF675" s="145"/>
      <c r="AG675" s="146"/>
      <c r="AH675" s="145"/>
      <c r="AI675" s="145"/>
      <c r="AK675" s="5">
        <v>653</v>
      </c>
      <c r="AL675" s="413" t="s">
        <v>718</v>
      </c>
      <c r="AM675" s="145"/>
      <c r="AN675" s="146"/>
      <c r="AO675" s="145"/>
      <c r="AP675" s="145"/>
      <c r="AR675" s="5">
        <v>653</v>
      </c>
      <c r="AS675" s="413" t="s">
        <v>718</v>
      </c>
      <c r="AT675" s="145"/>
      <c r="AU675" s="146"/>
      <c r="AV675" s="145"/>
      <c r="AW675" s="145"/>
      <c r="AY675" s="5">
        <v>653</v>
      </c>
      <c r="AZ675" s="413" t="s">
        <v>718</v>
      </c>
      <c r="BA675" s="145"/>
      <c r="BB675" s="146"/>
      <c r="BC675" s="145"/>
      <c r="BD675" s="145"/>
      <c r="BF675" s="5">
        <v>653</v>
      </c>
      <c r="BG675" s="413" t="s">
        <v>718</v>
      </c>
      <c r="BH675" s="145"/>
      <c r="BI675" s="146"/>
      <c r="BJ675" s="145"/>
      <c r="BK675" s="145"/>
      <c r="BM675" s="5">
        <v>653</v>
      </c>
      <c r="BN675" s="413" t="s">
        <v>718</v>
      </c>
      <c r="BO675" s="145"/>
      <c r="BP675" s="146"/>
      <c r="BQ675" s="145"/>
      <c r="BR675" s="145"/>
      <c r="BS675" s="5"/>
      <c r="BT675" s="5">
        <v>653</v>
      </c>
      <c r="BU675" s="413" t="s">
        <v>718</v>
      </c>
      <c r="BV675" s="145"/>
      <c r="BW675" s="146"/>
      <c r="BX675" s="145"/>
      <c r="BY675" s="145"/>
      <c r="BZ675" s="5"/>
      <c r="CA675" s="5">
        <v>653</v>
      </c>
      <c r="CB675" s="413" t="s">
        <v>718</v>
      </c>
      <c r="CC675" s="145"/>
      <c r="CD675" s="146"/>
      <c r="CE675" s="145"/>
      <c r="CF675" s="145"/>
      <c r="CG675" s="5"/>
      <c r="CH675" s="5"/>
      <c r="CI675" s="5"/>
    </row>
    <row r="676" spans="13:87" x14ac:dyDescent="0.2">
      <c r="M676" s="5">
        <v>654</v>
      </c>
      <c r="N676" s="413" t="str">
        <f t="shared" si="60"/>
        <v xml:space="preserve"> </v>
      </c>
      <c r="O676" s="414">
        <f t="shared" si="61"/>
        <v>0</v>
      </c>
      <c r="P676" s="414">
        <f t="shared" si="62"/>
        <v>0</v>
      </c>
      <c r="Q676" s="145">
        <f t="shared" si="65"/>
        <v>-8</v>
      </c>
      <c r="R676" s="414">
        <f t="shared" si="63"/>
        <v>0</v>
      </c>
      <c r="S676" s="414">
        <f t="shared" si="64"/>
        <v>0</v>
      </c>
      <c r="T676" s="19"/>
      <c r="U676" s="5"/>
      <c r="V676" s="5"/>
      <c r="W676" s="5">
        <v>654</v>
      </c>
      <c r="X676" s="144" t="s">
        <v>718</v>
      </c>
      <c r="Y676" s="145"/>
      <c r="Z676" s="146"/>
      <c r="AA676" s="145"/>
      <c r="AB676" s="145"/>
      <c r="AD676" s="5">
        <v>654</v>
      </c>
      <c r="AE676" s="413" t="s">
        <v>718</v>
      </c>
      <c r="AF676" s="145"/>
      <c r="AG676" s="146"/>
      <c r="AH676" s="145"/>
      <c r="AI676" s="145"/>
      <c r="AK676" s="5">
        <v>654</v>
      </c>
      <c r="AL676" s="413" t="s">
        <v>718</v>
      </c>
      <c r="AM676" s="145"/>
      <c r="AN676" s="146"/>
      <c r="AO676" s="145"/>
      <c r="AP676" s="145"/>
      <c r="AR676" s="5">
        <v>654</v>
      </c>
      <c r="AS676" s="413" t="s">
        <v>718</v>
      </c>
      <c r="AT676" s="145"/>
      <c r="AU676" s="146"/>
      <c r="AV676" s="145"/>
      <c r="AW676" s="145"/>
      <c r="AY676" s="5">
        <v>654</v>
      </c>
      <c r="AZ676" s="413" t="s">
        <v>718</v>
      </c>
      <c r="BA676" s="145"/>
      <c r="BB676" s="146"/>
      <c r="BC676" s="145"/>
      <c r="BD676" s="145"/>
      <c r="BF676" s="5">
        <v>654</v>
      </c>
      <c r="BG676" s="413" t="s">
        <v>718</v>
      </c>
      <c r="BH676" s="145"/>
      <c r="BI676" s="146"/>
      <c r="BJ676" s="145"/>
      <c r="BK676" s="145"/>
      <c r="BM676" s="5">
        <v>654</v>
      </c>
      <c r="BN676" s="413" t="s">
        <v>718</v>
      </c>
      <c r="BO676" s="145"/>
      <c r="BP676" s="146"/>
      <c r="BQ676" s="145"/>
      <c r="BR676" s="145"/>
      <c r="BS676" s="5"/>
      <c r="BT676" s="5">
        <v>654</v>
      </c>
      <c r="BU676" s="413" t="s">
        <v>718</v>
      </c>
      <c r="BV676" s="145"/>
      <c r="BW676" s="146"/>
      <c r="BX676" s="145"/>
      <c r="BY676" s="145"/>
      <c r="BZ676" s="5"/>
      <c r="CA676" s="5">
        <v>654</v>
      </c>
      <c r="CB676" s="413" t="s">
        <v>718</v>
      </c>
      <c r="CC676" s="145"/>
      <c r="CD676" s="146"/>
      <c r="CE676" s="145"/>
      <c r="CF676" s="145"/>
      <c r="CG676" s="5"/>
      <c r="CH676" s="5"/>
      <c r="CI676" s="5"/>
    </row>
    <row r="677" spans="13:87" x14ac:dyDescent="0.2">
      <c r="M677" s="5">
        <v>655</v>
      </c>
      <c r="N677" s="413" t="str">
        <f t="shared" si="60"/>
        <v xml:space="preserve"> </v>
      </c>
      <c r="O677" s="414">
        <f t="shared" si="61"/>
        <v>0</v>
      </c>
      <c r="P677" s="414">
        <f t="shared" si="62"/>
        <v>0</v>
      </c>
      <c r="Q677" s="145">
        <f t="shared" si="65"/>
        <v>-8</v>
      </c>
      <c r="R677" s="414">
        <f t="shared" si="63"/>
        <v>0</v>
      </c>
      <c r="S677" s="414">
        <f t="shared" si="64"/>
        <v>0</v>
      </c>
      <c r="T677" s="19"/>
      <c r="U677" s="5"/>
      <c r="V677" s="5"/>
      <c r="W677" s="5">
        <v>655</v>
      </c>
      <c r="X677" s="144" t="s">
        <v>718</v>
      </c>
      <c r="Y677" s="145"/>
      <c r="Z677" s="146"/>
      <c r="AA677" s="145"/>
      <c r="AB677" s="145"/>
      <c r="AD677" s="5">
        <v>655</v>
      </c>
      <c r="AE677" s="413" t="s">
        <v>718</v>
      </c>
      <c r="AF677" s="145"/>
      <c r="AG677" s="146"/>
      <c r="AH677" s="145"/>
      <c r="AI677" s="145"/>
      <c r="AK677" s="5">
        <v>655</v>
      </c>
      <c r="AL677" s="413" t="s">
        <v>718</v>
      </c>
      <c r="AM677" s="145"/>
      <c r="AN677" s="146"/>
      <c r="AO677" s="145"/>
      <c r="AP677" s="145"/>
      <c r="AR677" s="5">
        <v>655</v>
      </c>
      <c r="AS677" s="413" t="s">
        <v>718</v>
      </c>
      <c r="AT677" s="145"/>
      <c r="AU677" s="146"/>
      <c r="AV677" s="145"/>
      <c r="AW677" s="145"/>
      <c r="AY677" s="5">
        <v>655</v>
      </c>
      <c r="AZ677" s="413" t="s">
        <v>718</v>
      </c>
      <c r="BA677" s="145"/>
      <c r="BB677" s="146"/>
      <c r="BC677" s="145"/>
      <c r="BD677" s="145"/>
      <c r="BF677" s="5">
        <v>655</v>
      </c>
      <c r="BG677" s="413" t="s">
        <v>718</v>
      </c>
      <c r="BH677" s="145"/>
      <c r="BI677" s="146"/>
      <c r="BJ677" s="145"/>
      <c r="BK677" s="145"/>
      <c r="BM677" s="5">
        <v>655</v>
      </c>
      <c r="BN677" s="413" t="s">
        <v>718</v>
      </c>
      <c r="BO677" s="145"/>
      <c r="BP677" s="146"/>
      <c r="BQ677" s="145"/>
      <c r="BR677" s="145"/>
      <c r="BS677" s="5"/>
      <c r="BT677" s="5">
        <v>655</v>
      </c>
      <c r="BU677" s="413" t="s">
        <v>718</v>
      </c>
      <c r="BV677" s="145"/>
      <c r="BW677" s="146"/>
      <c r="BX677" s="145"/>
      <c r="BY677" s="145"/>
      <c r="BZ677" s="5"/>
      <c r="CA677" s="5">
        <v>655</v>
      </c>
      <c r="CB677" s="413" t="s">
        <v>718</v>
      </c>
      <c r="CC677" s="145"/>
      <c r="CD677" s="146"/>
      <c r="CE677" s="145"/>
      <c r="CF677" s="145"/>
      <c r="CG677" s="5"/>
      <c r="CH677" s="5"/>
      <c r="CI677" s="5"/>
    </row>
    <row r="678" spans="13:87" x14ac:dyDescent="0.2">
      <c r="M678" s="5">
        <v>656</v>
      </c>
      <c r="N678" s="413" t="str">
        <f t="shared" si="60"/>
        <v xml:space="preserve"> </v>
      </c>
      <c r="O678" s="414">
        <f t="shared" si="61"/>
        <v>0</v>
      </c>
      <c r="P678" s="414">
        <f t="shared" si="62"/>
        <v>0</v>
      </c>
      <c r="Q678" s="145">
        <f t="shared" si="65"/>
        <v>-8</v>
      </c>
      <c r="R678" s="414">
        <f t="shared" si="63"/>
        <v>0</v>
      </c>
      <c r="S678" s="414">
        <f t="shared" si="64"/>
        <v>0</v>
      </c>
      <c r="T678" s="19"/>
      <c r="U678" s="5"/>
      <c r="V678" s="5"/>
      <c r="W678" s="5">
        <v>656</v>
      </c>
      <c r="X678" s="144" t="s">
        <v>718</v>
      </c>
      <c r="Y678" s="145"/>
      <c r="Z678" s="146"/>
      <c r="AA678" s="145"/>
      <c r="AB678" s="145"/>
      <c r="AD678" s="5">
        <v>656</v>
      </c>
      <c r="AE678" s="413" t="s">
        <v>718</v>
      </c>
      <c r="AF678" s="145"/>
      <c r="AG678" s="146"/>
      <c r="AH678" s="145"/>
      <c r="AI678" s="145"/>
      <c r="AK678" s="5">
        <v>656</v>
      </c>
      <c r="AL678" s="413" t="s">
        <v>718</v>
      </c>
      <c r="AM678" s="145"/>
      <c r="AN678" s="146"/>
      <c r="AO678" s="145"/>
      <c r="AP678" s="145"/>
      <c r="AR678" s="5">
        <v>656</v>
      </c>
      <c r="AS678" s="413" t="s">
        <v>718</v>
      </c>
      <c r="AT678" s="145"/>
      <c r="AU678" s="146"/>
      <c r="AV678" s="145"/>
      <c r="AW678" s="145"/>
      <c r="AY678" s="5">
        <v>656</v>
      </c>
      <c r="AZ678" s="413" t="s">
        <v>718</v>
      </c>
      <c r="BA678" s="145"/>
      <c r="BB678" s="146"/>
      <c r="BC678" s="145"/>
      <c r="BD678" s="145"/>
      <c r="BF678" s="5">
        <v>656</v>
      </c>
      <c r="BG678" s="413" t="s">
        <v>718</v>
      </c>
      <c r="BH678" s="145"/>
      <c r="BI678" s="146"/>
      <c r="BJ678" s="145"/>
      <c r="BK678" s="145"/>
      <c r="BM678" s="5">
        <v>656</v>
      </c>
      <c r="BN678" s="413" t="s">
        <v>718</v>
      </c>
      <c r="BO678" s="145"/>
      <c r="BP678" s="146"/>
      <c r="BQ678" s="145"/>
      <c r="BR678" s="145"/>
      <c r="BS678" s="5"/>
      <c r="BT678" s="5">
        <v>656</v>
      </c>
      <c r="BU678" s="413" t="s">
        <v>718</v>
      </c>
      <c r="BV678" s="145"/>
      <c r="BW678" s="146"/>
      <c r="BX678" s="145"/>
      <c r="BY678" s="145"/>
      <c r="BZ678" s="5"/>
      <c r="CA678" s="5">
        <v>656</v>
      </c>
      <c r="CB678" s="413" t="s">
        <v>718</v>
      </c>
      <c r="CC678" s="145"/>
      <c r="CD678" s="146"/>
      <c r="CE678" s="145"/>
      <c r="CF678" s="145"/>
      <c r="CG678" s="5"/>
      <c r="CH678" s="5"/>
      <c r="CI678" s="5"/>
    </row>
    <row r="679" spans="13:87" x14ac:dyDescent="0.2">
      <c r="M679" s="5">
        <v>657</v>
      </c>
      <c r="N679" s="413" t="str">
        <f t="shared" si="60"/>
        <v xml:space="preserve"> </v>
      </c>
      <c r="O679" s="414">
        <f t="shared" si="61"/>
        <v>0</v>
      </c>
      <c r="P679" s="414">
        <f t="shared" si="62"/>
        <v>0</v>
      </c>
      <c r="Q679" s="145">
        <f t="shared" si="65"/>
        <v>-8</v>
      </c>
      <c r="R679" s="414">
        <f t="shared" si="63"/>
        <v>0</v>
      </c>
      <c r="S679" s="414">
        <f t="shared" si="64"/>
        <v>0</v>
      </c>
      <c r="T679" s="19"/>
      <c r="U679" s="5"/>
      <c r="V679" s="5"/>
      <c r="W679" s="5">
        <v>657</v>
      </c>
      <c r="X679" s="144" t="s">
        <v>718</v>
      </c>
      <c r="Y679" s="145"/>
      <c r="Z679" s="146"/>
      <c r="AA679" s="145"/>
      <c r="AB679" s="145"/>
      <c r="AD679" s="5">
        <v>657</v>
      </c>
      <c r="AE679" s="413" t="s">
        <v>718</v>
      </c>
      <c r="AF679" s="145"/>
      <c r="AG679" s="146"/>
      <c r="AH679" s="145"/>
      <c r="AI679" s="145"/>
      <c r="AK679" s="5">
        <v>657</v>
      </c>
      <c r="AL679" s="413" t="s">
        <v>718</v>
      </c>
      <c r="AM679" s="145"/>
      <c r="AN679" s="146"/>
      <c r="AO679" s="145"/>
      <c r="AP679" s="145"/>
      <c r="AR679" s="5">
        <v>657</v>
      </c>
      <c r="AS679" s="413" t="s">
        <v>718</v>
      </c>
      <c r="AT679" s="145"/>
      <c r="AU679" s="146"/>
      <c r="AV679" s="145"/>
      <c r="AW679" s="145"/>
      <c r="AY679" s="5">
        <v>657</v>
      </c>
      <c r="AZ679" s="413" t="s">
        <v>718</v>
      </c>
      <c r="BA679" s="145"/>
      <c r="BB679" s="146"/>
      <c r="BC679" s="145"/>
      <c r="BD679" s="145"/>
      <c r="BF679" s="5">
        <v>657</v>
      </c>
      <c r="BG679" s="413" t="s">
        <v>718</v>
      </c>
      <c r="BH679" s="145"/>
      <c r="BI679" s="146"/>
      <c r="BJ679" s="145"/>
      <c r="BK679" s="145"/>
      <c r="BM679" s="5">
        <v>657</v>
      </c>
      <c r="BN679" s="413" t="s">
        <v>718</v>
      </c>
      <c r="BO679" s="145"/>
      <c r="BP679" s="146"/>
      <c r="BQ679" s="145"/>
      <c r="BR679" s="145"/>
      <c r="BS679" s="5"/>
      <c r="BT679" s="5">
        <v>657</v>
      </c>
      <c r="BU679" s="413" t="s">
        <v>718</v>
      </c>
      <c r="BV679" s="145"/>
      <c r="BW679" s="146"/>
      <c r="BX679" s="145"/>
      <c r="BY679" s="145"/>
      <c r="BZ679" s="5"/>
      <c r="CA679" s="5">
        <v>657</v>
      </c>
      <c r="CB679" s="413" t="s">
        <v>718</v>
      </c>
      <c r="CC679" s="145"/>
      <c r="CD679" s="146"/>
      <c r="CE679" s="145"/>
      <c r="CF679" s="145"/>
      <c r="CG679" s="5"/>
      <c r="CH679" s="5"/>
      <c r="CI679" s="5"/>
    </row>
    <row r="680" spans="13:87" x14ac:dyDescent="0.2">
      <c r="M680" s="5">
        <v>658</v>
      </c>
      <c r="N680" s="413" t="str">
        <f t="shared" si="60"/>
        <v xml:space="preserve"> </v>
      </c>
      <c r="O680" s="414">
        <f t="shared" si="61"/>
        <v>0</v>
      </c>
      <c r="P680" s="414">
        <f t="shared" si="62"/>
        <v>0</v>
      </c>
      <c r="Q680" s="145">
        <f t="shared" si="65"/>
        <v>-8</v>
      </c>
      <c r="R680" s="414">
        <f t="shared" si="63"/>
        <v>0</v>
      </c>
      <c r="S680" s="414">
        <f t="shared" si="64"/>
        <v>0</v>
      </c>
      <c r="T680" s="19"/>
      <c r="U680" s="5"/>
      <c r="V680" s="5"/>
      <c r="W680" s="5">
        <v>658</v>
      </c>
      <c r="X680" s="144" t="s">
        <v>718</v>
      </c>
      <c r="Y680" s="145"/>
      <c r="Z680" s="146"/>
      <c r="AA680" s="145"/>
      <c r="AB680" s="145"/>
      <c r="AD680" s="5">
        <v>658</v>
      </c>
      <c r="AE680" s="413" t="s">
        <v>718</v>
      </c>
      <c r="AF680" s="145"/>
      <c r="AG680" s="146"/>
      <c r="AH680" s="145"/>
      <c r="AI680" s="145"/>
      <c r="AK680" s="5">
        <v>658</v>
      </c>
      <c r="AL680" s="413" t="s">
        <v>718</v>
      </c>
      <c r="AM680" s="145"/>
      <c r="AN680" s="146"/>
      <c r="AO680" s="145"/>
      <c r="AP680" s="145"/>
      <c r="AR680" s="5">
        <v>658</v>
      </c>
      <c r="AS680" s="413" t="s">
        <v>718</v>
      </c>
      <c r="AT680" s="145"/>
      <c r="AU680" s="146"/>
      <c r="AV680" s="145"/>
      <c r="AW680" s="145"/>
      <c r="AY680" s="5">
        <v>658</v>
      </c>
      <c r="AZ680" s="413" t="s">
        <v>718</v>
      </c>
      <c r="BA680" s="145"/>
      <c r="BB680" s="146"/>
      <c r="BC680" s="145"/>
      <c r="BD680" s="145"/>
      <c r="BF680" s="5">
        <v>658</v>
      </c>
      <c r="BG680" s="413" t="s">
        <v>718</v>
      </c>
      <c r="BH680" s="145"/>
      <c r="BI680" s="146"/>
      <c r="BJ680" s="145"/>
      <c r="BK680" s="145"/>
      <c r="BM680" s="5">
        <v>658</v>
      </c>
      <c r="BN680" s="413" t="s">
        <v>718</v>
      </c>
      <c r="BO680" s="145"/>
      <c r="BP680" s="146"/>
      <c r="BQ680" s="145"/>
      <c r="BR680" s="145"/>
      <c r="BS680" s="5"/>
      <c r="BT680" s="5">
        <v>658</v>
      </c>
      <c r="BU680" s="413" t="s">
        <v>718</v>
      </c>
      <c r="BV680" s="145"/>
      <c r="BW680" s="146"/>
      <c r="BX680" s="145"/>
      <c r="BY680" s="145"/>
      <c r="BZ680" s="5"/>
      <c r="CA680" s="5">
        <v>658</v>
      </c>
      <c r="CB680" s="413" t="s">
        <v>718</v>
      </c>
      <c r="CC680" s="145"/>
      <c r="CD680" s="146"/>
      <c r="CE680" s="145"/>
      <c r="CF680" s="145"/>
      <c r="CG680" s="5"/>
      <c r="CH680" s="5"/>
      <c r="CI680" s="5"/>
    </row>
    <row r="681" spans="13:87" x14ac:dyDescent="0.2">
      <c r="M681" s="5">
        <v>659</v>
      </c>
      <c r="N681" s="413" t="str">
        <f t="shared" si="60"/>
        <v xml:space="preserve"> </v>
      </c>
      <c r="O681" s="414">
        <f t="shared" si="61"/>
        <v>0</v>
      </c>
      <c r="P681" s="414">
        <f t="shared" si="62"/>
        <v>0</v>
      </c>
      <c r="Q681" s="145">
        <f t="shared" si="65"/>
        <v>-8</v>
      </c>
      <c r="R681" s="414">
        <f t="shared" si="63"/>
        <v>0</v>
      </c>
      <c r="S681" s="414">
        <f t="shared" si="64"/>
        <v>0</v>
      </c>
      <c r="T681" s="19"/>
      <c r="U681" s="5"/>
      <c r="V681" s="5"/>
      <c r="W681" s="5">
        <v>659</v>
      </c>
      <c r="X681" s="144" t="s">
        <v>718</v>
      </c>
      <c r="Y681" s="145"/>
      <c r="Z681" s="146"/>
      <c r="AA681" s="145"/>
      <c r="AB681" s="145"/>
      <c r="AD681" s="5">
        <v>659</v>
      </c>
      <c r="AE681" s="413" t="s">
        <v>718</v>
      </c>
      <c r="AF681" s="145"/>
      <c r="AG681" s="146"/>
      <c r="AH681" s="145"/>
      <c r="AI681" s="145"/>
      <c r="AK681" s="5">
        <v>659</v>
      </c>
      <c r="AL681" s="413" t="s">
        <v>718</v>
      </c>
      <c r="AM681" s="145"/>
      <c r="AN681" s="146"/>
      <c r="AO681" s="145"/>
      <c r="AP681" s="145"/>
      <c r="AR681" s="5">
        <v>659</v>
      </c>
      <c r="AS681" s="413" t="s">
        <v>718</v>
      </c>
      <c r="AT681" s="145"/>
      <c r="AU681" s="146"/>
      <c r="AV681" s="145"/>
      <c r="AW681" s="145"/>
      <c r="AY681" s="5">
        <v>659</v>
      </c>
      <c r="AZ681" s="413" t="s">
        <v>718</v>
      </c>
      <c r="BA681" s="145"/>
      <c r="BB681" s="146"/>
      <c r="BC681" s="145"/>
      <c r="BD681" s="145"/>
      <c r="BF681" s="5">
        <v>659</v>
      </c>
      <c r="BG681" s="413" t="s">
        <v>718</v>
      </c>
      <c r="BH681" s="145"/>
      <c r="BI681" s="146"/>
      <c r="BJ681" s="145"/>
      <c r="BK681" s="145"/>
      <c r="BM681" s="5">
        <v>659</v>
      </c>
      <c r="BN681" s="413" t="s">
        <v>718</v>
      </c>
      <c r="BO681" s="145"/>
      <c r="BP681" s="146"/>
      <c r="BQ681" s="145"/>
      <c r="BR681" s="145"/>
      <c r="BS681" s="5"/>
      <c r="BT681" s="5">
        <v>659</v>
      </c>
      <c r="BU681" s="413" t="s">
        <v>718</v>
      </c>
      <c r="BV681" s="145"/>
      <c r="BW681" s="146"/>
      <c r="BX681" s="145"/>
      <c r="BY681" s="145"/>
      <c r="BZ681" s="5"/>
      <c r="CA681" s="5">
        <v>659</v>
      </c>
      <c r="CB681" s="413" t="s">
        <v>718</v>
      </c>
      <c r="CC681" s="145"/>
      <c r="CD681" s="146"/>
      <c r="CE681" s="145"/>
      <c r="CF681" s="145"/>
      <c r="CG681" s="5"/>
      <c r="CH681" s="5"/>
      <c r="CI681" s="5"/>
    </row>
    <row r="682" spans="13:87" x14ac:dyDescent="0.2">
      <c r="M682" s="5">
        <v>660</v>
      </c>
      <c r="N682" s="413" t="str">
        <f t="shared" si="60"/>
        <v xml:space="preserve"> </v>
      </c>
      <c r="O682" s="414">
        <f t="shared" si="61"/>
        <v>0</v>
      </c>
      <c r="P682" s="414">
        <f t="shared" si="62"/>
        <v>0</v>
      </c>
      <c r="Q682" s="145">
        <f t="shared" si="65"/>
        <v>-8</v>
      </c>
      <c r="R682" s="414">
        <f t="shared" si="63"/>
        <v>0</v>
      </c>
      <c r="S682" s="414">
        <f t="shared" si="64"/>
        <v>0</v>
      </c>
      <c r="T682" s="19"/>
      <c r="U682" s="5"/>
      <c r="V682" s="5"/>
      <c r="W682" s="5">
        <v>660</v>
      </c>
      <c r="X682" s="144" t="s">
        <v>718</v>
      </c>
      <c r="Y682" s="145"/>
      <c r="Z682" s="146"/>
      <c r="AA682" s="145"/>
      <c r="AB682" s="145"/>
      <c r="AD682" s="5">
        <v>660</v>
      </c>
      <c r="AE682" s="413" t="s">
        <v>718</v>
      </c>
      <c r="AF682" s="145"/>
      <c r="AG682" s="146"/>
      <c r="AH682" s="145"/>
      <c r="AI682" s="145"/>
      <c r="AK682" s="5">
        <v>660</v>
      </c>
      <c r="AL682" s="413" t="s">
        <v>718</v>
      </c>
      <c r="AM682" s="145"/>
      <c r="AN682" s="146"/>
      <c r="AO682" s="145"/>
      <c r="AP682" s="145"/>
      <c r="AR682" s="5">
        <v>660</v>
      </c>
      <c r="AS682" s="413" t="s">
        <v>718</v>
      </c>
      <c r="AT682" s="145"/>
      <c r="AU682" s="146"/>
      <c r="AV682" s="145"/>
      <c r="AW682" s="145"/>
      <c r="AY682" s="5">
        <v>660</v>
      </c>
      <c r="AZ682" s="413" t="s">
        <v>718</v>
      </c>
      <c r="BA682" s="145"/>
      <c r="BB682" s="146"/>
      <c r="BC682" s="145"/>
      <c r="BD682" s="145"/>
      <c r="BF682" s="5">
        <v>660</v>
      </c>
      <c r="BG682" s="413" t="s">
        <v>718</v>
      </c>
      <c r="BH682" s="145"/>
      <c r="BI682" s="146"/>
      <c r="BJ682" s="145"/>
      <c r="BK682" s="145"/>
      <c r="BM682" s="5">
        <v>660</v>
      </c>
      <c r="BN682" s="413" t="s">
        <v>718</v>
      </c>
      <c r="BO682" s="145"/>
      <c r="BP682" s="146"/>
      <c r="BQ682" s="145"/>
      <c r="BR682" s="145"/>
      <c r="BS682" s="5"/>
      <c r="BT682" s="5">
        <v>660</v>
      </c>
      <c r="BU682" s="413" t="s">
        <v>718</v>
      </c>
      <c r="BV682" s="145"/>
      <c r="BW682" s="146"/>
      <c r="BX682" s="145"/>
      <c r="BY682" s="145"/>
      <c r="BZ682" s="5"/>
      <c r="CA682" s="5">
        <v>660</v>
      </c>
      <c r="CB682" s="413" t="s">
        <v>718</v>
      </c>
      <c r="CC682" s="145"/>
      <c r="CD682" s="146"/>
      <c r="CE682" s="145"/>
      <c r="CF682" s="145"/>
      <c r="CG682" s="5"/>
      <c r="CH682" s="5"/>
      <c r="CI682" s="5"/>
    </row>
    <row r="683" spans="13:87" x14ac:dyDescent="0.2">
      <c r="M683" s="5">
        <v>661</v>
      </c>
      <c r="N683" s="413" t="str">
        <f t="shared" si="60"/>
        <v xml:space="preserve"> </v>
      </c>
      <c r="O683" s="414">
        <f t="shared" si="61"/>
        <v>0</v>
      </c>
      <c r="P683" s="414">
        <f t="shared" si="62"/>
        <v>0</v>
      </c>
      <c r="Q683" s="145">
        <f t="shared" si="65"/>
        <v>-8</v>
      </c>
      <c r="R683" s="414">
        <f t="shared" si="63"/>
        <v>0</v>
      </c>
      <c r="S683" s="414">
        <f t="shared" si="64"/>
        <v>0</v>
      </c>
      <c r="T683" s="19"/>
      <c r="U683" s="5"/>
      <c r="V683" s="5"/>
      <c r="W683" s="5">
        <v>661</v>
      </c>
      <c r="X683" s="144" t="s">
        <v>718</v>
      </c>
      <c r="Y683" s="145"/>
      <c r="Z683" s="146"/>
      <c r="AA683" s="145"/>
      <c r="AB683" s="145"/>
      <c r="AD683" s="5">
        <v>661</v>
      </c>
      <c r="AE683" s="413" t="s">
        <v>718</v>
      </c>
      <c r="AF683" s="145"/>
      <c r="AG683" s="146"/>
      <c r="AH683" s="145"/>
      <c r="AI683" s="145"/>
      <c r="AK683" s="5">
        <v>661</v>
      </c>
      <c r="AL683" s="413" t="s">
        <v>718</v>
      </c>
      <c r="AM683" s="145"/>
      <c r="AN683" s="146"/>
      <c r="AO683" s="145"/>
      <c r="AP683" s="145"/>
      <c r="AR683" s="5">
        <v>661</v>
      </c>
      <c r="AS683" s="413" t="s">
        <v>718</v>
      </c>
      <c r="AT683" s="145"/>
      <c r="AU683" s="146"/>
      <c r="AV683" s="145"/>
      <c r="AW683" s="145"/>
      <c r="AY683" s="5">
        <v>661</v>
      </c>
      <c r="AZ683" s="413" t="s">
        <v>718</v>
      </c>
      <c r="BA683" s="145"/>
      <c r="BB683" s="146"/>
      <c r="BC683" s="145"/>
      <c r="BD683" s="145"/>
      <c r="BF683" s="5">
        <v>661</v>
      </c>
      <c r="BG683" s="413" t="s">
        <v>718</v>
      </c>
      <c r="BH683" s="145"/>
      <c r="BI683" s="146"/>
      <c r="BJ683" s="145"/>
      <c r="BK683" s="145"/>
      <c r="BM683" s="5">
        <v>661</v>
      </c>
      <c r="BN683" s="413" t="s">
        <v>718</v>
      </c>
      <c r="BO683" s="145"/>
      <c r="BP683" s="146"/>
      <c r="BQ683" s="145"/>
      <c r="BR683" s="145"/>
      <c r="BS683" s="5"/>
      <c r="BT683" s="5">
        <v>661</v>
      </c>
      <c r="BU683" s="413" t="s">
        <v>718</v>
      </c>
      <c r="BV683" s="145"/>
      <c r="BW683" s="146"/>
      <c r="BX683" s="145"/>
      <c r="BY683" s="145"/>
      <c r="BZ683" s="5"/>
      <c r="CA683" s="5">
        <v>661</v>
      </c>
      <c r="CB683" s="413" t="s">
        <v>718</v>
      </c>
      <c r="CC683" s="145"/>
      <c r="CD683" s="146"/>
      <c r="CE683" s="145"/>
      <c r="CF683" s="145"/>
      <c r="CG683" s="5"/>
      <c r="CH683" s="5"/>
      <c r="CI683" s="5"/>
    </row>
    <row r="684" spans="13:87" x14ac:dyDescent="0.2">
      <c r="M684" s="5">
        <v>662</v>
      </c>
      <c r="N684" s="413" t="str">
        <f t="shared" si="60"/>
        <v xml:space="preserve"> </v>
      </c>
      <c r="O684" s="414">
        <f t="shared" si="61"/>
        <v>0</v>
      </c>
      <c r="P684" s="414">
        <f t="shared" si="62"/>
        <v>0</v>
      </c>
      <c r="Q684" s="145">
        <f t="shared" si="65"/>
        <v>-8</v>
      </c>
      <c r="R684" s="414">
        <f t="shared" si="63"/>
        <v>0</v>
      </c>
      <c r="S684" s="414">
        <f t="shared" si="64"/>
        <v>0</v>
      </c>
      <c r="T684" s="19"/>
      <c r="U684" s="5"/>
      <c r="V684" s="5"/>
      <c r="W684" s="5">
        <v>662</v>
      </c>
      <c r="X684" s="144" t="s">
        <v>718</v>
      </c>
      <c r="Y684" s="145"/>
      <c r="Z684" s="146"/>
      <c r="AA684" s="145"/>
      <c r="AB684" s="145"/>
      <c r="AD684" s="5">
        <v>662</v>
      </c>
      <c r="AE684" s="413" t="s">
        <v>718</v>
      </c>
      <c r="AF684" s="145"/>
      <c r="AG684" s="146"/>
      <c r="AH684" s="145"/>
      <c r="AI684" s="145"/>
      <c r="AK684" s="5">
        <v>662</v>
      </c>
      <c r="AL684" s="413" t="s">
        <v>718</v>
      </c>
      <c r="AM684" s="145"/>
      <c r="AN684" s="146"/>
      <c r="AO684" s="145"/>
      <c r="AP684" s="145"/>
      <c r="AR684" s="5">
        <v>662</v>
      </c>
      <c r="AS684" s="413" t="s">
        <v>718</v>
      </c>
      <c r="AT684" s="145"/>
      <c r="AU684" s="146"/>
      <c r="AV684" s="145"/>
      <c r="AW684" s="145"/>
      <c r="AY684" s="5">
        <v>662</v>
      </c>
      <c r="AZ684" s="413" t="s">
        <v>718</v>
      </c>
      <c r="BA684" s="145"/>
      <c r="BB684" s="146"/>
      <c r="BC684" s="145"/>
      <c r="BD684" s="145"/>
      <c r="BF684" s="5">
        <v>662</v>
      </c>
      <c r="BG684" s="413" t="s">
        <v>718</v>
      </c>
      <c r="BH684" s="145"/>
      <c r="BI684" s="146"/>
      <c r="BJ684" s="145"/>
      <c r="BK684" s="145"/>
      <c r="BM684" s="5">
        <v>662</v>
      </c>
      <c r="BN684" s="413" t="s">
        <v>718</v>
      </c>
      <c r="BO684" s="145"/>
      <c r="BP684" s="146"/>
      <c r="BQ684" s="145"/>
      <c r="BR684" s="145"/>
      <c r="BS684" s="5"/>
      <c r="BT684" s="5">
        <v>662</v>
      </c>
      <c r="BU684" s="413" t="s">
        <v>718</v>
      </c>
      <c r="BV684" s="145"/>
      <c r="BW684" s="146"/>
      <c r="BX684" s="145"/>
      <c r="BY684" s="145"/>
      <c r="BZ684" s="5"/>
      <c r="CA684" s="5">
        <v>662</v>
      </c>
      <c r="CB684" s="413" t="s">
        <v>718</v>
      </c>
      <c r="CC684" s="145"/>
      <c r="CD684" s="146"/>
      <c r="CE684" s="145"/>
      <c r="CF684" s="145"/>
      <c r="CG684" s="5"/>
      <c r="CH684" s="5"/>
      <c r="CI684" s="5"/>
    </row>
    <row r="685" spans="13:87" x14ac:dyDescent="0.2">
      <c r="M685" s="5">
        <v>663</v>
      </c>
      <c r="N685" s="413" t="str">
        <f t="shared" si="60"/>
        <v xml:space="preserve"> </v>
      </c>
      <c r="O685" s="414">
        <f t="shared" si="61"/>
        <v>0</v>
      </c>
      <c r="P685" s="414">
        <f t="shared" si="62"/>
        <v>0</v>
      </c>
      <c r="Q685" s="145">
        <f t="shared" si="65"/>
        <v>-8</v>
      </c>
      <c r="R685" s="414">
        <f t="shared" si="63"/>
        <v>0</v>
      </c>
      <c r="S685" s="414">
        <f t="shared" si="64"/>
        <v>0</v>
      </c>
      <c r="T685" s="19"/>
      <c r="U685" s="5"/>
      <c r="V685" s="5"/>
      <c r="W685" s="5">
        <v>663</v>
      </c>
      <c r="X685" s="144" t="s">
        <v>718</v>
      </c>
      <c r="Y685" s="145"/>
      <c r="Z685" s="146"/>
      <c r="AA685" s="145"/>
      <c r="AB685" s="145"/>
      <c r="AD685" s="5">
        <v>663</v>
      </c>
      <c r="AE685" s="413" t="s">
        <v>718</v>
      </c>
      <c r="AF685" s="145"/>
      <c r="AG685" s="146"/>
      <c r="AH685" s="145"/>
      <c r="AI685" s="145"/>
      <c r="AK685" s="5">
        <v>663</v>
      </c>
      <c r="AL685" s="413" t="s">
        <v>718</v>
      </c>
      <c r="AM685" s="145"/>
      <c r="AN685" s="146"/>
      <c r="AO685" s="145"/>
      <c r="AP685" s="145"/>
      <c r="AR685" s="5">
        <v>663</v>
      </c>
      <c r="AS685" s="413" t="s">
        <v>718</v>
      </c>
      <c r="AT685" s="145"/>
      <c r="AU685" s="146"/>
      <c r="AV685" s="145"/>
      <c r="AW685" s="145"/>
      <c r="AY685" s="5">
        <v>663</v>
      </c>
      <c r="AZ685" s="413" t="s">
        <v>718</v>
      </c>
      <c r="BA685" s="145"/>
      <c r="BB685" s="146"/>
      <c r="BC685" s="145"/>
      <c r="BD685" s="145"/>
      <c r="BF685" s="5">
        <v>663</v>
      </c>
      <c r="BG685" s="413" t="s">
        <v>718</v>
      </c>
      <c r="BH685" s="145"/>
      <c r="BI685" s="146"/>
      <c r="BJ685" s="145"/>
      <c r="BK685" s="145"/>
      <c r="BM685" s="5">
        <v>663</v>
      </c>
      <c r="BN685" s="413" t="s">
        <v>718</v>
      </c>
      <c r="BO685" s="145"/>
      <c r="BP685" s="146"/>
      <c r="BQ685" s="145"/>
      <c r="BR685" s="145"/>
      <c r="BS685" s="5"/>
      <c r="BT685" s="5">
        <v>663</v>
      </c>
      <c r="BU685" s="413" t="s">
        <v>718</v>
      </c>
      <c r="BV685" s="145"/>
      <c r="BW685" s="146"/>
      <c r="BX685" s="145"/>
      <c r="BY685" s="145"/>
      <c r="BZ685" s="5"/>
      <c r="CA685" s="5">
        <v>663</v>
      </c>
      <c r="CB685" s="413" t="s">
        <v>718</v>
      </c>
      <c r="CC685" s="145"/>
      <c r="CD685" s="146"/>
      <c r="CE685" s="145"/>
      <c r="CF685" s="145"/>
      <c r="CG685" s="5"/>
      <c r="CH685" s="5"/>
      <c r="CI685" s="5"/>
    </row>
    <row r="686" spans="13:87" x14ac:dyDescent="0.2">
      <c r="M686" s="5">
        <v>664</v>
      </c>
      <c r="N686" s="413" t="str">
        <f t="shared" si="60"/>
        <v xml:space="preserve"> </v>
      </c>
      <c r="O686" s="414">
        <f t="shared" si="61"/>
        <v>0</v>
      </c>
      <c r="P686" s="414">
        <f t="shared" si="62"/>
        <v>0</v>
      </c>
      <c r="Q686" s="145">
        <f t="shared" si="65"/>
        <v>-8</v>
      </c>
      <c r="R686" s="414">
        <f t="shared" si="63"/>
        <v>0</v>
      </c>
      <c r="S686" s="414">
        <f t="shared" si="64"/>
        <v>0</v>
      </c>
      <c r="T686" s="19"/>
      <c r="U686" s="5"/>
      <c r="V686" s="5"/>
      <c r="W686" s="5">
        <v>664</v>
      </c>
      <c r="X686" s="144" t="s">
        <v>718</v>
      </c>
      <c r="Y686" s="145"/>
      <c r="Z686" s="146"/>
      <c r="AA686" s="145"/>
      <c r="AB686" s="145"/>
      <c r="AD686" s="5">
        <v>664</v>
      </c>
      <c r="AE686" s="413" t="s">
        <v>718</v>
      </c>
      <c r="AF686" s="145"/>
      <c r="AG686" s="146"/>
      <c r="AH686" s="145"/>
      <c r="AI686" s="145"/>
      <c r="AK686" s="5">
        <v>664</v>
      </c>
      <c r="AL686" s="413" t="s">
        <v>718</v>
      </c>
      <c r="AM686" s="145"/>
      <c r="AN686" s="146"/>
      <c r="AO686" s="145"/>
      <c r="AP686" s="145"/>
      <c r="AR686" s="5">
        <v>664</v>
      </c>
      <c r="AS686" s="413" t="s">
        <v>718</v>
      </c>
      <c r="AT686" s="145"/>
      <c r="AU686" s="146"/>
      <c r="AV686" s="145"/>
      <c r="AW686" s="145"/>
      <c r="AY686" s="5">
        <v>664</v>
      </c>
      <c r="AZ686" s="413" t="s">
        <v>718</v>
      </c>
      <c r="BA686" s="145"/>
      <c r="BB686" s="146"/>
      <c r="BC686" s="145"/>
      <c r="BD686" s="145"/>
      <c r="BF686" s="5">
        <v>664</v>
      </c>
      <c r="BG686" s="413" t="s">
        <v>718</v>
      </c>
      <c r="BH686" s="145"/>
      <c r="BI686" s="146"/>
      <c r="BJ686" s="145"/>
      <c r="BK686" s="145"/>
      <c r="BM686" s="5">
        <v>664</v>
      </c>
      <c r="BN686" s="413" t="s">
        <v>718</v>
      </c>
      <c r="BO686" s="145"/>
      <c r="BP686" s="146"/>
      <c r="BQ686" s="145"/>
      <c r="BR686" s="145"/>
      <c r="BS686" s="5"/>
      <c r="BT686" s="5">
        <v>664</v>
      </c>
      <c r="BU686" s="413" t="s">
        <v>718</v>
      </c>
      <c r="BV686" s="145"/>
      <c r="BW686" s="146"/>
      <c r="BX686" s="145"/>
      <c r="BY686" s="145"/>
      <c r="BZ686" s="5"/>
      <c r="CA686" s="5">
        <v>664</v>
      </c>
      <c r="CB686" s="413" t="s">
        <v>718</v>
      </c>
      <c r="CC686" s="145"/>
      <c r="CD686" s="146"/>
      <c r="CE686" s="145"/>
      <c r="CF686" s="145"/>
      <c r="CG686" s="5"/>
      <c r="CH686" s="5"/>
      <c r="CI686" s="5"/>
    </row>
    <row r="687" spans="13:87" x14ac:dyDescent="0.2">
      <c r="M687" s="5">
        <v>665</v>
      </c>
      <c r="N687" s="413" t="str">
        <f t="shared" si="60"/>
        <v xml:space="preserve"> </v>
      </c>
      <c r="O687" s="414">
        <f t="shared" si="61"/>
        <v>0</v>
      </c>
      <c r="P687" s="414">
        <f t="shared" si="62"/>
        <v>0</v>
      </c>
      <c r="Q687" s="145">
        <f t="shared" si="65"/>
        <v>-8</v>
      </c>
      <c r="R687" s="414">
        <f t="shared" si="63"/>
        <v>0</v>
      </c>
      <c r="S687" s="414">
        <f t="shared" si="64"/>
        <v>0</v>
      </c>
      <c r="T687" s="19"/>
      <c r="U687" s="5"/>
      <c r="V687" s="5"/>
      <c r="W687" s="5">
        <v>665</v>
      </c>
      <c r="X687" s="144" t="s">
        <v>718</v>
      </c>
      <c r="Y687" s="145"/>
      <c r="Z687" s="146"/>
      <c r="AA687" s="145"/>
      <c r="AB687" s="145"/>
      <c r="AD687" s="5">
        <v>665</v>
      </c>
      <c r="AE687" s="413" t="s">
        <v>718</v>
      </c>
      <c r="AF687" s="145"/>
      <c r="AG687" s="146"/>
      <c r="AH687" s="145"/>
      <c r="AI687" s="145"/>
      <c r="AK687" s="5">
        <v>665</v>
      </c>
      <c r="AL687" s="413" t="s">
        <v>718</v>
      </c>
      <c r="AM687" s="145"/>
      <c r="AN687" s="146"/>
      <c r="AO687" s="145"/>
      <c r="AP687" s="145"/>
      <c r="AR687" s="5">
        <v>665</v>
      </c>
      <c r="AS687" s="413" t="s">
        <v>718</v>
      </c>
      <c r="AT687" s="145"/>
      <c r="AU687" s="146"/>
      <c r="AV687" s="145"/>
      <c r="AW687" s="145"/>
      <c r="AY687" s="5">
        <v>665</v>
      </c>
      <c r="AZ687" s="413" t="s">
        <v>718</v>
      </c>
      <c r="BA687" s="145"/>
      <c r="BB687" s="146"/>
      <c r="BC687" s="145"/>
      <c r="BD687" s="145"/>
      <c r="BF687" s="5">
        <v>665</v>
      </c>
      <c r="BG687" s="413" t="s">
        <v>718</v>
      </c>
      <c r="BH687" s="145"/>
      <c r="BI687" s="146"/>
      <c r="BJ687" s="145"/>
      <c r="BK687" s="145"/>
      <c r="BM687" s="5">
        <v>665</v>
      </c>
      <c r="BN687" s="413" t="s">
        <v>718</v>
      </c>
      <c r="BO687" s="145"/>
      <c r="BP687" s="146"/>
      <c r="BQ687" s="145"/>
      <c r="BR687" s="145"/>
      <c r="BS687" s="5"/>
      <c r="BT687" s="5">
        <v>665</v>
      </c>
      <c r="BU687" s="413" t="s">
        <v>718</v>
      </c>
      <c r="BV687" s="145"/>
      <c r="BW687" s="146"/>
      <c r="BX687" s="145"/>
      <c r="BY687" s="145"/>
      <c r="BZ687" s="5"/>
      <c r="CA687" s="5">
        <v>665</v>
      </c>
      <c r="CB687" s="413" t="s">
        <v>718</v>
      </c>
      <c r="CC687" s="145"/>
      <c r="CD687" s="146"/>
      <c r="CE687" s="145"/>
      <c r="CF687" s="145"/>
      <c r="CG687" s="5"/>
      <c r="CH687" s="5"/>
      <c r="CI687" s="5"/>
    </row>
    <row r="688" spans="13:87" x14ac:dyDescent="0.2">
      <c r="M688" s="5">
        <v>666</v>
      </c>
      <c r="N688" s="413" t="str">
        <f t="shared" si="60"/>
        <v xml:space="preserve"> </v>
      </c>
      <c r="O688" s="414">
        <f t="shared" si="61"/>
        <v>0</v>
      </c>
      <c r="P688" s="414">
        <f t="shared" si="62"/>
        <v>0</v>
      </c>
      <c r="Q688" s="145">
        <f t="shared" si="65"/>
        <v>-8</v>
      </c>
      <c r="R688" s="414">
        <f t="shared" si="63"/>
        <v>0</v>
      </c>
      <c r="S688" s="414">
        <f t="shared" si="64"/>
        <v>0</v>
      </c>
      <c r="T688" s="19"/>
      <c r="U688" s="5"/>
      <c r="V688" s="5"/>
      <c r="W688" s="5">
        <v>666</v>
      </c>
      <c r="X688" s="144" t="s">
        <v>718</v>
      </c>
      <c r="Y688" s="145"/>
      <c r="Z688" s="146"/>
      <c r="AA688" s="145"/>
      <c r="AB688" s="145"/>
      <c r="AD688" s="5">
        <v>666</v>
      </c>
      <c r="AE688" s="413" t="s">
        <v>718</v>
      </c>
      <c r="AF688" s="145"/>
      <c r="AG688" s="146"/>
      <c r="AH688" s="145"/>
      <c r="AI688" s="145"/>
      <c r="AK688" s="5">
        <v>666</v>
      </c>
      <c r="AL688" s="413" t="s">
        <v>718</v>
      </c>
      <c r="AM688" s="145"/>
      <c r="AN688" s="146"/>
      <c r="AO688" s="145"/>
      <c r="AP688" s="145"/>
      <c r="AR688" s="5">
        <v>666</v>
      </c>
      <c r="AS688" s="413" t="s">
        <v>718</v>
      </c>
      <c r="AT688" s="145"/>
      <c r="AU688" s="146"/>
      <c r="AV688" s="145"/>
      <c r="AW688" s="145"/>
      <c r="AY688" s="5">
        <v>666</v>
      </c>
      <c r="AZ688" s="413" t="s">
        <v>718</v>
      </c>
      <c r="BA688" s="145"/>
      <c r="BB688" s="146"/>
      <c r="BC688" s="145"/>
      <c r="BD688" s="145"/>
      <c r="BF688" s="5">
        <v>666</v>
      </c>
      <c r="BG688" s="413" t="s">
        <v>718</v>
      </c>
      <c r="BH688" s="145"/>
      <c r="BI688" s="146"/>
      <c r="BJ688" s="145"/>
      <c r="BK688" s="145"/>
      <c r="BM688" s="5">
        <v>666</v>
      </c>
      <c r="BN688" s="413" t="s">
        <v>718</v>
      </c>
      <c r="BO688" s="145"/>
      <c r="BP688" s="146"/>
      <c r="BQ688" s="145"/>
      <c r="BR688" s="145"/>
      <c r="BS688" s="5"/>
      <c r="BT688" s="5">
        <v>666</v>
      </c>
      <c r="BU688" s="413" t="s">
        <v>718</v>
      </c>
      <c r="BV688" s="145"/>
      <c r="BW688" s="146"/>
      <c r="BX688" s="145"/>
      <c r="BY688" s="145"/>
      <c r="BZ688" s="5"/>
      <c r="CA688" s="5">
        <v>666</v>
      </c>
      <c r="CB688" s="413" t="s">
        <v>718</v>
      </c>
      <c r="CC688" s="145"/>
      <c r="CD688" s="146"/>
      <c r="CE688" s="145"/>
      <c r="CF688" s="145"/>
      <c r="CG688" s="5"/>
      <c r="CH688" s="5"/>
      <c r="CI688" s="5"/>
    </row>
    <row r="689" spans="13:87" x14ac:dyDescent="0.2">
      <c r="M689" s="5">
        <v>667</v>
      </c>
      <c r="N689" s="413" t="str">
        <f t="shared" si="60"/>
        <v xml:space="preserve"> </v>
      </c>
      <c r="O689" s="414">
        <f t="shared" si="61"/>
        <v>0</v>
      </c>
      <c r="P689" s="414">
        <f t="shared" si="62"/>
        <v>0</v>
      </c>
      <c r="Q689" s="145">
        <f t="shared" si="65"/>
        <v>-8</v>
      </c>
      <c r="R689" s="414">
        <f t="shared" si="63"/>
        <v>0</v>
      </c>
      <c r="S689" s="414">
        <f t="shared" si="64"/>
        <v>0</v>
      </c>
      <c r="T689" s="19"/>
      <c r="U689" s="5"/>
      <c r="V689" s="5"/>
      <c r="W689" s="5">
        <v>667</v>
      </c>
      <c r="X689" s="144" t="s">
        <v>718</v>
      </c>
      <c r="Y689" s="145"/>
      <c r="Z689" s="146"/>
      <c r="AA689" s="145"/>
      <c r="AB689" s="145"/>
      <c r="AD689" s="5">
        <v>667</v>
      </c>
      <c r="AE689" s="413" t="s">
        <v>718</v>
      </c>
      <c r="AF689" s="145"/>
      <c r="AG689" s="146"/>
      <c r="AH689" s="145"/>
      <c r="AI689" s="145"/>
      <c r="AK689" s="5">
        <v>667</v>
      </c>
      <c r="AL689" s="413" t="s">
        <v>718</v>
      </c>
      <c r="AM689" s="145"/>
      <c r="AN689" s="146"/>
      <c r="AO689" s="145"/>
      <c r="AP689" s="145"/>
      <c r="AR689" s="5">
        <v>667</v>
      </c>
      <c r="AS689" s="413" t="s">
        <v>718</v>
      </c>
      <c r="AT689" s="145"/>
      <c r="AU689" s="146"/>
      <c r="AV689" s="145"/>
      <c r="AW689" s="145"/>
      <c r="AY689" s="5">
        <v>667</v>
      </c>
      <c r="AZ689" s="413" t="s">
        <v>718</v>
      </c>
      <c r="BA689" s="145"/>
      <c r="BB689" s="146"/>
      <c r="BC689" s="145"/>
      <c r="BD689" s="145"/>
      <c r="BF689" s="5">
        <v>667</v>
      </c>
      <c r="BG689" s="413" t="s">
        <v>718</v>
      </c>
      <c r="BH689" s="145"/>
      <c r="BI689" s="146"/>
      <c r="BJ689" s="145"/>
      <c r="BK689" s="145"/>
      <c r="BM689" s="5">
        <v>667</v>
      </c>
      <c r="BN689" s="413" t="s">
        <v>718</v>
      </c>
      <c r="BO689" s="145"/>
      <c r="BP689" s="146"/>
      <c r="BQ689" s="145"/>
      <c r="BR689" s="145"/>
      <c r="BS689" s="5"/>
      <c r="BT689" s="5">
        <v>667</v>
      </c>
      <c r="BU689" s="413" t="s">
        <v>718</v>
      </c>
      <c r="BV689" s="145"/>
      <c r="BW689" s="146"/>
      <c r="BX689" s="145"/>
      <c r="BY689" s="145"/>
      <c r="BZ689" s="5"/>
      <c r="CA689" s="5">
        <v>667</v>
      </c>
      <c r="CB689" s="413" t="s">
        <v>718</v>
      </c>
      <c r="CC689" s="145"/>
      <c r="CD689" s="146"/>
      <c r="CE689" s="145"/>
      <c r="CF689" s="145"/>
      <c r="CG689" s="5"/>
      <c r="CH689" s="5"/>
      <c r="CI689" s="5"/>
    </row>
    <row r="690" spans="13:87" x14ac:dyDescent="0.2">
      <c r="M690" s="5">
        <v>668</v>
      </c>
      <c r="N690" s="413" t="str">
        <f t="shared" si="60"/>
        <v xml:space="preserve"> </v>
      </c>
      <c r="O690" s="414">
        <f t="shared" si="61"/>
        <v>0</v>
      </c>
      <c r="P690" s="414">
        <f t="shared" si="62"/>
        <v>0</v>
      </c>
      <c r="Q690" s="145">
        <f t="shared" si="65"/>
        <v>-8</v>
      </c>
      <c r="R690" s="414">
        <f t="shared" si="63"/>
        <v>0</v>
      </c>
      <c r="S690" s="414">
        <f t="shared" si="64"/>
        <v>0</v>
      </c>
      <c r="T690" s="19"/>
      <c r="U690" s="5"/>
      <c r="V690" s="5"/>
      <c r="W690" s="5">
        <v>668</v>
      </c>
      <c r="X690" s="144" t="s">
        <v>718</v>
      </c>
      <c r="Y690" s="145"/>
      <c r="Z690" s="146"/>
      <c r="AA690" s="145"/>
      <c r="AB690" s="145"/>
      <c r="AD690" s="5">
        <v>668</v>
      </c>
      <c r="AE690" s="413" t="s">
        <v>718</v>
      </c>
      <c r="AF690" s="145"/>
      <c r="AG690" s="146"/>
      <c r="AH690" s="145"/>
      <c r="AI690" s="145"/>
      <c r="AK690" s="5">
        <v>668</v>
      </c>
      <c r="AL690" s="413" t="s">
        <v>718</v>
      </c>
      <c r="AM690" s="145"/>
      <c r="AN690" s="146"/>
      <c r="AO690" s="145"/>
      <c r="AP690" s="145"/>
      <c r="AR690" s="5">
        <v>668</v>
      </c>
      <c r="AS690" s="413" t="s">
        <v>718</v>
      </c>
      <c r="AT690" s="145"/>
      <c r="AU690" s="146"/>
      <c r="AV690" s="145"/>
      <c r="AW690" s="145"/>
      <c r="AY690" s="5">
        <v>668</v>
      </c>
      <c r="AZ690" s="413" t="s">
        <v>718</v>
      </c>
      <c r="BA690" s="145"/>
      <c r="BB690" s="146"/>
      <c r="BC690" s="145"/>
      <c r="BD690" s="145"/>
      <c r="BF690" s="5">
        <v>668</v>
      </c>
      <c r="BG690" s="413" t="s">
        <v>718</v>
      </c>
      <c r="BH690" s="145"/>
      <c r="BI690" s="146"/>
      <c r="BJ690" s="145"/>
      <c r="BK690" s="145"/>
      <c r="BM690" s="5">
        <v>668</v>
      </c>
      <c r="BN690" s="413" t="s">
        <v>718</v>
      </c>
      <c r="BO690" s="145"/>
      <c r="BP690" s="146"/>
      <c r="BQ690" s="145"/>
      <c r="BR690" s="145"/>
      <c r="BS690" s="5"/>
      <c r="BT690" s="5">
        <v>668</v>
      </c>
      <c r="BU690" s="413" t="s">
        <v>718</v>
      </c>
      <c r="BV690" s="145"/>
      <c r="BW690" s="146"/>
      <c r="BX690" s="145"/>
      <c r="BY690" s="145"/>
      <c r="BZ690" s="5"/>
      <c r="CA690" s="5">
        <v>668</v>
      </c>
      <c r="CB690" s="413" t="s">
        <v>718</v>
      </c>
      <c r="CC690" s="145"/>
      <c r="CD690" s="146"/>
      <c r="CE690" s="145"/>
      <c r="CF690" s="145"/>
      <c r="CG690" s="5"/>
      <c r="CH690" s="5"/>
      <c r="CI690" s="5"/>
    </row>
    <row r="691" spans="13:87" x14ac:dyDescent="0.2">
      <c r="M691" s="5">
        <v>669</v>
      </c>
      <c r="N691" s="413" t="str">
        <f t="shared" si="60"/>
        <v xml:space="preserve"> </v>
      </c>
      <c r="O691" s="414">
        <f t="shared" si="61"/>
        <v>0</v>
      </c>
      <c r="P691" s="414">
        <f t="shared" si="62"/>
        <v>0</v>
      </c>
      <c r="Q691" s="145">
        <f t="shared" si="65"/>
        <v>-8</v>
      </c>
      <c r="R691" s="414">
        <f t="shared" si="63"/>
        <v>0</v>
      </c>
      <c r="S691" s="414">
        <f t="shared" si="64"/>
        <v>0</v>
      </c>
      <c r="T691" s="19"/>
      <c r="U691" s="5"/>
      <c r="V691" s="5"/>
      <c r="W691" s="5">
        <v>669</v>
      </c>
      <c r="X691" s="144" t="s">
        <v>718</v>
      </c>
      <c r="Y691" s="145"/>
      <c r="Z691" s="146"/>
      <c r="AA691" s="145"/>
      <c r="AB691" s="145"/>
      <c r="AD691" s="5">
        <v>669</v>
      </c>
      <c r="AE691" s="413" t="s">
        <v>718</v>
      </c>
      <c r="AF691" s="145"/>
      <c r="AG691" s="146"/>
      <c r="AH691" s="145"/>
      <c r="AI691" s="145"/>
      <c r="AK691" s="5">
        <v>669</v>
      </c>
      <c r="AL691" s="413" t="s">
        <v>718</v>
      </c>
      <c r="AM691" s="145"/>
      <c r="AN691" s="146"/>
      <c r="AO691" s="145"/>
      <c r="AP691" s="145"/>
      <c r="AR691" s="5">
        <v>669</v>
      </c>
      <c r="AS691" s="413" t="s">
        <v>718</v>
      </c>
      <c r="AT691" s="145"/>
      <c r="AU691" s="146"/>
      <c r="AV691" s="145"/>
      <c r="AW691" s="145"/>
      <c r="AY691" s="5">
        <v>669</v>
      </c>
      <c r="AZ691" s="413" t="s">
        <v>718</v>
      </c>
      <c r="BA691" s="145"/>
      <c r="BB691" s="146"/>
      <c r="BC691" s="145"/>
      <c r="BD691" s="145"/>
      <c r="BF691" s="5">
        <v>669</v>
      </c>
      <c r="BG691" s="413" t="s">
        <v>718</v>
      </c>
      <c r="BH691" s="145"/>
      <c r="BI691" s="146"/>
      <c r="BJ691" s="145"/>
      <c r="BK691" s="145"/>
      <c r="BM691" s="5">
        <v>669</v>
      </c>
      <c r="BN691" s="413" t="s">
        <v>718</v>
      </c>
      <c r="BO691" s="145"/>
      <c r="BP691" s="146"/>
      <c r="BQ691" s="145"/>
      <c r="BR691" s="145"/>
      <c r="BS691" s="5"/>
      <c r="BT691" s="5">
        <v>669</v>
      </c>
      <c r="BU691" s="413" t="s">
        <v>718</v>
      </c>
      <c r="BV691" s="145"/>
      <c r="BW691" s="146"/>
      <c r="BX691" s="145"/>
      <c r="BY691" s="145"/>
      <c r="BZ691" s="5"/>
      <c r="CA691" s="5">
        <v>669</v>
      </c>
      <c r="CB691" s="413" t="s">
        <v>718</v>
      </c>
      <c r="CC691" s="145"/>
      <c r="CD691" s="146"/>
      <c r="CE691" s="145"/>
      <c r="CF691" s="145"/>
      <c r="CG691" s="5"/>
      <c r="CH691" s="5"/>
      <c r="CI691" s="5"/>
    </row>
    <row r="692" spans="13:87" x14ac:dyDescent="0.2">
      <c r="M692" s="5">
        <v>670</v>
      </c>
      <c r="N692" s="413" t="str">
        <f t="shared" si="60"/>
        <v xml:space="preserve"> </v>
      </c>
      <c r="O692" s="414">
        <f t="shared" si="61"/>
        <v>0</v>
      </c>
      <c r="P692" s="414">
        <f t="shared" si="62"/>
        <v>0</v>
      </c>
      <c r="Q692" s="145">
        <f t="shared" si="65"/>
        <v>-8</v>
      </c>
      <c r="R692" s="414">
        <f t="shared" si="63"/>
        <v>0</v>
      </c>
      <c r="S692" s="414">
        <f t="shared" si="64"/>
        <v>0</v>
      </c>
      <c r="T692" s="19"/>
      <c r="U692" s="5"/>
      <c r="V692" s="5"/>
      <c r="W692" s="5">
        <v>670</v>
      </c>
      <c r="X692" s="144" t="s">
        <v>718</v>
      </c>
      <c r="Y692" s="145"/>
      <c r="Z692" s="146"/>
      <c r="AA692" s="145"/>
      <c r="AB692" s="145"/>
      <c r="AD692" s="5">
        <v>670</v>
      </c>
      <c r="AE692" s="413" t="s">
        <v>718</v>
      </c>
      <c r="AF692" s="145"/>
      <c r="AG692" s="146"/>
      <c r="AH692" s="145"/>
      <c r="AI692" s="145"/>
      <c r="AK692" s="5">
        <v>670</v>
      </c>
      <c r="AL692" s="413" t="s">
        <v>718</v>
      </c>
      <c r="AM692" s="145"/>
      <c r="AN692" s="146"/>
      <c r="AO692" s="145"/>
      <c r="AP692" s="145"/>
      <c r="AR692" s="5">
        <v>670</v>
      </c>
      <c r="AS692" s="413" t="s">
        <v>718</v>
      </c>
      <c r="AT692" s="145"/>
      <c r="AU692" s="146"/>
      <c r="AV692" s="145"/>
      <c r="AW692" s="145"/>
      <c r="AY692" s="5">
        <v>670</v>
      </c>
      <c r="AZ692" s="413" t="s">
        <v>718</v>
      </c>
      <c r="BA692" s="145"/>
      <c r="BB692" s="146"/>
      <c r="BC692" s="145"/>
      <c r="BD692" s="145"/>
      <c r="BF692" s="5">
        <v>670</v>
      </c>
      <c r="BG692" s="413" t="s">
        <v>718</v>
      </c>
      <c r="BH692" s="145"/>
      <c r="BI692" s="146"/>
      <c r="BJ692" s="145"/>
      <c r="BK692" s="145"/>
      <c r="BM692" s="5">
        <v>670</v>
      </c>
      <c r="BN692" s="413" t="s">
        <v>718</v>
      </c>
      <c r="BO692" s="145"/>
      <c r="BP692" s="146"/>
      <c r="BQ692" s="145"/>
      <c r="BR692" s="145"/>
      <c r="BS692" s="5"/>
      <c r="BT692" s="5">
        <v>670</v>
      </c>
      <c r="BU692" s="413" t="s">
        <v>718</v>
      </c>
      <c r="BV692" s="145"/>
      <c r="BW692" s="146"/>
      <c r="BX692" s="145"/>
      <c r="BY692" s="145"/>
      <c r="BZ692" s="5"/>
      <c r="CA692" s="5">
        <v>670</v>
      </c>
      <c r="CB692" s="413" t="s">
        <v>718</v>
      </c>
      <c r="CC692" s="145"/>
      <c r="CD692" s="146"/>
      <c r="CE692" s="145"/>
      <c r="CF692" s="145"/>
      <c r="CG692" s="5"/>
      <c r="CH692" s="5"/>
      <c r="CI692" s="5"/>
    </row>
    <row r="693" spans="13:87" x14ac:dyDescent="0.2">
      <c r="M693" s="5">
        <v>671</v>
      </c>
      <c r="N693" s="413" t="str">
        <f t="shared" si="60"/>
        <v xml:space="preserve"> </v>
      </c>
      <c r="O693" s="414">
        <f t="shared" si="61"/>
        <v>0</v>
      </c>
      <c r="P693" s="414">
        <f t="shared" si="62"/>
        <v>0</v>
      </c>
      <c r="Q693" s="145">
        <f t="shared" si="65"/>
        <v>-8</v>
      </c>
      <c r="R693" s="414">
        <f t="shared" si="63"/>
        <v>0</v>
      </c>
      <c r="S693" s="414">
        <f t="shared" si="64"/>
        <v>0</v>
      </c>
      <c r="T693" s="19"/>
      <c r="U693" s="5"/>
      <c r="V693" s="5"/>
      <c r="W693" s="5">
        <v>671</v>
      </c>
      <c r="X693" s="144" t="s">
        <v>718</v>
      </c>
      <c r="Y693" s="145"/>
      <c r="Z693" s="146"/>
      <c r="AA693" s="145"/>
      <c r="AB693" s="145"/>
      <c r="AD693" s="5">
        <v>671</v>
      </c>
      <c r="AE693" s="413" t="s">
        <v>718</v>
      </c>
      <c r="AF693" s="145"/>
      <c r="AG693" s="146"/>
      <c r="AH693" s="145"/>
      <c r="AI693" s="145"/>
      <c r="AK693" s="5">
        <v>671</v>
      </c>
      <c r="AL693" s="413" t="s">
        <v>718</v>
      </c>
      <c r="AM693" s="145"/>
      <c r="AN693" s="146"/>
      <c r="AO693" s="145"/>
      <c r="AP693" s="145"/>
      <c r="AR693" s="5">
        <v>671</v>
      </c>
      <c r="AS693" s="413" t="s">
        <v>718</v>
      </c>
      <c r="AT693" s="145"/>
      <c r="AU693" s="146"/>
      <c r="AV693" s="145"/>
      <c r="AW693" s="145"/>
      <c r="AY693" s="5">
        <v>671</v>
      </c>
      <c r="AZ693" s="413" t="s">
        <v>718</v>
      </c>
      <c r="BA693" s="145"/>
      <c r="BB693" s="146"/>
      <c r="BC693" s="145"/>
      <c r="BD693" s="145"/>
      <c r="BF693" s="5">
        <v>671</v>
      </c>
      <c r="BG693" s="413" t="s">
        <v>718</v>
      </c>
      <c r="BH693" s="145"/>
      <c r="BI693" s="146"/>
      <c r="BJ693" s="145"/>
      <c r="BK693" s="145"/>
      <c r="BM693" s="5">
        <v>671</v>
      </c>
      <c r="BN693" s="413" t="s">
        <v>718</v>
      </c>
      <c r="BO693" s="145"/>
      <c r="BP693" s="146"/>
      <c r="BQ693" s="145"/>
      <c r="BR693" s="145"/>
      <c r="BS693" s="5"/>
      <c r="BT693" s="5">
        <v>671</v>
      </c>
      <c r="BU693" s="413" t="s">
        <v>718</v>
      </c>
      <c r="BV693" s="145"/>
      <c r="BW693" s="146"/>
      <c r="BX693" s="145"/>
      <c r="BY693" s="145"/>
      <c r="BZ693" s="5"/>
      <c r="CA693" s="5">
        <v>671</v>
      </c>
      <c r="CB693" s="413" t="s">
        <v>718</v>
      </c>
      <c r="CC693" s="145"/>
      <c r="CD693" s="146"/>
      <c r="CE693" s="145"/>
      <c r="CF693" s="145"/>
      <c r="CG693" s="5"/>
      <c r="CH693" s="5"/>
      <c r="CI693" s="5"/>
    </row>
    <row r="694" spans="13:87" x14ac:dyDescent="0.2">
      <c r="M694" s="5">
        <v>672</v>
      </c>
      <c r="N694" s="413" t="str">
        <f t="shared" si="60"/>
        <v xml:space="preserve"> </v>
      </c>
      <c r="O694" s="414">
        <f t="shared" si="61"/>
        <v>0</v>
      </c>
      <c r="P694" s="414">
        <f t="shared" si="62"/>
        <v>0</v>
      </c>
      <c r="Q694" s="145">
        <f t="shared" si="65"/>
        <v>-8</v>
      </c>
      <c r="R694" s="414">
        <f t="shared" si="63"/>
        <v>0</v>
      </c>
      <c r="S694" s="414">
        <f t="shared" si="64"/>
        <v>0</v>
      </c>
      <c r="T694" s="19"/>
      <c r="U694" s="5"/>
      <c r="V694" s="5"/>
      <c r="W694" s="5">
        <v>672</v>
      </c>
      <c r="X694" s="144" t="s">
        <v>718</v>
      </c>
      <c r="Y694" s="145"/>
      <c r="Z694" s="146"/>
      <c r="AA694" s="145"/>
      <c r="AB694" s="145"/>
      <c r="AD694" s="5">
        <v>672</v>
      </c>
      <c r="AE694" s="413" t="s">
        <v>718</v>
      </c>
      <c r="AF694" s="145"/>
      <c r="AG694" s="146"/>
      <c r="AH694" s="145"/>
      <c r="AI694" s="145"/>
      <c r="AK694" s="5">
        <v>672</v>
      </c>
      <c r="AL694" s="413" t="s">
        <v>718</v>
      </c>
      <c r="AM694" s="145"/>
      <c r="AN694" s="146"/>
      <c r="AO694" s="145"/>
      <c r="AP694" s="145"/>
      <c r="AR694" s="5">
        <v>672</v>
      </c>
      <c r="AS694" s="413" t="s">
        <v>718</v>
      </c>
      <c r="AT694" s="145"/>
      <c r="AU694" s="146"/>
      <c r="AV694" s="145"/>
      <c r="AW694" s="145"/>
      <c r="AY694" s="5">
        <v>672</v>
      </c>
      <c r="AZ694" s="413" t="s">
        <v>718</v>
      </c>
      <c r="BA694" s="145"/>
      <c r="BB694" s="146"/>
      <c r="BC694" s="145"/>
      <c r="BD694" s="145"/>
      <c r="BF694" s="5">
        <v>672</v>
      </c>
      <c r="BG694" s="413" t="s">
        <v>718</v>
      </c>
      <c r="BH694" s="145"/>
      <c r="BI694" s="146"/>
      <c r="BJ694" s="145"/>
      <c r="BK694" s="145"/>
      <c r="BM694" s="5">
        <v>672</v>
      </c>
      <c r="BN694" s="413" t="s">
        <v>718</v>
      </c>
      <c r="BO694" s="145"/>
      <c r="BP694" s="146"/>
      <c r="BQ694" s="145"/>
      <c r="BR694" s="145"/>
      <c r="BS694" s="5"/>
      <c r="BT694" s="5">
        <v>672</v>
      </c>
      <c r="BU694" s="413" t="s">
        <v>718</v>
      </c>
      <c r="BV694" s="145"/>
      <c r="BW694" s="146"/>
      <c r="BX694" s="145"/>
      <c r="BY694" s="145"/>
      <c r="BZ694" s="5"/>
      <c r="CA694" s="5">
        <v>672</v>
      </c>
      <c r="CB694" s="413" t="s">
        <v>718</v>
      </c>
      <c r="CC694" s="145"/>
      <c r="CD694" s="146"/>
      <c r="CE694" s="145"/>
      <c r="CF694" s="145"/>
      <c r="CG694" s="5"/>
      <c r="CH694" s="5"/>
      <c r="CI694" s="5"/>
    </row>
    <row r="695" spans="13:87" x14ac:dyDescent="0.2">
      <c r="M695" s="5">
        <v>673</v>
      </c>
      <c r="N695" s="413" t="str">
        <f t="shared" si="60"/>
        <v xml:space="preserve"> </v>
      </c>
      <c r="O695" s="414">
        <f t="shared" si="61"/>
        <v>0</v>
      </c>
      <c r="P695" s="414">
        <f t="shared" si="62"/>
        <v>0</v>
      </c>
      <c r="Q695" s="145">
        <f t="shared" si="65"/>
        <v>-8</v>
      </c>
      <c r="R695" s="414">
        <f t="shared" si="63"/>
        <v>0</v>
      </c>
      <c r="S695" s="414">
        <f t="shared" si="64"/>
        <v>0</v>
      </c>
      <c r="T695" s="19"/>
      <c r="U695" s="5"/>
      <c r="V695" s="5"/>
      <c r="W695" s="5">
        <v>673</v>
      </c>
      <c r="X695" s="144" t="s">
        <v>718</v>
      </c>
      <c r="Y695" s="145"/>
      <c r="Z695" s="146"/>
      <c r="AA695" s="145"/>
      <c r="AB695" s="145"/>
      <c r="AD695" s="5">
        <v>673</v>
      </c>
      <c r="AE695" s="413" t="s">
        <v>718</v>
      </c>
      <c r="AF695" s="145"/>
      <c r="AG695" s="146"/>
      <c r="AH695" s="145"/>
      <c r="AI695" s="145"/>
      <c r="AK695" s="5">
        <v>673</v>
      </c>
      <c r="AL695" s="413" t="s">
        <v>718</v>
      </c>
      <c r="AM695" s="145"/>
      <c r="AN695" s="146"/>
      <c r="AO695" s="145"/>
      <c r="AP695" s="145"/>
      <c r="AR695" s="5">
        <v>673</v>
      </c>
      <c r="AS695" s="413" t="s">
        <v>718</v>
      </c>
      <c r="AT695" s="145"/>
      <c r="AU695" s="146"/>
      <c r="AV695" s="145"/>
      <c r="AW695" s="145"/>
      <c r="AY695" s="5">
        <v>673</v>
      </c>
      <c r="AZ695" s="413" t="s">
        <v>718</v>
      </c>
      <c r="BA695" s="145"/>
      <c r="BB695" s="146"/>
      <c r="BC695" s="145"/>
      <c r="BD695" s="145"/>
      <c r="BF695" s="5">
        <v>673</v>
      </c>
      <c r="BG695" s="413" t="s">
        <v>718</v>
      </c>
      <c r="BH695" s="145"/>
      <c r="BI695" s="146"/>
      <c r="BJ695" s="145"/>
      <c r="BK695" s="145"/>
      <c r="BM695" s="5">
        <v>673</v>
      </c>
      <c r="BN695" s="413" t="s">
        <v>718</v>
      </c>
      <c r="BO695" s="145"/>
      <c r="BP695" s="146"/>
      <c r="BQ695" s="145"/>
      <c r="BR695" s="145"/>
      <c r="BS695" s="5"/>
      <c r="BT695" s="5">
        <v>673</v>
      </c>
      <c r="BU695" s="413" t="s">
        <v>718</v>
      </c>
      <c r="BV695" s="145"/>
      <c r="BW695" s="146"/>
      <c r="BX695" s="145"/>
      <c r="BY695" s="145"/>
      <c r="BZ695" s="5"/>
      <c r="CA695" s="5">
        <v>673</v>
      </c>
      <c r="CB695" s="413" t="s">
        <v>718</v>
      </c>
      <c r="CC695" s="145"/>
      <c r="CD695" s="146"/>
      <c r="CE695" s="145"/>
      <c r="CF695" s="145"/>
      <c r="CG695" s="5"/>
      <c r="CH695" s="5"/>
      <c r="CI695" s="5"/>
    </row>
    <row r="696" spans="13:87" x14ac:dyDescent="0.2">
      <c r="M696" s="5">
        <v>674</v>
      </c>
      <c r="N696" s="413" t="str">
        <f t="shared" si="60"/>
        <v xml:space="preserve"> </v>
      </c>
      <c r="O696" s="414">
        <f t="shared" si="61"/>
        <v>0</v>
      </c>
      <c r="P696" s="414">
        <f t="shared" si="62"/>
        <v>0</v>
      </c>
      <c r="Q696" s="145">
        <f t="shared" si="65"/>
        <v>-8</v>
      </c>
      <c r="R696" s="414">
        <f t="shared" si="63"/>
        <v>0</v>
      </c>
      <c r="S696" s="414">
        <f t="shared" si="64"/>
        <v>0</v>
      </c>
      <c r="T696" s="19"/>
      <c r="U696" s="5"/>
      <c r="V696" s="5"/>
      <c r="W696" s="5">
        <v>674</v>
      </c>
      <c r="X696" s="144" t="s">
        <v>718</v>
      </c>
      <c r="Y696" s="145"/>
      <c r="Z696" s="146"/>
      <c r="AA696" s="145"/>
      <c r="AB696" s="145"/>
      <c r="AD696" s="5">
        <v>674</v>
      </c>
      <c r="AE696" s="413" t="s">
        <v>718</v>
      </c>
      <c r="AF696" s="145"/>
      <c r="AG696" s="146"/>
      <c r="AH696" s="145"/>
      <c r="AI696" s="145"/>
      <c r="AK696" s="5">
        <v>674</v>
      </c>
      <c r="AL696" s="413" t="s">
        <v>718</v>
      </c>
      <c r="AM696" s="145"/>
      <c r="AN696" s="146"/>
      <c r="AO696" s="145"/>
      <c r="AP696" s="145"/>
      <c r="AR696" s="5">
        <v>674</v>
      </c>
      <c r="AS696" s="413" t="s">
        <v>718</v>
      </c>
      <c r="AT696" s="145"/>
      <c r="AU696" s="146"/>
      <c r="AV696" s="145"/>
      <c r="AW696" s="145"/>
      <c r="AY696" s="5">
        <v>674</v>
      </c>
      <c r="AZ696" s="413" t="s">
        <v>718</v>
      </c>
      <c r="BA696" s="145"/>
      <c r="BB696" s="146"/>
      <c r="BC696" s="145"/>
      <c r="BD696" s="145"/>
      <c r="BF696" s="5">
        <v>674</v>
      </c>
      <c r="BG696" s="413" t="s">
        <v>718</v>
      </c>
      <c r="BH696" s="145"/>
      <c r="BI696" s="146"/>
      <c r="BJ696" s="145"/>
      <c r="BK696" s="145"/>
      <c r="BM696" s="5">
        <v>674</v>
      </c>
      <c r="BN696" s="413" t="s">
        <v>718</v>
      </c>
      <c r="BO696" s="145"/>
      <c r="BP696" s="146"/>
      <c r="BQ696" s="145"/>
      <c r="BR696" s="145"/>
      <c r="BS696" s="5"/>
      <c r="BT696" s="5">
        <v>674</v>
      </c>
      <c r="BU696" s="413" t="s">
        <v>718</v>
      </c>
      <c r="BV696" s="145"/>
      <c r="BW696" s="146"/>
      <c r="BX696" s="145"/>
      <c r="BY696" s="145"/>
      <c r="BZ696" s="5"/>
      <c r="CA696" s="5">
        <v>674</v>
      </c>
      <c r="CB696" s="413" t="s">
        <v>718</v>
      </c>
      <c r="CC696" s="145"/>
      <c r="CD696" s="146"/>
      <c r="CE696" s="145"/>
      <c r="CF696" s="145"/>
      <c r="CG696" s="5"/>
      <c r="CH696" s="5"/>
      <c r="CI696" s="5"/>
    </row>
    <row r="697" spans="13:87" x14ac:dyDescent="0.2">
      <c r="M697" s="5">
        <v>675</v>
      </c>
      <c r="N697" s="413" t="str">
        <f t="shared" si="60"/>
        <v xml:space="preserve"> </v>
      </c>
      <c r="O697" s="414">
        <f t="shared" si="61"/>
        <v>0</v>
      </c>
      <c r="P697" s="414">
        <f t="shared" si="62"/>
        <v>0</v>
      </c>
      <c r="Q697" s="145">
        <f t="shared" si="65"/>
        <v>-8</v>
      </c>
      <c r="R697" s="414">
        <f t="shared" si="63"/>
        <v>0</v>
      </c>
      <c r="S697" s="414">
        <f t="shared" si="64"/>
        <v>0</v>
      </c>
      <c r="T697" s="19"/>
      <c r="U697" s="5"/>
      <c r="V697" s="5"/>
      <c r="W697" s="5">
        <v>675</v>
      </c>
      <c r="X697" s="144" t="s">
        <v>718</v>
      </c>
      <c r="Y697" s="145"/>
      <c r="Z697" s="146"/>
      <c r="AA697" s="145"/>
      <c r="AB697" s="145"/>
      <c r="AD697" s="5">
        <v>675</v>
      </c>
      <c r="AE697" s="413" t="s">
        <v>718</v>
      </c>
      <c r="AF697" s="145"/>
      <c r="AG697" s="146"/>
      <c r="AH697" s="145"/>
      <c r="AI697" s="145"/>
      <c r="AK697" s="5">
        <v>675</v>
      </c>
      <c r="AL697" s="413" t="s">
        <v>718</v>
      </c>
      <c r="AM697" s="145"/>
      <c r="AN697" s="146"/>
      <c r="AO697" s="145"/>
      <c r="AP697" s="145"/>
      <c r="AR697" s="5">
        <v>675</v>
      </c>
      <c r="AS697" s="413" t="s">
        <v>718</v>
      </c>
      <c r="AT697" s="145"/>
      <c r="AU697" s="146"/>
      <c r="AV697" s="145"/>
      <c r="AW697" s="145"/>
      <c r="AY697" s="5">
        <v>675</v>
      </c>
      <c r="AZ697" s="413" t="s">
        <v>718</v>
      </c>
      <c r="BA697" s="145"/>
      <c r="BB697" s="146"/>
      <c r="BC697" s="145"/>
      <c r="BD697" s="145"/>
      <c r="BF697" s="5">
        <v>675</v>
      </c>
      <c r="BG697" s="413" t="s">
        <v>718</v>
      </c>
      <c r="BH697" s="145"/>
      <c r="BI697" s="146"/>
      <c r="BJ697" s="145"/>
      <c r="BK697" s="145"/>
      <c r="BM697" s="5">
        <v>675</v>
      </c>
      <c r="BN697" s="413" t="s">
        <v>718</v>
      </c>
      <c r="BO697" s="145"/>
      <c r="BP697" s="146"/>
      <c r="BQ697" s="145"/>
      <c r="BR697" s="145"/>
      <c r="BS697" s="5"/>
      <c r="BT697" s="5">
        <v>675</v>
      </c>
      <c r="BU697" s="413" t="s">
        <v>718</v>
      </c>
      <c r="BV697" s="145"/>
      <c r="BW697" s="146"/>
      <c r="BX697" s="145"/>
      <c r="BY697" s="145"/>
      <c r="BZ697" s="5"/>
      <c r="CA697" s="5">
        <v>675</v>
      </c>
      <c r="CB697" s="413" t="s">
        <v>718</v>
      </c>
      <c r="CC697" s="145"/>
      <c r="CD697" s="146"/>
      <c r="CE697" s="145"/>
      <c r="CF697" s="145"/>
      <c r="CG697" s="5"/>
      <c r="CH697" s="5"/>
      <c r="CI697" s="5"/>
    </row>
    <row r="698" spans="13:87" x14ac:dyDescent="0.2">
      <c r="M698" s="5">
        <v>676</v>
      </c>
      <c r="N698" s="413" t="str">
        <f t="shared" si="60"/>
        <v xml:space="preserve"> </v>
      </c>
      <c r="O698" s="414">
        <f t="shared" si="61"/>
        <v>0</v>
      </c>
      <c r="P698" s="414">
        <f t="shared" si="62"/>
        <v>0</v>
      </c>
      <c r="Q698" s="145">
        <f t="shared" si="65"/>
        <v>-8</v>
      </c>
      <c r="R698" s="414">
        <f t="shared" si="63"/>
        <v>0</v>
      </c>
      <c r="S698" s="414">
        <f t="shared" si="64"/>
        <v>0</v>
      </c>
      <c r="T698" s="19"/>
      <c r="U698" s="5"/>
      <c r="V698" s="5"/>
      <c r="W698" s="5">
        <v>676</v>
      </c>
      <c r="X698" s="144" t="s">
        <v>718</v>
      </c>
      <c r="Y698" s="145"/>
      <c r="Z698" s="146"/>
      <c r="AA698" s="145"/>
      <c r="AB698" s="145"/>
      <c r="AD698" s="5">
        <v>676</v>
      </c>
      <c r="AE698" s="413" t="s">
        <v>718</v>
      </c>
      <c r="AF698" s="145"/>
      <c r="AG698" s="146"/>
      <c r="AH698" s="145"/>
      <c r="AI698" s="145"/>
      <c r="AK698" s="5">
        <v>676</v>
      </c>
      <c r="AL698" s="413" t="s">
        <v>718</v>
      </c>
      <c r="AM698" s="145"/>
      <c r="AN698" s="146"/>
      <c r="AO698" s="145"/>
      <c r="AP698" s="145"/>
      <c r="AR698" s="5">
        <v>676</v>
      </c>
      <c r="AS698" s="413" t="s">
        <v>718</v>
      </c>
      <c r="AT698" s="145"/>
      <c r="AU698" s="146"/>
      <c r="AV698" s="145"/>
      <c r="AW698" s="145"/>
      <c r="AY698" s="5">
        <v>676</v>
      </c>
      <c r="AZ698" s="413" t="s">
        <v>718</v>
      </c>
      <c r="BA698" s="145"/>
      <c r="BB698" s="146"/>
      <c r="BC698" s="145"/>
      <c r="BD698" s="145"/>
      <c r="BF698" s="5">
        <v>676</v>
      </c>
      <c r="BG698" s="413" t="s">
        <v>718</v>
      </c>
      <c r="BH698" s="145"/>
      <c r="BI698" s="146"/>
      <c r="BJ698" s="145"/>
      <c r="BK698" s="145"/>
      <c r="BM698" s="5">
        <v>676</v>
      </c>
      <c r="BN698" s="413" t="s">
        <v>718</v>
      </c>
      <c r="BO698" s="145"/>
      <c r="BP698" s="146"/>
      <c r="BQ698" s="145"/>
      <c r="BR698" s="145"/>
      <c r="BS698" s="5"/>
      <c r="BT698" s="5">
        <v>676</v>
      </c>
      <c r="BU698" s="413" t="s">
        <v>718</v>
      </c>
      <c r="BV698" s="145"/>
      <c r="BW698" s="146"/>
      <c r="BX698" s="145"/>
      <c r="BY698" s="145"/>
      <c r="BZ698" s="5"/>
      <c r="CA698" s="5">
        <v>676</v>
      </c>
      <c r="CB698" s="413" t="s">
        <v>718</v>
      </c>
      <c r="CC698" s="145"/>
      <c r="CD698" s="146"/>
      <c r="CE698" s="145"/>
      <c r="CF698" s="145"/>
      <c r="CG698" s="5"/>
      <c r="CH698" s="5"/>
      <c r="CI698" s="5"/>
    </row>
    <row r="699" spans="13:87" x14ac:dyDescent="0.2">
      <c r="M699" s="5">
        <v>677</v>
      </c>
      <c r="N699" s="413" t="str">
        <f t="shared" si="60"/>
        <v xml:space="preserve"> </v>
      </c>
      <c r="O699" s="414">
        <f t="shared" si="61"/>
        <v>0</v>
      </c>
      <c r="P699" s="414">
        <f t="shared" si="62"/>
        <v>0</v>
      </c>
      <c r="Q699" s="145">
        <f t="shared" si="65"/>
        <v>-8</v>
      </c>
      <c r="R699" s="414">
        <f t="shared" si="63"/>
        <v>0</v>
      </c>
      <c r="S699" s="414">
        <f t="shared" si="64"/>
        <v>0</v>
      </c>
      <c r="T699" s="19"/>
      <c r="U699" s="5"/>
      <c r="V699" s="5"/>
      <c r="W699" s="5">
        <v>677</v>
      </c>
      <c r="X699" s="144" t="s">
        <v>718</v>
      </c>
      <c r="Y699" s="145"/>
      <c r="Z699" s="146"/>
      <c r="AA699" s="145"/>
      <c r="AB699" s="145"/>
      <c r="AD699" s="5">
        <v>677</v>
      </c>
      <c r="AE699" s="413" t="s">
        <v>718</v>
      </c>
      <c r="AF699" s="145"/>
      <c r="AG699" s="146"/>
      <c r="AH699" s="145"/>
      <c r="AI699" s="145"/>
      <c r="AK699" s="5">
        <v>677</v>
      </c>
      <c r="AL699" s="413" t="s">
        <v>718</v>
      </c>
      <c r="AM699" s="145"/>
      <c r="AN699" s="146"/>
      <c r="AO699" s="145"/>
      <c r="AP699" s="145"/>
      <c r="AR699" s="5">
        <v>677</v>
      </c>
      <c r="AS699" s="413" t="s">
        <v>718</v>
      </c>
      <c r="AT699" s="145"/>
      <c r="AU699" s="146"/>
      <c r="AV699" s="145"/>
      <c r="AW699" s="145"/>
      <c r="AY699" s="5">
        <v>677</v>
      </c>
      <c r="AZ699" s="413" t="s">
        <v>718</v>
      </c>
      <c r="BA699" s="145"/>
      <c r="BB699" s="146"/>
      <c r="BC699" s="145"/>
      <c r="BD699" s="145"/>
      <c r="BF699" s="5">
        <v>677</v>
      </c>
      <c r="BG699" s="413" t="s">
        <v>718</v>
      </c>
      <c r="BH699" s="145"/>
      <c r="BI699" s="146"/>
      <c r="BJ699" s="145"/>
      <c r="BK699" s="145"/>
      <c r="BM699" s="5">
        <v>677</v>
      </c>
      <c r="BN699" s="413" t="s">
        <v>718</v>
      </c>
      <c r="BO699" s="145"/>
      <c r="BP699" s="146"/>
      <c r="BQ699" s="145"/>
      <c r="BR699" s="145"/>
      <c r="BS699" s="5"/>
      <c r="BT699" s="5">
        <v>677</v>
      </c>
      <c r="BU699" s="413" t="s">
        <v>718</v>
      </c>
      <c r="BV699" s="145"/>
      <c r="BW699" s="146"/>
      <c r="BX699" s="145"/>
      <c r="BY699" s="145"/>
      <c r="BZ699" s="5"/>
      <c r="CA699" s="5">
        <v>677</v>
      </c>
      <c r="CB699" s="413" t="s">
        <v>718</v>
      </c>
      <c r="CC699" s="145"/>
      <c r="CD699" s="146"/>
      <c r="CE699" s="145"/>
      <c r="CF699" s="145"/>
      <c r="CG699" s="5"/>
      <c r="CH699" s="5"/>
      <c r="CI699" s="5"/>
    </row>
    <row r="700" spans="13:87" x14ac:dyDescent="0.2">
      <c r="M700" s="5">
        <v>678</v>
      </c>
      <c r="N700" s="413" t="str">
        <f t="shared" si="60"/>
        <v xml:space="preserve"> </v>
      </c>
      <c r="O700" s="414">
        <f t="shared" si="61"/>
        <v>0</v>
      </c>
      <c r="P700" s="414">
        <f t="shared" si="62"/>
        <v>0</v>
      </c>
      <c r="Q700" s="145">
        <f t="shared" si="65"/>
        <v>-8</v>
      </c>
      <c r="R700" s="414">
        <f t="shared" si="63"/>
        <v>0</v>
      </c>
      <c r="S700" s="414">
        <f t="shared" si="64"/>
        <v>0</v>
      </c>
      <c r="T700" s="19"/>
      <c r="U700" s="5"/>
      <c r="V700" s="5"/>
      <c r="W700" s="5">
        <v>678</v>
      </c>
      <c r="X700" s="144" t="s">
        <v>718</v>
      </c>
      <c r="Y700" s="145"/>
      <c r="Z700" s="146"/>
      <c r="AA700" s="145"/>
      <c r="AB700" s="145"/>
      <c r="AD700" s="5">
        <v>678</v>
      </c>
      <c r="AE700" s="413" t="s">
        <v>718</v>
      </c>
      <c r="AF700" s="145"/>
      <c r="AG700" s="146"/>
      <c r="AH700" s="145"/>
      <c r="AI700" s="145"/>
      <c r="AK700" s="5">
        <v>678</v>
      </c>
      <c r="AL700" s="413" t="s">
        <v>718</v>
      </c>
      <c r="AM700" s="145"/>
      <c r="AN700" s="146"/>
      <c r="AO700" s="145"/>
      <c r="AP700" s="145"/>
      <c r="AR700" s="5">
        <v>678</v>
      </c>
      <c r="AS700" s="413" t="s">
        <v>718</v>
      </c>
      <c r="AT700" s="145"/>
      <c r="AU700" s="146"/>
      <c r="AV700" s="145"/>
      <c r="AW700" s="145"/>
      <c r="AY700" s="5">
        <v>678</v>
      </c>
      <c r="AZ700" s="413" t="s">
        <v>718</v>
      </c>
      <c r="BA700" s="145"/>
      <c r="BB700" s="146"/>
      <c r="BC700" s="145"/>
      <c r="BD700" s="145"/>
      <c r="BF700" s="5">
        <v>678</v>
      </c>
      <c r="BG700" s="413" t="s">
        <v>718</v>
      </c>
      <c r="BH700" s="145"/>
      <c r="BI700" s="146"/>
      <c r="BJ700" s="145"/>
      <c r="BK700" s="145"/>
      <c r="BM700" s="5">
        <v>678</v>
      </c>
      <c r="BN700" s="413" t="s">
        <v>718</v>
      </c>
      <c r="BO700" s="145"/>
      <c r="BP700" s="146"/>
      <c r="BQ700" s="145"/>
      <c r="BR700" s="145"/>
      <c r="BS700" s="5"/>
      <c r="BT700" s="5">
        <v>678</v>
      </c>
      <c r="BU700" s="413" t="s">
        <v>718</v>
      </c>
      <c r="BV700" s="145"/>
      <c r="BW700" s="146"/>
      <c r="BX700" s="145"/>
      <c r="BY700" s="145"/>
      <c r="BZ700" s="5"/>
      <c r="CA700" s="5">
        <v>678</v>
      </c>
      <c r="CB700" s="413" t="s">
        <v>718</v>
      </c>
      <c r="CC700" s="145"/>
      <c r="CD700" s="146"/>
      <c r="CE700" s="145"/>
      <c r="CF700" s="145"/>
      <c r="CG700" s="5"/>
      <c r="CH700" s="5"/>
      <c r="CI700" s="5"/>
    </row>
    <row r="701" spans="13:87" x14ac:dyDescent="0.2">
      <c r="M701" s="5">
        <v>679</v>
      </c>
      <c r="N701" s="413" t="str">
        <f t="shared" si="60"/>
        <v xml:space="preserve"> </v>
      </c>
      <c r="O701" s="414">
        <f t="shared" si="61"/>
        <v>0</v>
      </c>
      <c r="P701" s="414">
        <f t="shared" si="62"/>
        <v>0</v>
      </c>
      <c r="Q701" s="145">
        <f t="shared" si="65"/>
        <v>-8</v>
      </c>
      <c r="R701" s="414">
        <f t="shared" si="63"/>
        <v>0</v>
      </c>
      <c r="S701" s="414">
        <f t="shared" si="64"/>
        <v>0</v>
      </c>
      <c r="T701" s="19"/>
      <c r="U701" s="5"/>
      <c r="V701" s="5"/>
      <c r="W701" s="5">
        <v>679</v>
      </c>
      <c r="X701" s="144" t="s">
        <v>718</v>
      </c>
      <c r="Y701" s="145"/>
      <c r="Z701" s="146"/>
      <c r="AA701" s="145"/>
      <c r="AB701" s="145"/>
      <c r="AD701" s="5">
        <v>679</v>
      </c>
      <c r="AE701" s="413" t="s">
        <v>718</v>
      </c>
      <c r="AF701" s="145"/>
      <c r="AG701" s="146"/>
      <c r="AH701" s="145"/>
      <c r="AI701" s="145"/>
      <c r="AK701" s="5">
        <v>679</v>
      </c>
      <c r="AL701" s="413" t="s">
        <v>718</v>
      </c>
      <c r="AM701" s="145"/>
      <c r="AN701" s="146"/>
      <c r="AO701" s="145"/>
      <c r="AP701" s="145"/>
      <c r="AR701" s="5">
        <v>679</v>
      </c>
      <c r="AS701" s="413" t="s">
        <v>718</v>
      </c>
      <c r="AT701" s="145"/>
      <c r="AU701" s="146"/>
      <c r="AV701" s="145"/>
      <c r="AW701" s="145"/>
      <c r="AY701" s="5">
        <v>679</v>
      </c>
      <c r="AZ701" s="413" t="s">
        <v>718</v>
      </c>
      <c r="BA701" s="145"/>
      <c r="BB701" s="146"/>
      <c r="BC701" s="145"/>
      <c r="BD701" s="145"/>
      <c r="BF701" s="5">
        <v>679</v>
      </c>
      <c r="BG701" s="413" t="s">
        <v>718</v>
      </c>
      <c r="BH701" s="145"/>
      <c r="BI701" s="146"/>
      <c r="BJ701" s="145"/>
      <c r="BK701" s="145"/>
      <c r="BM701" s="5">
        <v>679</v>
      </c>
      <c r="BN701" s="413" t="s">
        <v>718</v>
      </c>
      <c r="BO701" s="145"/>
      <c r="BP701" s="146"/>
      <c r="BQ701" s="145"/>
      <c r="BR701" s="145"/>
      <c r="BS701" s="5"/>
      <c r="BT701" s="5">
        <v>679</v>
      </c>
      <c r="BU701" s="413" t="s">
        <v>718</v>
      </c>
      <c r="BV701" s="145"/>
      <c r="BW701" s="146"/>
      <c r="BX701" s="145"/>
      <c r="BY701" s="145"/>
      <c r="BZ701" s="5"/>
      <c r="CA701" s="5">
        <v>679</v>
      </c>
      <c r="CB701" s="413" t="s">
        <v>718</v>
      </c>
      <c r="CC701" s="145"/>
      <c r="CD701" s="146"/>
      <c r="CE701" s="145"/>
      <c r="CF701" s="145"/>
      <c r="CG701" s="5"/>
      <c r="CH701" s="5"/>
      <c r="CI701" s="5"/>
    </row>
    <row r="702" spans="13:87" x14ac:dyDescent="0.2">
      <c r="M702" s="5">
        <v>680</v>
      </c>
      <c r="N702" s="413" t="str">
        <f t="shared" si="60"/>
        <v xml:space="preserve"> </v>
      </c>
      <c r="O702" s="414">
        <f t="shared" si="61"/>
        <v>0</v>
      </c>
      <c r="P702" s="414">
        <f t="shared" si="62"/>
        <v>0</v>
      </c>
      <c r="Q702" s="145">
        <f t="shared" si="65"/>
        <v>-8</v>
      </c>
      <c r="R702" s="414">
        <f t="shared" si="63"/>
        <v>0</v>
      </c>
      <c r="S702" s="414">
        <f t="shared" si="64"/>
        <v>0</v>
      </c>
      <c r="T702" s="19"/>
      <c r="U702" s="5"/>
      <c r="V702" s="5"/>
      <c r="W702" s="5">
        <v>680</v>
      </c>
      <c r="X702" s="144" t="s">
        <v>718</v>
      </c>
      <c r="Y702" s="145"/>
      <c r="Z702" s="146"/>
      <c r="AA702" s="145"/>
      <c r="AB702" s="145"/>
      <c r="AD702" s="5">
        <v>680</v>
      </c>
      <c r="AE702" s="413" t="s">
        <v>718</v>
      </c>
      <c r="AF702" s="145"/>
      <c r="AG702" s="146"/>
      <c r="AH702" s="145"/>
      <c r="AI702" s="145"/>
      <c r="AK702" s="5">
        <v>680</v>
      </c>
      <c r="AL702" s="413" t="s">
        <v>718</v>
      </c>
      <c r="AM702" s="145"/>
      <c r="AN702" s="146"/>
      <c r="AO702" s="145"/>
      <c r="AP702" s="145"/>
      <c r="AR702" s="5">
        <v>680</v>
      </c>
      <c r="AS702" s="413" t="s">
        <v>718</v>
      </c>
      <c r="AT702" s="145"/>
      <c r="AU702" s="146"/>
      <c r="AV702" s="145"/>
      <c r="AW702" s="145"/>
      <c r="AY702" s="5">
        <v>680</v>
      </c>
      <c r="AZ702" s="413" t="s">
        <v>718</v>
      </c>
      <c r="BA702" s="145"/>
      <c r="BB702" s="146"/>
      <c r="BC702" s="145"/>
      <c r="BD702" s="145"/>
      <c r="BF702" s="5">
        <v>680</v>
      </c>
      <c r="BG702" s="413" t="s">
        <v>718</v>
      </c>
      <c r="BH702" s="145"/>
      <c r="BI702" s="146"/>
      <c r="BJ702" s="145"/>
      <c r="BK702" s="145"/>
      <c r="BM702" s="5">
        <v>680</v>
      </c>
      <c r="BN702" s="413" t="s">
        <v>718</v>
      </c>
      <c r="BO702" s="145"/>
      <c r="BP702" s="146"/>
      <c r="BQ702" s="145"/>
      <c r="BR702" s="145"/>
      <c r="BS702" s="5"/>
      <c r="BT702" s="5">
        <v>680</v>
      </c>
      <c r="BU702" s="413" t="s">
        <v>718</v>
      </c>
      <c r="BV702" s="145"/>
      <c r="BW702" s="146"/>
      <c r="BX702" s="145"/>
      <c r="BY702" s="145"/>
      <c r="BZ702" s="5"/>
      <c r="CA702" s="5">
        <v>680</v>
      </c>
      <c r="CB702" s="413" t="s">
        <v>718</v>
      </c>
      <c r="CC702" s="145"/>
      <c r="CD702" s="146"/>
      <c r="CE702" s="145"/>
      <c r="CF702" s="145"/>
      <c r="CG702" s="5"/>
      <c r="CH702" s="5"/>
      <c r="CI702" s="5"/>
    </row>
    <row r="703" spans="13:87" x14ac:dyDescent="0.2">
      <c r="M703" s="5">
        <v>681</v>
      </c>
      <c r="N703" s="413" t="str">
        <f t="shared" si="60"/>
        <v xml:space="preserve"> </v>
      </c>
      <c r="O703" s="414">
        <f t="shared" si="61"/>
        <v>0</v>
      </c>
      <c r="P703" s="414">
        <f t="shared" si="62"/>
        <v>0</v>
      </c>
      <c r="Q703" s="145">
        <f t="shared" si="65"/>
        <v>-8</v>
      </c>
      <c r="R703" s="414">
        <f t="shared" si="63"/>
        <v>0</v>
      </c>
      <c r="S703" s="414">
        <f t="shared" si="64"/>
        <v>0</v>
      </c>
      <c r="T703" s="19"/>
      <c r="U703" s="5"/>
      <c r="V703" s="5"/>
      <c r="W703" s="5">
        <v>681</v>
      </c>
      <c r="X703" s="144" t="s">
        <v>718</v>
      </c>
      <c r="Y703" s="145"/>
      <c r="Z703" s="146"/>
      <c r="AA703" s="145"/>
      <c r="AB703" s="145"/>
      <c r="AD703" s="5">
        <v>681</v>
      </c>
      <c r="AE703" s="413" t="s">
        <v>718</v>
      </c>
      <c r="AF703" s="145"/>
      <c r="AG703" s="146"/>
      <c r="AH703" s="145"/>
      <c r="AI703" s="145"/>
      <c r="AK703" s="5">
        <v>681</v>
      </c>
      <c r="AL703" s="413" t="s">
        <v>718</v>
      </c>
      <c r="AM703" s="145"/>
      <c r="AN703" s="146"/>
      <c r="AO703" s="145"/>
      <c r="AP703" s="145"/>
      <c r="AR703" s="5">
        <v>681</v>
      </c>
      <c r="AS703" s="413" t="s">
        <v>718</v>
      </c>
      <c r="AT703" s="145"/>
      <c r="AU703" s="146"/>
      <c r="AV703" s="145"/>
      <c r="AW703" s="145"/>
      <c r="AY703" s="5">
        <v>681</v>
      </c>
      <c r="AZ703" s="413" t="s">
        <v>718</v>
      </c>
      <c r="BA703" s="145"/>
      <c r="BB703" s="146"/>
      <c r="BC703" s="145"/>
      <c r="BD703" s="145"/>
      <c r="BF703" s="5">
        <v>681</v>
      </c>
      <c r="BG703" s="413" t="s">
        <v>718</v>
      </c>
      <c r="BH703" s="145"/>
      <c r="BI703" s="146"/>
      <c r="BJ703" s="145"/>
      <c r="BK703" s="145"/>
      <c r="BM703" s="5">
        <v>681</v>
      </c>
      <c r="BN703" s="413" t="s">
        <v>718</v>
      </c>
      <c r="BO703" s="145"/>
      <c r="BP703" s="146"/>
      <c r="BQ703" s="145"/>
      <c r="BR703" s="145"/>
      <c r="BS703" s="5"/>
      <c r="BT703" s="5">
        <v>681</v>
      </c>
      <c r="BU703" s="413" t="s">
        <v>718</v>
      </c>
      <c r="BV703" s="145"/>
      <c r="BW703" s="146"/>
      <c r="BX703" s="145"/>
      <c r="BY703" s="145"/>
      <c r="BZ703" s="5"/>
      <c r="CA703" s="5">
        <v>681</v>
      </c>
      <c r="CB703" s="413" t="s">
        <v>718</v>
      </c>
      <c r="CC703" s="145"/>
      <c r="CD703" s="146"/>
      <c r="CE703" s="145"/>
      <c r="CF703" s="145"/>
      <c r="CG703" s="5"/>
      <c r="CH703" s="5"/>
      <c r="CI703" s="5"/>
    </row>
    <row r="704" spans="13:87" x14ac:dyDescent="0.2">
      <c r="M704" s="5">
        <v>682</v>
      </c>
      <c r="N704" s="413" t="str">
        <f t="shared" si="60"/>
        <v xml:space="preserve"> </v>
      </c>
      <c r="O704" s="414">
        <f t="shared" si="61"/>
        <v>0</v>
      </c>
      <c r="P704" s="414">
        <f t="shared" si="62"/>
        <v>0</v>
      </c>
      <c r="Q704" s="145">
        <f t="shared" si="65"/>
        <v>-8</v>
      </c>
      <c r="R704" s="414">
        <f t="shared" si="63"/>
        <v>0</v>
      </c>
      <c r="S704" s="414">
        <f t="shared" si="64"/>
        <v>0</v>
      </c>
      <c r="T704" s="19"/>
      <c r="U704" s="5"/>
      <c r="V704" s="5"/>
      <c r="W704" s="5">
        <v>682</v>
      </c>
      <c r="X704" s="144" t="s">
        <v>718</v>
      </c>
      <c r="Y704" s="145"/>
      <c r="Z704" s="146"/>
      <c r="AA704" s="145"/>
      <c r="AB704" s="145"/>
      <c r="AD704" s="5">
        <v>682</v>
      </c>
      <c r="AE704" s="413" t="s">
        <v>718</v>
      </c>
      <c r="AF704" s="145"/>
      <c r="AG704" s="146"/>
      <c r="AH704" s="145"/>
      <c r="AI704" s="145"/>
      <c r="AK704" s="5">
        <v>682</v>
      </c>
      <c r="AL704" s="413" t="s">
        <v>718</v>
      </c>
      <c r="AM704" s="145"/>
      <c r="AN704" s="146"/>
      <c r="AO704" s="145"/>
      <c r="AP704" s="145"/>
      <c r="AR704" s="5">
        <v>682</v>
      </c>
      <c r="AS704" s="413" t="s">
        <v>718</v>
      </c>
      <c r="AT704" s="145"/>
      <c r="AU704" s="146"/>
      <c r="AV704" s="145"/>
      <c r="AW704" s="145"/>
      <c r="AY704" s="5">
        <v>682</v>
      </c>
      <c r="AZ704" s="413" t="s">
        <v>718</v>
      </c>
      <c r="BA704" s="145"/>
      <c r="BB704" s="146"/>
      <c r="BC704" s="145"/>
      <c r="BD704" s="145"/>
      <c r="BF704" s="5">
        <v>682</v>
      </c>
      <c r="BG704" s="413" t="s">
        <v>718</v>
      </c>
      <c r="BH704" s="145"/>
      <c r="BI704" s="146"/>
      <c r="BJ704" s="145"/>
      <c r="BK704" s="145"/>
      <c r="BM704" s="5">
        <v>682</v>
      </c>
      <c r="BN704" s="413" t="s">
        <v>718</v>
      </c>
      <c r="BO704" s="145"/>
      <c r="BP704" s="146"/>
      <c r="BQ704" s="145"/>
      <c r="BR704" s="145"/>
      <c r="BS704" s="5"/>
      <c r="BT704" s="5">
        <v>682</v>
      </c>
      <c r="BU704" s="413" t="s">
        <v>718</v>
      </c>
      <c r="BV704" s="145"/>
      <c r="BW704" s="146"/>
      <c r="BX704" s="145"/>
      <c r="BY704" s="145"/>
      <c r="BZ704" s="5"/>
      <c r="CA704" s="5">
        <v>682</v>
      </c>
      <c r="CB704" s="413" t="s">
        <v>718</v>
      </c>
      <c r="CC704" s="145"/>
      <c r="CD704" s="146"/>
      <c r="CE704" s="145"/>
      <c r="CF704" s="145"/>
      <c r="CG704" s="5"/>
      <c r="CH704" s="5"/>
      <c r="CI704" s="5"/>
    </row>
    <row r="705" spans="13:87" x14ac:dyDescent="0.2">
      <c r="M705" s="5">
        <v>683</v>
      </c>
      <c r="N705" s="413" t="str">
        <f t="shared" si="60"/>
        <v xml:space="preserve"> </v>
      </c>
      <c r="O705" s="414">
        <f t="shared" si="61"/>
        <v>0</v>
      </c>
      <c r="P705" s="414">
        <f t="shared" si="62"/>
        <v>0</v>
      </c>
      <c r="Q705" s="145">
        <f t="shared" si="65"/>
        <v>-8</v>
      </c>
      <c r="R705" s="414">
        <f t="shared" si="63"/>
        <v>0</v>
      </c>
      <c r="S705" s="414">
        <f t="shared" si="64"/>
        <v>0</v>
      </c>
      <c r="T705" s="19"/>
      <c r="U705" s="5"/>
      <c r="V705" s="5"/>
      <c r="W705" s="5">
        <v>683</v>
      </c>
      <c r="X705" s="144" t="s">
        <v>718</v>
      </c>
      <c r="Y705" s="145"/>
      <c r="Z705" s="146"/>
      <c r="AA705" s="145"/>
      <c r="AB705" s="145"/>
      <c r="AD705" s="5">
        <v>683</v>
      </c>
      <c r="AE705" s="413" t="s">
        <v>718</v>
      </c>
      <c r="AF705" s="145"/>
      <c r="AG705" s="146"/>
      <c r="AH705" s="145"/>
      <c r="AI705" s="145"/>
      <c r="AK705" s="5">
        <v>683</v>
      </c>
      <c r="AL705" s="413" t="s">
        <v>718</v>
      </c>
      <c r="AM705" s="145"/>
      <c r="AN705" s="146"/>
      <c r="AO705" s="145"/>
      <c r="AP705" s="145"/>
      <c r="AR705" s="5">
        <v>683</v>
      </c>
      <c r="AS705" s="413" t="s">
        <v>718</v>
      </c>
      <c r="AT705" s="145"/>
      <c r="AU705" s="146"/>
      <c r="AV705" s="145"/>
      <c r="AW705" s="145"/>
      <c r="AY705" s="5">
        <v>683</v>
      </c>
      <c r="AZ705" s="413" t="s">
        <v>718</v>
      </c>
      <c r="BA705" s="145"/>
      <c r="BB705" s="146"/>
      <c r="BC705" s="145"/>
      <c r="BD705" s="145"/>
      <c r="BF705" s="5">
        <v>683</v>
      </c>
      <c r="BG705" s="413" t="s">
        <v>718</v>
      </c>
      <c r="BH705" s="145"/>
      <c r="BI705" s="146"/>
      <c r="BJ705" s="145"/>
      <c r="BK705" s="145"/>
      <c r="BM705" s="5">
        <v>683</v>
      </c>
      <c r="BN705" s="413" t="s">
        <v>718</v>
      </c>
      <c r="BO705" s="145"/>
      <c r="BP705" s="146"/>
      <c r="BQ705" s="145"/>
      <c r="BR705" s="145"/>
      <c r="BS705" s="5"/>
      <c r="BT705" s="5">
        <v>683</v>
      </c>
      <c r="BU705" s="413" t="s">
        <v>718</v>
      </c>
      <c r="BV705" s="145"/>
      <c r="BW705" s="146"/>
      <c r="BX705" s="145"/>
      <c r="BY705" s="145"/>
      <c r="BZ705" s="5"/>
      <c r="CA705" s="5">
        <v>683</v>
      </c>
      <c r="CB705" s="413" t="s">
        <v>718</v>
      </c>
      <c r="CC705" s="145"/>
      <c r="CD705" s="146"/>
      <c r="CE705" s="145"/>
      <c r="CF705" s="145"/>
      <c r="CG705" s="5"/>
      <c r="CH705" s="5"/>
      <c r="CI705" s="5"/>
    </row>
    <row r="706" spans="13:87" x14ac:dyDescent="0.2">
      <c r="M706" s="5">
        <v>684</v>
      </c>
      <c r="N706" s="413" t="str">
        <f t="shared" si="60"/>
        <v xml:space="preserve"> </v>
      </c>
      <c r="O706" s="414">
        <f t="shared" si="61"/>
        <v>0</v>
      </c>
      <c r="P706" s="414">
        <f t="shared" si="62"/>
        <v>0</v>
      </c>
      <c r="Q706" s="145">
        <f t="shared" si="65"/>
        <v>-8</v>
      </c>
      <c r="R706" s="414">
        <f t="shared" si="63"/>
        <v>0</v>
      </c>
      <c r="S706" s="414">
        <f t="shared" si="64"/>
        <v>0</v>
      </c>
      <c r="T706" s="19"/>
      <c r="U706" s="5"/>
      <c r="V706" s="5"/>
      <c r="W706" s="5">
        <v>684</v>
      </c>
      <c r="X706" s="144" t="s">
        <v>718</v>
      </c>
      <c r="Y706" s="145"/>
      <c r="Z706" s="146"/>
      <c r="AA706" s="145"/>
      <c r="AB706" s="145"/>
      <c r="AD706" s="5">
        <v>684</v>
      </c>
      <c r="AE706" s="413" t="s">
        <v>718</v>
      </c>
      <c r="AF706" s="145"/>
      <c r="AG706" s="146"/>
      <c r="AH706" s="145"/>
      <c r="AI706" s="145"/>
      <c r="AK706" s="5">
        <v>684</v>
      </c>
      <c r="AL706" s="413" t="s">
        <v>718</v>
      </c>
      <c r="AM706" s="145"/>
      <c r="AN706" s="146"/>
      <c r="AO706" s="145"/>
      <c r="AP706" s="145"/>
      <c r="AR706" s="5">
        <v>684</v>
      </c>
      <c r="AS706" s="413" t="s">
        <v>718</v>
      </c>
      <c r="AT706" s="145"/>
      <c r="AU706" s="146"/>
      <c r="AV706" s="145"/>
      <c r="AW706" s="145"/>
      <c r="AY706" s="5">
        <v>684</v>
      </c>
      <c r="AZ706" s="413" t="s">
        <v>718</v>
      </c>
      <c r="BA706" s="145"/>
      <c r="BB706" s="146"/>
      <c r="BC706" s="145"/>
      <c r="BD706" s="145"/>
      <c r="BF706" s="5">
        <v>684</v>
      </c>
      <c r="BG706" s="413" t="s">
        <v>718</v>
      </c>
      <c r="BH706" s="145"/>
      <c r="BI706" s="146"/>
      <c r="BJ706" s="145"/>
      <c r="BK706" s="145"/>
      <c r="BM706" s="5">
        <v>684</v>
      </c>
      <c r="BN706" s="413" t="s">
        <v>718</v>
      </c>
      <c r="BO706" s="145"/>
      <c r="BP706" s="146"/>
      <c r="BQ706" s="145"/>
      <c r="BR706" s="145"/>
      <c r="BS706" s="5"/>
      <c r="BT706" s="5">
        <v>684</v>
      </c>
      <c r="BU706" s="413" t="s">
        <v>718</v>
      </c>
      <c r="BV706" s="145"/>
      <c r="BW706" s="146"/>
      <c r="BX706" s="145"/>
      <c r="BY706" s="145"/>
      <c r="BZ706" s="5"/>
      <c r="CA706" s="5">
        <v>684</v>
      </c>
      <c r="CB706" s="413" t="s">
        <v>718</v>
      </c>
      <c r="CC706" s="145"/>
      <c r="CD706" s="146"/>
      <c r="CE706" s="145"/>
      <c r="CF706" s="145"/>
      <c r="CG706" s="5"/>
      <c r="CH706" s="5"/>
      <c r="CI706" s="5"/>
    </row>
    <row r="707" spans="13:87" x14ac:dyDescent="0.2">
      <c r="M707" s="5">
        <v>685</v>
      </c>
      <c r="N707" s="413" t="str">
        <f t="shared" si="60"/>
        <v xml:space="preserve"> </v>
      </c>
      <c r="O707" s="414">
        <f t="shared" si="61"/>
        <v>0</v>
      </c>
      <c r="P707" s="414">
        <f t="shared" si="62"/>
        <v>0</v>
      </c>
      <c r="Q707" s="145">
        <f t="shared" si="65"/>
        <v>-8</v>
      </c>
      <c r="R707" s="414">
        <f t="shared" si="63"/>
        <v>0</v>
      </c>
      <c r="S707" s="414">
        <f t="shared" si="64"/>
        <v>0</v>
      </c>
      <c r="T707" s="19"/>
      <c r="U707" s="5"/>
      <c r="V707" s="5"/>
      <c r="W707" s="5">
        <v>685</v>
      </c>
      <c r="X707" s="144" t="s">
        <v>718</v>
      </c>
      <c r="Y707" s="145"/>
      <c r="Z707" s="146"/>
      <c r="AA707" s="145"/>
      <c r="AB707" s="145"/>
      <c r="AD707" s="5">
        <v>685</v>
      </c>
      <c r="AE707" s="413" t="s">
        <v>718</v>
      </c>
      <c r="AF707" s="145"/>
      <c r="AG707" s="146"/>
      <c r="AH707" s="145"/>
      <c r="AI707" s="145"/>
      <c r="AK707" s="5">
        <v>685</v>
      </c>
      <c r="AL707" s="413" t="s">
        <v>718</v>
      </c>
      <c r="AM707" s="145"/>
      <c r="AN707" s="146"/>
      <c r="AO707" s="145"/>
      <c r="AP707" s="145"/>
      <c r="AR707" s="5">
        <v>685</v>
      </c>
      <c r="AS707" s="413" t="s">
        <v>718</v>
      </c>
      <c r="AT707" s="145"/>
      <c r="AU707" s="146"/>
      <c r="AV707" s="145"/>
      <c r="AW707" s="145"/>
      <c r="AY707" s="5">
        <v>685</v>
      </c>
      <c r="AZ707" s="413" t="s">
        <v>718</v>
      </c>
      <c r="BA707" s="145"/>
      <c r="BB707" s="146"/>
      <c r="BC707" s="145"/>
      <c r="BD707" s="145"/>
      <c r="BF707" s="5">
        <v>685</v>
      </c>
      <c r="BG707" s="413" t="s">
        <v>718</v>
      </c>
      <c r="BH707" s="145"/>
      <c r="BI707" s="146"/>
      <c r="BJ707" s="145"/>
      <c r="BK707" s="145"/>
      <c r="BM707" s="5">
        <v>685</v>
      </c>
      <c r="BN707" s="413" t="s">
        <v>718</v>
      </c>
      <c r="BO707" s="145"/>
      <c r="BP707" s="146"/>
      <c r="BQ707" s="145"/>
      <c r="BR707" s="145"/>
      <c r="BS707" s="5"/>
      <c r="BT707" s="5">
        <v>685</v>
      </c>
      <c r="BU707" s="413" t="s">
        <v>718</v>
      </c>
      <c r="BV707" s="145"/>
      <c r="BW707" s="146"/>
      <c r="BX707" s="145"/>
      <c r="BY707" s="145"/>
      <c r="BZ707" s="5"/>
      <c r="CA707" s="5">
        <v>685</v>
      </c>
      <c r="CB707" s="413" t="s">
        <v>718</v>
      </c>
      <c r="CC707" s="145"/>
      <c r="CD707" s="146"/>
      <c r="CE707" s="145"/>
      <c r="CF707" s="145"/>
      <c r="CG707" s="5"/>
      <c r="CH707" s="5"/>
      <c r="CI707" s="5"/>
    </row>
    <row r="708" spans="13:87" x14ac:dyDescent="0.2">
      <c r="M708" s="5">
        <v>686</v>
      </c>
      <c r="N708" s="413" t="str">
        <f t="shared" si="60"/>
        <v xml:space="preserve"> </v>
      </c>
      <c r="O708" s="414">
        <f t="shared" si="61"/>
        <v>0</v>
      </c>
      <c r="P708" s="414">
        <f t="shared" si="62"/>
        <v>0</v>
      </c>
      <c r="Q708" s="145">
        <f t="shared" si="65"/>
        <v>-8</v>
      </c>
      <c r="R708" s="414">
        <f t="shared" si="63"/>
        <v>0</v>
      </c>
      <c r="S708" s="414">
        <f t="shared" si="64"/>
        <v>0</v>
      </c>
      <c r="T708" s="19"/>
      <c r="U708" s="5"/>
      <c r="V708" s="5"/>
      <c r="W708" s="5">
        <v>686</v>
      </c>
      <c r="X708" s="144" t="s">
        <v>718</v>
      </c>
      <c r="Y708" s="145"/>
      <c r="Z708" s="146"/>
      <c r="AA708" s="145"/>
      <c r="AB708" s="145"/>
      <c r="AD708" s="5">
        <v>686</v>
      </c>
      <c r="AE708" s="413" t="s">
        <v>718</v>
      </c>
      <c r="AF708" s="145"/>
      <c r="AG708" s="146"/>
      <c r="AH708" s="145"/>
      <c r="AI708" s="145"/>
      <c r="AK708" s="5">
        <v>686</v>
      </c>
      <c r="AL708" s="413" t="s">
        <v>718</v>
      </c>
      <c r="AM708" s="145"/>
      <c r="AN708" s="146"/>
      <c r="AO708" s="145"/>
      <c r="AP708" s="145"/>
      <c r="AR708" s="5">
        <v>686</v>
      </c>
      <c r="AS708" s="413" t="s">
        <v>718</v>
      </c>
      <c r="AT708" s="145"/>
      <c r="AU708" s="146"/>
      <c r="AV708" s="145"/>
      <c r="AW708" s="145"/>
      <c r="AY708" s="5">
        <v>686</v>
      </c>
      <c r="AZ708" s="413" t="s">
        <v>718</v>
      </c>
      <c r="BA708" s="145"/>
      <c r="BB708" s="146"/>
      <c r="BC708" s="145"/>
      <c r="BD708" s="145"/>
      <c r="BF708" s="5">
        <v>686</v>
      </c>
      <c r="BG708" s="413" t="s">
        <v>718</v>
      </c>
      <c r="BH708" s="145"/>
      <c r="BI708" s="146"/>
      <c r="BJ708" s="145"/>
      <c r="BK708" s="145"/>
      <c r="BM708" s="5">
        <v>686</v>
      </c>
      <c r="BN708" s="413" t="s">
        <v>718</v>
      </c>
      <c r="BO708" s="145"/>
      <c r="BP708" s="146"/>
      <c r="BQ708" s="145"/>
      <c r="BR708" s="145"/>
      <c r="BS708" s="5"/>
      <c r="BT708" s="5">
        <v>686</v>
      </c>
      <c r="BU708" s="413" t="s">
        <v>718</v>
      </c>
      <c r="BV708" s="145"/>
      <c r="BW708" s="146"/>
      <c r="BX708" s="145"/>
      <c r="BY708" s="145"/>
      <c r="BZ708" s="5"/>
      <c r="CA708" s="5">
        <v>686</v>
      </c>
      <c r="CB708" s="413" t="s">
        <v>718</v>
      </c>
      <c r="CC708" s="145"/>
      <c r="CD708" s="146"/>
      <c r="CE708" s="145"/>
      <c r="CF708" s="145"/>
      <c r="CG708" s="5"/>
      <c r="CH708" s="5"/>
      <c r="CI708" s="5"/>
    </row>
    <row r="709" spans="13:87" x14ac:dyDescent="0.2">
      <c r="M709" s="5">
        <v>687</v>
      </c>
      <c r="N709" s="413" t="str">
        <f t="shared" si="60"/>
        <v xml:space="preserve"> </v>
      </c>
      <c r="O709" s="414">
        <f t="shared" si="61"/>
        <v>0</v>
      </c>
      <c r="P709" s="414">
        <f t="shared" si="62"/>
        <v>0</v>
      </c>
      <c r="Q709" s="145">
        <f t="shared" si="65"/>
        <v>-8</v>
      </c>
      <c r="R709" s="414">
        <f t="shared" si="63"/>
        <v>0</v>
      </c>
      <c r="S709" s="414">
        <f t="shared" si="64"/>
        <v>0</v>
      </c>
      <c r="T709" s="19"/>
      <c r="U709" s="5"/>
      <c r="V709" s="5"/>
      <c r="W709" s="5">
        <v>687</v>
      </c>
      <c r="X709" s="144" t="s">
        <v>718</v>
      </c>
      <c r="Y709" s="145"/>
      <c r="Z709" s="146"/>
      <c r="AA709" s="145"/>
      <c r="AB709" s="145"/>
      <c r="AD709" s="5">
        <v>687</v>
      </c>
      <c r="AE709" s="413" t="s">
        <v>718</v>
      </c>
      <c r="AF709" s="145"/>
      <c r="AG709" s="146"/>
      <c r="AH709" s="145"/>
      <c r="AI709" s="145"/>
      <c r="AK709" s="5">
        <v>687</v>
      </c>
      <c r="AL709" s="413" t="s">
        <v>718</v>
      </c>
      <c r="AM709" s="145"/>
      <c r="AN709" s="146"/>
      <c r="AO709" s="145"/>
      <c r="AP709" s="145"/>
      <c r="AR709" s="5">
        <v>687</v>
      </c>
      <c r="AS709" s="413" t="s">
        <v>718</v>
      </c>
      <c r="AT709" s="145"/>
      <c r="AU709" s="146"/>
      <c r="AV709" s="145"/>
      <c r="AW709" s="145"/>
      <c r="AY709" s="5">
        <v>687</v>
      </c>
      <c r="AZ709" s="413" t="s">
        <v>718</v>
      </c>
      <c r="BA709" s="145"/>
      <c r="BB709" s="146"/>
      <c r="BC709" s="145"/>
      <c r="BD709" s="145"/>
      <c r="BF709" s="5">
        <v>687</v>
      </c>
      <c r="BG709" s="413" t="s">
        <v>718</v>
      </c>
      <c r="BH709" s="145"/>
      <c r="BI709" s="146"/>
      <c r="BJ709" s="145"/>
      <c r="BK709" s="145"/>
      <c r="BM709" s="5">
        <v>687</v>
      </c>
      <c r="BN709" s="413" t="s">
        <v>718</v>
      </c>
      <c r="BO709" s="145"/>
      <c r="BP709" s="146"/>
      <c r="BQ709" s="145"/>
      <c r="BR709" s="145"/>
      <c r="BS709" s="5"/>
      <c r="BT709" s="5">
        <v>687</v>
      </c>
      <c r="BU709" s="413" t="s">
        <v>718</v>
      </c>
      <c r="BV709" s="145"/>
      <c r="BW709" s="146"/>
      <c r="BX709" s="145"/>
      <c r="BY709" s="145"/>
      <c r="BZ709" s="5"/>
      <c r="CA709" s="5">
        <v>687</v>
      </c>
      <c r="CB709" s="413" t="s">
        <v>718</v>
      </c>
      <c r="CC709" s="145"/>
      <c r="CD709" s="146"/>
      <c r="CE709" s="145"/>
      <c r="CF709" s="145"/>
      <c r="CG709" s="5"/>
      <c r="CH709" s="5"/>
      <c r="CI709" s="5"/>
    </row>
    <row r="710" spans="13:87" x14ac:dyDescent="0.2">
      <c r="M710" s="5">
        <v>688</v>
      </c>
      <c r="N710" s="413" t="str">
        <f t="shared" si="60"/>
        <v xml:space="preserve"> </v>
      </c>
      <c r="O710" s="414">
        <f t="shared" si="61"/>
        <v>0</v>
      </c>
      <c r="P710" s="414">
        <f t="shared" si="62"/>
        <v>0</v>
      </c>
      <c r="Q710" s="145">
        <f t="shared" si="65"/>
        <v>-8</v>
      </c>
      <c r="R710" s="414">
        <f t="shared" si="63"/>
        <v>0</v>
      </c>
      <c r="S710" s="414">
        <f t="shared" si="64"/>
        <v>0</v>
      </c>
      <c r="T710" s="19"/>
      <c r="U710" s="5"/>
      <c r="V710" s="5"/>
      <c r="W710" s="5">
        <v>688</v>
      </c>
      <c r="X710" s="144" t="s">
        <v>718</v>
      </c>
      <c r="Y710" s="145"/>
      <c r="Z710" s="146"/>
      <c r="AA710" s="145"/>
      <c r="AB710" s="145"/>
      <c r="AD710" s="5">
        <v>688</v>
      </c>
      <c r="AE710" s="413" t="s">
        <v>718</v>
      </c>
      <c r="AF710" s="145"/>
      <c r="AG710" s="146"/>
      <c r="AH710" s="145"/>
      <c r="AI710" s="145"/>
      <c r="AK710" s="5">
        <v>688</v>
      </c>
      <c r="AL710" s="413" t="s">
        <v>718</v>
      </c>
      <c r="AM710" s="145"/>
      <c r="AN710" s="146"/>
      <c r="AO710" s="145"/>
      <c r="AP710" s="145"/>
      <c r="AR710" s="5">
        <v>688</v>
      </c>
      <c r="AS710" s="413" t="s">
        <v>718</v>
      </c>
      <c r="AT710" s="145"/>
      <c r="AU710" s="146"/>
      <c r="AV710" s="145"/>
      <c r="AW710" s="145"/>
      <c r="AY710" s="5">
        <v>688</v>
      </c>
      <c r="AZ710" s="413" t="s">
        <v>718</v>
      </c>
      <c r="BA710" s="145"/>
      <c r="BB710" s="146"/>
      <c r="BC710" s="145"/>
      <c r="BD710" s="145"/>
      <c r="BF710" s="5">
        <v>688</v>
      </c>
      <c r="BG710" s="413" t="s">
        <v>718</v>
      </c>
      <c r="BH710" s="145"/>
      <c r="BI710" s="146"/>
      <c r="BJ710" s="145"/>
      <c r="BK710" s="145"/>
      <c r="BM710" s="5">
        <v>688</v>
      </c>
      <c r="BN710" s="413" t="s">
        <v>718</v>
      </c>
      <c r="BO710" s="145"/>
      <c r="BP710" s="146"/>
      <c r="BQ710" s="145"/>
      <c r="BR710" s="145"/>
      <c r="BS710" s="5"/>
      <c r="BT710" s="5">
        <v>688</v>
      </c>
      <c r="BU710" s="413" t="s">
        <v>718</v>
      </c>
      <c r="BV710" s="145"/>
      <c r="BW710" s="146"/>
      <c r="BX710" s="145"/>
      <c r="BY710" s="145"/>
      <c r="BZ710" s="5"/>
      <c r="CA710" s="5">
        <v>688</v>
      </c>
      <c r="CB710" s="413" t="s">
        <v>718</v>
      </c>
      <c r="CC710" s="145"/>
      <c r="CD710" s="146"/>
      <c r="CE710" s="145"/>
      <c r="CF710" s="145"/>
      <c r="CG710" s="5"/>
      <c r="CH710" s="5"/>
      <c r="CI710" s="5"/>
    </row>
    <row r="711" spans="13:87" x14ac:dyDescent="0.2">
      <c r="M711" s="5">
        <v>689</v>
      </c>
      <c r="N711" s="413" t="str">
        <f t="shared" si="60"/>
        <v xml:space="preserve"> </v>
      </c>
      <c r="O711" s="414">
        <f t="shared" si="61"/>
        <v>0</v>
      </c>
      <c r="P711" s="414">
        <f t="shared" si="62"/>
        <v>0</v>
      </c>
      <c r="Q711" s="145">
        <f t="shared" si="65"/>
        <v>-8</v>
      </c>
      <c r="R711" s="414">
        <f t="shared" si="63"/>
        <v>0</v>
      </c>
      <c r="S711" s="414">
        <f t="shared" si="64"/>
        <v>0</v>
      </c>
      <c r="T711" s="19"/>
      <c r="U711" s="5"/>
      <c r="V711" s="5"/>
      <c r="W711" s="5">
        <v>689</v>
      </c>
      <c r="X711" s="144" t="s">
        <v>718</v>
      </c>
      <c r="Y711" s="145"/>
      <c r="Z711" s="146"/>
      <c r="AA711" s="145"/>
      <c r="AB711" s="145"/>
      <c r="AD711" s="5">
        <v>689</v>
      </c>
      <c r="AE711" s="413" t="s">
        <v>718</v>
      </c>
      <c r="AF711" s="145"/>
      <c r="AG711" s="146"/>
      <c r="AH711" s="145"/>
      <c r="AI711" s="145"/>
      <c r="AK711" s="5">
        <v>689</v>
      </c>
      <c r="AL711" s="413" t="s">
        <v>718</v>
      </c>
      <c r="AM711" s="145"/>
      <c r="AN711" s="146"/>
      <c r="AO711" s="145"/>
      <c r="AP711" s="145"/>
      <c r="AR711" s="5">
        <v>689</v>
      </c>
      <c r="AS711" s="413" t="s">
        <v>718</v>
      </c>
      <c r="AT711" s="145"/>
      <c r="AU711" s="146"/>
      <c r="AV711" s="145"/>
      <c r="AW711" s="145"/>
      <c r="AY711" s="5">
        <v>689</v>
      </c>
      <c r="AZ711" s="413" t="s">
        <v>718</v>
      </c>
      <c r="BA711" s="145"/>
      <c r="BB711" s="146"/>
      <c r="BC711" s="145"/>
      <c r="BD711" s="145"/>
      <c r="BF711" s="5">
        <v>689</v>
      </c>
      <c r="BG711" s="413" t="s">
        <v>718</v>
      </c>
      <c r="BH711" s="145"/>
      <c r="BI711" s="146"/>
      <c r="BJ711" s="145"/>
      <c r="BK711" s="145"/>
      <c r="BM711" s="5">
        <v>689</v>
      </c>
      <c r="BN711" s="413" t="s">
        <v>718</v>
      </c>
      <c r="BO711" s="145"/>
      <c r="BP711" s="146"/>
      <c r="BQ711" s="145"/>
      <c r="BR711" s="145"/>
      <c r="BS711" s="5"/>
      <c r="BT711" s="5">
        <v>689</v>
      </c>
      <c r="BU711" s="413" t="s">
        <v>718</v>
      </c>
      <c r="BV711" s="145"/>
      <c r="BW711" s="146"/>
      <c r="BX711" s="145"/>
      <c r="BY711" s="145"/>
      <c r="BZ711" s="5"/>
      <c r="CA711" s="5">
        <v>689</v>
      </c>
      <c r="CB711" s="413" t="s">
        <v>718</v>
      </c>
      <c r="CC711" s="145"/>
      <c r="CD711" s="146"/>
      <c r="CE711" s="145"/>
      <c r="CF711" s="145"/>
      <c r="CG711" s="5"/>
      <c r="CH711" s="5"/>
      <c r="CI711" s="5"/>
    </row>
    <row r="712" spans="13:87" x14ac:dyDescent="0.2">
      <c r="M712" s="5">
        <v>690</v>
      </c>
      <c r="N712" s="413" t="str">
        <f t="shared" si="60"/>
        <v xml:space="preserve"> </v>
      </c>
      <c r="O712" s="414">
        <f t="shared" si="61"/>
        <v>0</v>
      </c>
      <c r="P712" s="414">
        <f t="shared" si="62"/>
        <v>0</v>
      </c>
      <c r="Q712" s="145">
        <f t="shared" si="65"/>
        <v>-8</v>
      </c>
      <c r="R712" s="414">
        <f t="shared" si="63"/>
        <v>0</v>
      </c>
      <c r="S712" s="414">
        <f t="shared" si="64"/>
        <v>0</v>
      </c>
      <c r="T712" s="19"/>
      <c r="U712" s="5"/>
      <c r="V712" s="5"/>
      <c r="W712" s="5">
        <v>690</v>
      </c>
      <c r="X712" s="144" t="s">
        <v>718</v>
      </c>
      <c r="Y712" s="145"/>
      <c r="Z712" s="146"/>
      <c r="AA712" s="145"/>
      <c r="AB712" s="145"/>
      <c r="AD712" s="5">
        <v>690</v>
      </c>
      <c r="AE712" s="413" t="s">
        <v>718</v>
      </c>
      <c r="AF712" s="145"/>
      <c r="AG712" s="146"/>
      <c r="AH712" s="145"/>
      <c r="AI712" s="145"/>
      <c r="AK712" s="5">
        <v>690</v>
      </c>
      <c r="AL712" s="413" t="s">
        <v>718</v>
      </c>
      <c r="AM712" s="145"/>
      <c r="AN712" s="146"/>
      <c r="AO712" s="145"/>
      <c r="AP712" s="145"/>
      <c r="AR712" s="5">
        <v>690</v>
      </c>
      <c r="AS712" s="413" t="s">
        <v>718</v>
      </c>
      <c r="AT712" s="145"/>
      <c r="AU712" s="146"/>
      <c r="AV712" s="145"/>
      <c r="AW712" s="145"/>
      <c r="AY712" s="5">
        <v>690</v>
      </c>
      <c r="AZ712" s="413" t="s">
        <v>718</v>
      </c>
      <c r="BA712" s="145"/>
      <c r="BB712" s="146"/>
      <c r="BC712" s="145"/>
      <c r="BD712" s="145"/>
      <c r="BF712" s="5">
        <v>690</v>
      </c>
      <c r="BG712" s="413" t="s">
        <v>718</v>
      </c>
      <c r="BH712" s="145"/>
      <c r="BI712" s="146"/>
      <c r="BJ712" s="145"/>
      <c r="BK712" s="145"/>
      <c r="BM712" s="5">
        <v>690</v>
      </c>
      <c r="BN712" s="413" t="s">
        <v>718</v>
      </c>
      <c r="BO712" s="145"/>
      <c r="BP712" s="146"/>
      <c r="BQ712" s="145"/>
      <c r="BR712" s="145"/>
      <c r="BS712" s="5"/>
      <c r="BT712" s="5">
        <v>690</v>
      </c>
      <c r="BU712" s="413" t="s">
        <v>718</v>
      </c>
      <c r="BV712" s="145"/>
      <c r="BW712" s="146"/>
      <c r="BX712" s="145"/>
      <c r="BY712" s="145"/>
      <c r="BZ712" s="5"/>
      <c r="CA712" s="5">
        <v>690</v>
      </c>
      <c r="CB712" s="413" t="s">
        <v>718</v>
      </c>
      <c r="CC712" s="145"/>
      <c r="CD712" s="146"/>
      <c r="CE712" s="145"/>
      <c r="CF712" s="145"/>
      <c r="CG712" s="5"/>
      <c r="CH712" s="5"/>
      <c r="CI712" s="5"/>
    </row>
    <row r="713" spans="13:87" x14ac:dyDescent="0.2">
      <c r="M713" s="5">
        <v>691</v>
      </c>
      <c r="N713" s="413" t="str">
        <f t="shared" si="60"/>
        <v xml:space="preserve"> </v>
      </c>
      <c r="O713" s="414">
        <f t="shared" si="61"/>
        <v>0</v>
      </c>
      <c r="P713" s="414">
        <f t="shared" si="62"/>
        <v>0</v>
      </c>
      <c r="Q713" s="145">
        <f t="shared" si="65"/>
        <v>-8</v>
      </c>
      <c r="R713" s="414">
        <f t="shared" si="63"/>
        <v>0</v>
      </c>
      <c r="S713" s="414">
        <f t="shared" si="64"/>
        <v>0</v>
      </c>
      <c r="T713" s="19"/>
      <c r="U713" s="5"/>
      <c r="V713" s="5"/>
      <c r="W713" s="5">
        <v>691</v>
      </c>
      <c r="X713" s="144" t="s">
        <v>718</v>
      </c>
      <c r="Y713" s="145"/>
      <c r="Z713" s="146"/>
      <c r="AA713" s="145"/>
      <c r="AB713" s="145"/>
      <c r="AD713" s="5">
        <v>691</v>
      </c>
      <c r="AE713" s="413" t="s">
        <v>718</v>
      </c>
      <c r="AF713" s="145"/>
      <c r="AG713" s="146"/>
      <c r="AH713" s="145"/>
      <c r="AI713" s="145"/>
      <c r="AK713" s="5">
        <v>691</v>
      </c>
      <c r="AL713" s="413" t="s">
        <v>718</v>
      </c>
      <c r="AM713" s="145"/>
      <c r="AN713" s="146"/>
      <c r="AO713" s="145"/>
      <c r="AP713" s="145"/>
      <c r="AR713" s="5">
        <v>691</v>
      </c>
      <c r="AS713" s="413" t="s">
        <v>718</v>
      </c>
      <c r="AT713" s="145"/>
      <c r="AU713" s="146"/>
      <c r="AV713" s="145"/>
      <c r="AW713" s="145"/>
      <c r="AY713" s="5">
        <v>691</v>
      </c>
      <c r="AZ713" s="413" t="s">
        <v>718</v>
      </c>
      <c r="BA713" s="145"/>
      <c r="BB713" s="146"/>
      <c r="BC713" s="145"/>
      <c r="BD713" s="145"/>
      <c r="BF713" s="5">
        <v>691</v>
      </c>
      <c r="BG713" s="413" t="s">
        <v>718</v>
      </c>
      <c r="BH713" s="145"/>
      <c r="BI713" s="146"/>
      <c r="BJ713" s="145"/>
      <c r="BK713" s="145"/>
      <c r="BM713" s="5">
        <v>691</v>
      </c>
      <c r="BN713" s="413" t="s">
        <v>718</v>
      </c>
      <c r="BO713" s="145"/>
      <c r="BP713" s="146"/>
      <c r="BQ713" s="145"/>
      <c r="BR713" s="145"/>
      <c r="BS713" s="5"/>
      <c r="BT713" s="5">
        <v>691</v>
      </c>
      <c r="BU713" s="413" t="s">
        <v>718</v>
      </c>
      <c r="BV713" s="145"/>
      <c r="BW713" s="146"/>
      <c r="BX713" s="145"/>
      <c r="BY713" s="145"/>
      <c r="BZ713" s="5"/>
      <c r="CA713" s="5">
        <v>691</v>
      </c>
      <c r="CB713" s="413" t="s">
        <v>718</v>
      </c>
      <c r="CC713" s="145"/>
      <c r="CD713" s="146"/>
      <c r="CE713" s="145"/>
      <c r="CF713" s="145"/>
      <c r="CG713" s="5"/>
      <c r="CH713" s="5"/>
      <c r="CI713" s="5"/>
    </row>
    <row r="714" spans="13:87" x14ac:dyDescent="0.2">
      <c r="M714" s="5">
        <v>692</v>
      </c>
      <c r="N714" s="413" t="str">
        <f t="shared" si="60"/>
        <v xml:space="preserve"> </v>
      </c>
      <c r="O714" s="414">
        <f t="shared" si="61"/>
        <v>0</v>
      </c>
      <c r="P714" s="414">
        <f t="shared" si="62"/>
        <v>0</v>
      </c>
      <c r="Q714" s="145">
        <f t="shared" si="65"/>
        <v>-8</v>
      </c>
      <c r="R714" s="414">
        <f t="shared" si="63"/>
        <v>0</v>
      </c>
      <c r="S714" s="414">
        <f t="shared" si="64"/>
        <v>0</v>
      </c>
      <c r="T714" s="19"/>
      <c r="U714" s="5"/>
      <c r="V714" s="5"/>
      <c r="W714" s="5">
        <v>692</v>
      </c>
      <c r="X714" s="144" t="s">
        <v>718</v>
      </c>
      <c r="Y714" s="145"/>
      <c r="Z714" s="146"/>
      <c r="AA714" s="145"/>
      <c r="AB714" s="145"/>
      <c r="AD714" s="5">
        <v>692</v>
      </c>
      <c r="AE714" s="413" t="s">
        <v>718</v>
      </c>
      <c r="AF714" s="145"/>
      <c r="AG714" s="146"/>
      <c r="AH714" s="145"/>
      <c r="AI714" s="145"/>
      <c r="AK714" s="5">
        <v>692</v>
      </c>
      <c r="AL714" s="413" t="s">
        <v>718</v>
      </c>
      <c r="AM714" s="145"/>
      <c r="AN714" s="146"/>
      <c r="AO714" s="145"/>
      <c r="AP714" s="145"/>
      <c r="AR714" s="5">
        <v>692</v>
      </c>
      <c r="AS714" s="413" t="s">
        <v>718</v>
      </c>
      <c r="AT714" s="145"/>
      <c r="AU714" s="146"/>
      <c r="AV714" s="145"/>
      <c r="AW714" s="145"/>
      <c r="AY714" s="5">
        <v>692</v>
      </c>
      <c r="AZ714" s="413" t="s">
        <v>718</v>
      </c>
      <c r="BA714" s="145"/>
      <c r="BB714" s="146"/>
      <c r="BC714" s="145"/>
      <c r="BD714" s="145"/>
      <c r="BF714" s="5">
        <v>692</v>
      </c>
      <c r="BG714" s="413" t="s">
        <v>718</v>
      </c>
      <c r="BH714" s="145"/>
      <c r="BI714" s="146"/>
      <c r="BJ714" s="145"/>
      <c r="BK714" s="145"/>
      <c r="BM714" s="5">
        <v>692</v>
      </c>
      <c r="BN714" s="413" t="s">
        <v>718</v>
      </c>
      <c r="BO714" s="145"/>
      <c r="BP714" s="146"/>
      <c r="BQ714" s="145"/>
      <c r="BR714" s="145"/>
      <c r="BS714" s="5"/>
      <c r="BT714" s="5">
        <v>692</v>
      </c>
      <c r="BU714" s="413" t="s">
        <v>718</v>
      </c>
      <c r="BV714" s="145"/>
      <c r="BW714" s="146"/>
      <c r="BX714" s="145"/>
      <c r="BY714" s="145"/>
      <c r="BZ714" s="5"/>
      <c r="CA714" s="5">
        <v>692</v>
      </c>
      <c r="CB714" s="413" t="s">
        <v>718</v>
      </c>
      <c r="CC714" s="145"/>
      <c r="CD714" s="146"/>
      <c r="CE714" s="145"/>
      <c r="CF714" s="145"/>
      <c r="CG714" s="5"/>
      <c r="CH714" s="5"/>
      <c r="CI714" s="5"/>
    </row>
    <row r="715" spans="13:87" x14ac:dyDescent="0.2">
      <c r="M715" s="5">
        <v>693</v>
      </c>
      <c r="N715" s="413" t="str">
        <f t="shared" si="60"/>
        <v xml:space="preserve"> </v>
      </c>
      <c r="O715" s="414">
        <f t="shared" si="61"/>
        <v>0</v>
      </c>
      <c r="P715" s="414">
        <f t="shared" si="62"/>
        <v>0</v>
      </c>
      <c r="Q715" s="145">
        <f t="shared" si="65"/>
        <v>-8</v>
      </c>
      <c r="R715" s="414">
        <f t="shared" si="63"/>
        <v>0</v>
      </c>
      <c r="S715" s="414">
        <f t="shared" si="64"/>
        <v>0</v>
      </c>
      <c r="T715" s="19"/>
      <c r="U715" s="5"/>
      <c r="V715" s="5"/>
      <c r="W715" s="5">
        <v>693</v>
      </c>
      <c r="X715" s="144" t="s">
        <v>718</v>
      </c>
      <c r="Y715" s="145"/>
      <c r="Z715" s="146"/>
      <c r="AA715" s="145"/>
      <c r="AB715" s="145"/>
      <c r="AD715" s="5">
        <v>693</v>
      </c>
      <c r="AE715" s="413" t="s">
        <v>718</v>
      </c>
      <c r="AF715" s="145"/>
      <c r="AG715" s="146"/>
      <c r="AH715" s="145"/>
      <c r="AI715" s="145"/>
      <c r="AK715" s="5">
        <v>693</v>
      </c>
      <c r="AL715" s="413" t="s">
        <v>718</v>
      </c>
      <c r="AM715" s="145"/>
      <c r="AN715" s="146"/>
      <c r="AO715" s="145"/>
      <c r="AP715" s="145"/>
      <c r="AR715" s="5">
        <v>693</v>
      </c>
      <c r="AS715" s="413" t="s">
        <v>718</v>
      </c>
      <c r="AT715" s="145"/>
      <c r="AU715" s="146"/>
      <c r="AV715" s="145"/>
      <c r="AW715" s="145"/>
      <c r="AY715" s="5">
        <v>693</v>
      </c>
      <c r="AZ715" s="413" t="s">
        <v>718</v>
      </c>
      <c r="BA715" s="145"/>
      <c r="BB715" s="146"/>
      <c r="BC715" s="145"/>
      <c r="BD715" s="145"/>
      <c r="BF715" s="5">
        <v>693</v>
      </c>
      <c r="BG715" s="413" t="s">
        <v>718</v>
      </c>
      <c r="BH715" s="145"/>
      <c r="BI715" s="146"/>
      <c r="BJ715" s="145"/>
      <c r="BK715" s="145"/>
      <c r="BM715" s="5">
        <v>693</v>
      </c>
      <c r="BN715" s="413" t="s">
        <v>718</v>
      </c>
      <c r="BO715" s="145"/>
      <c r="BP715" s="146"/>
      <c r="BQ715" s="145"/>
      <c r="BR715" s="145"/>
      <c r="BS715" s="5"/>
      <c r="BT715" s="5">
        <v>693</v>
      </c>
      <c r="BU715" s="413" t="s">
        <v>718</v>
      </c>
      <c r="BV715" s="145"/>
      <c r="BW715" s="146"/>
      <c r="BX715" s="145"/>
      <c r="BY715" s="145"/>
      <c r="BZ715" s="5"/>
      <c r="CA715" s="5">
        <v>693</v>
      </c>
      <c r="CB715" s="413" t="s">
        <v>718</v>
      </c>
      <c r="CC715" s="145"/>
      <c r="CD715" s="146"/>
      <c r="CE715" s="145"/>
      <c r="CF715" s="145"/>
      <c r="CG715" s="5"/>
      <c r="CH715" s="5"/>
      <c r="CI715" s="5"/>
    </row>
    <row r="716" spans="13:87" x14ac:dyDescent="0.2">
      <c r="M716" s="5">
        <v>694</v>
      </c>
      <c r="N716" s="413" t="str">
        <f t="shared" si="60"/>
        <v xml:space="preserve"> </v>
      </c>
      <c r="O716" s="414">
        <f t="shared" si="61"/>
        <v>0</v>
      </c>
      <c r="P716" s="414">
        <f t="shared" si="62"/>
        <v>0</v>
      </c>
      <c r="Q716" s="145">
        <f t="shared" si="65"/>
        <v>-8</v>
      </c>
      <c r="R716" s="414">
        <f t="shared" si="63"/>
        <v>0</v>
      </c>
      <c r="S716" s="414">
        <f t="shared" si="64"/>
        <v>0</v>
      </c>
      <c r="T716" s="19"/>
      <c r="U716" s="5"/>
      <c r="V716" s="5"/>
      <c r="W716" s="5">
        <v>694</v>
      </c>
      <c r="X716" s="144" t="s">
        <v>718</v>
      </c>
      <c r="Y716" s="145"/>
      <c r="Z716" s="146"/>
      <c r="AA716" s="145"/>
      <c r="AB716" s="145"/>
      <c r="AD716" s="5">
        <v>694</v>
      </c>
      <c r="AE716" s="413" t="s">
        <v>718</v>
      </c>
      <c r="AF716" s="145"/>
      <c r="AG716" s="146"/>
      <c r="AH716" s="145"/>
      <c r="AI716" s="145"/>
      <c r="AK716" s="5">
        <v>694</v>
      </c>
      <c r="AL716" s="413" t="s">
        <v>718</v>
      </c>
      <c r="AM716" s="145"/>
      <c r="AN716" s="146"/>
      <c r="AO716" s="145"/>
      <c r="AP716" s="145"/>
      <c r="AR716" s="5">
        <v>694</v>
      </c>
      <c r="AS716" s="413" t="s">
        <v>718</v>
      </c>
      <c r="AT716" s="145"/>
      <c r="AU716" s="146"/>
      <c r="AV716" s="145"/>
      <c r="AW716" s="145"/>
      <c r="AY716" s="5">
        <v>694</v>
      </c>
      <c r="AZ716" s="413" t="s">
        <v>718</v>
      </c>
      <c r="BA716" s="145"/>
      <c r="BB716" s="146"/>
      <c r="BC716" s="145"/>
      <c r="BD716" s="145"/>
      <c r="BF716" s="5">
        <v>694</v>
      </c>
      <c r="BG716" s="413" t="s">
        <v>718</v>
      </c>
      <c r="BH716" s="145"/>
      <c r="BI716" s="146"/>
      <c r="BJ716" s="145"/>
      <c r="BK716" s="145"/>
      <c r="BM716" s="5">
        <v>694</v>
      </c>
      <c r="BN716" s="413" t="s">
        <v>718</v>
      </c>
      <c r="BO716" s="145"/>
      <c r="BP716" s="146"/>
      <c r="BQ716" s="145"/>
      <c r="BR716" s="145"/>
      <c r="BS716" s="5"/>
      <c r="BT716" s="5">
        <v>694</v>
      </c>
      <c r="BU716" s="413" t="s">
        <v>718</v>
      </c>
      <c r="BV716" s="145"/>
      <c r="BW716" s="146"/>
      <c r="BX716" s="145"/>
      <c r="BY716" s="145"/>
      <c r="BZ716" s="5"/>
      <c r="CA716" s="5">
        <v>694</v>
      </c>
      <c r="CB716" s="413" t="s">
        <v>718</v>
      </c>
      <c r="CC716" s="145"/>
      <c r="CD716" s="146"/>
      <c r="CE716" s="145"/>
      <c r="CF716" s="145"/>
      <c r="CG716" s="5"/>
      <c r="CH716" s="5"/>
      <c r="CI716" s="5"/>
    </row>
    <row r="717" spans="13:87" x14ac:dyDescent="0.2">
      <c r="M717" s="5">
        <v>695</v>
      </c>
      <c r="N717" s="413" t="str">
        <f t="shared" si="60"/>
        <v xml:space="preserve"> </v>
      </c>
      <c r="O717" s="414">
        <f t="shared" si="61"/>
        <v>0</v>
      </c>
      <c r="P717" s="414">
        <f t="shared" si="62"/>
        <v>0</v>
      </c>
      <c r="Q717" s="145">
        <f t="shared" si="65"/>
        <v>-8</v>
      </c>
      <c r="R717" s="414">
        <f t="shared" si="63"/>
        <v>0</v>
      </c>
      <c r="S717" s="414">
        <f t="shared" si="64"/>
        <v>0</v>
      </c>
      <c r="T717" s="19"/>
      <c r="U717" s="5"/>
      <c r="V717" s="5"/>
      <c r="W717" s="5">
        <v>695</v>
      </c>
      <c r="X717" s="144" t="s">
        <v>718</v>
      </c>
      <c r="Y717" s="145"/>
      <c r="Z717" s="146"/>
      <c r="AA717" s="145"/>
      <c r="AB717" s="145"/>
      <c r="AD717" s="5">
        <v>695</v>
      </c>
      <c r="AE717" s="413" t="s">
        <v>718</v>
      </c>
      <c r="AF717" s="145"/>
      <c r="AG717" s="146"/>
      <c r="AH717" s="145"/>
      <c r="AI717" s="145"/>
      <c r="AK717" s="5">
        <v>695</v>
      </c>
      <c r="AL717" s="413" t="s">
        <v>718</v>
      </c>
      <c r="AM717" s="145"/>
      <c r="AN717" s="146"/>
      <c r="AO717" s="145"/>
      <c r="AP717" s="145"/>
      <c r="AR717" s="5">
        <v>695</v>
      </c>
      <c r="AS717" s="413" t="s">
        <v>718</v>
      </c>
      <c r="AT717" s="145"/>
      <c r="AU717" s="146"/>
      <c r="AV717" s="145"/>
      <c r="AW717" s="145"/>
      <c r="AY717" s="5">
        <v>695</v>
      </c>
      <c r="AZ717" s="413" t="s">
        <v>718</v>
      </c>
      <c r="BA717" s="145"/>
      <c r="BB717" s="146"/>
      <c r="BC717" s="145"/>
      <c r="BD717" s="145"/>
      <c r="BF717" s="5">
        <v>695</v>
      </c>
      <c r="BG717" s="413" t="s">
        <v>718</v>
      </c>
      <c r="BH717" s="145"/>
      <c r="BI717" s="146"/>
      <c r="BJ717" s="145"/>
      <c r="BK717" s="145"/>
      <c r="BM717" s="5">
        <v>695</v>
      </c>
      <c r="BN717" s="413" t="s">
        <v>718</v>
      </c>
      <c r="BO717" s="145"/>
      <c r="BP717" s="146"/>
      <c r="BQ717" s="145"/>
      <c r="BR717" s="145"/>
      <c r="BS717" s="5"/>
      <c r="BT717" s="5">
        <v>695</v>
      </c>
      <c r="BU717" s="413" t="s">
        <v>718</v>
      </c>
      <c r="BV717" s="145"/>
      <c r="BW717" s="146"/>
      <c r="BX717" s="145"/>
      <c r="BY717" s="145"/>
      <c r="BZ717" s="5"/>
      <c r="CA717" s="5">
        <v>695</v>
      </c>
      <c r="CB717" s="413" t="s">
        <v>718</v>
      </c>
      <c r="CC717" s="145"/>
      <c r="CD717" s="146"/>
      <c r="CE717" s="145"/>
      <c r="CF717" s="145"/>
      <c r="CG717" s="5"/>
      <c r="CH717" s="5"/>
      <c r="CI717" s="5"/>
    </row>
    <row r="718" spans="13:87" x14ac:dyDescent="0.2">
      <c r="M718" s="5">
        <v>696</v>
      </c>
      <c r="N718" s="413" t="str">
        <f t="shared" si="60"/>
        <v xml:space="preserve"> </v>
      </c>
      <c r="O718" s="414">
        <f t="shared" si="61"/>
        <v>0</v>
      </c>
      <c r="P718" s="414">
        <f t="shared" si="62"/>
        <v>0</v>
      </c>
      <c r="Q718" s="145">
        <f t="shared" si="65"/>
        <v>-8</v>
      </c>
      <c r="R718" s="414">
        <f t="shared" si="63"/>
        <v>0</v>
      </c>
      <c r="S718" s="414">
        <f t="shared" si="64"/>
        <v>0</v>
      </c>
      <c r="T718" s="19"/>
      <c r="U718" s="5"/>
      <c r="V718" s="5"/>
      <c r="W718" s="5">
        <v>696</v>
      </c>
      <c r="X718" s="144" t="s">
        <v>718</v>
      </c>
      <c r="Y718" s="145"/>
      <c r="Z718" s="146"/>
      <c r="AA718" s="145"/>
      <c r="AB718" s="145"/>
      <c r="AD718" s="5">
        <v>696</v>
      </c>
      <c r="AE718" s="413" t="s">
        <v>718</v>
      </c>
      <c r="AF718" s="145"/>
      <c r="AG718" s="146"/>
      <c r="AH718" s="145"/>
      <c r="AI718" s="145"/>
      <c r="AK718" s="5">
        <v>696</v>
      </c>
      <c r="AL718" s="413" t="s">
        <v>718</v>
      </c>
      <c r="AM718" s="145"/>
      <c r="AN718" s="146"/>
      <c r="AO718" s="145"/>
      <c r="AP718" s="145"/>
      <c r="AR718" s="5">
        <v>696</v>
      </c>
      <c r="AS718" s="413" t="s">
        <v>718</v>
      </c>
      <c r="AT718" s="145"/>
      <c r="AU718" s="146"/>
      <c r="AV718" s="145"/>
      <c r="AW718" s="145"/>
      <c r="AY718" s="5">
        <v>696</v>
      </c>
      <c r="AZ718" s="413" t="s">
        <v>718</v>
      </c>
      <c r="BA718" s="145"/>
      <c r="BB718" s="146"/>
      <c r="BC718" s="145"/>
      <c r="BD718" s="145"/>
      <c r="BF718" s="5">
        <v>696</v>
      </c>
      <c r="BG718" s="413" t="s">
        <v>718</v>
      </c>
      <c r="BH718" s="145"/>
      <c r="BI718" s="146"/>
      <c r="BJ718" s="145"/>
      <c r="BK718" s="145"/>
      <c r="BM718" s="5">
        <v>696</v>
      </c>
      <c r="BN718" s="413" t="s">
        <v>718</v>
      </c>
      <c r="BO718" s="145"/>
      <c r="BP718" s="146"/>
      <c r="BQ718" s="145"/>
      <c r="BR718" s="145"/>
      <c r="BS718" s="5"/>
      <c r="BT718" s="5">
        <v>696</v>
      </c>
      <c r="BU718" s="413" t="s">
        <v>718</v>
      </c>
      <c r="BV718" s="145"/>
      <c r="BW718" s="146"/>
      <c r="BX718" s="145"/>
      <c r="BY718" s="145"/>
      <c r="BZ718" s="5"/>
      <c r="CA718" s="5">
        <v>696</v>
      </c>
      <c r="CB718" s="413" t="s">
        <v>718</v>
      </c>
      <c r="CC718" s="145"/>
      <c r="CD718" s="146"/>
      <c r="CE718" s="145"/>
      <c r="CF718" s="145"/>
      <c r="CG718" s="5"/>
      <c r="CH718" s="5"/>
      <c r="CI718" s="5"/>
    </row>
    <row r="719" spans="13:87" x14ac:dyDescent="0.2">
      <c r="M719" s="5">
        <v>697</v>
      </c>
      <c r="N719" s="413" t="str">
        <f t="shared" si="60"/>
        <v xml:space="preserve"> </v>
      </c>
      <c r="O719" s="414">
        <f t="shared" si="61"/>
        <v>0</v>
      </c>
      <c r="P719" s="414">
        <f t="shared" si="62"/>
        <v>0</v>
      </c>
      <c r="Q719" s="145">
        <f t="shared" si="65"/>
        <v>-8</v>
      </c>
      <c r="R719" s="414">
        <f t="shared" si="63"/>
        <v>0</v>
      </c>
      <c r="S719" s="414">
        <f t="shared" si="64"/>
        <v>0</v>
      </c>
      <c r="T719" s="19"/>
      <c r="U719" s="5"/>
      <c r="V719" s="5"/>
      <c r="W719" s="5">
        <v>697</v>
      </c>
      <c r="X719" s="144" t="s">
        <v>718</v>
      </c>
      <c r="Y719" s="145"/>
      <c r="Z719" s="146"/>
      <c r="AA719" s="145"/>
      <c r="AB719" s="145"/>
      <c r="AD719" s="5">
        <v>697</v>
      </c>
      <c r="AE719" s="413" t="s">
        <v>718</v>
      </c>
      <c r="AF719" s="145"/>
      <c r="AG719" s="146"/>
      <c r="AH719" s="145"/>
      <c r="AI719" s="145"/>
      <c r="AK719" s="5">
        <v>697</v>
      </c>
      <c r="AL719" s="413" t="s">
        <v>718</v>
      </c>
      <c r="AM719" s="145"/>
      <c r="AN719" s="146"/>
      <c r="AO719" s="145"/>
      <c r="AP719" s="145"/>
      <c r="AR719" s="5">
        <v>697</v>
      </c>
      <c r="AS719" s="413" t="s">
        <v>718</v>
      </c>
      <c r="AT719" s="145"/>
      <c r="AU719" s="146"/>
      <c r="AV719" s="145"/>
      <c r="AW719" s="145"/>
      <c r="AY719" s="5">
        <v>697</v>
      </c>
      <c r="AZ719" s="413" t="s">
        <v>718</v>
      </c>
      <c r="BA719" s="145"/>
      <c r="BB719" s="146"/>
      <c r="BC719" s="145"/>
      <c r="BD719" s="145"/>
      <c r="BF719" s="5">
        <v>697</v>
      </c>
      <c r="BG719" s="413" t="s">
        <v>718</v>
      </c>
      <c r="BH719" s="145"/>
      <c r="BI719" s="146"/>
      <c r="BJ719" s="145"/>
      <c r="BK719" s="145"/>
      <c r="BM719" s="5">
        <v>697</v>
      </c>
      <c r="BN719" s="413" t="s">
        <v>718</v>
      </c>
      <c r="BO719" s="145"/>
      <c r="BP719" s="146"/>
      <c r="BQ719" s="145"/>
      <c r="BR719" s="145"/>
      <c r="BS719" s="5"/>
      <c r="BT719" s="5">
        <v>697</v>
      </c>
      <c r="BU719" s="413" t="s">
        <v>718</v>
      </c>
      <c r="BV719" s="145"/>
      <c r="BW719" s="146"/>
      <c r="BX719" s="145"/>
      <c r="BY719" s="145"/>
      <c r="BZ719" s="5"/>
      <c r="CA719" s="5">
        <v>697</v>
      </c>
      <c r="CB719" s="413" t="s">
        <v>718</v>
      </c>
      <c r="CC719" s="145"/>
      <c r="CD719" s="146"/>
      <c r="CE719" s="145"/>
      <c r="CF719" s="145"/>
      <c r="CG719" s="5"/>
      <c r="CH719" s="5"/>
      <c r="CI719" s="5"/>
    </row>
    <row r="720" spans="13:87" x14ac:dyDescent="0.2">
      <c r="M720" s="5">
        <v>698</v>
      </c>
      <c r="N720" s="413" t="str">
        <f t="shared" si="60"/>
        <v xml:space="preserve"> </v>
      </c>
      <c r="O720" s="414">
        <f t="shared" si="61"/>
        <v>0</v>
      </c>
      <c r="P720" s="414">
        <f t="shared" si="62"/>
        <v>0</v>
      </c>
      <c r="Q720" s="145">
        <f t="shared" si="65"/>
        <v>-8</v>
      </c>
      <c r="R720" s="414">
        <f t="shared" si="63"/>
        <v>0</v>
      </c>
      <c r="S720" s="414">
        <f t="shared" si="64"/>
        <v>0</v>
      </c>
      <c r="T720" s="19"/>
      <c r="U720" s="5"/>
      <c r="V720" s="5"/>
      <c r="W720" s="5">
        <v>698</v>
      </c>
      <c r="X720" s="144" t="s">
        <v>718</v>
      </c>
      <c r="Y720" s="145"/>
      <c r="Z720" s="146"/>
      <c r="AA720" s="145"/>
      <c r="AB720" s="145"/>
      <c r="AD720" s="5">
        <v>698</v>
      </c>
      <c r="AE720" s="413" t="s">
        <v>718</v>
      </c>
      <c r="AF720" s="145"/>
      <c r="AG720" s="146"/>
      <c r="AH720" s="145"/>
      <c r="AI720" s="145"/>
      <c r="AK720" s="5">
        <v>698</v>
      </c>
      <c r="AL720" s="413" t="s">
        <v>718</v>
      </c>
      <c r="AM720" s="145"/>
      <c r="AN720" s="146"/>
      <c r="AO720" s="145"/>
      <c r="AP720" s="145"/>
      <c r="AR720" s="5">
        <v>698</v>
      </c>
      <c r="AS720" s="413" t="s">
        <v>718</v>
      </c>
      <c r="AT720" s="145"/>
      <c r="AU720" s="146"/>
      <c r="AV720" s="145"/>
      <c r="AW720" s="145"/>
      <c r="AY720" s="5">
        <v>698</v>
      </c>
      <c r="AZ720" s="413" t="s">
        <v>718</v>
      </c>
      <c r="BA720" s="145"/>
      <c r="BB720" s="146"/>
      <c r="BC720" s="145"/>
      <c r="BD720" s="145"/>
      <c r="BF720" s="5">
        <v>698</v>
      </c>
      <c r="BG720" s="413" t="s">
        <v>718</v>
      </c>
      <c r="BH720" s="145"/>
      <c r="BI720" s="146"/>
      <c r="BJ720" s="145"/>
      <c r="BK720" s="145"/>
      <c r="BM720" s="5">
        <v>698</v>
      </c>
      <c r="BN720" s="413" t="s">
        <v>718</v>
      </c>
      <c r="BO720" s="145"/>
      <c r="BP720" s="146"/>
      <c r="BQ720" s="145"/>
      <c r="BR720" s="145"/>
      <c r="BS720" s="5"/>
      <c r="BT720" s="5">
        <v>698</v>
      </c>
      <c r="BU720" s="413" t="s">
        <v>718</v>
      </c>
      <c r="BV720" s="145"/>
      <c r="BW720" s="146"/>
      <c r="BX720" s="145"/>
      <c r="BY720" s="145"/>
      <c r="BZ720" s="5"/>
      <c r="CA720" s="5">
        <v>698</v>
      </c>
      <c r="CB720" s="413" t="s">
        <v>718</v>
      </c>
      <c r="CC720" s="145"/>
      <c r="CD720" s="146"/>
      <c r="CE720" s="145"/>
      <c r="CF720" s="145"/>
      <c r="CG720" s="5"/>
      <c r="CH720" s="5"/>
      <c r="CI720" s="5"/>
    </row>
    <row r="721" spans="13:87" x14ac:dyDescent="0.2">
      <c r="M721" s="5">
        <v>699</v>
      </c>
      <c r="N721" s="413" t="str">
        <f t="shared" si="60"/>
        <v xml:space="preserve"> </v>
      </c>
      <c r="O721" s="414">
        <f t="shared" si="61"/>
        <v>0</v>
      </c>
      <c r="P721" s="414">
        <f t="shared" si="62"/>
        <v>0</v>
      </c>
      <c r="Q721" s="145">
        <f t="shared" si="65"/>
        <v>-8</v>
      </c>
      <c r="R721" s="414">
        <f t="shared" si="63"/>
        <v>0</v>
      </c>
      <c r="S721" s="414">
        <f t="shared" si="64"/>
        <v>0</v>
      </c>
      <c r="T721" s="19"/>
      <c r="U721" s="5"/>
      <c r="V721" s="5"/>
      <c r="W721" s="5">
        <v>699</v>
      </c>
      <c r="X721" s="144" t="s">
        <v>718</v>
      </c>
      <c r="Y721" s="145"/>
      <c r="Z721" s="146"/>
      <c r="AA721" s="145"/>
      <c r="AB721" s="145"/>
      <c r="AD721" s="5">
        <v>699</v>
      </c>
      <c r="AE721" s="413" t="s">
        <v>718</v>
      </c>
      <c r="AF721" s="145"/>
      <c r="AG721" s="146"/>
      <c r="AH721" s="145"/>
      <c r="AI721" s="145"/>
      <c r="AK721" s="5">
        <v>699</v>
      </c>
      <c r="AL721" s="413" t="s">
        <v>718</v>
      </c>
      <c r="AM721" s="145"/>
      <c r="AN721" s="146"/>
      <c r="AO721" s="145"/>
      <c r="AP721" s="145"/>
      <c r="AR721" s="5">
        <v>699</v>
      </c>
      <c r="AS721" s="413" t="s">
        <v>718</v>
      </c>
      <c r="AT721" s="145"/>
      <c r="AU721" s="146"/>
      <c r="AV721" s="145"/>
      <c r="AW721" s="145"/>
      <c r="AY721" s="5">
        <v>699</v>
      </c>
      <c r="AZ721" s="413" t="s">
        <v>718</v>
      </c>
      <c r="BA721" s="145"/>
      <c r="BB721" s="146"/>
      <c r="BC721" s="145"/>
      <c r="BD721" s="145"/>
      <c r="BF721" s="5">
        <v>699</v>
      </c>
      <c r="BG721" s="413" t="s">
        <v>718</v>
      </c>
      <c r="BH721" s="145"/>
      <c r="BI721" s="146"/>
      <c r="BJ721" s="145"/>
      <c r="BK721" s="145"/>
      <c r="BM721" s="5">
        <v>699</v>
      </c>
      <c r="BN721" s="413" t="s">
        <v>718</v>
      </c>
      <c r="BO721" s="145"/>
      <c r="BP721" s="146"/>
      <c r="BQ721" s="145"/>
      <c r="BR721" s="145"/>
      <c r="BS721" s="5"/>
      <c r="BT721" s="5">
        <v>699</v>
      </c>
      <c r="BU721" s="413" t="s">
        <v>718</v>
      </c>
      <c r="BV721" s="145"/>
      <c r="BW721" s="146"/>
      <c r="BX721" s="145"/>
      <c r="BY721" s="145"/>
      <c r="BZ721" s="5"/>
      <c r="CA721" s="5">
        <v>699</v>
      </c>
      <c r="CB721" s="413" t="s">
        <v>718</v>
      </c>
      <c r="CC721" s="145"/>
      <c r="CD721" s="146"/>
      <c r="CE721" s="145"/>
      <c r="CF721" s="145"/>
      <c r="CG721" s="5"/>
      <c r="CH721" s="5"/>
      <c r="CI721" s="5"/>
    </row>
    <row r="722" spans="13:87" x14ac:dyDescent="0.2">
      <c r="M722" s="5">
        <v>700</v>
      </c>
      <c r="N722" s="413"/>
      <c r="O722" s="414">
        <f>INDEX(Y$23:CH$723,$M722,(Bundesland-1)*7+1)</f>
        <v>0</v>
      </c>
      <c r="P722" s="414">
        <f>INDEX(Z$23:CI$723,$M722,(Bundesland-1)*7+1)</f>
        <v>0</v>
      </c>
      <c r="Q722" s="145">
        <f t="shared" si="65"/>
        <v>-8</v>
      </c>
      <c r="R722" s="414">
        <f t="shared" si="63"/>
        <v>0</v>
      </c>
      <c r="S722" s="414">
        <f t="shared" si="64"/>
        <v>0</v>
      </c>
      <c r="T722" s="19"/>
      <c r="U722" s="5"/>
      <c r="V722" s="5"/>
      <c r="W722" s="5">
        <v>700</v>
      </c>
      <c r="X722" s="144" t="s">
        <v>718</v>
      </c>
      <c r="Y722" s="145"/>
      <c r="Z722" s="146"/>
      <c r="AA722" s="145"/>
      <c r="AB722" s="145"/>
      <c r="AD722" s="5">
        <v>700</v>
      </c>
      <c r="AE722" s="413" t="s">
        <v>718</v>
      </c>
      <c r="AF722" s="145"/>
      <c r="AG722" s="146"/>
      <c r="AH722" s="145"/>
      <c r="AI722" s="145"/>
      <c r="AK722" s="5">
        <v>700</v>
      </c>
      <c r="AL722" s="413" t="s">
        <v>718</v>
      </c>
      <c r="AM722" s="145"/>
      <c r="AN722" s="146"/>
      <c r="AO722" s="145"/>
      <c r="AP722" s="145"/>
      <c r="AR722" s="5">
        <v>700</v>
      </c>
      <c r="AS722" s="413" t="s">
        <v>718</v>
      </c>
      <c r="AT722" s="145"/>
      <c r="AU722" s="146"/>
      <c r="AV722" s="145"/>
      <c r="AW722" s="145"/>
      <c r="AY722" s="5">
        <v>700</v>
      </c>
      <c r="AZ722" s="413" t="s">
        <v>718</v>
      </c>
      <c r="BA722" s="145"/>
      <c r="BB722" s="146"/>
      <c r="BC722" s="145"/>
      <c r="BD722" s="145"/>
      <c r="BF722" s="5">
        <v>700</v>
      </c>
      <c r="BG722" s="413" t="s">
        <v>718</v>
      </c>
      <c r="BH722" s="145"/>
      <c r="BI722" s="146"/>
      <c r="BJ722" s="145"/>
      <c r="BK722" s="145"/>
      <c r="BM722" s="5">
        <v>700</v>
      </c>
      <c r="BN722" s="413" t="s">
        <v>718</v>
      </c>
      <c r="BO722" s="145"/>
      <c r="BP722" s="146"/>
      <c r="BQ722" s="145"/>
      <c r="BR722" s="145"/>
      <c r="BS722" s="5"/>
      <c r="BT722" s="5">
        <v>700</v>
      </c>
      <c r="BU722" s="413" t="s">
        <v>718</v>
      </c>
      <c r="BV722" s="145"/>
      <c r="BW722" s="146"/>
      <c r="BX722" s="145"/>
      <c r="BY722" s="145"/>
      <c r="BZ722" s="5"/>
      <c r="CA722" s="5">
        <v>700</v>
      </c>
      <c r="CB722" s="413" t="s">
        <v>718</v>
      </c>
      <c r="CC722" s="145"/>
      <c r="CD722" s="146"/>
      <c r="CE722" s="145"/>
      <c r="CF722" s="145"/>
      <c r="CG722" s="5"/>
      <c r="CH722" s="5"/>
      <c r="CI722" s="5"/>
    </row>
    <row r="723" spans="13:87" x14ac:dyDescent="0.2">
      <c r="N723" s="249">
        <f>INDEX(N22:N722,N21,1)</f>
        <v>0</v>
      </c>
      <c r="O723" s="12">
        <f>INDEX(O22:O722,N21,1)</f>
        <v>0</v>
      </c>
      <c r="P723" s="12">
        <f>INDEX(P22:P722,N21,1)</f>
        <v>0</v>
      </c>
      <c r="Q723" s="12">
        <f>INDEX(Q22:Q722,N21,1)</f>
        <v>0</v>
      </c>
      <c r="R723" s="12">
        <f>INDEX(R22:R722,N21,1)</f>
        <v>0</v>
      </c>
      <c r="S723" s="12">
        <f>INDEX(S22:S722,N21,1)</f>
        <v>0</v>
      </c>
      <c r="T723" s="228"/>
      <c r="U723" s="5"/>
      <c r="V723" s="5"/>
      <c r="BQ723" s="5"/>
      <c r="BR723" s="5"/>
      <c r="BS723" s="5"/>
      <c r="BT723" s="5"/>
      <c r="BU723" s="5"/>
      <c r="BV723" s="5"/>
      <c r="BW723" s="5"/>
      <c r="BX723" s="5"/>
      <c r="BY723" s="5"/>
      <c r="BZ723" s="5"/>
      <c r="CA723" s="5"/>
      <c r="CB723" s="5"/>
      <c r="CC723" s="5"/>
      <c r="CD723" s="5"/>
      <c r="CE723" s="5"/>
      <c r="CF723" s="5"/>
      <c r="CG723" s="5"/>
      <c r="CH723" s="5"/>
      <c r="CI723" s="5"/>
    </row>
    <row r="724" spans="13:87" x14ac:dyDescent="0.2">
      <c r="N724" s="5"/>
      <c r="O724" s="5"/>
      <c r="P724" s="5"/>
      <c r="Q724" s="5"/>
      <c r="R724" s="5"/>
      <c r="S724" s="5"/>
      <c r="T724" s="19"/>
      <c r="U724" s="5"/>
      <c r="V724" s="5"/>
      <c r="BQ724" s="5"/>
      <c r="BR724" s="5"/>
      <c r="BS724" s="5"/>
      <c r="BT724" s="5"/>
      <c r="BU724" s="5"/>
      <c r="BV724" s="5"/>
      <c r="BW724" s="5"/>
      <c r="BX724" s="5"/>
      <c r="BY724" s="5"/>
      <c r="BZ724" s="5"/>
      <c r="CA724" s="5"/>
      <c r="CB724" s="5"/>
      <c r="CC724" s="5"/>
      <c r="CD724" s="5"/>
      <c r="CE724" s="5"/>
      <c r="CF724" s="5"/>
      <c r="CG724" s="5"/>
      <c r="CH724" s="5"/>
      <c r="CI724" s="5"/>
    </row>
    <row r="725" spans="13:87" x14ac:dyDescent="0.2">
      <c r="N725" s="5"/>
      <c r="O725" s="5"/>
      <c r="P725" s="5"/>
      <c r="Q725" s="5"/>
      <c r="R725" s="5"/>
      <c r="S725" s="5"/>
      <c r="T725" s="19"/>
      <c r="U725" s="5"/>
      <c r="V725" s="5"/>
      <c r="BQ725" s="5"/>
      <c r="BR725" s="5"/>
      <c r="BS725" s="5"/>
      <c r="BT725" s="5"/>
      <c r="BU725" s="5"/>
      <c r="BV725" s="5"/>
      <c r="BW725" s="5"/>
      <c r="BX725" s="5"/>
      <c r="BY725" s="5"/>
      <c r="BZ725" s="5"/>
      <c r="CA725" s="5"/>
      <c r="CB725" s="5"/>
      <c r="CC725" s="5"/>
      <c r="CD725" s="5"/>
      <c r="CE725" s="5"/>
      <c r="CF725" s="5"/>
      <c r="CG725" s="5"/>
      <c r="CH725" s="5"/>
      <c r="CI725" s="5"/>
    </row>
    <row r="726" spans="13:87" x14ac:dyDescent="0.2">
      <c r="N726" s="5"/>
      <c r="O726" s="5"/>
      <c r="P726" s="5"/>
      <c r="Q726" s="5"/>
      <c r="R726" s="5"/>
      <c r="S726" s="5"/>
      <c r="T726" s="19"/>
      <c r="U726" s="5"/>
      <c r="V726" s="5"/>
      <c r="BQ726" s="5"/>
      <c r="BR726" s="5"/>
      <c r="BS726" s="5"/>
      <c r="BT726" s="5"/>
      <c r="BU726" s="5"/>
      <c r="BV726" s="5"/>
      <c r="BW726" s="5"/>
      <c r="BX726" s="5"/>
      <c r="BY726" s="5"/>
      <c r="BZ726" s="5"/>
      <c r="CA726" s="5"/>
      <c r="CB726" s="5"/>
      <c r="CC726" s="5"/>
      <c r="CD726" s="5"/>
      <c r="CE726" s="5"/>
      <c r="CF726" s="5"/>
      <c r="CG726" s="5"/>
      <c r="CH726" s="5"/>
      <c r="CI726" s="5"/>
    </row>
    <row r="727" spans="13:87" x14ac:dyDescent="0.2">
      <c r="N727" s="5"/>
      <c r="O727" s="5"/>
      <c r="P727" s="5"/>
      <c r="Q727" s="5"/>
      <c r="R727" s="5"/>
      <c r="S727" s="5"/>
      <c r="T727" s="19"/>
      <c r="U727" s="5"/>
      <c r="V727" s="5"/>
      <c r="BQ727" s="5"/>
      <c r="BR727" s="5"/>
      <c r="BS727" s="5"/>
      <c r="BT727" s="5"/>
      <c r="BU727" s="5"/>
      <c r="BV727" s="5"/>
      <c r="BW727" s="5"/>
      <c r="BX727" s="5"/>
      <c r="BY727" s="5"/>
      <c r="BZ727" s="5"/>
      <c r="CA727" s="5"/>
      <c r="CB727" s="5"/>
      <c r="CC727" s="5"/>
      <c r="CD727" s="5"/>
      <c r="CE727" s="5"/>
      <c r="CF727" s="5"/>
      <c r="CG727" s="5"/>
      <c r="CH727" s="5"/>
      <c r="CI727" s="5"/>
    </row>
    <row r="728" spans="13:87" x14ac:dyDescent="0.2">
      <c r="N728" s="5"/>
      <c r="O728" s="5"/>
      <c r="P728" s="5"/>
      <c r="Q728" s="5"/>
      <c r="R728" s="5"/>
      <c r="S728" s="5"/>
      <c r="T728" s="19"/>
      <c r="U728" s="5"/>
      <c r="V728" s="5"/>
      <c r="BQ728" s="5"/>
      <c r="BR728" s="5"/>
      <c r="BS728" s="5"/>
      <c r="BT728" s="5"/>
      <c r="BU728" s="5"/>
      <c r="BV728" s="5"/>
      <c r="BW728" s="5"/>
      <c r="BX728" s="5"/>
      <c r="BY728" s="5"/>
      <c r="BZ728" s="5"/>
      <c r="CA728" s="5"/>
      <c r="CB728" s="5"/>
      <c r="CC728" s="5"/>
      <c r="CD728" s="5"/>
      <c r="CE728" s="5"/>
      <c r="CF728" s="5"/>
      <c r="CG728" s="5"/>
      <c r="CH728" s="5"/>
      <c r="CI728" s="5"/>
    </row>
    <row r="729" spans="13:87" x14ac:dyDescent="0.2">
      <c r="N729" s="5"/>
      <c r="O729" s="5"/>
      <c r="P729" s="5"/>
      <c r="Q729" s="5"/>
      <c r="R729" s="5"/>
      <c r="S729" s="5"/>
      <c r="T729" s="5"/>
      <c r="U729" s="5"/>
      <c r="V729" s="5"/>
    </row>
    <row r="730" spans="13:87" x14ac:dyDescent="0.2">
      <c r="N730" s="5"/>
      <c r="O730" s="5"/>
      <c r="P730" s="5"/>
      <c r="Q730" s="5"/>
      <c r="R730" s="5"/>
      <c r="S730" s="5"/>
      <c r="T730" s="5"/>
      <c r="U730" s="5"/>
      <c r="V730" s="5"/>
    </row>
    <row r="731" spans="13:87" x14ac:dyDescent="0.2">
      <c r="N731" s="5"/>
      <c r="O731" s="5"/>
      <c r="P731" s="5"/>
      <c r="Q731" s="5"/>
      <c r="R731" s="5"/>
      <c r="S731" s="5"/>
      <c r="T731" s="5"/>
      <c r="U731" s="5"/>
      <c r="V731" s="5"/>
    </row>
    <row r="732" spans="13:87" x14ac:dyDescent="0.2">
      <c r="N732" s="5"/>
      <c r="O732" s="5"/>
      <c r="P732" s="5"/>
      <c r="Q732" s="5"/>
      <c r="R732" s="5"/>
      <c r="S732" s="5"/>
      <c r="T732" s="5"/>
      <c r="U732" s="5"/>
      <c r="V732" s="5"/>
    </row>
    <row r="733" spans="13:87" x14ac:dyDescent="0.2">
      <c r="N733" s="5"/>
      <c r="O733" s="5"/>
      <c r="P733" s="5"/>
      <c r="Q733" s="5"/>
      <c r="R733" s="5"/>
      <c r="S733" s="5"/>
      <c r="T733" s="5"/>
      <c r="U733" s="5"/>
      <c r="V733" s="5"/>
    </row>
    <row r="734" spans="13:87" x14ac:dyDescent="0.2">
      <c r="N734" s="5"/>
      <c r="O734" s="5"/>
      <c r="P734" s="5"/>
      <c r="Q734" s="5"/>
      <c r="R734" s="5"/>
      <c r="S734" s="5"/>
      <c r="T734" s="5"/>
      <c r="U734" s="5"/>
      <c r="V734" s="5"/>
    </row>
    <row r="735" spans="13:87" x14ac:dyDescent="0.2">
      <c r="N735" s="5"/>
      <c r="O735" s="5"/>
      <c r="P735" s="5"/>
      <c r="Q735" s="5"/>
      <c r="R735" s="5"/>
      <c r="S735" s="5"/>
      <c r="T735" s="5"/>
      <c r="U735" s="5"/>
      <c r="V735" s="5"/>
    </row>
    <row r="736" spans="13:87" x14ac:dyDescent="0.2">
      <c r="N736" s="5"/>
      <c r="O736" s="5"/>
      <c r="P736" s="5"/>
      <c r="Q736" s="5"/>
      <c r="R736" s="5"/>
      <c r="S736" s="5"/>
      <c r="T736" s="5"/>
      <c r="U736" s="5"/>
      <c r="V736" s="5"/>
    </row>
    <row r="737" spans="14:22" x14ac:dyDescent="0.2">
      <c r="N737" s="5"/>
      <c r="O737" s="5"/>
      <c r="P737" s="5"/>
      <c r="Q737" s="5"/>
      <c r="R737" s="5"/>
      <c r="S737" s="5"/>
      <c r="T737" s="5"/>
      <c r="U737" s="5"/>
      <c r="V737" s="5"/>
    </row>
    <row r="738" spans="14:22" x14ac:dyDescent="0.2">
      <c r="N738" s="5"/>
      <c r="O738" s="5"/>
      <c r="P738" s="5"/>
      <c r="Q738" s="5"/>
      <c r="R738" s="5"/>
      <c r="S738" s="5"/>
      <c r="T738" s="5"/>
      <c r="U738" s="5"/>
      <c r="V738" s="5"/>
    </row>
    <row r="739" spans="14:22" x14ac:dyDescent="0.2">
      <c r="N739" s="5"/>
      <c r="O739" s="5"/>
      <c r="P739" s="5"/>
      <c r="Q739" s="5"/>
      <c r="R739" s="5"/>
      <c r="S739" s="5"/>
      <c r="T739" s="5"/>
      <c r="U739" s="5"/>
      <c r="V739" s="5"/>
    </row>
    <row r="740" spans="14:22" x14ac:dyDescent="0.2">
      <c r="N740" s="5"/>
      <c r="O740" s="5"/>
      <c r="P740" s="5"/>
      <c r="Q740" s="5"/>
      <c r="R740" s="5"/>
      <c r="S740" s="5"/>
      <c r="T740" s="5"/>
      <c r="U740" s="5"/>
      <c r="V740" s="5"/>
    </row>
    <row r="741" spans="14:22" x14ac:dyDescent="0.2">
      <c r="N741" s="5"/>
      <c r="O741" s="5"/>
      <c r="P741" s="5"/>
      <c r="Q741" s="5"/>
      <c r="R741" s="5"/>
      <c r="S741" s="5"/>
      <c r="T741" s="5"/>
      <c r="U741" s="5"/>
      <c r="V741" s="5"/>
    </row>
    <row r="742" spans="14:22" x14ac:dyDescent="0.2">
      <c r="N742" s="5"/>
      <c r="O742" s="5"/>
      <c r="P742" s="5"/>
      <c r="Q742" s="5"/>
      <c r="R742" s="5"/>
      <c r="S742" s="5"/>
      <c r="T742" s="5"/>
      <c r="U742" s="5"/>
      <c r="V742" s="5"/>
    </row>
    <row r="743" spans="14:22" x14ac:dyDescent="0.2">
      <c r="N743" s="5"/>
      <c r="O743" s="5"/>
      <c r="P743" s="5"/>
      <c r="Q743" s="5"/>
      <c r="R743" s="5"/>
      <c r="S743" s="5"/>
      <c r="T743" s="5"/>
      <c r="U743" s="5"/>
      <c r="V743" s="5"/>
    </row>
    <row r="744" spans="14:22" x14ac:dyDescent="0.2">
      <c r="N744" s="5"/>
      <c r="O744" s="5"/>
      <c r="P744" s="5"/>
      <c r="Q744" s="5"/>
      <c r="R744" s="5"/>
      <c r="S744" s="5"/>
      <c r="T744" s="5"/>
      <c r="U744" s="5"/>
      <c r="V744" s="5"/>
    </row>
    <row r="745" spans="14:22" x14ac:dyDescent="0.2">
      <c r="N745" s="5"/>
      <c r="O745" s="5"/>
      <c r="P745" s="5"/>
      <c r="Q745" s="5"/>
      <c r="R745" s="5"/>
      <c r="S745" s="5"/>
      <c r="T745" s="5"/>
      <c r="U745" s="5"/>
      <c r="V745" s="5"/>
    </row>
    <row r="746" spans="14:22" x14ac:dyDescent="0.2">
      <c r="N746" s="5"/>
      <c r="O746" s="5"/>
      <c r="P746" s="5"/>
      <c r="Q746" s="5"/>
      <c r="R746" s="5"/>
      <c r="S746" s="5"/>
      <c r="T746" s="5"/>
      <c r="U746" s="5"/>
      <c r="V746" s="5"/>
    </row>
    <row r="747" spans="14:22" x14ac:dyDescent="0.2">
      <c r="N747" s="5"/>
      <c r="O747" s="5"/>
      <c r="P747" s="5"/>
      <c r="Q747" s="5"/>
      <c r="R747" s="5"/>
      <c r="S747" s="5"/>
      <c r="T747" s="5"/>
      <c r="U747" s="5"/>
      <c r="V747" s="5"/>
    </row>
    <row r="748" spans="14:22" x14ac:dyDescent="0.2">
      <c r="N748" s="5"/>
      <c r="O748" s="5"/>
      <c r="P748" s="5"/>
      <c r="Q748" s="5"/>
      <c r="R748" s="5"/>
      <c r="S748" s="5"/>
      <c r="T748" s="5"/>
      <c r="U748" s="5"/>
      <c r="V748" s="5"/>
    </row>
    <row r="749" spans="14:22" x14ac:dyDescent="0.2">
      <c r="N749" s="5"/>
      <c r="O749" s="5"/>
      <c r="P749" s="5"/>
      <c r="Q749" s="5"/>
      <c r="R749" s="5"/>
      <c r="S749" s="5"/>
      <c r="T749" s="5"/>
      <c r="U749" s="5"/>
      <c r="V749" s="5"/>
    </row>
    <row r="750" spans="14:22" x14ac:dyDescent="0.2">
      <c r="N750" s="5"/>
      <c r="O750" s="5"/>
      <c r="P750" s="5"/>
      <c r="Q750" s="5"/>
      <c r="R750" s="5"/>
      <c r="S750" s="5"/>
      <c r="T750" s="5"/>
      <c r="U750" s="5"/>
      <c r="V750" s="5"/>
    </row>
    <row r="751" spans="14:22" x14ac:dyDescent="0.2">
      <c r="N751" s="5"/>
      <c r="O751" s="5"/>
      <c r="P751" s="5"/>
      <c r="Q751" s="5"/>
      <c r="R751" s="5"/>
      <c r="S751" s="5"/>
      <c r="T751" s="5"/>
      <c r="U751" s="5"/>
      <c r="V751" s="5"/>
    </row>
    <row r="752" spans="14:22" x14ac:dyDescent="0.2">
      <c r="N752" s="5"/>
      <c r="O752" s="5"/>
      <c r="P752" s="5"/>
      <c r="Q752" s="5"/>
      <c r="R752" s="5"/>
      <c r="S752" s="5"/>
      <c r="T752" s="5"/>
      <c r="U752" s="5"/>
      <c r="V752" s="5"/>
    </row>
    <row r="753" spans="14:22" x14ac:dyDescent="0.2">
      <c r="N753" s="5"/>
      <c r="O753" s="5"/>
      <c r="P753" s="5"/>
      <c r="Q753" s="5"/>
      <c r="R753" s="5"/>
      <c r="S753" s="5"/>
      <c r="T753" s="5"/>
      <c r="U753" s="5"/>
      <c r="V753" s="5"/>
    </row>
    <row r="754" spans="14:22" x14ac:dyDescent="0.2">
      <c r="N754" s="5"/>
      <c r="O754" s="5"/>
      <c r="P754" s="5"/>
      <c r="Q754" s="5"/>
      <c r="R754" s="5"/>
      <c r="S754" s="5"/>
      <c r="T754" s="5"/>
      <c r="U754" s="5"/>
      <c r="V754" s="5"/>
    </row>
    <row r="755" spans="14:22" x14ac:dyDescent="0.2">
      <c r="N755" s="5"/>
      <c r="O755" s="5"/>
      <c r="P755" s="5"/>
      <c r="Q755" s="5"/>
      <c r="R755" s="5"/>
      <c r="S755" s="5"/>
      <c r="T755" s="5"/>
      <c r="U755" s="5"/>
      <c r="V755" s="5"/>
    </row>
    <row r="756" spans="14:22" x14ac:dyDescent="0.2">
      <c r="N756" s="5"/>
      <c r="O756" s="5"/>
      <c r="P756" s="5"/>
      <c r="Q756" s="5"/>
      <c r="R756" s="5"/>
      <c r="S756" s="5"/>
      <c r="T756" s="5"/>
      <c r="U756" s="5"/>
      <c r="V756" s="5"/>
    </row>
    <row r="757" spans="14:22" x14ac:dyDescent="0.2">
      <c r="N757" s="5"/>
      <c r="O757" s="5"/>
      <c r="P757" s="5"/>
      <c r="Q757" s="5"/>
      <c r="R757" s="5"/>
      <c r="S757" s="5"/>
      <c r="T757" s="5"/>
      <c r="U757" s="5"/>
      <c r="V757" s="5"/>
    </row>
    <row r="758" spans="14:22" x14ac:dyDescent="0.2">
      <c r="N758" s="5"/>
      <c r="O758" s="5"/>
      <c r="P758" s="5"/>
      <c r="Q758" s="5"/>
      <c r="R758" s="5"/>
      <c r="S758" s="5"/>
      <c r="T758" s="5"/>
      <c r="U758" s="5"/>
      <c r="V758" s="5"/>
    </row>
    <row r="759" spans="14:22" x14ac:dyDescent="0.2">
      <c r="N759" s="5"/>
      <c r="O759" s="5"/>
      <c r="P759" s="5"/>
      <c r="Q759" s="5"/>
      <c r="R759" s="5"/>
      <c r="S759" s="5"/>
      <c r="T759" s="5"/>
      <c r="U759" s="5"/>
      <c r="V759" s="5"/>
    </row>
    <row r="760" spans="14:22" x14ac:dyDescent="0.2">
      <c r="N760" s="5"/>
      <c r="O760" s="5"/>
      <c r="P760" s="5"/>
      <c r="Q760" s="5"/>
      <c r="R760" s="5"/>
      <c r="S760" s="5"/>
      <c r="T760" s="5"/>
      <c r="U760" s="5"/>
      <c r="V760" s="5"/>
    </row>
    <row r="761" spans="14:22" x14ac:dyDescent="0.2">
      <c r="N761" s="5"/>
      <c r="O761" s="5"/>
      <c r="P761" s="5"/>
      <c r="Q761" s="5"/>
      <c r="R761" s="5"/>
      <c r="S761" s="5"/>
      <c r="T761" s="5"/>
      <c r="U761" s="5"/>
      <c r="V761" s="5"/>
    </row>
    <row r="762" spans="14:22" x14ac:dyDescent="0.2">
      <c r="N762" s="5"/>
      <c r="O762" s="5"/>
      <c r="P762" s="5"/>
      <c r="Q762" s="5"/>
      <c r="R762" s="5"/>
      <c r="S762" s="5"/>
      <c r="T762" s="5"/>
      <c r="U762" s="5"/>
      <c r="V762" s="5"/>
    </row>
    <row r="763" spans="14:22" x14ac:dyDescent="0.2">
      <c r="N763" s="5"/>
      <c r="O763" s="5"/>
      <c r="P763" s="5"/>
      <c r="Q763" s="5"/>
      <c r="R763" s="5"/>
      <c r="S763" s="5"/>
      <c r="T763" s="5"/>
      <c r="U763" s="5"/>
      <c r="V763" s="5"/>
    </row>
    <row r="764" spans="14:22" x14ac:dyDescent="0.2">
      <c r="N764" s="5"/>
      <c r="O764" s="5"/>
      <c r="P764" s="5"/>
      <c r="Q764" s="5"/>
      <c r="R764" s="5"/>
      <c r="S764" s="5"/>
      <c r="T764" s="5"/>
      <c r="U764" s="5"/>
      <c r="V764" s="5"/>
    </row>
    <row r="765" spans="14:22" x14ac:dyDescent="0.2">
      <c r="N765" s="5"/>
      <c r="O765" s="5"/>
      <c r="P765" s="5"/>
      <c r="Q765" s="5"/>
      <c r="R765" s="5"/>
      <c r="S765" s="5"/>
      <c r="T765" s="5"/>
      <c r="U765" s="5"/>
      <c r="V765" s="5"/>
    </row>
    <row r="766" spans="14:22" x14ac:dyDescent="0.2">
      <c r="N766" s="5"/>
      <c r="O766" s="5"/>
      <c r="P766" s="5"/>
      <c r="Q766" s="5"/>
      <c r="R766" s="5"/>
      <c r="S766" s="5"/>
      <c r="T766" s="5"/>
      <c r="U766" s="5"/>
      <c r="V766" s="5"/>
    </row>
    <row r="767" spans="14:22" x14ac:dyDescent="0.2">
      <c r="N767" s="5"/>
      <c r="O767" s="5"/>
      <c r="P767" s="5"/>
      <c r="Q767" s="5"/>
      <c r="R767" s="5"/>
      <c r="S767" s="5"/>
      <c r="T767" s="5"/>
      <c r="U767" s="5"/>
      <c r="V767" s="5"/>
    </row>
    <row r="768" spans="14:22" x14ac:dyDescent="0.2">
      <c r="N768" s="5"/>
      <c r="O768" s="5"/>
      <c r="P768" s="5"/>
      <c r="Q768" s="5"/>
      <c r="R768" s="5"/>
      <c r="S768" s="5"/>
      <c r="T768" s="5"/>
      <c r="U768" s="5"/>
      <c r="V768" s="5"/>
    </row>
    <row r="769" spans="14:22" x14ac:dyDescent="0.2">
      <c r="N769" s="5"/>
      <c r="O769" s="5"/>
      <c r="P769" s="5"/>
      <c r="Q769" s="5"/>
      <c r="R769" s="5"/>
      <c r="S769" s="5"/>
      <c r="T769" s="5"/>
      <c r="U769" s="5"/>
      <c r="V769" s="5"/>
    </row>
    <row r="770" spans="14:22" x14ac:dyDescent="0.2">
      <c r="N770" s="5"/>
      <c r="O770" s="5"/>
      <c r="P770" s="5"/>
      <c r="Q770" s="5"/>
      <c r="R770" s="5"/>
      <c r="S770" s="5"/>
      <c r="T770" s="5"/>
      <c r="U770" s="5"/>
      <c r="V770" s="5"/>
    </row>
    <row r="771" spans="14:22" x14ac:dyDescent="0.2">
      <c r="N771" s="5"/>
      <c r="O771" s="5"/>
      <c r="P771" s="5"/>
      <c r="Q771" s="5"/>
      <c r="R771" s="5"/>
      <c r="S771" s="5"/>
      <c r="T771" s="5"/>
      <c r="U771" s="5"/>
      <c r="V771" s="5"/>
    </row>
    <row r="772" spans="14:22" x14ac:dyDescent="0.2">
      <c r="N772" s="5"/>
      <c r="O772" s="5"/>
      <c r="P772" s="5"/>
      <c r="Q772" s="5"/>
      <c r="R772" s="5"/>
      <c r="S772" s="5"/>
      <c r="T772" s="5"/>
      <c r="U772" s="5"/>
      <c r="V772" s="5"/>
    </row>
    <row r="773" spans="14:22" x14ac:dyDescent="0.2">
      <c r="N773" s="5"/>
      <c r="O773" s="5"/>
      <c r="P773" s="5"/>
      <c r="Q773" s="5"/>
      <c r="R773" s="5"/>
      <c r="S773" s="5"/>
      <c r="T773" s="5"/>
      <c r="U773" s="5"/>
      <c r="V773" s="5"/>
    </row>
    <row r="774" spans="14:22" x14ac:dyDescent="0.2">
      <c r="N774" s="5"/>
      <c r="O774" s="5"/>
      <c r="P774" s="5"/>
      <c r="Q774" s="5"/>
      <c r="R774" s="5"/>
      <c r="S774" s="5"/>
      <c r="T774" s="5"/>
      <c r="U774" s="5"/>
      <c r="V774" s="5"/>
    </row>
    <row r="775" spans="14:22" x14ac:dyDescent="0.2">
      <c r="N775" s="5"/>
      <c r="O775" s="5"/>
      <c r="P775" s="5"/>
      <c r="Q775" s="5"/>
      <c r="R775" s="5"/>
      <c r="S775" s="5"/>
      <c r="T775" s="5"/>
      <c r="U775" s="5"/>
      <c r="V775" s="5"/>
    </row>
    <row r="776" spans="14:22" x14ac:dyDescent="0.2">
      <c r="N776" s="5"/>
      <c r="O776" s="5"/>
      <c r="P776" s="5"/>
      <c r="Q776" s="5"/>
      <c r="R776" s="5"/>
      <c r="S776" s="5"/>
      <c r="T776" s="5"/>
      <c r="U776" s="5"/>
      <c r="V776" s="5"/>
    </row>
    <row r="777" spans="14:22" x14ac:dyDescent="0.2">
      <c r="N777" s="5"/>
      <c r="O777" s="5"/>
      <c r="P777" s="5"/>
      <c r="Q777" s="5"/>
      <c r="R777" s="5"/>
      <c r="S777" s="5"/>
      <c r="T777" s="5"/>
      <c r="U777" s="5"/>
      <c r="V777" s="5"/>
    </row>
    <row r="778" spans="14:22" x14ac:dyDescent="0.2">
      <c r="N778" s="5"/>
      <c r="O778" s="5"/>
      <c r="P778" s="5"/>
      <c r="Q778" s="5"/>
      <c r="R778" s="5"/>
      <c r="S778" s="5"/>
      <c r="T778" s="5"/>
      <c r="U778" s="5"/>
      <c r="V778" s="5"/>
    </row>
    <row r="779" spans="14:22" x14ac:dyDescent="0.2">
      <c r="N779" s="5"/>
      <c r="O779" s="5"/>
      <c r="P779" s="5"/>
      <c r="Q779" s="5"/>
      <c r="R779" s="5"/>
      <c r="S779" s="5"/>
      <c r="T779" s="5"/>
      <c r="U779" s="5"/>
      <c r="V779" s="5"/>
    </row>
    <row r="780" spans="14:22" x14ac:dyDescent="0.2">
      <c r="N780" s="5"/>
      <c r="O780" s="5"/>
      <c r="P780" s="5"/>
      <c r="Q780" s="5"/>
      <c r="R780" s="5"/>
      <c r="S780" s="5"/>
      <c r="T780" s="5"/>
      <c r="U780" s="5"/>
      <c r="V780" s="5"/>
    </row>
    <row r="781" spans="14:22" x14ac:dyDescent="0.2">
      <c r="N781" s="5"/>
      <c r="O781" s="5"/>
      <c r="P781" s="5"/>
      <c r="Q781" s="5"/>
      <c r="R781" s="5"/>
      <c r="S781" s="5"/>
      <c r="T781" s="5"/>
      <c r="U781" s="5"/>
      <c r="V781" s="5"/>
    </row>
    <row r="782" spans="14:22" x14ac:dyDescent="0.2">
      <c r="N782" s="5"/>
      <c r="O782" s="5"/>
      <c r="P782" s="5"/>
      <c r="Q782" s="5"/>
      <c r="R782" s="5"/>
      <c r="S782" s="5"/>
      <c r="T782" s="5"/>
      <c r="U782" s="5"/>
      <c r="V782" s="5"/>
    </row>
    <row r="783" spans="14:22" x14ac:dyDescent="0.2">
      <c r="N783" s="5"/>
      <c r="O783" s="5"/>
      <c r="P783" s="5"/>
      <c r="Q783" s="5"/>
      <c r="R783" s="5"/>
      <c r="S783" s="5"/>
      <c r="T783" s="5"/>
      <c r="U783" s="5"/>
      <c r="V783" s="5"/>
    </row>
    <row r="784" spans="14:22" x14ac:dyDescent="0.2">
      <c r="N784" s="5"/>
      <c r="O784" s="5"/>
      <c r="P784" s="5"/>
      <c r="Q784" s="5"/>
      <c r="R784" s="5"/>
      <c r="S784" s="5"/>
      <c r="T784" s="5"/>
      <c r="U784" s="5"/>
      <c r="V784" s="5"/>
    </row>
    <row r="785" spans="14:22" x14ac:dyDescent="0.2">
      <c r="N785" s="5"/>
      <c r="O785" s="5"/>
      <c r="P785" s="5"/>
      <c r="Q785" s="5"/>
      <c r="R785" s="5"/>
      <c r="S785" s="5"/>
      <c r="T785" s="5"/>
      <c r="U785" s="5"/>
      <c r="V785" s="5"/>
    </row>
    <row r="786" spans="14:22" x14ac:dyDescent="0.2">
      <c r="N786" s="5"/>
      <c r="O786" s="5"/>
      <c r="P786" s="5"/>
      <c r="Q786" s="5"/>
      <c r="R786" s="5"/>
      <c r="S786" s="5"/>
      <c r="T786" s="5"/>
      <c r="U786" s="5"/>
      <c r="V786" s="5"/>
    </row>
    <row r="787" spans="14:22" x14ac:dyDescent="0.2">
      <c r="N787" s="5"/>
      <c r="O787" s="5"/>
      <c r="P787" s="5"/>
      <c r="Q787" s="5"/>
      <c r="R787" s="5"/>
      <c r="S787" s="5"/>
      <c r="T787" s="5"/>
      <c r="U787" s="5"/>
      <c r="V787" s="5"/>
    </row>
    <row r="788" spans="14:22" x14ac:dyDescent="0.2">
      <c r="N788" s="5"/>
      <c r="O788" s="5"/>
      <c r="P788" s="5"/>
      <c r="Q788" s="5"/>
      <c r="R788" s="5"/>
      <c r="S788" s="5"/>
      <c r="T788" s="5"/>
      <c r="U788" s="5"/>
      <c r="V788" s="5"/>
    </row>
    <row r="789" spans="14:22" x14ac:dyDescent="0.2">
      <c r="N789" s="5"/>
      <c r="O789" s="5"/>
      <c r="P789" s="5"/>
      <c r="Q789" s="5"/>
      <c r="R789" s="5"/>
      <c r="S789" s="5"/>
      <c r="T789" s="5"/>
      <c r="U789" s="5"/>
      <c r="V789" s="5"/>
    </row>
    <row r="790" spans="14:22" x14ac:dyDescent="0.2">
      <c r="N790" s="5"/>
      <c r="O790" s="5"/>
      <c r="P790" s="5"/>
      <c r="Q790" s="5"/>
      <c r="R790" s="5"/>
      <c r="S790" s="5"/>
      <c r="T790" s="5"/>
      <c r="U790" s="5"/>
      <c r="V790" s="5"/>
    </row>
    <row r="791" spans="14:22" x14ac:dyDescent="0.2">
      <c r="N791" s="5"/>
      <c r="O791" s="5"/>
      <c r="P791" s="5"/>
      <c r="Q791" s="5"/>
      <c r="R791" s="5"/>
      <c r="S791" s="5"/>
      <c r="T791" s="5"/>
      <c r="U791" s="5"/>
      <c r="V791" s="5"/>
    </row>
    <row r="792" spans="14:22" x14ac:dyDescent="0.2">
      <c r="N792" s="5"/>
      <c r="O792" s="5"/>
      <c r="P792" s="5"/>
      <c r="Q792" s="5"/>
      <c r="R792" s="5"/>
      <c r="S792" s="5"/>
      <c r="T792" s="5"/>
      <c r="U792" s="5"/>
      <c r="V792" s="5"/>
    </row>
    <row r="793" spans="14:22" x14ac:dyDescent="0.2">
      <c r="N793" s="5"/>
      <c r="O793" s="5"/>
      <c r="P793" s="5"/>
      <c r="Q793" s="5"/>
      <c r="R793" s="5"/>
      <c r="S793" s="5"/>
      <c r="T793" s="5"/>
      <c r="U793" s="5"/>
      <c r="V793" s="5"/>
    </row>
    <row r="794" spans="14:22" x14ac:dyDescent="0.2">
      <c r="N794" s="5"/>
      <c r="O794" s="5"/>
      <c r="P794" s="5"/>
      <c r="Q794" s="5"/>
      <c r="R794" s="5"/>
      <c r="S794" s="5"/>
      <c r="T794" s="5"/>
      <c r="U794" s="5"/>
      <c r="V794" s="5"/>
    </row>
    <row r="795" spans="14:22" x14ac:dyDescent="0.2">
      <c r="N795" s="5"/>
      <c r="O795" s="5"/>
      <c r="P795" s="5"/>
      <c r="Q795" s="5"/>
      <c r="R795" s="5"/>
      <c r="S795" s="5"/>
      <c r="T795" s="5"/>
      <c r="U795" s="5"/>
      <c r="V795" s="5"/>
    </row>
    <row r="796" spans="14:22" x14ac:dyDescent="0.2">
      <c r="N796" s="5"/>
      <c r="O796" s="5"/>
      <c r="P796" s="5"/>
      <c r="Q796" s="5"/>
      <c r="R796" s="5"/>
      <c r="S796" s="5"/>
      <c r="T796" s="5"/>
      <c r="U796" s="5"/>
      <c r="V796" s="5"/>
    </row>
    <row r="797" spans="14:22" x14ac:dyDescent="0.2">
      <c r="N797" s="5"/>
      <c r="O797" s="5"/>
      <c r="P797" s="5"/>
      <c r="Q797" s="5"/>
      <c r="R797" s="5"/>
      <c r="S797" s="5"/>
      <c r="T797" s="5"/>
      <c r="U797" s="5"/>
      <c r="V797" s="5"/>
    </row>
    <row r="798" spans="14:22" x14ac:dyDescent="0.2">
      <c r="N798" s="5"/>
      <c r="O798" s="5"/>
      <c r="P798" s="5"/>
      <c r="Q798" s="5"/>
      <c r="R798" s="5"/>
      <c r="S798" s="5"/>
      <c r="T798" s="5"/>
      <c r="U798" s="5"/>
      <c r="V798" s="5"/>
    </row>
    <row r="799" spans="14:22" x14ac:dyDescent="0.2">
      <c r="N799" s="5"/>
      <c r="O799" s="5"/>
      <c r="P799" s="5"/>
      <c r="Q799" s="5"/>
      <c r="R799" s="5"/>
      <c r="S799" s="5"/>
      <c r="T799" s="5"/>
      <c r="U799" s="5"/>
      <c r="V799" s="5"/>
    </row>
    <row r="800" spans="14:22" x14ac:dyDescent="0.2">
      <c r="N800" s="5"/>
      <c r="O800" s="5"/>
      <c r="P800" s="5"/>
      <c r="Q800" s="5"/>
      <c r="R800" s="5"/>
      <c r="S800" s="5"/>
      <c r="T800" s="5"/>
      <c r="U800" s="5"/>
      <c r="V800" s="5"/>
    </row>
    <row r="801" spans="14:22" x14ac:dyDescent="0.2">
      <c r="N801" s="5"/>
      <c r="O801" s="5"/>
      <c r="P801" s="5"/>
      <c r="Q801" s="5"/>
      <c r="R801" s="5"/>
      <c r="S801" s="5"/>
      <c r="T801" s="5"/>
      <c r="U801" s="5"/>
      <c r="V801" s="5"/>
    </row>
    <row r="802" spans="14:22" x14ac:dyDescent="0.2">
      <c r="N802" s="5"/>
      <c r="O802" s="5"/>
      <c r="P802" s="5"/>
      <c r="Q802" s="5"/>
      <c r="R802" s="5"/>
      <c r="S802" s="5"/>
      <c r="T802" s="5"/>
      <c r="U802" s="5"/>
      <c r="V802" s="5"/>
    </row>
    <row r="803" spans="14:22" x14ac:dyDescent="0.2">
      <c r="N803" s="5"/>
      <c r="O803" s="5"/>
      <c r="P803" s="5"/>
      <c r="Q803" s="5"/>
      <c r="R803" s="5"/>
      <c r="S803" s="5"/>
      <c r="T803" s="5"/>
      <c r="U803" s="5"/>
      <c r="V803" s="5"/>
    </row>
    <row r="804" spans="14:22" x14ac:dyDescent="0.2">
      <c r="N804" s="5"/>
      <c r="O804" s="5"/>
      <c r="P804" s="5"/>
      <c r="Q804" s="5"/>
      <c r="R804" s="5"/>
      <c r="S804" s="5"/>
      <c r="T804" s="5"/>
      <c r="U804" s="5"/>
      <c r="V804" s="5"/>
    </row>
    <row r="805" spans="14:22" x14ac:dyDescent="0.2">
      <c r="N805" s="5"/>
      <c r="O805" s="5"/>
      <c r="P805" s="5"/>
      <c r="Q805" s="5"/>
      <c r="R805" s="5"/>
      <c r="S805" s="5"/>
      <c r="T805" s="5"/>
      <c r="U805" s="5"/>
      <c r="V805" s="5"/>
    </row>
    <row r="806" spans="14:22" x14ac:dyDescent="0.2">
      <c r="N806" s="5"/>
      <c r="O806" s="5"/>
      <c r="P806" s="5"/>
      <c r="Q806" s="5"/>
      <c r="R806" s="5"/>
      <c r="S806" s="5"/>
      <c r="T806" s="5"/>
      <c r="U806" s="5"/>
      <c r="V806" s="5"/>
    </row>
    <row r="807" spans="14:22" x14ac:dyDescent="0.2">
      <c r="N807" s="5"/>
      <c r="O807" s="5"/>
      <c r="P807" s="5"/>
      <c r="Q807" s="5"/>
      <c r="R807" s="5"/>
      <c r="S807" s="5"/>
      <c r="T807" s="5"/>
      <c r="U807" s="5"/>
      <c r="V807" s="5"/>
    </row>
    <row r="808" spans="14:22" x14ac:dyDescent="0.2">
      <c r="N808" s="5"/>
      <c r="O808" s="5"/>
      <c r="P808" s="5"/>
      <c r="Q808" s="5"/>
      <c r="R808" s="5"/>
      <c r="S808" s="5"/>
      <c r="T808" s="5"/>
      <c r="U808" s="5"/>
      <c r="V808" s="5"/>
    </row>
    <row r="809" spans="14:22" x14ac:dyDescent="0.2">
      <c r="N809" s="5"/>
      <c r="O809" s="5"/>
      <c r="P809" s="5"/>
      <c r="Q809" s="5"/>
      <c r="R809" s="5"/>
      <c r="S809" s="5"/>
      <c r="T809" s="5"/>
      <c r="U809" s="5"/>
      <c r="V809" s="5"/>
    </row>
    <row r="810" spans="14:22" x14ac:dyDescent="0.2">
      <c r="N810" s="5"/>
      <c r="O810" s="5"/>
      <c r="P810" s="5"/>
      <c r="Q810" s="5"/>
      <c r="R810" s="5"/>
      <c r="S810" s="5"/>
      <c r="T810" s="5"/>
      <c r="U810" s="5"/>
      <c r="V810" s="5"/>
    </row>
    <row r="811" spans="14:22" x14ac:dyDescent="0.2">
      <c r="N811" s="5"/>
      <c r="O811" s="5"/>
      <c r="P811" s="5"/>
      <c r="Q811" s="5"/>
      <c r="R811" s="5"/>
      <c r="S811" s="5"/>
      <c r="T811" s="5"/>
      <c r="U811" s="5"/>
      <c r="V811" s="5"/>
    </row>
    <row r="812" spans="14:22" x14ac:dyDescent="0.2">
      <c r="N812" s="5"/>
      <c r="O812" s="5"/>
      <c r="P812" s="5"/>
      <c r="Q812" s="5"/>
      <c r="R812" s="5"/>
      <c r="S812" s="5"/>
      <c r="T812" s="5"/>
      <c r="U812" s="5"/>
      <c r="V812" s="5"/>
    </row>
    <row r="813" spans="14:22" x14ac:dyDescent="0.2">
      <c r="N813" s="5"/>
      <c r="O813" s="5"/>
      <c r="P813" s="5"/>
      <c r="Q813" s="5"/>
      <c r="R813" s="5"/>
      <c r="S813" s="5"/>
      <c r="T813" s="5"/>
      <c r="U813" s="5"/>
      <c r="V813" s="5"/>
    </row>
    <row r="814" spans="14:22" x14ac:dyDescent="0.2">
      <c r="N814" s="5"/>
      <c r="O814" s="5"/>
      <c r="P814" s="5"/>
      <c r="Q814" s="5"/>
      <c r="R814" s="5"/>
      <c r="S814" s="5"/>
      <c r="T814" s="5"/>
      <c r="U814" s="5"/>
      <c r="V814" s="5"/>
    </row>
    <row r="815" spans="14:22" x14ac:dyDescent="0.2">
      <c r="N815" s="5"/>
      <c r="O815" s="5"/>
      <c r="P815" s="5"/>
      <c r="Q815" s="5"/>
      <c r="R815" s="5"/>
      <c r="S815" s="5"/>
      <c r="T815" s="5"/>
      <c r="U815" s="5"/>
      <c r="V815" s="5"/>
    </row>
    <row r="816" spans="14:22" x14ac:dyDescent="0.2">
      <c r="N816" s="5"/>
      <c r="O816" s="5"/>
      <c r="P816" s="5"/>
      <c r="Q816" s="5"/>
      <c r="R816" s="5"/>
      <c r="S816" s="5"/>
      <c r="T816" s="5"/>
      <c r="U816" s="5"/>
      <c r="V816" s="5"/>
    </row>
    <row r="817" spans="14:22" x14ac:dyDescent="0.2">
      <c r="N817" s="5"/>
      <c r="O817" s="5"/>
      <c r="P817" s="5"/>
      <c r="Q817" s="5"/>
      <c r="R817" s="5"/>
      <c r="S817" s="5"/>
      <c r="T817" s="5"/>
      <c r="U817" s="5"/>
      <c r="V817" s="5"/>
    </row>
    <row r="818" spans="14:22" x14ac:dyDescent="0.2">
      <c r="N818" s="5"/>
      <c r="O818" s="5"/>
      <c r="P818" s="5"/>
      <c r="Q818" s="5"/>
      <c r="R818" s="5"/>
      <c r="S818" s="5"/>
      <c r="T818" s="5"/>
      <c r="U818" s="5"/>
      <c r="V818" s="5"/>
    </row>
    <row r="819" spans="14:22" x14ac:dyDescent="0.2">
      <c r="N819" s="5"/>
      <c r="O819" s="5"/>
      <c r="P819" s="5"/>
      <c r="Q819" s="5"/>
      <c r="R819" s="5"/>
      <c r="S819" s="5"/>
      <c r="T819" s="5"/>
      <c r="U819" s="5"/>
      <c r="V819" s="5"/>
    </row>
    <row r="820" spans="14:22" x14ac:dyDescent="0.2">
      <c r="N820" s="5"/>
      <c r="O820" s="5"/>
      <c r="P820" s="5"/>
      <c r="Q820" s="5"/>
      <c r="R820" s="5"/>
      <c r="S820" s="5"/>
      <c r="T820" s="5"/>
      <c r="U820" s="5"/>
      <c r="V820" s="5"/>
    </row>
    <row r="821" spans="14:22" x14ac:dyDescent="0.2">
      <c r="N821" s="5"/>
      <c r="O821" s="5"/>
      <c r="P821" s="5"/>
      <c r="Q821" s="5"/>
      <c r="R821" s="5"/>
      <c r="S821" s="5"/>
      <c r="T821" s="5"/>
      <c r="U821" s="5"/>
      <c r="V821" s="5"/>
    </row>
    <row r="822" spans="14:22" x14ac:dyDescent="0.2">
      <c r="N822" s="5"/>
      <c r="O822" s="5"/>
      <c r="P822" s="5"/>
      <c r="Q822" s="5"/>
      <c r="R822" s="5"/>
      <c r="S822" s="5"/>
      <c r="T822" s="5"/>
      <c r="U822" s="5"/>
      <c r="V822" s="5"/>
    </row>
    <row r="823" spans="14:22" x14ac:dyDescent="0.2">
      <c r="N823" s="5"/>
      <c r="O823" s="5"/>
      <c r="P823" s="5"/>
      <c r="Q823" s="5"/>
      <c r="R823" s="5"/>
      <c r="S823" s="5"/>
      <c r="T823" s="5"/>
      <c r="U823" s="5"/>
      <c r="V823" s="5"/>
    </row>
    <row r="824" spans="14:22" x14ac:dyDescent="0.2">
      <c r="N824" s="5"/>
      <c r="O824" s="5"/>
      <c r="P824" s="5"/>
      <c r="Q824" s="5"/>
      <c r="R824" s="5"/>
      <c r="S824" s="5"/>
      <c r="T824" s="5"/>
      <c r="U824" s="5"/>
      <c r="V824" s="5"/>
    </row>
    <row r="825" spans="14:22" x14ac:dyDescent="0.2">
      <c r="N825" s="5"/>
      <c r="O825" s="5"/>
      <c r="P825" s="5"/>
      <c r="Q825" s="5"/>
      <c r="R825" s="5"/>
      <c r="S825" s="5"/>
      <c r="T825" s="5"/>
      <c r="U825" s="5"/>
      <c r="V825" s="5"/>
    </row>
    <row r="826" spans="14:22" x14ac:dyDescent="0.2">
      <c r="N826" s="5"/>
      <c r="O826" s="5"/>
      <c r="P826" s="5"/>
      <c r="Q826" s="5"/>
      <c r="R826" s="5"/>
      <c r="S826" s="5"/>
      <c r="T826" s="5"/>
      <c r="U826" s="5"/>
      <c r="V826" s="5"/>
    </row>
    <row r="827" spans="14:22" x14ac:dyDescent="0.2">
      <c r="N827" s="5"/>
      <c r="O827" s="5"/>
      <c r="P827" s="5"/>
      <c r="Q827" s="5"/>
      <c r="R827" s="5"/>
      <c r="S827" s="5"/>
      <c r="T827" s="5"/>
      <c r="U827" s="5"/>
      <c r="V827" s="5"/>
    </row>
    <row r="828" spans="14:22" x14ac:dyDescent="0.2">
      <c r="N828" s="5"/>
      <c r="O828" s="5"/>
      <c r="P828" s="5"/>
      <c r="Q828" s="5"/>
      <c r="R828" s="5"/>
      <c r="S828" s="5"/>
      <c r="T828" s="5"/>
      <c r="U828" s="5"/>
      <c r="V828" s="5"/>
    </row>
    <row r="829" spans="14:22" x14ac:dyDescent="0.2">
      <c r="N829" s="5"/>
      <c r="O829" s="5"/>
      <c r="P829" s="5"/>
      <c r="Q829" s="5"/>
      <c r="R829" s="5"/>
      <c r="S829" s="5"/>
      <c r="T829" s="5"/>
      <c r="U829" s="5"/>
      <c r="V829" s="5"/>
    </row>
    <row r="830" spans="14:22" x14ac:dyDescent="0.2">
      <c r="N830" s="5"/>
      <c r="O830" s="5"/>
      <c r="P830" s="5"/>
      <c r="Q830" s="5"/>
      <c r="R830" s="5"/>
      <c r="S830" s="5"/>
      <c r="T830" s="5"/>
      <c r="U830" s="5"/>
      <c r="V830" s="5"/>
    </row>
    <row r="831" spans="14:22" x14ac:dyDescent="0.2">
      <c r="N831" s="5"/>
      <c r="O831" s="5"/>
      <c r="P831" s="5"/>
      <c r="Q831" s="5"/>
      <c r="R831" s="5"/>
      <c r="S831" s="5"/>
      <c r="T831" s="5"/>
      <c r="U831" s="5"/>
      <c r="V831" s="5"/>
    </row>
    <row r="832" spans="14:22" x14ac:dyDescent="0.2">
      <c r="N832" s="5"/>
      <c r="O832" s="5"/>
      <c r="P832" s="5"/>
      <c r="Q832" s="5"/>
      <c r="R832" s="5"/>
      <c r="S832" s="5"/>
      <c r="T832" s="5"/>
      <c r="U832" s="5"/>
      <c r="V832" s="5"/>
    </row>
    <row r="833" spans="14:22" x14ac:dyDescent="0.2">
      <c r="N833" s="5"/>
      <c r="O833" s="5"/>
      <c r="P833" s="5"/>
      <c r="Q833" s="5"/>
      <c r="R833" s="5"/>
      <c r="S833" s="5"/>
      <c r="T833" s="5"/>
      <c r="U833" s="5"/>
      <c r="V833" s="5"/>
    </row>
    <row r="834" spans="14:22" x14ac:dyDescent="0.2">
      <c r="N834" s="5"/>
      <c r="O834" s="5"/>
      <c r="P834" s="5"/>
      <c r="Q834" s="5"/>
      <c r="R834" s="5"/>
      <c r="S834" s="5"/>
      <c r="T834" s="5"/>
      <c r="U834" s="5"/>
      <c r="V834" s="5"/>
    </row>
    <row r="835" spans="14:22" x14ac:dyDescent="0.2">
      <c r="N835" s="5"/>
      <c r="O835" s="5"/>
      <c r="P835" s="5"/>
      <c r="Q835" s="5"/>
      <c r="R835" s="5"/>
      <c r="S835" s="5"/>
      <c r="T835" s="5"/>
      <c r="U835" s="5"/>
      <c r="V835" s="5"/>
    </row>
    <row r="836" spans="14:22" x14ac:dyDescent="0.2">
      <c r="N836" s="5"/>
      <c r="O836" s="5"/>
      <c r="P836" s="5"/>
      <c r="Q836" s="5"/>
      <c r="R836" s="5"/>
      <c r="S836" s="5"/>
      <c r="T836" s="5"/>
      <c r="U836" s="5"/>
      <c r="V836" s="5"/>
    </row>
    <row r="837" spans="14:22" x14ac:dyDescent="0.2">
      <c r="N837" s="5"/>
      <c r="O837" s="5"/>
      <c r="P837" s="5"/>
      <c r="Q837" s="5"/>
      <c r="R837" s="5"/>
      <c r="S837" s="5"/>
      <c r="T837" s="5"/>
      <c r="U837" s="5"/>
      <c r="V837" s="5"/>
    </row>
    <row r="838" spans="14:22" x14ac:dyDescent="0.2">
      <c r="N838" s="5"/>
      <c r="O838" s="5"/>
      <c r="P838" s="5"/>
      <c r="Q838" s="5"/>
      <c r="R838" s="5"/>
      <c r="S838" s="5"/>
      <c r="T838" s="5"/>
      <c r="U838" s="5"/>
      <c r="V838" s="5"/>
    </row>
    <row r="839" spans="14:22" x14ac:dyDescent="0.2">
      <c r="N839" s="5"/>
      <c r="O839" s="5"/>
      <c r="P839" s="5"/>
      <c r="Q839" s="5"/>
      <c r="R839" s="5"/>
      <c r="S839" s="5"/>
      <c r="T839" s="5"/>
      <c r="U839" s="5"/>
      <c r="V839" s="5"/>
    </row>
    <row r="840" spans="14:22" x14ac:dyDescent="0.2">
      <c r="N840" s="5"/>
      <c r="O840" s="5"/>
      <c r="P840" s="5"/>
      <c r="Q840" s="5"/>
      <c r="R840" s="5"/>
      <c r="S840" s="5"/>
      <c r="T840" s="5"/>
      <c r="U840" s="5"/>
      <c r="V840" s="5"/>
    </row>
    <row r="841" spans="14:22" x14ac:dyDescent="0.2">
      <c r="N841" s="5"/>
      <c r="O841" s="5"/>
      <c r="P841" s="5"/>
      <c r="Q841" s="5"/>
      <c r="R841" s="5"/>
      <c r="S841" s="5"/>
      <c r="T841" s="5"/>
      <c r="U841" s="5"/>
      <c r="V841" s="5"/>
    </row>
    <row r="842" spans="14:22" x14ac:dyDescent="0.2">
      <c r="N842" s="5"/>
      <c r="O842" s="5"/>
      <c r="P842" s="5"/>
      <c r="Q842" s="5"/>
      <c r="R842" s="5"/>
      <c r="S842" s="5"/>
      <c r="T842" s="5"/>
      <c r="U842" s="5"/>
      <c r="V842" s="5"/>
    </row>
    <row r="843" spans="14:22" x14ac:dyDescent="0.2">
      <c r="N843" s="5"/>
      <c r="O843" s="5"/>
      <c r="P843" s="5"/>
      <c r="Q843" s="5"/>
      <c r="R843" s="5"/>
      <c r="S843" s="5"/>
      <c r="T843" s="5"/>
      <c r="U843" s="5"/>
      <c r="V843" s="5"/>
    </row>
    <row r="844" spans="14:22" x14ac:dyDescent="0.2">
      <c r="N844" s="5"/>
      <c r="O844" s="5"/>
      <c r="P844" s="5"/>
      <c r="Q844" s="5"/>
      <c r="R844" s="5"/>
      <c r="S844" s="5"/>
      <c r="T844" s="5"/>
      <c r="U844" s="5"/>
      <c r="V844" s="5"/>
    </row>
    <row r="845" spans="14:22" x14ac:dyDescent="0.2">
      <c r="N845" s="5"/>
      <c r="O845" s="5"/>
      <c r="P845" s="5"/>
      <c r="Q845" s="5"/>
      <c r="R845" s="5"/>
      <c r="S845" s="5"/>
      <c r="T845" s="5"/>
      <c r="U845" s="5"/>
      <c r="V845" s="5"/>
    </row>
    <row r="846" spans="14:22" x14ac:dyDescent="0.2">
      <c r="N846" s="5"/>
      <c r="O846" s="5"/>
      <c r="P846" s="5"/>
      <c r="Q846" s="5"/>
      <c r="R846" s="5"/>
      <c r="S846" s="5"/>
      <c r="T846" s="5"/>
      <c r="U846" s="5"/>
      <c r="V846" s="5"/>
    </row>
    <row r="847" spans="14:22" x14ac:dyDescent="0.2">
      <c r="N847" s="5"/>
      <c r="O847" s="5"/>
      <c r="P847" s="5"/>
      <c r="Q847" s="5"/>
      <c r="R847" s="5"/>
      <c r="S847" s="5"/>
      <c r="T847" s="5"/>
      <c r="U847" s="5"/>
      <c r="V847" s="5"/>
    </row>
    <row r="848" spans="14:22" x14ac:dyDescent="0.2">
      <c r="N848" s="5"/>
      <c r="O848" s="5"/>
      <c r="P848" s="5"/>
      <c r="Q848" s="5"/>
      <c r="R848" s="5"/>
      <c r="S848" s="5"/>
      <c r="T848" s="5"/>
      <c r="U848" s="5"/>
      <c r="V848" s="5"/>
    </row>
    <row r="849" spans="14:22" x14ac:dyDescent="0.2">
      <c r="N849" s="5"/>
      <c r="O849" s="5"/>
      <c r="P849" s="5"/>
      <c r="Q849" s="5"/>
      <c r="R849" s="5"/>
      <c r="S849" s="5"/>
      <c r="T849" s="5"/>
      <c r="U849" s="5"/>
      <c r="V849" s="5"/>
    </row>
    <row r="850" spans="14:22" x14ac:dyDescent="0.2">
      <c r="N850" s="5"/>
      <c r="O850" s="5"/>
      <c r="P850" s="5"/>
      <c r="Q850" s="5"/>
      <c r="R850" s="5"/>
      <c r="S850" s="5"/>
      <c r="T850" s="5"/>
      <c r="U850" s="5"/>
      <c r="V850" s="5"/>
    </row>
    <row r="851" spans="14:22" x14ac:dyDescent="0.2">
      <c r="N851" s="5"/>
      <c r="O851" s="5"/>
      <c r="P851" s="5"/>
      <c r="Q851" s="5"/>
      <c r="R851" s="5"/>
      <c r="S851" s="5"/>
      <c r="T851" s="5"/>
      <c r="U851" s="5"/>
      <c r="V851" s="5"/>
    </row>
    <row r="852" spans="14:22" x14ac:dyDescent="0.2">
      <c r="N852" s="5"/>
      <c r="O852" s="5"/>
      <c r="P852" s="5"/>
      <c r="Q852" s="5"/>
      <c r="R852" s="5"/>
      <c r="S852" s="5"/>
      <c r="T852" s="5"/>
      <c r="U852" s="5"/>
      <c r="V852" s="5"/>
    </row>
    <row r="853" spans="14:22" x14ac:dyDescent="0.2">
      <c r="N853" s="5"/>
      <c r="O853" s="5"/>
      <c r="P853" s="5"/>
      <c r="Q853" s="5"/>
      <c r="R853" s="5"/>
      <c r="S853" s="5"/>
      <c r="T853" s="5"/>
      <c r="U853" s="5"/>
      <c r="V853" s="5"/>
    </row>
    <row r="854" spans="14:22" x14ac:dyDescent="0.2">
      <c r="N854" s="5"/>
      <c r="O854" s="5"/>
      <c r="P854" s="5"/>
      <c r="Q854" s="5"/>
      <c r="R854" s="5"/>
      <c r="S854" s="5"/>
      <c r="T854" s="5"/>
      <c r="U854" s="5"/>
      <c r="V854" s="5"/>
    </row>
    <row r="855" spans="14:22" x14ac:dyDescent="0.2">
      <c r="N855" s="5"/>
      <c r="O855" s="5"/>
      <c r="P855" s="5"/>
      <c r="Q855" s="5"/>
      <c r="R855" s="5"/>
      <c r="S855" s="5"/>
      <c r="T855" s="5"/>
      <c r="U855" s="5"/>
      <c r="V855" s="5"/>
    </row>
    <row r="856" spans="14:22" x14ac:dyDescent="0.2">
      <c r="N856" s="5"/>
      <c r="O856" s="5"/>
      <c r="P856" s="5"/>
      <c r="Q856" s="5"/>
      <c r="R856" s="5"/>
      <c r="S856" s="5"/>
      <c r="T856" s="5"/>
      <c r="U856" s="5"/>
      <c r="V856" s="5"/>
    </row>
    <row r="857" spans="14:22" x14ac:dyDescent="0.2">
      <c r="N857" s="5"/>
      <c r="O857" s="5"/>
      <c r="P857" s="5"/>
      <c r="Q857" s="5"/>
      <c r="R857" s="5"/>
      <c r="S857" s="5"/>
      <c r="T857" s="5"/>
      <c r="U857" s="5"/>
      <c r="V857" s="5"/>
    </row>
    <row r="858" spans="14:22" x14ac:dyDescent="0.2">
      <c r="N858" s="5"/>
      <c r="O858" s="5"/>
      <c r="P858" s="5"/>
      <c r="Q858" s="5"/>
      <c r="R858" s="5"/>
      <c r="S858" s="5"/>
      <c r="T858" s="5"/>
      <c r="U858" s="5"/>
      <c r="V858" s="5"/>
    </row>
    <row r="859" spans="14:22" x14ac:dyDescent="0.2">
      <c r="N859" s="5"/>
      <c r="O859" s="5"/>
      <c r="P859" s="5"/>
      <c r="Q859" s="5"/>
      <c r="R859" s="5"/>
      <c r="S859" s="5"/>
      <c r="T859" s="5"/>
      <c r="U859" s="5"/>
      <c r="V859" s="5"/>
    </row>
    <row r="860" spans="14:22" x14ac:dyDescent="0.2">
      <c r="N860" s="5"/>
      <c r="O860" s="5"/>
      <c r="P860" s="5"/>
      <c r="Q860" s="5"/>
      <c r="R860" s="5"/>
      <c r="S860" s="5"/>
      <c r="T860" s="5"/>
      <c r="U860" s="5"/>
      <c r="V860" s="5"/>
    </row>
    <row r="861" spans="14:22" x14ac:dyDescent="0.2">
      <c r="N861" s="5"/>
      <c r="O861" s="5"/>
      <c r="P861" s="5"/>
      <c r="Q861" s="5"/>
      <c r="R861" s="5"/>
      <c r="S861" s="5"/>
      <c r="T861" s="5"/>
      <c r="U861" s="5"/>
      <c r="V861" s="5"/>
    </row>
    <row r="862" spans="14:22" x14ac:dyDescent="0.2">
      <c r="N862" s="5"/>
      <c r="O862" s="5"/>
      <c r="P862" s="5"/>
      <c r="Q862" s="5"/>
      <c r="R862" s="5"/>
      <c r="S862" s="5"/>
      <c r="T862" s="5"/>
      <c r="U862" s="5"/>
      <c r="V862" s="5"/>
    </row>
    <row r="863" spans="14:22" x14ac:dyDescent="0.2">
      <c r="N863" s="5"/>
      <c r="O863" s="5"/>
      <c r="P863" s="5"/>
      <c r="Q863" s="5"/>
      <c r="R863" s="5"/>
      <c r="S863" s="5"/>
      <c r="T863" s="5"/>
      <c r="U863" s="5"/>
      <c r="V863" s="5"/>
    </row>
    <row r="864" spans="14:22" x14ac:dyDescent="0.2">
      <c r="N864" s="5"/>
      <c r="O864" s="5"/>
      <c r="P864" s="5"/>
      <c r="Q864" s="5"/>
      <c r="R864" s="5"/>
      <c r="S864" s="5"/>
      <c r="T864" s="5"/>
      <c r="U864" s="5"/>
      <c r="V864" s="5"/>
    </row>
    <row r="865" spans="14:22" x14ac:dyDescent="0.2">
      <c r="N865" s="5"/>
      <c r="O865" s="5"/>
      <c r="P865" s="5"/>
      <c r="Q865" s="5"/>
      <c r="R865" s="5"/>
      <c r="S865" s="5"/>
      <c r="T865" s="5"/>
      <c r="U865" s="5"/>
      <c r="V865" s="5"/>
    </row>
    <row r="866" spans="14:22" x14ac:dyDescent="0.2">
      <c r="N866" s="5"/>
      <c r="O866" s="5"/>
      <c r="P866" s="5"/>
      <c r="Q866" s="5"/>
      <c r="R866" s="5"/>
      <c r="S866" s="5"/>
      <c r="T866" s="5"/>
      <c r="U866" s="5"/>
      <c r="V866" s="5"/>
    </row>
    <row r="867" spans="14:22" x14ac:dyDescent="0.2">
      <c r="N867" s="5"/>
      <c r="O867" s="5"/>
      <c r="P867" s="5"/>
      <c r="Q867" s="5"/>
      <c r="R867" s="5"/>
      <c r="S867" s="5"/>
      <c r="T867" s="5"/>
      <c r="U867" s="5"/>
      <c r="V867" s="5"/>
    </row>
    <row r="868" spans="14:22" x14ac:dyDescent="0.2">
      <c r="N868" s="5"/>
      <c r="O868" s="5"/>
      <c r="P868" s="5"/>
      <c r="Q868" s="5"/>
      <c r="R868" s="5"/>
      <c r="S868" s="5"/>
      <c r="T868" s="5"/>
      <c r="U868" s="5"/>
      <c r="V868" s="5"/>
    </row>
    <row r="869" spans="14:22" x14ac:dyDescent="0.2">
      <c r="N869" s="5"/>
      <c r="O869" s="5"/>
      <c r="P869" s="5"/>
      <c r="Q869" s="5"/>
      <c r="R869" s="5"/>
      <c r="S869" s="5"/>
      <c r="T869" s="5"/>
      <c r="U869" s="5"/>
      <c r="V869" s="5"/>
    </row>
    <row r="870" spans="14:22" x14ac:dyDescent="0.2">
      <c r="N870" s="5"/>
      <c r="O870" s="5"/>
      <c r="P870" s="5"/>
      <c r="Q870" s="5"/>
      <c r="R870" s="5"/>
      <c r="S870" s="5"/>
      <c r="T870" s="5"/>
      <c r="U870" s="5"/>
      <c r="V870" s="5"/>
    </row>
    <row r="871" spans="14:22" x14ac:dyDescent="0.2">
      <c r="N871" s="5"/>
      <c r="O871" s="5"/>
      <c r="P871" s="5"/>
      <c r="Q871" s="5"/>
      <c r="R871" s="5"/>
      <c r="S871" s="5"/>
      <c r="T871" s="5"/>
      <c r="U871" s="5"/>
      <c r="V871" s="5"/>
    </row>
    <row r="872" spans="14:22" x14ac:dyDescent="0.2">
      <c r="N872" s="5"/>
      <c r="O872" s="5"/>
      <c r="P872" s="5"/>
      <c r="Q872" s="5"/>
      <c r="R872" s="5"/>
      <c r="S872" s="5"/>
      <c r="T872" s="5"/>
      <c r="U872" s="5"/>
      <c r="V872" s="5"/>
    </row>
    <row r="873" spans="14:22" x14ac:dyDescent="0.2">
      <c r="N873" s="5"/>
      <c r="O873" s="5"/>
      <c r="P873" s="5"/>
      <c r="Q873" s="5"/>
      <c r="R873" s="5"/>
      <c r="S873" s="5"/>
      <c r="T873" s="5"/>
      <c r="U873" s="5"/>
      <c r="V873" s="5"/>
    </row>
    <row r="874" spans="14:22" x14ac:dyDescent="0.2">
      <c r="N874" s="5"/>
      <c r="O874" s="5"/>
      <c r="P874" s="5"/>
      <c r="Q874" s="5"/>
      <c r="R874" s="5"/>
      <c r="S874" s="5"/>
      <c r="T874" s="5"/>
      <c r="U874" s="5"/>
      <c r="V874" s="5"/>
    </row>
    <row r="875" spans="14:22" x14ac:dyDescent="0.2">
      <c r="N875" s="5"/>
      <c r="O875" s="5"/>
      <c r="P875" s="5"/>
      <c r="Q875" s="5"/>
      <c r="R875" s="5"/>
      <c r="S875" s="5"/>
      <c r="T875" s="5"/>
      <c r="U875" s="5"/>
      <c r="V875" s="5"/>
    </row>
    <row r="876" spans="14:22" x14ac:dyDescent="0.2">
      <c r="N876" s="5"/>
      <c r="O876" s="5"/>
      <c r="P876" s="5"/>
      <c r="Q876" s="5"/>
      <c r="R876" s="5"/>
      <c r="S876" s="5"/>
      <c r="T876" s="5"/>
      <c r="U876" s="5"/>
      <c r="V876" s="5"/>
    </row>
    <row r="877" spans="14:22" x14ac:dyDescent="0.2">
      <c r="N877" s="5"/>
      <c r="O877" s="5"/>
      <c r="P877" s="5"/>
      <c r="Q877" s="5"/>
      <c r="R877" s="5"/>
      <c r="S877" s="5"/>
      <c r="T877" s="5"/>
      <c r="U877" s="5"/>
      <c r="V877" s="5"/>
    </row>
    <row r="878" spans="14:22" x14ac:dyDescent="0.2">
      <c r="N878" s="5"/>
      <c r="O878" s="5"/>
      <c r="P878" s="5"/>
      <c r="Q878" s="5"/>
      <c r="R878" s="5"/>
      <c r="S878" s="5"/>
      <c r="T878" s="5"/>
      <c r="U878" s="5"/>
      <c r="V878" s="5"/>
    </row>
    <row r="879" spans="14:22" x14ac:dyDescent="0.2">
      <c r="N879" s="5"/>
      <c r="O879" s="5"/>
      <c r="P879" s="5"/>
      <c r="Q879" s="5"/>
      <c r="R879" s="5"/>
      <c r="S879" s="5"/>
      <c r="T879" s="5"/>
      <c r="U879" s="5"/>
      <c r="V879" s="5"/>
    </row>
    <row r="880" spans="14:22" x14ac:dyDescent="0.2">
      <c r="N880" s="5"/>
      <c r="O880" s="5"/>
      <c r="P880" s="5"/>
      <c r="Q880" s="5"/>
      <c r="R880" s="5"/>
      <c r="S880" s="5"/>
      <c r="T880" s="5"/>
      <c r="U880" s="5"/>
      <c r="V880" s="5"/>
    </row>
    <row r="881" spans="14:22" x14ac:dyDescent="0.2">
      <c r="N881" s="5"/>
      <c r="O881" s="5"/>
      <c r="P881" s="5"/>
      <c r="Q881" s="5"/>
      <c r="R881" s="5"/>
      <c r="S881" s="5"/>
      <c r="T881" s="5"/>
      <c r="U881" s="5"/>
      <c r="V881" s="5"/>
    </row>
    <row r="882" spans="14:22" x14ac:dyDescent="0.2">
      <c r="N882" s="5"/>
      <c r="O882" s="5"/>
      <c r="P882" s="5"/>
      <c r="Q882" s="5"/>
      <c r="R882" s="5"/>
      <c r="S882" s="5"/>
      <c r="T882" s="5"/>
      <c r="U882" s="5"/>
      <c r="V882" s="5"/>
    </row>
    <row r="883" spans="14:22" x14ac:dyDescent="0.2">
      <c r="N883" s="5"/>
      <c r="O883" s="5"/>
      <c r="P883" s="5"/>
      <c r="Q883" s="5"/>
      <c r="R883" s="5"/>
      <c r="S883" s="5"/>
      <c r="T883" s="5"/>
      <c r="U883" s="5"/>
      <c r="V883" s="5"/>
    </row>
    <row r="884" spans="14:22" x14ac:dyDescent="0.2">
      <c r="N884" s="5"/>
      <c r="O884" s="5"/>
      <c r="P884" s="5"/>
      <c r="Q884" s="5"/>
      <c r="R884" s="5"/>
      <c r="S884" s="5"/>
      <c r="T884" s="5"/>
      <c r="U884" s="5"/>
      <c r="V884" s="5"/>
    </row>
    <row r="885" spans="14:22" x14ac:dyDescent="0.2">
      <c r="N885" s="5"/>
      <c r="O885" s="5"/>
      <c r="P885" s="5"/>
      <c r="Q885" s="5"/>
      <c r="R885" s="5"/>
      <c r="S885" s="5"/>
      <c r="T885" s="5"/>
      <c r="U885" s="5"/>
      <c r="V885" s="5"/>
    </row>
    <row r="886" spans="14:22" x14ac:dyDescent="0.2">
      <c r="N886" s="5"/>
      <c r="O886" s="5"/>
      <c r="P886" s="5"/>
      <c r="Q886" s="5"/>
      <c r="R886" s="5"/>
      <c r="S886" s="5"/>
      <c r="T886" s="5"/>
      <c r="U886" s="5"/>
      <c r="V886" s="5"/>
    </row>
    <row r="887" spans="14:22" x14ac:dyDescent="0.2">
      <c r="N887" s="5"/>
      <c r="O887" s="5"/>
      <c r="P887" s="5"/>
      <c r="Q887" s="5"/>
      <c r="R887" s="5"/>
      <c r="S887" s="5"/>
      <c r="T887" s="5"/>
      <c r="U887" s="5"/>
      <c r="V887" s="5"/>
    </row>
    <row r="888" spans="14:22" x14ac:dyDescent="0.2">
      <c r="N888" s="5"/>
      <c r="O888" s="5"/>
      <c r="P888" s="5"/>
      <c r="Q888" s="5"/>
      <c r="R888" s="5"/>
      <c r="S888" s="5"/>
      <c r="T888" s="5"/>
      <c r="U888" s="5"/>
      <c r="V888" s="5"/>
    </row>
    <row r="889" spans="14:22" x14ac:dyDescent="0.2">
      <c r="N889" s="5"/>
      <c r="O889" s="5"/>
      <c r="P889" s="5"/>
      <c r="Q889" s="5"/>
      <c r="R889" s="5"/>
      <c r="S889" s="5"/>
      <c r="T889" s="5"/>
      <c r="U889" s="5"/>
      <c r="V889" s="5"/>
    </row>
    <row r="890" spans="14:22" x14ac:dyDescent="0.2">
      <c r="N890" s="5"/>
      <c r="O890" s="5"/>
      <c r="P890" s="5"/>
      <c r="Q890" s="5"/>
      <c r="R890" s="5"/>
      <c r="S890" s="5"/>
      <c r="T890" s="5"/>
      <c r="U890" s="5"/>
      <c r="V890" s="5"/>
    </row>
    <row r="891" spans="14:22" x14ac:dyDescent="0.2">
      <c r="N891" s="5"/>
      <c r="O891" s="5"/>
      <c r="P891" s="5"/>
      <c r="Q891" s="5"/>
      <c r="R891" s="5"/>
      <c r="S891" s="5"/>
      <c r="T891" s="5"/>
      <c r="U891" s="5"/>
      <c r="V891" s="5"/>
    </row>
    <row r="892" spans="14:22" x14ac:dyDescent="0.2">
      <c r="N892" s="5"/>
      <c r="O892" s="5"/>
      <c r="P892" s="5"/>
      <c r="Q892" s="5"/>
      <c r="R892" s="5"/>
      <c r="S892" s="5"/>
      <c r="T892" s="5"/>
      <c r="U892" s="5"/>
      <c r="V892" s="5"/>
    </row>
    <row r="893" spans="14:22" x14ac:dyDescent="0.2">
      <c r="N893" s="5"/>
      <c r="O893" s="5"/>
      <c r="P893" s="5"/>
      <c r="Q893" s="5"/>
      <c r="R893" s="5"/>
      <c r="S893" s="5"/>
      <c r="T893" s="5"/>
      <c r="U893" s="5"/>
      <c r="V893" s="5"/>
    </row>
    <row r="894" spans="14:22" x14ac:dyDescent="0.2">
      <c r="N894" s="5"/>
      <c r="O894" s="5"/>
      <c r="P894" s="5"/>
      <c r="Q894" s="5"/>
      <c r="R894" s="5"/>
      <c r="S894" s="5"/>
      <c r="T894" s="5"/>
      <c r="U894" s="5"/>
      <c r="V894" s="5"/>
    </row>
    <row r="895" spans="14:22" x14ac:dyDescent="0.2">
      <c r="N895" s="5"/>
      <c r="O895" s="5"/>
      <c r="P895" s="5"/>
      <c r="Q895" s="5"/>
      <c r="R895" s="5"/>
      <c r="S895" s="5"/>
      <c r="T895" s="5"/>
      <c r="U895" s="5"/>
      <c r="V895" s="5"/>
    </row>
    <row r="896" spans="14:22" x14ac:dyDescent="0.2">
      <c r="N896" s="5"/>
      <c r="O896" s="5"/>
      <c r="P896" s="5"/>
      <c r="Q896" s="5"/>
      <c r="R896" s="5"/>
      <c r="S896" s="5"/>
      <c r="T896" s="5"/>
      <c r="U896" s="5"/>
      <c r="V896" s="5"/>
    </row>
    <row r="897" spans="14:22" x14ac:dyDescent="0.2">
      <c r="N897" s="5"/>
      <c r="O897" s="5"/>
      <c r="P897" s="5"/>
      <c r="Q897" s="5"/>
      <c r="R897" s="5"/>
      <c r="S897" s="5"/>
      <c r="T897" s="5"/>
      <c r="U897" s="5"/>
      <c r="V897" s="5"/>
    </row>
    <row r="898" spans="14:22" x14ac:dyDescent="0.2">
      <c r="N898" s="5"/>
      <c r="O898" s="5"/>
      <c r="P898" s="5"/>
      <c r="Q898" s="5"/>
      <c r="R898" s="5"/>
      <c r="S898" s="5"/>
      <c r="T898" s="5"/>
      <c r="U898" s="5"/>
      <c r="V898" s="5"/>
    </row>
    <row r="899" spans="14:22" x14ac:dyDescent="0.2">
      <c r="N899" s="5"/>
      <c r="O899" s="5"/>
      <c r="P899" s="5"/>
      <c r="Q899" s="5"/>
      <c r="R899" s="5"/>
      <c r="S899" s="5"/>
      <c r="T899" s="5"/>
      <c r="U899" s="5"/>
      <c r="V899" s="5"/>
    </row>
    <row r="900" spans="14:22" x14ac:dyDescent="0.2">
      <c r="N900" s="5"/>
      <c r="O900" s="5"/>
      <c r="P900" s="5"/>
      <c r="Q900" s="5"/>
      <c r="R900" s="5"/>
      <c r="S900" s="5"/>
      <c r="T900" s="5"/>
      <c r="U900" s="5"/>
      <c r="V900" s="5"/>
    </row>
    <row r="901" spans="14:22" x14ac:dyDescent="0.2">
      <c r="N901" s="5"/>
      <c r="O901" s="5"/>
      <c r="P901" s="5"/>
      <c r="Q901" s="5"/>
      <c r="R901" s="5"/>
      <c r="S901" s="5"/>
      <c r="T901" s="5"/>
      <c r="U901" s="5"/>
      <c r="V901" s="5"/>
    </row>
    <row r="902" spans="14:22" x14ac:dyDescent="0.2">
      <c r="N902" s="5"/>
      <c r="O902" s="5"/>
      <c r="P902" s="5"/>
      <c r="Q902" s="5"/>
      <c r="R902" s="5"/>
      <c r="S902" s="5"/>
      <c r="T902" s="5"/>
      <c r="U902" s="5"/>
      <c r="V902" s="5"/>
    </row>
    <row r="903" spans="14:22" x14ac:dyDescent="0.2">
      <c r="N903" s="5"/>
      <c r="O903" s="5"/>
      <c r="P903" s="5"/>
      <c r="Q903" s="5"/>
      <c r="R903" s="5"/>
      <c r="S903" s="5"/>
      <c r="T903" s="5"/>
      <c r="U903" s="5"/>
      <c r="V903" s="5"/>
    </row>
    <row r="904" spans="14:22" x14ac:dyDescent="0.2">
      <c r="N904" s="5"/>
      <c r="O904" s="5"/>
      <c r="P904" s="5"/>
      <c r="Q904" s="5"/>
      <c r="R904" s="5"/>
      <c r="S904" s="5"/>
      <c r="T904" s="5"/>
      <c r="U904" s="5"/>
      <c r="V904" s="5"/>
    </row>
    <row r="905" spans="14:22" x14ac:dyDescent="0.2">
      <c r="N905" s="5"/>
      <c r="O905" s="5"/>
      <c r="P905" s="5"/>
      <c r="Q905" s="5"/>
      <c r="R905" s="5"/>
      <c r="S905" s="5"/>
      <c r="T905" s="5"/>
      <c r="U905" s="5"/>
      <c r="V905" s="5"/>
    </row>
    <row r="906" spans="14:22" x14ac:dyDescent="0.2">
      <c r="N906" s="5"/>
      <c r="O906" s="5"/>
      <c r="P906" s="5"/>
      <c r="Q906" s="5"/>
      <c r="R906" s="5"/>
      <c r="S906" s="5"/>
      <c r="T906" s="5"/>
      <c r="U906" s="5"/>
      <c r="V906" s="5"/>
    </row>
    <row r="907" spans="14:22" x14ac:dyDescent="0.2">
      <c r="N907" s="5"/>
      <c r="O907" s="5"/>
      <c r="P907" s="5"/>
      <c r="Q907" s="5"/>
      <c r="R907" s="5"/>
      <c r="S907" s="5"/>
      <c r="T907" s="5"/>
      <c r="U907" s="5"/>
      <c r="V907" s="5"/>
    </row>
    <row r="908" spans="14:22" x14ac:dyDescent="0.2">
      <c r="N908" s="5"/>
      <c r="O908" s="5"/>
      <c r="P908" s="5"/>
      <c r="Q908" s="5"/>
      <c r="R908" s="5"/>
      <c r="S908" s="5"/>
      <c r="T908" s="5"/>
      <c r="U908" s="5"/>
      <c r="V908" s="5"/>
    </row>
    <row r="909" spans="14:22" x14ac:dyDescent="0.2">
      <c r="N909" s="5"/>
      <c r="O909" s="5"/>
      <c r="P909" s="5"/>
      <c r="Q909" s="5"/>
      <c r="R909" s="5"/>
      <c r="S909" s="5"/>
      <c r="T909" s="5"/>
      <c r="U909" s="5"/>
      <c r="V909" s="5"/>
    </row>
    <row r="910" spans="14:22" x14ac:dyDescent="0.2">
      <c r="N910" s="5"/>
      <c r="O910" s="5"/>
      <c r="P910" s="5"/>
      <c r="Q910" s="5"/>
      <c r="R910" s="5"/>
      <c r="S910" s="5"/>
      <c r="T910" s="5"/>
      <c r="U910" s="5"/>
      <c r="V910" s="5"/>
    </row>
    <row r="911" spans="14:22" x14ac:dyDescent="0.2">
      <c r="N911" s="5"/>
      <c r="O911" s="5"/>
      <c r="P911" s="5"/>
      <c r="Q911" s="5"/>
      <c r="R911" s="5"/>
      <c r="S911" s="5"/>
      <c r="T911" s="5"/>
      <c r="U911" s="5"/>
      <c r="V911" s="5"/>
    </row>
    <row r="912" spans="14:22" x14ac:dyDescent="0.2">
      <c r="N912" s="5"/>
      <c r="O912" s="5"/>
      <c r="P912" s="5"/>
      <c r="Q912" s="5"/>
      <c r="R912" s="5"/>
      <c r="S912" s="5"/>
      <c r="T912" s="5"/>
      <c r="U912" s="5"/>
      <c r="V912" s="5"/>
    </row>
    <row r="913" spans="14:22" x14ac:dyDescent="0.2">
      <c r="N913" s="5"/>
      <c r="O913" s="5"/>
      <c r="P913" s="5"/>
      <c r="Q913" s="5"/>
      <c r="R913" s="5"/>
      <c r="S913" s="5"/>
      <c r="T913" s="5"/>
      <c r="U913" s="5"/>
      <c r="V913" s="5"/>
    </row>
    <row r="914" spans="14:22" x14ac:dyDescent="0.2">
      <c r="N914" s="5"/>
      <c r="O914" s="5"/>
      <c r="P914" s="5"/>
      <c r="Q914" s="5"/>
      <c r="R914" s="5"/>
      <c r="S914" s="5"/>
      <c r="T914" s="5"/>
      <c r="U914" s="5"/>
      <c r="V914" s="5"/>
    </row>
    <row r="915" spans="14:22" x14ac:dyDescent="0.2">
      <c r="N915" s="5"/>
      <c r="O915" s="5"/>
      <c r="P915" s="5"/>
      <c r="Q915" s="5"/>
      <c r="R915" s="5"/>
      <c r="S915" s="5"/>
      <c r="T915" s="5"/>
      <c r="U915" s="5"/>
      <c r="V915" s="5"/>
    </row>
    <row r="916" spans="14:22" x14ac:dyDescent="0.2">
      <c r="N916" s="5"/>
      <c r="O916" s="5"/>
      <c r="P916" s="5"/>
      <c r="Q916" s="5"/>
      <c r="R916" s="5"/>
      <c r="S916" s="5"/>
      <c r="T916" s="5"/>
      <c r="U916" s="5"/>
      <c r="V916" s="5"/>
    </row>
    <row r="917" spans="14:22" x14ac:dyDescent="0.2">
      <c r="N917" s="5"/>
      <c r="O917" s="5"/>
      <c r="P917" s="5"/>
      <c r="Q917" s="5"/>
      <c r="R917" s="5"/>
      <c r="S917" s="5"/>
      <c r="T917" s="5"/>
      <c r="U917" s="5"/>
      <c r="V917" s="5"/>
    </row>
    <row r="918" spans="14:22" x14ac:dyDescent="0.2">
      <c r="N918" s="5"/>
      <c r="O918" s="5"/>
      <c r="P918" s="5"/>
      <c r="Q918" s="5"/>
      <c r="R918" s="5"/>
      <c r="S918" s="5"/>
      <c r="T918" s="5"/>
      <c r="U918" s="5"/>
      <c r="V918" s="5"/>
    </row>
    <row r="919" spans="14:22" x14ac:dyDescent="0.2">
      <c r="N919" s="5"/>
      <c r="O919" s="5"/>
      <c r="P919" s="5"/>
      <c r="Q919" s="5"/>
      <c r="R919" s="5"/>
      <c r="S919" s="5"/>
      <c r="T919" s="5"/>
      <c r="U919" s="5"/>
      <c r="V919" s="5"/>
    </row>
    <row r="920" spans="14:22" x14ac:dyDescent="0.2">
      <c r="N920" s="5"/>
      <c r="O920" s="5"/>
      <c r="P920" s="5"/>
      <c r="Q920" s="5"/>
      <c r="R920" s="5"/>
      <c r="S920" s="5"/>
      <c r="T920" s="5"/>
      <c r="U920" s="5"/>
      <c r="V920" s="5"/>
    </row>
    <row r="921" spans="14:22" x14ac:dyDescent="0.2">
      <c r="N921" s="5"/>
      <c r="O921" s="5"/>
      <c r="P921" s="5"/>
      <c r="Q921" s="5"/>
      <c r="R921" s="5"/>
      <c r="S921" s="5"/>
      <c r="T921" s="5"/>
      <c r="U921" s="5"/>
      <c r="V921" s="5"/>
    </row>
    <row r="922" spans="14:22" x14ac:dyDescent="0.2">
      <c r="N922" s="5"/>
      <c r="O922" s="5"/>
      <c r="P922" s="5"/>
      <c r="Q922" s="5"/>
      <c r="R922" s="5"/>
      <c r="S922" s="5"/>
      <c r="T922" s="5"/>
      <c r="U922" s="5"/>
      <c r="V922" s="5"/>
    </row>
    <row r="923" spans="14:22" x14ac:dyDescent="0.2">
      <c r="N923" s="5"/>
      <c r="O923" s="5"/>
      <c r="P923" s="5"/>
      <c r="Q923" s="5"/>
      <c r="R923" s="5"/>
      <c r="S923" s="5"/>
      <c r="T923" s="5"/>
      <c r="U923" s="5"/>
      <c r="V923" s="5"/>
    </row>
    <row r="924" spans="14:22" x14ac:dyDescent="0.2">
      <c r="N924" s="5"/>
      <c r="O924" s="5"/>
      <c r="P924" s="5"/>
      <c r="Q924" s="5"/>
      <c r="R924" s="5"/>
      <c r="S924" s="5"/>
      <c r="T924" s="5"/>
      <c r="U924" s="5"/>
      <c r="V924" s="5"/>
    </row>
    <row r="925" spans="14:22" x14ac:dyDescent="0.2">
      <c r="N925" s="5"/>
      <c r="O925" s="5"/>
      <c r="P925" s="5"/>
      <c r="Q925" s="5"/>
      <c r="R925" s="5"/>
      <c r="S925" s="5"/>
      <c r="T925" s="5"/>
      <c r="U925" s="5"/>
      <c r="V925" s="5"/>
    </row>
    <row r="926" spans="14:22" x14ac:dyDescent="0.2">
      <c r="N926" s="5"/>
      <c r="O926" s="5"/>
      <c r="P926" s="5"/>
      <c r="Q926" s="5"/>
      <c r="R926" s="5"/>
      <c r="S926" s="5"/>
      <c r="T926" s="5"/>
      <c r="U926" s="5"/>
      <c r="V926" s="5"/>
    </row>
    <row r="927" spans="14:22" x14ac:dyDescent="0.2">
      <c r="N927" s="5"/>
      <c r="O927" s="5"/>
      <c r="P927" s="5"/>
      <c r="Q927" s="5"/>
      <c r="R927" s="5"/>
      <c r="S927" s="5"/>
      <c r="T927" s="5"/>
      <c r="U927" s="5"/>
      <c r="V927" s="5"/>
    </row>
    <row r="928" spans="14:22" x14ac:dyDescent="0.2">
      <c r="N928" s="5"/>
      <c r="O928" s="5"/>
      <c r="P928" s="5"/>
      <c r="Q928" s="5"/>
      <c r="R928" s="5"/>
      <c r="S928" s="5"/>
      <c r="T928" s="5"/>
      <c r="U928" s="5"/>
      <c r="V928" s="5"/>
    </row>
    <row r="929" spans="14:22" x14ac:dyDescent="0.2">
      <c r="N929" s="5"/>
      <c r="O929" s="5"/>
      <c r="P929" s="5"/>
      <c r="Q929" s="5"/>
      <c r="R929" s="5"/>
      <c r="S929" s="5"/>
      <c r="T929" s="5"/>
      <c r="U929" s="5"/>
      <c r="V929" s="5"/>
    </row>
    <row r="930" spans="14:22" x14ac:dyDescent="0.2">
      <c r="N930" s="5"/>
      <c r="O930" s="5"/>
      <c r="P930" s="5"/>
      <c r="Q930" s="5"/>
      <c r="R930" s="5"/>
      <c r="S930" s="5"/>
      <c r="T930" s="5"/>
      <c r="U930" s="5"/>
      <c r="V930" s="5"/>
    </row>
    <row r="931" spans="14:22" x14ac:dyDescent="0.2">
      <c r="N931" s="5"/>
      <c r="O931" s="5"/>
      <c r="P931" s="5"/>
      <c r="Q931" s="5"/>
      <c r="R931" s="5"/>
      <c r="S931" s="5"/>
      <c r="T931" s="5"/>
      <c r="U931" s="5"/>
      <c r="V931" s="5"/>
    </row>
    <row r="932" spans="14:22" x14ac:dyDescent="0.2">
      <c r="N932" s="5"/>
      <c r="O932" s="5"/>
      <c r="P932" s="5"/>
      <c r="Q932" s="5"/>
      <c r="R932" s="5"/>
      <c r="S932" s="5"/>
      <c r="T932" s="5"/>
      <c r="U932" s="5"/>
      <c r="V932" s="5"/>
    </row>
    <row r="933" spans="14:22" x14ac:dyDescent="0.2">
      <c r="N933" s="5"/>
      <c r="O933" s="5"/>
      <c r="P933" s="5"/>
      <c r="Q933" s="5"/>
      <c r="R933" s="5"/>
      <c r="S933" s="5"/>
      <c r="T933" s="5"/>
      <c r="U933" s="5"/>
      <c r="V933" s="5"/>
    </row>
    <row r="934" spans="14:22" x14ac:dyDescent="0.2">
      <c r="N934" s="5"/>
      <c r="O934" s="5"/>
      <c r="P934" s="5"/>
      <c r="Q934" s="5"/>
      <c r="R934" s="5"/>
      <c r="S934" s="5"/>
      <c r="T934" s="5"/>
      <c r="U934" s="5"/>
      <c r="V934" s="5"/>
    </row>
    <row r="935" spans="14:22" x14ac:dyDescent="0.2">
      <c r="N935" s="5"/>
      <c r="O935" s="5"/>
      <c r="P935" s="5"/>
      <c r="Q935" s="5"/>
      <c r="R935" s="5"/>
      <c r="S935" s="5"/>
      <c r="T935" s="5"/>
      <c r="U935" s="5"/>
      <c r="V935" s="5"/>
    </row>
    <row r="936" spans="14:22" x14ac:dyDescent="0.2">
      <c r="N936" s="5"/>
      <c r="O936" s="5"/>
      <c r="P936" s="5"/>
      <c r="Q936" s="5"/>
      <c r="R936" s="5"/>
      <c r="S936" s="5"/>
      <c r="T936" s="5"/>
      <c r="U936" s="5"/>
      <c r="V936" s="5"/>
    </row>
    <row r="937" spans="14:22" x14ac:dyDescent="0.2">
      <c r="N937" s="5"/>
      <c r="O937" s="5"/>
      <c r="P937" s="5"/>
      <c r="Q937" s="5"/>
      <c r="R937" s="5"/>
      <c r="S937" s="5"/>
      <c r="T937" s="5"/>
      <c r="U937" s="5"/>
      <c r="V937" s="5"/>
    </row>
    <row r="938" spans="14:22" x14ac:dyDescent="0.2">
      <c r="N938" s="5"/>
      <c r="O938" s="5"/>
      <c r="P938" s="5"/>
      <c r="Q938" s="5"/>
      <c r="R938" s="5"/>
      <c r="S938" s="5"/>
      <c r="T938" s="5"/>
      <c r="U938" s="5"/>
      <c r="V938" s="5"/>
    </row>
    <row r="939" spans="14:22" x14ac:dyDescent="0.2">
      <c r="N939" s="5"/>
      <c r="O939" s="5"/>
      <c r="P939" s="5"/>
      <c r="Q939" s="5"/>
      <c r="R939" s="5"/>
      <c r="S939" s="5"/>
      <c r="T939" s="5"/>
      <c r="U939" s="5"/>
      <c r="V939" s="5"/>
    </row>
    <row r="940" spans="14:22" x14ac:dyDescent="0.2">
      <c r="N940" s="5"/>
      <c r="O940" s="5"/>
      <c r="P940" s="5"/>
      <c r="Q940" s="5"/>
      <c r="R940" s="5"/>
      <c r="S940" s="5"/>
      <c r="T940" s="5"/>
      <c r="U940" s="5"/>
      <c r="V940" s="5"/>
    </row>
    <row r="941" spans="14:22" x14ac:dyDescent="0.2">
      <c r="N941" s="5"/>
      <c r="O941" s="5"/>
      <c r="P941" s="5"/>
      <c r="Q941" s="5"/>
      <c r="R941" s="5"/>
      <c r="S941" s="5"/>
      <c r="T941" s="5"/>
      <c r="U941" s="5"/>
      <c r="V941" s="5"/>
    </row>
    <row r="942" spans="14:22" x14ac:dyDescent="0.2">
      <c r="N942" s="5"/>
      <c r="O942" s="5"/>
      <c r="P942" s="5"/>
      <c r="Q942" s="5"/>
      <c r="R942" s="5"/>
      <c r="S942" s="5"/>
      <c r="T942" s="5"/>
      <c r="U942" s="5"/>
      <c r="V942" s="5"/>
    </row>
    <row r="943" spans="14:22" x14ac:dyDescent="0.2">
      <c r="N943" s="5"/>
      <c r="O943" s="5"/>
      <c r="P943" s="5"/>
      <c r="Q943" s="5"/>
      <c r="R943" s="5"/>
      <c r="S943" s="5"/>
      <c r="T943" s="5"/>
      <c r="U943" s="5"/>
      <c r="V943" s="5"/>
    </row>
    <row r="944" spans="14:22" x14ac:dyDescent="0.2">
      <c r="N944" s="5"/>
      <c r="O944" s="5"/>
      <c r="P944" s="5"/>
      <c r="Q944" s="5"/>
      <c r="R944" s="5"/>
      <c r="S944" s="5"/>
      <c r="T944" s="5"/>
      <c r="U944" s="5"/>
      <c r="V944" s="5"/>
    </row>
    <row r="945" spans="14:22" x14ac:dyDescent="0.2">
      <c r="N945" s="5"/>
      <c r="O945" s="5"/>
      <c r="P945" s="5"/>
      <c r="Q945" s="5"/>
      <c r="R945" s="5"/>
      <c r="S945" s="5"/>
      <c r="T945" s="5"/>
      <c r="U945" s="5"/>
      <c r="V945" s="5"/>
    </row>
    <row r="946" spans="14:22" x14ac:dyDescent="0.2">
      <c r="N946" s="5"/>
      <c r="O946" s="5"/>
      <c r="P946" s="5"/>
      <c r="Q946" s="5"/>
      <c r="R946" s="5"/>
      <c r="S946" s="5"/>
      <c r="T946" s="5"/>
      <c r="U946" s="5"/>
      <c r="V946" s="5"/>
    </row>
    <row r="947" spans="14:22" x14ac:dyDescent="0.2">
      <c r="N947" s="5"/>
      <c r="O947" s="5"/>
      <c r="P947" s="5"/>
      <c r="Q947" s="5"/>
      <c r="R947" s="5"/>
      <c r="S947" s="5"/>
      <c r="T947" s="5"/>
      <c r="U947" s="5"/>
      <c r="V947" s="5"/>
    </row>
    <row r="948" spans="14:22" x14ac:dyDescent="0.2">
      <c r="N948" s="5"/>
      <c r="O948" s="5"/>
      <c r="P948" s="5"/>
      <c r="Q948" s="5"/>
      <c r="R948" s="5"/>
      <c r="S948" s="5"/>
      <c r="T948" s="5"/>
      <c r="U948" s="5"/>
      <c r="V948" s="5"/>
    </row>
    <row r="949" spans="14:22" x14ac:dyDescent="0.2">
      <c r="N949" s="5"/>
      <c r="O949" s="5"/>
      <c r="P949" s="5"/>
      <c r="Q949" s="5"/>
      <c r="R949" s="5"/>
      <c r="S949" s="5"/>
      <c r="T949" s="5"/>
      <c r="U949" s="5"/>
      <c r="V949" s="5"/>
    </row>
    <row r="950" spans="14:22" x14ac:dyDescent="0.2">
      <c r="N950" s="5"/>
      <c r="O950" s="5"/>
      <c r="P950" s="5"/>
      <c r="Q950" s="5"/>
      <c r="R950" s="5"/>
      <c r="S950" s="5"/>
      <c r="T950" s="5"/>
      <c r="U950" s="5"/>
      <c r="V950" s="5"/>
    </row>
    <row r="951" spans="14:22" x14ac:dyDescent="0.2">
      <c r="N951" s="5"/>
      <c r="O951" s="5"/>
      <c r="P951" s="5"/>
      <c r="Q951" s="5"/>
      <c r="R951" s="5"/>
      <c r="S951" s="5"/>
      <c r="T951" s="5"/>
      <c r="U951" s="5"/>
      <c r="V951" s="5"/>
    </row>
    <row r="952" spans="14:22" x14ac:dyDescent="0.2">
      <c r="N952" s="5"/>
      <c r="O952" s="5"/>
      <c r="P952" s="5"/>
      <c r="Q952" s="5"/>
      <c r="R952" s="5"/>
      <c r="S952" s="5"/>
      <c r="T952" s="5"/>
      <c r="U952" s="5"/>
      <c r="V952" s="5"/>
    </row>
    <row r="953" spans="14:22" x14ac:dyDescent="0.2">
      <c r="N953" s="5"/>
      <c r="O953" s="5"/>
      <c r="P953" s="5"/>
      <c r="Q953" s="5"/>
      <c r="R953" s="5"/>
      <c r="S953" s="5"/>
      <c r="T953" s="5"/>
      <c r="U953" s="5"/>
      <c r="V953" s="5"/>
    </row>
    <row r="954" spans="14:22" x14ac:dyDescent="0.2">
      <c r="N954" s="5"/>
      <c r="O954" s="5"/>
      <c r="P954" s="5"/>
      <c r="Q954" s="5"/>
      <c r="R954" s="5"/>
      <c r="S954" s="5"/>
      <c r="T954" s="5"/>
      <c r="U954" s="5"/>
      <c r="V954" s="5"/>
    </row>
    <row r="955" spans="14:22" x14ac:dyDescent="0.2">
      <c r="N955" s="5"/>
      <c r="O955" s="5"/>
      <c r="P955" s="5"/>
      <c r="Q955" s="5"/>
      <c r="R955" s="5"/>
      <c r="S955" s="5"/>
      <c r="T955" s="5"/>
      <c r="U955" s="5"/>
      <c r="V955" s="5"/>
    </row>
    <row r="956" spans="14:22" x14ac:dyDescent="0.2">
      <c r="N956" s="5"/>
      <c r="O956" s="5"/>
      <c r="P956" s="5"/>
      <c r="Q956" s="5"/>
      <c r="R956" s="5"/>
      <c r="S956" s="5"/>
      <c r="T956" s="5"/>
      <c r="U956" s="5"/>
      <c r="V956" s="5"/>
    </row>
    <row r="957" spans="14:22" x14ac:dyDescent="0.2">
      <c r="N957" s="5"/>
      <c r="O957" s="5"/>
      <c r="P957" s="5"/>
      <c r="Q957" s="5"/>
      <c r="R957" s="5"/>
      <c r="S957" s="5"/>
      <c r="T957" s="5"/>
      <c r="U957" s="5"/>
      <c r="V957" s="5"/>
    </row>
    <row r="958" spans="14:22" x14ac:dyDescent="0.2">
      <c r="N958" s="5"/>
      <c r="O958" s="5"/>
      <c r="P958" s="5"/>
      <c r="Q958" s="5"/>
      <c r="R958" s="5"/>
      <c r="S958" s="5"/>
      <c r="T958" s="5"/>
      <c r="U958" s="5"/>
      <c r="V958" s="5"/>
    </row>
    <row r="959" spans="14:22" x14ac:dyDescent="0.2">
      <c r="N959" s="5"/>
      <c r="O959" s="5"/>
      <c r="P959" s="5"/>
      <c r="Q959" s="5"/>
      <c r="R959" s="5"/>
      <c r="S959" s="5"/>
      <c r="T959" s="5"/>
      <c r="U959" s="5"/>
      <c r="V959" s="5"/>
    </row>
    <row r="960" spans="14:22" x14ac:dyDescent="0.2">
      <c r="N960" s="5"/>
      <c r="O960" s="5"/>
      <c r="P960" s="5"/>
      <c r="Q960" s="5"/>
      <c r="R960" s="5"/>
      <c r="S960" s="5"/>
      <c r="T960" s="5"/>
      <c r="U960" s="5"/>
      <c r="V960" s="5"/>
    </row>
    <row r="961" spans="14:22" x14ac:dyDescent="0.2">
      <c r="N961" s="5"/>
      <c r="O961" s="5"/>
      <c r="P961" s="5"/>
      <c r="Q961" s="5"/>
      <c r="R961" s="5"/>
      <c r="S961" s="5"/>
      <c r="T961" s="5"/>
      <c r="U961" s="5"/>
      <c r="V961" s="5"/>
    </row>
    <row r="962" spans="14:22" x14ac:dyDescent="0.2">
      <c r="N962" s="5"/>
      <c r="O962" s="5"/>
      <c r="P962" s="5"/>
      <c r="Q962" s="5"/>
      <c r="R962" s="5"/>
      <c r="S962" s="5"/>
      <c r="T962" s="5"/>
      <c r="U962" s="5"/>
      <c r="V962" s="5"/>
    </row>
    <row r="963" spans="14:22" x14ac:dyDescent="0.2">
      <c r="N963" s="5"/>
      <c r="O963" s="5"/>
      <c r="P963" s="5"/>
      <c r="Q963" s="5"/>
      <c r="R963" s="5"/>
      <c r="S963" s="5"/>
      <c r="T963" s="5"/>
      <c r="U963" s="5"/>
      <c r="V963" s="5"/>
    </row>
    <row r="964" spans="14:22" x14ac:dyDescent="0.2">
      <c r="N964" s="5"/>
      <c r="O964" s="5"/>
      <c r="P964" s="5"/>
      <c r="Q964" s="5"/>
      <c r="R964" s="5"/>
      <c r="S964" s="5"/>
      <c r="T964" s="5"/>
      <c r="U964" s="5"/>
      <c r="V964" s="5"/>
    </row>
    <row r="965" spans="14:22" x14ac:dyDescent="0.2">
      <c r="N965" s="5"/>
      <c r="O965" s="5"/>
      <c r="P965" s="5"/>
      <c r="Q965" s="5"/>
      <c r="R965" s="5"/>
      <c r="S965" s="5"/>
      <c r="T965" s="5"/>
      <c r="U965" s="5"/>
      <c r="V965" s="5"/>
    </row>
    <row r="966" spans="14:22" x14ac:dyDescent="0.2">
      <c r="N966" s="5"/>
      <c r="O966" s="5"/>
      <c r="P966" s="5"/>
      <c r="Q966" s="5"/>
      <c r="R966" s="5"/>
      <c r="S966" s="5"/>
      <c r="T966" s="5"/>
      <c r="U966" s="5"/>
      <c r="V966" s="5"/>
    </row>
    <row r="967" spans="14:22" x14ac:dyDescent="0.2">
      <c r="N967" s="5"/>
      <c r="O967" s="5"/>
      <c r="P967" s="5"/>
      <c r="Q967" s="5"/>
      <c r="R967" s="5"/>
      <c r="S967" s="5"/>
      <c r="T967" s="5"/>
      <c r="U967" s="5"/>
      <c r="V967" s="5"/>
    </row>
    <row r="968" spans="14:22" x14ac:dyDescent="0.2">
      <c r="N968" s="5"/>
      <c r="O968" s="5"/>
      <c r="P968" s="5"/>
      <c r="Q968" s="5"/>
      <c r="R968" s="5"/>
      <c r="S968" s="5"/>
      <c r="T968" s="5"/>
      <c r="U968" s="5"/>
      <c r="V968" s="5"/>
    </row>
    <row r="969" spans="14:22" x14ac:dyDescent="0.2">
      <c r="N969" s="5"/>
      <c r="O969" s="5"/>
      <c r="P969" s="5"/>
      <c r="Q969" s="5"/>
      <c r="R969" s="5"/>
      <c r="S969" s="5"/>
      <c r="T969" s="5"/>
      <c r="U969" s="5"/>
      <c r="V969" s="5"/>
    </row>
    <row r="970" spans="14:22" x14ac:dyDescent="0.2">
      <c r="N970" s="5"/>
      <c r="O970" s="5"/>
      <c r="P970" s="5"/>
      <c r="Q970" s="5"/>
      <c r="R970" s="5"/>
      <c r="S970" s="5"/>
      <c r="T970" s="5"/>
      <c r="U970" s="5"/>
      <c r="V970" s="5"/>
    </row>
    <row r="971" spans="14:22" x14ac:dyDescent="0.2">
      <c r="N971" s="5"/>
      <c r="O971" s="5"/>
      <c r="P971" s="5"/>
      <c r="Q971" s="5"/>
      <c r="R971" s="5"/>
      <c r="S971" s="5"/>
      <c r="T971" s="5"/>
      <c r="U971" s="5"/>
      <c r="V971" s="5"/>
    </row>
    <row r="972" spans="14:22" x14ac:dyDescent="0.2">
      <c r="N972" s="5"/>
      <c r="O972" s="5"/>
      <c r="P972" s="5"/>
      <c r="Q972" s="5"/>
      <c r="R972" s="5"/>
      <c r="S972" s="5"/>
      <c r="T972" s="5"/>
      <c r="U972" s="5"/>
      <c r="V972" s="5"/>
    </row>
    <row r="973" spans="14:22" x14ac:dyDescent="0.2">
      <c r="N973" s="5"/>
      <c r="O973" s="5"/>
      <c r="P973" s="5"/>
      <c r="Q973" s="5"/>
      <c r="R973" s="5"/>
      <c r="S973" s="5"/>
      <c r="T973" s="5"/>
      <c r="U973" s="5"/>
      <c r="V973" s="5"/>
    </row>
    <row r="974" spans="14:22" x14ac:dyDescent="0.2">
      <c r="N974" s="5"/>
      <c r="O974" s="5"/>
      <c r="P974" s="5"/>
      <c r="Q974" s="5"/>
      <c r="R974" s="5"/>
      <c r="S974" s="5"/>
      <c r="T974" s="5"/>
      <c r="U974" s="5"/>
      <c r="V974" s="5"/>
    </row>
    <row r="975" spans="14:22" x14ac:dyDescent="0.2">
      <c r="N975" s="5"/>
      <c r="O975" s="5"/>
      <c r="P975" s="5"/>
      <c r="Q975" s="5"/>
      <c r="R975" s="5"/>
      <c r="S975" s="5"/>
      <c r="T975" s="5"/>
      <c r="U975" s="5"/>
      <c r="V975" s="5"/>
    </row>
    <row r="976" spans="14:22" x14ac:dyDescent="0.2">
      <c r="N976" s="5"/>
      <c r="O976" s="5"/>
      <c r="P976" s="5"/>
      <c r="Q976" s="5"/>
      <c r="R976" s="5"/>
      <c r="S976" s="5"/>
      <c r="T976" s="5"/>
      <c r="U976" s="5"/>
      <c r="V976" s="5"/>
    </row>
    <row r="977" spans="14:22" x14ac:dyDescent="0.2">
      <c r="N977" s="5"/>
      <c r="O977" s="5"/>
      <c r="P977" s="5"/>
      <c r="Q977" s="5"/>
      <c r="R977" s="5"/>
      <c r="S977" s="5"/>
      <c r="T977" s="5"/>
      <c r="U977" s="5"/>
      <c r="V977" s="5"/>
    </row>
    <row r="978" spans="14:22" x14ac:dyDescent="0.2">
      <c r="N978" s="5"/>
      <c r="O978" s="5"/>
      <c r="P978" s="5"/>
      <c r="Q978" s="5"/>
      <c r="R978" s="5"/>
      <c r="S978" s="5"/>
      <c r="T978" s="5"/>
      <c r="U978" s="5"/>
      <c r="V978" s="5"/>
    </row>
    <row r="979" spans="14:22" x14ac:dyDescent="0.2">
      <c r="N979" s="5"/>
      <c r="O979" s="5"/>
      <c r="P979" s="5"/>
      <c r="Q979" s="5"/>
      <c r="R979" s="5"/>
      <c r="S979" s="5"/>
      <c r="T979" s="5"/>
      <c r="U979" s="5"/>
      <c r="V979" s="5"/>
    </row>
    <row r="980" spans="14:22" x14ac:dyDescent="0.2">
      <c r="N980" s="5"/>
      <c r="O980" s="5"/>
      <c r="P980" s="5"/>
      <c r="Q980" s="5"/>
      <c r="R980" s="5"/>
      <c r="S980" s="5"/>
      <c r="T980" s="5"/>
      <c r="U980" s="5"/>
      <c r="V980" s="5"/>
    </row>
    <row r="981" spans="14:22" x14ac:dyDescent="0.2">
      <c r="N981" s="5"/>
      <c r="O981" s="5"/>
      <c r="P981" s="5"/>
      <c r="Q981" s="5"/>
      <c r="R981" s="5"/>
      <c r="S981" s="5"/>
      <c r="T981" s="5"/>
      <c r="U981" s="5"/>
      <c r="V981" s="5"/>
    </row>
    <row r="982" spans="14:22" x14ac:dyDescent="0.2">
      <c r="N982" s="5"/>
      <c r="O982" s="5"/>
      <c r="P982" s="5"/>
      <c r="Q982" s="5"/>
      <c r="R982" s="5"/>
      <c r="S982" s="5"/>
      <c r="T982" s="5"/>
      <c r="U982" s="5"/>
      <c r="V982" s="5"/>
    </row>
    <row r="983" spans="14:22" x14ac:dyDescent="0.2">
      <c r="N983" s="5"/>
      <c r="O983" s="5"/>
      <c r="P983" s="5"/>
      <c r="Q983" s="5"/>
      <c r="R983" s="5"/>
      <c r="S983" s="5"/>
      <c r="T983" s="5"/>
      <c r="U983" s="5"/>
      <c r="V983" s="5"/>
    </row>
    <row r="984" spans="14:22" x14ac:dyDescent="0.2">
      <c r="N984" s="5"/>
      <c r="O984" s="5"/>
      <c r="P984" s="5"/>
      <c r="Q984" s="5"/>
      <c r="R984" s="5"/>
      <c r="S984" s="5"/>
      <c r="T984" s="5"/>
      <c r="U984" s="5"/>
      <c r="V984" s="5"/>
    </row>
    <row r="985" spans="14:22" x14ac:dyDescent="0.2">
      <c r="N985" s="5"/>
      <c r="O985" s="5"/>
      <c r="P985" s="5"/>
      <c r="Q985" s="5"/>
      <c r="R985" s="5"/>
      <c r="S985" s="5"/>
      <c r="T985" s="5"/>
      <c r="U985" s="5"/>
      <c r="V985" s="5"/>
    </row>
    <row r="986" spans="14:22" x14ac:dyDescent="0.2">
      <c r="N986" s="5"/>
      <c r="O986" s="5"/>
      <c r="P986" s="5"/>
      <c r="Q986" s="5"/>
      <c r="R986" s="5"/>
      <c r="S986" s="5"/>
      <c r="T986" s="5"/>
      <c r="U986" s="5"/>
      <c r="V986" s="5"/>
    </row>
    <row r="987" spans="14:22" x14ac:dyDescent="0.2">
      <c r="N987" s="5"/>
      <c r="O987" s="5"/>
      <c r="P987" s="5"/>
      <c r="Q987" s="5"/>
      <c r="R987" s="5"/>
      <c r="S987" s="5"/>
      <c r="T987" s="5"/>
      <c r="U987" s="5"/>
      <c r="V987" s="5"/>
    </row>
    <row r="988" spans="14:22" x14ac:dyDescent="0.2">
      <c r="N988" s="5"/>
      <c r="O988" s="5"/>
      <c r="P988" s="5"/>
      <c r="Q988" s="5"/>
      <c r="R988" s="5"/>
      <c r="S988" s="5"/>
      <c r="T988" s="5"/>
      <c r="U988" s="5"/>
      <c r="V988" s="5"/>
    </row>
    <row r="989" spans="14:22" x14ac:dyDescent="0.2">
      <c r="N989" s="5"/>
      <c r="O989" s="5"/>
      <c r="P989" s="5"/>
      <c r="Q989" s="5"/>
      <c r="R989" s="5"/>
      <c r="S989" s="5"/>
      <c r="T989" s="5"/>
      <c r="U989" s="5"/>
      <c r="V989" s="5"/>
    </row>
    <row r="990" spans="14:22" x14ac:dyDescent="0.2">
      <c r="N990" s="5"/>
      <c r="O990" s="5"/>
      <c r="P990" s="5"/>
      <c r="Q990" s="5"/>
      <c r="R990" s="5"/>
      <c r="S990" s="5"/>
      <c r="T990" s="5"/>
      <c r="U990" s="5"/>
      <c r="V990" s="5"/>
    </row>
    <row r="991" spans="14:22" x14ac:dyDescent="0.2">
      <c r="N991" s="5"/>
      <c r="O991" s="5"/>
      <c r="P991" s="5"/>
      <c r="Q991" s="5"/>
      <c r="R991" s="5"/>
      <c r="S991" s="5"/>
      <c r="T991" s="5"/>
      <c r="U991" s="5"/>
      <c r="V991" s="5"/>
    </row>
    <row r="992" spans="14:22" x14ac:dyDescent="0.2">
      <c r="N992" s="5"/>
      <c r="O992" s="5"/>
      <c r="P992" s="5"/>
      <c r="Q992" s="5"/>
      <c r="R992" s="5"/>
      <c r="S992" s="5"/>
      <c r="T992" s="5"/>
      <c r="U992" s="5"/>
      <c r="V992" s="5"/>
    </row>
    <row r="993" spans="14:22" x14ac:dyDescent="0.2">
      <c r="N993" s="5"/>
      <c r="O993" s="5"/>
      <c r="P993" s="5"/>
      <c r="Q993" s="5"/>
      <c r="R993" s="5"/>
      <c r="S993" s="5"/>
      <c r="T993" s="5"/>
      <c r="U993" s="5"/>
      <c r="V993" s="5"/>
    </row>
    <row r="994" spans="14:22" x14ac:dyDescent="0.2">
      <c r="N994" s="5"/>
      <c r="O994" s="5"/>
      <c r="P994" s="5"/>
      <c r="Q994" s="5"/>
      <c r="R994" s="5"/>
      <c r="S994" s="5"/>
      <c r="T994" s="5"/>
      <c r="U994" s="5"/>
      <c r="V994" s="5"/>
    </row>
    <row r="995" spans="14:22" x14ac:dyDescent="0.2">
      <c r="N995" s="5"/>
      <c r="O995" s="5"/>
      <c r="P995" s="5"/>
      <c r="Q995" s="5"/>
      <c r="R995" s="5"/>
      <c r="S995" s="5"/>
      <c r="T995" s="5"/>
      <c r="U995" s="5"/>
      <c r="V995" s="5"/>
    </row>
    <row r="996" spans="14:22" x14ac:dyDescent="0.2">
      <c r="N996" s="5"/>
      <c r="O996" s="5"/>
      <c r="P996" s="5"/>
      <c r="Q996" s="5"/>
      <c r="R996" s="5"/>
      <c r="S996" s="5"/>
      <c r="T996" s="5"/>
      <c r="U996" s="5"/>
      <c r="V996" s="5"/>
    </row>
    <row r="997" spans="14:22" x14ac:dyDescent="0.2">
      <c r="N997" s="5"/>
      <c r="O997" s="5"/>
      <c r="P997" s="5"/>
      <c r="Q997" s="5"/>
      <c r="R997" s="5"/>
      <c r="S997" s="5"/>
      <c r="T997" s="5"/>
      <c r="U997" s="5"/>
      <c r="V997" s="5"/>
    </row>
    <row r="998" spans="14:22" x14ac:dyDescent="0.2">
      <c r="N998" s="5"/>
      <c r="O998" s="5"/>
      <c r="P998" s="5"/>
      <c r="Q998" s="5"/>
      <c r="R998" s="5"/>
      <c r="S998" s="5"/>
      <c r="T998" s="5"/>
      <c r="U998" s="5"/>
      <c r="V998" s="5"/>
    </row>
    <row r="999" spans="14:22" x14ac:dyDescent="0.2">
      <c r="N999" s="5"/>
      <c r="O999" s="5"/>
      <c r="P999" s="5"/>
      <c r="Q999" s="5"/>
      <c r="R999" s="5"/>
      <c r="S999" s="5"/>
      <c r="T999" s="5"/>
      <c r="U999" s="5"/>
      <c r="V999" s="5"/>
    </row>
    <row r="1000" spans="14:22" x14ac:dyDescent="0.2">
      <c r="N1000" s="5"/>
      <c r="O1000" s="5"/>
      <c r="P1000" s="5"/>
      <c r="Q1000" s="5"/>
      <c r="R1000" s="5"/>
      <c r="S1000" s="5"/>
      <c r="T1000" s="5"/>
      <c r="U1000" s="5"/>
      <c r="V1000" s="5"/>
    </row>
    <row r="1001" spans="14:22" x14ac:dyDescent="0.2">
      <c r="N1001" s="5"/>
      <c r="O1001" s="5"/>
      <c r="P1001" s="5"/>
      <c r="Q1001" s="5"/>
      <c r="R1001" s="5"/>
      <c r="S1001" s="5"/>
      <c r="T1001" s="5"/>
      <c r="U1001" s="5"/>
      <c r="V1001" s="5"/>
    </row>
    <row r="1002" spans="14:22" x14ac:dyDescent="0.2">
      <c r="N1002" s="5"/>
      <c r="O1002" s="5"/>
      <c r="P1002" s="5"/>
      <c r="Q1002" s="5"/>
      <c r="R1002" s="5"/>
      <c r="S1002" s="5"/>
      <c r="T1002" s="5"/>
      <c r="U1002" s="5"/>
      <c r="V1002" s="5"/>
    </row>
    <row r="1003" spans="14:22" x14ac:dyDescent="0.2">
      <c r="N1003" s="5"/>
      <c r="O1003" s="5"/>
      <c r="P1003" s="5"/>
      <c r="Q1003" s="5"/>
      <c r="R1003" s="5"/>
      <c r="S1003" s="5"/>
      <c r="T1003" s="5"/>
      <c r="U1003" s="5"/>
      <c r="V1003" s="5"/>
    </row>
    <row r="1004" spans="14:22" x14ac:dyDescent="0.2">
      <c r="N1004" s="5"/>
      <c r="O1004" s="5"/>
      <c r="P1004" s="5"/>
      <c r="Q1004" s="5"/>
      <c r="R1004" s="5"/>
      <c r="S1004" s="5"/>
      <c r="T1004" s="5"/>
      <c r="U1004" s="5"/>
      <c r="V1004" s="5"/>
    </row>
    <row r="1005" spans="14:22" x14ac:dyDescent="0.2">
      <c r="N1005" s="5"/>
      <c r="O1005" s="5"/>
      <c r="P1005" s="5"/>
      <c r="Q1005" s="5"/>
      <c r="R1005" s="5"/>
      <c r="S1005" s="5"/>
      <c r="T1005" s="5"/>
      <c r="U1005" s="5"/>
      <c r="V1005" s="5"/>
    </row>
    <row r="1006" spans="14:22" x14ac:dyDescent="0.2">
      <c r="N1006" s="5"/>
      <c r="O1006" s="5"/>
      <c r="P1006" s="5"/>
      <c r="Q1006" s="5"/>
      <c r="R1006" s="5"/>
      <c r="S1006" s="5"/>
      <c r="T1006" s="5"/>
      <c r="U1006" s="5"/>
      <c r="V1006" s="5"/>
    </row>
    <row r="1007" spans="14:22" x14ac:dyDescent="0.2">
      <c r="N1007" s="5"/>
      <c r="O1007" s="5"/>
      <c r="P1007" s="5"/>
      <c r="Q1007" s="5"/>
      <c r="R1007" s="5"/>
      <c r="S1007" s="5"/>
      <c r="T1007" s="5"/>
      <c r="U1007" s="5"/>
      <c r="V1007" s="5"/>
    </row>
    <row r="1008" spans="14:22" x14ac:dyDescent="0.2">
      <c r="N1008" s="5"/>
      <c r="O1008" s="5"/>
      <c r="P1008" s="5"/>
      <c r="Q1008" s="5"/>
      <c r="R1008" s="5"/>
      <c r="S1008" s="5"/>
      <c r="T1008" s="5"/>
      <c r="U1008" s="5"/>
      <c r="V1008" s="5"/>
    </row>
    <row r="1009" spans="14:22" x14ac:dyDescent="0.2">
      <c r="N1009" s="5"/>
      <c r="O1009" s="5"/>
      <c r="P1009" s="5"/>
      <c r="Q1009" s="5"/>
      <c r="R1009" s="5"/>
      <c r="S1009" s="5"/>
      <c r="T1009" s="5"/>
      <c r="U1009" s="5"/>
      <c r="V1009" s="5"/>
    </row>
    <row r="1010" spans="14:22" x14ac:dyDescent="0.2">
      <c r="N1010" s="5"/>
      <c r="O1010" s="5"/>
      <c r="P1010" s="5"/>
      <c r="Q1010" s="5"/>
      <c r="R1010" s="5"/>
      <c r="S1010" s="5"/>
      <c r="T1010" s="5"/>
      <c r="U1010" s="5"/>
      <c r="V1010" s="5"/>
    </row>
    <row r="1011" spans="14:22" x14ac:dyDescent="0.2">
      <c r="N1011" s="5"/>
      <c r="O1011" s="5"/>
      <c r="P1011" s="5"/>
      <c r="Q1011" s="5"/>
      <c r="R1011" s="5"/>
      <c r="S1011" s="5"/>
      <c r="T1011" s="5"/>
      <c r="U1011" s="5"/>
      <c r="V1011" s="5"/>
    </row>
    <row r="1012" spans="14:22" x14ac:dyDescent="0.2">
      <c r="N1012" s="5"/>
      <c r="O1012" s="5"/>
      <c r="P1012" s="5"/>
      <c r="Q1012" s="5"/>
      <c r="R1012" s="5"/>
      <c r="S1012" s="5"/>
      <c r="T1012" s="5"/>
      <c r="U1012" s="5"/>
      <c r="V1012" s="5"/>
    </row>
    <row r="1013" spans="14:22" x14ac:dyDescent="0.2">
      <c r="N1013" s="5"/>
      <c r="O1013" s="5"/>
      <c r="P1013" s="5"/>
      <c r="Q1013" s="5"/>
      <c r="R1013" s="5"/>
      <c r="S1013" s="5"/>
      <c r="T1013" s="5"/>
      <c r="U1013" s="5"/>
      <c r="V1013" s="5"/>
    </row>
    <row r="1014" spans="14:22" x14ac:dyDescent="0.2">
      <c r="N1014" s="5"/>
      <c r="O1014" s="5"/>
      <c r="P1014" s="5"/>
      <c r="Q1014" s="5"/>
      <c r="R1014" s="5"/>
      <c r="S1014" s="5"/>
      <c r="T1014" s="5"/>
      <c r="U1014" s="5"/>
      <c r="V1014" s="5"/>
    </row>
    <row r="1015" spans="14:22" x14ac:dyDescent="0.2">
      <c r="N1015" s="5"/>
      <c r="O1015" s="5"/>
      <c r="P1015" s="5"/>
      <c r="Q1015" s="5"/>
      <c r="R1015" s="5"/>
      <c r="S1015" s="5"/>
      <c r="T1015" s="5"/>
      <c r="U1015" s="5"/>
      <c r="V1015" s="5"/>
    </row>
    <row r="1016" spans="14:22" x14ac:dyDescent="0.2">
      <c r="N1016" s="5"/>
      <c r="O1016" s="5"/>
      <c r="P1016" s="5"/>
      <c r="Q1016" s="5"/>
      <c r="R1016" s="5"/>
      <c r="S1016" s="5"/>
      <c r="T1016" s="5"/>
      <c r="U1016" s="5"/>
      <c r="V1016" s="5"/>
    </row>
    <row r="1017" spans="14:22" x14ac:dyDescent="0.2">
      <c r="N1017" s="5"/>
      <c r="O1017" s="5"/>
      <c r="P1017" s="5"/>
      <c r="Q1017" s="5"/>
      <c r="R1017" s="5"/>
      <c r="S1017" s="5"/>
      <c r="T1017" s="5"/>
      <c r="U1017" s="5"/>
      <c r="V1017" s="5"/>
    </row>
    <row r="1018" spans="14:22" x14ac:dyDescent="0.2">
      <c r="N1018" s="5"/>
      <c r="O1018" s="5"/>
      <c r="P1018" s="5"/>
      <c r="Q1018" s="5"/>
      <c r="R1018" s="5"/>
      <c r="S1018" s="5"/>
      <c r="T1018" s="5"/>
      <c r="U1018" s="5"/>
      <c r="V1018" s="5"/>
    </row>
    <row r="1019" spans="14:22" x14ac:dyDescent="0.2">
      <c r="N1019" s="5"/>
      <c r="O1019" s="5"/>
      <c r="P1019" s="5"/>
      <c r="Q1019" s="5"/>
      <c r="R1019" s="5"/>
      <c r="S1019" s="5"/>
      <c r="T1019" s="5"/>
      <c r="U1019" s="5"/>
      <c r="V1019" s="5"/>
    </row>
    <row r="1020" spans="14:22" x14ac:dyDescent="0.2">
      <c r="N1020" s="5"/>
      <c r="O1020" s="5"/>
      <c r="P1020" s="5"/>
      <c r="Q1020" s="5"/>
      <c r="R1020" s="5"/>
      <c r="S1020" s="5"/>
      <c r="T1020" s="5"/>
      <c r="U1020" s="5"/>
      <c r="V1020" s="5"/>
    </row>
    <row r="1021" spans="14:22" x14ac:dyDescent="0.2">
      <c r="N1021" s="5"/>
      <c r="O1021" s="5"/>
      <c r="P1021" s="5"/>
      <c r="Q1021" s="5"/>
      <c r="R1021" s="5"/>
      <c r="S1021" s="5"/>
      <c r="T1021" s="5"/>
      <c r="U1021" s="5"/>
      <c r="V1021" s="5"/>
    </row>
    <row r="1022" spans="14:22" x14ac:dyDescent="0.2">
      <c r="N1022" s="5"/>
      <c r="O1022" s="5"/>
      <c r="P1022" s="5"/>
      <c r="Q1022" s="5"/>
      <c r="R1022" s="5"/>
      <c r="S1022" s="5"/>
      <c r="T1022" s="5"/>
      <c r="U1022" s="5"/>
      <c r="V1022" s="5"/>
    </row>
    <row r="1023" spans="14:22" x14ac:dyDescent="0.2">
      <c r="N1023" s="5"/>
      <c r="O1023" s="5"/>
      <c r="P1023" s="5"/>
      <c r="Q1023" s="5"/>
      <c r="R1023" s="5"/>
      <c r="S1023" s="5"/>
      <c r="T1023" s="5"/>
      <c r="U1023" s="5"/>
      <c r="V1023" s="5"/>
    </row>
    <row r="1024" spans="14:22" x14ac:dyDescent="0.2">
      <c r="N1024" s="5"/>
      <c r="O1024" s="5"/>
      <c r="P1024" s="5"/>
      <c r="Q1024" s="5"/>
      <c r="R1024" s="5"/>
      <c r="S1024" s="5"/>
      <c r="T1024" s="5"/>
      <c r="U1024" s="5"/>
      <c r="V1024" s="5"/>
    </row>
    <row r="1025" spans="14:22" x14ac:dyDescent="0.2">
      <c r="N1025" s="5"/>
      <c r="O1025" s="5"/>
      <c r="P1025" s="5"/>
      <c r="Q1025" s="5"/>
      <c r="R1025" s="5"/>
      <c r="S1025" s="5"/>
      <c r="T1025" s="5"/>
      <c r="U1025" s="5"/>
      <c r="V1025" s="5"/>
    </row>
    <row r="1026" spans="14:22" x14ac:dyDescent="0.2">
      <c r="N1026" s="5"/>
      <c r="O1026" s="5"/>
      <c r="P1026" s="5"/>
      <c r="Q1026" s="5"/>
      <c r="R1026" s="5"/>
      <c r="S1026" s="5"/>
      <c r="T1026" s="5"/>
      <c r="U1026" s="5"/>
      <c r="V1026" s="5"/>
    </row>
    <row r="1027" spans="14:22" x14ac:dyDescent="0.2">
      <c r="N1027" s="5"/>
      <c r="O1027" s="5"/>
      <c r="P1027" s="5"/>
      <c r="Q1027" s="5"/>
      <c r="R1027" s="5"/>
      <c r="S1027" s="5"/>
      <c r="T1027" s="5"/>
      <c r="U1027" s="5"/>
      <c r="V1027" s="5"/>
    </row>
    <row r="1028" spans="14:22" x14ac:dyDescent="0.2">
      <c r="N1028" s="5"/>
      <c r="O1028" s="5"/>
      <c r="P1028" s="5"/>
      <c r="Q1028" s="5"/>
      <c r="R1028" s="5"/>
      <c r="S1028" s="5"/>
      <c r="T1028" s="5"/>
      <c r="U1028" s="5"/>
      <c r="V1028" s="5"/>
    </row>
    <row r="1029" spans="14:22" x14ac:dyDescent="0.2">
      <c r="N1029" s="5"/>
      <c r="O1029" s="5"/>
      <c r="P1029" s="5"/>
      <c r="Q1029" s="5"/>
      <c r="R1029" s="5"/>
      <c r="S1029" s="5"/>
      <c r="T1029" s="5"/>
      <c r="U1029" s="5"/>
      <c r="V1029" s="5"/>
    </row>
    <row r="1030" spans="14:22" x14ac:dyDescent="0.2">
      <c r="N1030" s="5"/>
      <c r="O1030" s="5"/>
      <c r="P1030" s="5"/>
      <c r="Q1030" s="5"/>
      <c r="R1030" s="5"/>
      <c r="S1030" s="5"/>
      <c r="T1030" s="5"/>
      <c r="U1030" s="5"/>
      <c r="V1030" s="5"/>
    </row>
    <row r="1031" spans="14:22" x14ac:dyDescent="0.2">
      <c r="N1031" s="5"/>
      <c r="O1031" s="5"/>
      <c r="P1031" s="5"/>
      <c r="Q1031" s="5"/>
      <c r="R1031" s="5"/>
      <c r="S1031" s="5"/>
      <c r="T1031" s="5"/>
      <c r="U1031" s="5"/>
      <c r="V1031" s="5"/>
    </row>
    <row r="1032" spans="14:22" x14ac:dyDescent="0.2">
      <c r="N1032" s="5"/>
      <c r="O1032" s="5"/>
      <c r="P1032" s="5"/>
      <c r="Q1032" s="5"/>
      <c r="R1032" s="5"/>
      <c r="S1032" s="5"/>
      <c r="T1032" s="5"/>
      <c r="U1032" s="5"/>
      <c r="V1032" s="5"/>
    </row>
    <row r="1033" spans="14:22" x14ac:dyDescent="0.2">
      <c r="N1033" s="5"/>
      <c r="O1033" s="5"/>
      <c r="P1033" s="5"/>
      <c r="Q1033" s="5"/>
      <c r="R1033" s="5"/>
      <c r="S1033" s="5"/>
      <c r="T1033" s="5"/>
      <c r="U1033" s="5"/>
      <c r="V1033" s="5"/>
    </row>
    <row r="1034" spans="14:22" x14ac:dyDescent="0.2">
      <c r="N1034" s="5"/>
      <c r="O1034" s="5"/>
      <c r="P1034" s="5"/>
      <c r="Q1034" s="5"/>
      <c r="R1034" s="5"/>
      <c r="S1034" s="5"/>
      <c r="T1034" s="5"/>
      <c r="U1034" s="5"/>
      <c r="V1034" s="5"/>
    </row>
    <row r="1035" spans="14:22" x14ac:dyDescent="0.2">
      <c r="N1035" s="5"/>
      <c r="O1035" s="5"/>
      <c r="P1035" s="5"/>
      <c r="Q1035" s="5"/>
      <c r="R1035" s="5"/>
      <c r="S1035" s="5"/>
      <c r="T1035" s="5"/>
      <c r="U1035" s="5"/>
      <c r="V1035" s="5"/>
    </row>
    <row r="1036" spans="14:22" x14ac:dyDescent="0.2">
      <c r="N1036" s="5"/>
      <c r="O1036" s="5"/>
      <c r="P1036" s="5"/>
      <c r="Q1036" s="5"/>
      <c r="R1036" s="5"/>
      <c r="S1036" s="5"/>
      <c r="T1036" s="5"/>
      <c r="U1036" s="5"/>
      <c r="V1036" s="5"/>
    </row>
    <row r="1037" spans="14:22" x14ac:dyDescent="0.2">
      <c r="N1037" s="5"/>
      <c r="O1037" s="5"/>
      <c r="P1037" s="5"/>
      <c r="Q1037" s="5"/>
      <c r="R1037" s="5"/>
      <c r="S1037" s="5"/>
      <c r="T1037" s="5"/>
      <c r="U1037" s="5"/>
      <c r="V1037" s="5"/>
    </row>
    <row r="1038" spans="14:22" x14ac:dyDescent="0.2">
      <c r="N1038" s="5"/>
      <c r="O1038" s="5"/>
      <c r="P1038" s="5"/>
      <c r="Q1038" s="5"/>
      <c r="R1038" s="5"/>
      <c r="S1038" s="5"/>
      <c r="T1038" s="5"/>
      <c r="U1038" s="5"/>
      <c r="V1038" s="5"/>
    </row>
    <row r="1039" spans="14:22" x14ac:dyDescent="0.2">
      <c r="N1039" s="5"/>
      <c r="O1039" s="5"/>
      <c r="P1039" s="5"/>
      <c r="Q1039" s="5"/>
      <c r="R1039" s="5"/>
      <c r="S1039" s="5"/>
      <c r="T1039" s="5"/>
      <c r="U1039" s="5"/>
      <c r="V1039" s="5"/>
    </row>
    <row r="1040" spans="14:22" x14ac:dyDescent="0.2">
      <c r="N1040" s="5"/>
      <c r="O1040" s="5"/>
      <c r="P1040" s="5"/>
      <c r="Q1040" s="5"/>
      <c r="R1040" s="5"/>
      <c r="S1040" s="5"/>
      <c r="T1040" s="5"/>
      <c r="U1040" s="5"/>
      <c r="V1040" s="5"/>
    </row>
    <row r="1041" spans="14:22" x14ac:dyDescent="0.2">
      <c r="N1041" s="5"/>
      <c r="O1041" s="5"/>
      <c r="P1041" s="5"/>
      <c r="Q1041" s="5"/>
      <c r="R1041" s="5"/>
      <c r="S1041" s="5"/>
      <c r="T1041" s="5"/>
      <c r="U1041" s="5"/>
      <c r="V1041" s="5"/>
    </row>
    <row r="1042" spans="14:22" x14ac:dyDescent="0.2">
      <c r="N1042" s="5"/>
      <c r="O1042" s="5"/>
      <c r="P1042" s="5"/>
      <c r="Q1042" s="5"/>
      <c r="R1042" s="5"/>
      <c r="S1042" s="5"/>
      <c r="T1042" s="5"/>
      <c r="U1042" s="5"/>
      <c r="V1042" s="5"/>
    </row>
    <row r="1043" spans="14:22" x14ac:dyDescent="0.2">
      <c r="N1043" s="5"/>
      <c r="O1043" s="5"/>
      <c r="P1043" s="5"/>
      <c r="Q1043" s="5"/>
      <c r="R1043" s="5"/>
      <c r="S1043" s="5"/>
      <c r="T1043" s="5"/>
      <c r="U1043" s="5"/>
      <c r="V1043" s="5"/>
    </row>
    <row r="1044" spans="14:22" x14ac:dyDescent="0.2">
      <c r="N1044" s="5"/>
      <c r="O1044" s="5"/>
      <c r="P1044" s="5"/>
      <c r="Q1044" s="5"/>
      <c r="R1044" s="5"/>
      <c r="S1044" s="5"/>
      <c r="T1044" s="5"/>
      <c r="U1044" s="5"/>
      <c r="V1044" s="5"/>
    </row>
    <row r="1045" spans="14:22" x14ac:dyDescent="0.2">
      <c r="N1045" s="5"/>
      <c r="O1045" s="5"/>
      <c r="P1045" s="5"/>
      <c r="Q1045" s="5"/>
      <c r="R1045" s="5"/>
      <c r="S1045" s="5"/>
      <c r="T1045" s="5"/>
      <c r="U1045" s="5"/>
      <c r="V1045" s="5"/>
    </row>
    <row r="1046" spans="14:22" x14ac:dyDescent="0.2">
      <c r="N1046" s="5"/>
      <c r="O1046" s="5"/>
      <c r="P1046" s="5"/>
      <c r="Q1046" s="5"/>
      <c r="R1046" s="5"/>
      <c r="S1046" s="5"/>
      <c r="T1046" s="5"/>
      <c r="U1046" s="5"/>
      <c r="V1046" s="5"/>
    </row>
    <row r="1047" spans="14:22" x14ac:dyDescent="0.2">
      <c r="N1047" s="5"/>
      <c r="O1047" s="5"/>
      <c r="P1047" s="5"/>
      <c r="Q1047" s="5"/>
      <c r="R1047" s="5"/>
      <c r="S1047" s="5"/>
      <c r="T1047" s="5"/>
      <c r="U1047" s="5"/>
      <c r="V1047" s="5"/>
    </row>
    <row r="1048" spans="14:22" x14ac:dyDescent="0.2">
      <c r="N1048" s="5"/>
      <c r="O1048" s="5"/>
      <c r="P1048" s="5"/>
      <c r="Q1048" s="5"/>
      <c r="R1048" s="5"/>
      <c r="S1048" s="5"/>
      <c r="T1048" s="5"/>
      <c r="U1048" s="5"/>
      <c r="V1048" s="5"/>
    </row>
    <row r="1049" spans="14:22" x14ac:dyDescent="0.2">
      <c r="N1049" s="5"/>
      <c r="O1049" s="5"/>
      <c r="P1049" s="5"/>
      <c r="Q1049" s="5"/>
      <c r="R1049" s="5"/>
      <c r="S1049" s="5"/>
      <c r="T1049" s="5"/>
      <c r="U1049" s="5"/>
      <c r="V1049" s="5"/>
    </row>
    <row r="1050" spans="14:22" x14ac:dyDescent="0.2">
      <c r="N1050" s="5"/>
      <c r="O1050" s="5"/>
      <c r="P1050" s="5"/>
      <c r="Q1050" s="5"/>
      <c r="R1050" s="5"/>
      <c r="S1050" s="5"/>
      <c r="T1050" s="5"/>
      <c r="U1050" s="5"/>
      <c r="V1050" s="5"/>
    </row>
    <row r="1051" spans="14:22" x14ac:dyDescent="0.2">
      <c r="N1051" s="5"/>
      <c r="O1051" s="5"/>
      <c r="P1051" s="5"/>
      <c r="Q1051" s="5"/>
      <c r="R1051" s="5"/>
      <c r="S1051" s="5"/>
      <c r="T1051" s="5"/>
      <c r="U1051" s="5"/>
      <c r="V1051" s="5"/>
    </row>
    <row r="1052" spans="14:22" x14ac:dyDescent="0.2">
      <c r="N1052" s="5"/>
      <c r="O1052" s="5"/>
      <c r="P1052" s="5"/>
      <c r="Q1052" s="5"/>
      <c r="R1052" s="5"/>
      <c r="S1052" s="5"/>
      <c r="T1052" s="5"/>
      <c r="U1052" s="5"/>
      <c r="V1052" s="5"/>
    </row>
    <row r="1053" spans="14:22" x14ac:dyDescent="0.2">
      <c r="N1053" s="5"/>
      <c r="O1053" s="5"/>
      <c r="P1053" s="5"/>
      <c r="Q1053" s="5"/>
      <c r="R1053" s="5"/>
      <c r="S1053" s="5"/>
      <c r="T1053" s="5"/>
      <c r="U1053" s="5"/>
      <c r="V1053" s="5"/>
    </row>
    <row r="1054" spans="14:22" x14ac:dyDescent="0.2">
      <c r="N1054" s="5"/>
      <c r="O1054" s="5"/>
      <c r="P1054" s="5"/>
      <c r="Q1054" s="5"/>
      <c r="R1054" s="5"/>
      <c r="S1054" s="5"/>
      <c r="T1054" s="5"/>
      <c r="U1054" s="5"/>
      <c r="V1054" s="5"/>
    </row>
    <row r="1055" spans="14:22" x14ac:dyDescent="0.2">
      <c r="N1055" s="5"/>
      <c r="O1055" s="5"/>
      <c r="P1055" s="5"/>
      <c r="Q1055" s="5"/>
      <c r="R1055" s="5"/>
      <c r="S1055" s="5"/>
      <c r="T1055" s="5"/>
      <c r="U1055" s="5"/>
      <c r="V1055" s="5"/>
    </row>
    <row r="1056" spans="14:22" x14ac:dyDescent="0.2">
      <c r="N1056" s="5"/>
      <c r="O1056" s="5"/>
      <c r="P1056" s="5"/>
      <c r="Q1056" s="5"/>
      <c r="R1056" s="5"/>
      <c r="S1056" s="5"/>
      <c r="T1056" s="5"/>
      <c r="U1056" s="5"/>
      <c r="V1056" s="5"/>
    </row>
    <row r="1057" spans="14:22" x14ac:dyDescent="0.2">
      <c r="N1057" s="5"/>
      <c r="O1057" s="5"/>
      <c r="P1057" s="5"/>
      <c r="Q1057" s="5"/>
      <c r="R1057" s="5"/>
      <c r="S1057" s="5"/>
      <c r="T1057" s="5"/>
      <c r="U1057" s="5"/>
      <c r="V1057" s="5"/>
    </row>
    <row r="1058" spans="14:22" x14ac:dyDescent="0.2">
      <c r="N1058" s="5"/>
      <c r="O1058" s="5"/>
      <c r="P1058" s="5"/>
      <c r="Q1058" s="5"/>
      <c r="R1058" s="5"/>
      <c r="S1058" s="5"/>
      <c r="T1058" s="5"/>
      <c r="U1058" s="5"/>
      <c r="V1058" s="5"/>
    </row>
    <row r="1059" spans="14:22" x14ac:dyDescent="0.2">
      <c r="N1059" s="5"/>
      <c r="O1059" s="5"/>
      <c r="P1059" s="5"/>
      <c r="Q1059" s="5"/>
      <c r="R1059" s="5"/>
      <c r="S1059" s="5"/>
      <c r="T1059" s="5"/>
      <c r="U1059" s="5"/>
      <c r="V1059" s="5"/>
    </row>
    <row r="1060" spans="14:22" x14ac:dyDescent="0.2">
      <c r="N1060" s="5"/>
      <c r="O1060" s="5"/>
      <c r="P1060" s="5"/>
      <c r="Q1060" s="5"/>
      <c r="R1060" s="5"/>
      <c r="S1060" s="5"/>
      <c r="T1060" s="5"/>
      <c r="U1060" s="5"/>
      <c r="V1060" s="5"/>
    </row>
    <row r="1061" spans="14:22" x14ac:dyDescent="0.2">
      <c r="N1061" s="5"/>
      <c r="O1061" s="5"/>
      <c r="P1061" s="5"/>
      <c r="Q1061" s="5"/>
      <c r="R1061" s="5"/>
      <c r="S1061" s="5"/>
      <c r="T1061" s="5"/>
      <c r="U1061" s="5"/>
      <c r="V1061" s="5"/>
    </row>
    <row r="1062" spans="14:22" x14ac:dyDescent="0.2">
      <c r="N1062" s="5"/>
      <c r="O1062" s="5"/>
      <c r="P1062" s="5"/>
      <c r="Q1062" s="5"/>
      <c r="R1062" s="5"/>
      <c r="S1062" s="5"/>
      <c r="T1062" s="5"/>
      <c r="U1062" s="5"/>
      <c r="V1062" s="5"/>
    </row>
    <row r="1063" spans="14:22" x14ac:dyDescent="0.2">
      <c r="N1063" s="5"/>
      <c r="O1063" s="5"/>
      <c r="P1063" s="5"/>
      <c r="Q1063" s="5"/>
      <c r="R1063" s="5"/>
      <c r="S1063" s="5"/>
      <c r="T1063" s="5"/>
      <c r="U1063" s="5"/>
      <c r="V1063" s="5"/>
    </row>
    <row r="1064" spans="14:22" x14ac:dyDescent="0.2">
      <c r="N1064" s="5"/>
      <c r="O1064" s="5"/>
      <c r="P1064" s="5"/>
      <c r="Q1064" s="5"/>
      <c r="R1064" s="5"/>
      <c r="S1064" s="5"/>
      <c r="T1064" s="5"/>
      <c r="U1064" s="5"/>
      <c r="V1064" s="5"/>
    </row>
    <row r="1065" spans="14:22" x14ac:dyDescent="0.2">
      <c r="N1065" s="5"/>
      <c r="O1065" s="5"/>
      <c r="P1065" s="5"/>
      <c r="Q1065" s="5"/>
      <c r="R1065" s="5"/>
      <c r="S1065" s="5"/>
      <c r="T1065" s="5"/>
      <c r="U1065" s="5"/>
      <c r="V1065" s="5"/>
    </row>
    <row r="1066" spans="14:22" x14ac:dyDescent="0.2">
      <c r="N1066" s="5"/>
      <c r="O1066" s="5"/>
      <c r="P1066" s="5"/>
      <c r="Q1066" s="5"/>
      <c r="R1066" s="5"/>
      <c r="S1066" s="5"/>
      <c r="T1066" s="5"/>
      <c r="U1066" s="5"/>
      <c r="V1066" s="5"/>
    </row>
    <row r="1067" spans="14:22" x14ac:dyDescent="0.2">
      <c r="N1067" s="5"/>
      <c r="O1067" s="5"/>
      <c r="P1067" s="5"/>
      <c r="Q1067" s="5"/>
      <c r="R1067" s="5"/>
      <c r="S1067" s="5"/>
      <c r="T1067" s="5"/>
      <c r="U1067" s="5"/>
      <c r="V1067" s="5"/>
    </row>
    <row r="1068" spans="14:22" x14ac:dyDescent="0.2">
      <c r="N1068" s="5"/>
      <c r="O1068" s="5"/>
      <c r="P1068" s="5"/>
      <c r="Q1068" s="5"/>
      <c r="R1068" s="5"/>
      <c r="S1068" s="5"/>
      <c r="T1068" s="5"/>
      <c r="U1068" s="5"/>
      <c r="V1068" s="5"/>
    </row>
    <row r="1069" spans="14:22" x14ac:dyDescent="0.2">
      <c r="N1069" s="5"/>
      <c r="O1069" s="5"/>
      <c r="P1069" s="5"/>
      <c r="Q1069" s="5"/>
      <c r="R1069" s="5"/>
      <c r="S1069" s="5"/>
      <c r="T1069" s="5"/>
      <c r="U1069" s="5"/>
      <c r="V1069" s="5"/>
    </row>
    <row r="1070" spans="14:22" x14ac:dyDescent="0.2">
      <c r="N1070" s="5"/>
      <c r="O1070" s="5"/>
      <c r="P1070" s="5"/>
      <c r="Q1070" s="5"/>
      <c r="R1070" s="5"/>
      <c r="S1070" s="5"/>
      <c r="T1070" s="5"/>
      <c r="U1070" s="5"/>
      <c r="V1070" s="5"/>
    </row>
    <row r="1071" spans="14:22" x14ac:dyDescent="0.2">
      <c r="N1071" s="5"/>
      <c r="O1071" s="5"/>
      <c r="P1071" s="5"/>
      <c r="Q1071" s="5"/>
      <c r="R1071" s="5"/>
      <c r="S1071" s="5"/>
      <c r="T1071" s="5"/>
      <c r="U1071" s="5"/>
      <c r="V1071" s="5"/>
    </row>
    <row r="1072" spans="14:22" x14ac:dyDescent="0.2">
      <c r="N1072" s="5"/>
      <c r="O1072" s="5"/>
      <c r="P1072" s="5"/>
      <c r="Q1072" s="5"/>
      <c r="R1072" s="5"/>
      <c r="S1072" s="5"/>
      <c r="T1072" s="5"/>
      <c r="U1072" s="5"/>
      <c r="V1072" s="5"/>
    </row>
    <row r="1073" spans="14:22" x14ac:dyDescent="0.2">
      <c r="N1073" s="5"/>
      <c r="O1073" s="5"/>
      <c r="P1073" s="5"/>
      <c r="Q1073" s="5"/>
      <c r="R1073" s="5"/>
      <c r="S1073" s="5"/>
      <c r="T1073" s="5"/>
      <c r="U1073" s="5"/>
      <c r="V1073" s="5"/>
    </row>
    <row r="1074" spans="14:22" x14ac:dyDescent="0.2">
      <c r="N1074" s="5"/>
      <c r="O1074" s="5"/>
      <c r="P1074" s="5"/>
      <c r="Q1074" s="5"/>
      <c r="R1074" s="5"/>
      <c r="S1074" s="5"/>
      <c r="T1074" s="5"/>
      <c r="U1074" s="5"/>
      <c r="V1074" s="5"/>
    </row>
    <row r="1075" spans="14:22" x14ac:dyDescent="0.2">
      <c r="N1075" s="5"/>
      <c r="O1075" s="5"/>
      <c r="P1075" s="5"/>
      <c r="Q1075" s="5"/>
      <c r="R1075" s="5"/>
      <c r="S1075" s="5"/>
      <c r="T1075" s="5"/>
      <c r="U1075" s="5"/>
      <c r="V1075" s="5"/>
    </row>
    <row r="1076" spans="14:22" x14ac:dyDescent="0.2">
      <c r="N1076" s="5"/>
      <c r="O1076" s="5"/>
      <c r="P1076" s="5"/>
      <c r="Q1076" s="5"/>
      <c r="R1076" s="5"/>
      <c r="S1076" s="5"/>
      <c r="T1076" s="5"/>
      <c r="U1076" s="5"/>
      <c r="V1076" s="5"/>
    </row>
    <row r="1077" spans="14:22" x14ac:dyDescent="0.2">
      <c r="N1077" s="5"/>
      <c r="O1077" s="5"/>
      <c r="P1077" s="5"/>
      <c r="Q1077" s="5"/>
      <c r="R1077" s="5"/>
      <c r="S1077" s="5"/>
      <c r="T1077" s="5"/>
      <c r="U1077" s="5"/>
      <c r="V1077" s="5"/>
    </row>
    <row r="1078" spans="14:22" x14ac:dyDescent="0.2">
      <c r="N1078" s="5"/>
      <c r="O1078" s="5"/>
      <c r="P1078" s="5"/>
      <c r="Q1078" s="5"/>
      <c r="R1078" s="5"/>
      <c r="S1078" s="5"/>
      <c r="T1078" s="5"/>
      <c r="U1078" s="5"/>
      <c r="V1078" s="5"/>
    </row>
    <row r="1079" spans="14:22" x14ac:dyDescent="0.2">
      <c r="N1079" s="5"/>
      <c r="O1079" s="5"/>
      <c r="P1079" s="5"/>
      <c r="Q1079" s="5"/>
      <c r="R1079" s="5"/>
      <c r="S1079" s="5"/>
      <c r="T1079" s="5"/>
      <c r="U1079" s="5"/>
      <c r="V1079" s="5"/>
    </row>
    <row r="1080" spans="14:22" x14ac:dyDescent="0.2">
      <c r="N1080" s="5"/>
      <c r="O1080" s="5"/>
      <c r="P1080" s="5"/>
      <c r="Q1080" s="5"/>
      <c r="R1080" s="5"/>
      <c r="S1080" s="5"/>
      <c r="T1080" s="5"/>
      <c r="U1080" s="5"/>
      <c r="V1080" s="5"/>
    </row>
    <row r="1081" spans="14:22" x14ac:dyDescent="0.2">
      <c r="N1081" s="5"/>
      <c r="O1081" s="5"/>
      <c r="P1081" s="5"/>
      <c r="Q1081" s="5"/>
      <c r="R1081" s="5"/>
      <c r="S1081" s="5"/>
      <c r="T1081" s="5"/>
      <c r="U1081" s="5"/>
      <c r="V1081" s="5"/>
    </row>
    <row r="1082" spans="14:22" x14ac:dyDescent="0.2">
      <c r="N1082" s="5"/>
      <c r="O1082" s="5"/>
      <c r="P1082" s="5"/>
      <c r="Q1082" s="5"/>
      <c r="R1082" s="5"/>
      <c r="S1082" s="5"/>
      <c r="T1082" s="5"/>
      <c r="U1082" s="5"/>
      <c r="V1082" s="5"/>
    </row>
    <row r="1083" spans="14:22" x14ac:dyDescent="0.2">
      <c r="N1083" s="5"/>
      <c r="O1083" s="5"/>
      <c r="P1083" s="5"/>
      <c r="Q1083" s="5"/>
      <c r="R1083" s="5"/>
      <c r="S1083" s="5"/>
      <c r="T1083" s="5"/>
      <c r="U1083" s="5"/>
      <c r="V1083" s="5"/>
    </row>
    <row r="1084" spans="14:22" x14ac:dyDescent="0.2">
      <c r="N1084" s="5"/>
      <c r="O1084" s="5"/>
      <c r="P1084" s="5"/>
      <c r="Q1084" s="5"/>
      <c r="R1084" s="5"/>
      <c r="S1084" s="5"/>
      <c r="T1084" s="5"/>
      <c r="U1084" s="5"/>
      <c r="V1084" s="5"/>
    </row>
    <row r="1085" spans="14:22" x14ac:dyDescent="0.2">
      <c r="N1085" s="5"/>
      <c r="O1085" s="5"/>
      <c r="P1085" s="5"/>
      <c r="Q1085" s="5"/>
      <c r="R1085" s="5"/>
      <c r="S1085" s="5"/>
      <c r="T1085" s="5"/>
      <c r="U1085" s="5"/>
      <c r="V1085" s="5"/>
    </row>
    <row r="1086" spans="14:22" x14ac:dyDescent="0.2">
      <c r="N1086" s="5"/>
      <c r="O1086" s="5"/>
      <c r="P1086" s="5"/>
      <c r="Q1086" s="5"/>
      <c r="R1086" s="5"/>
      <c r="S1086" s="5"/>
      <c r="T1086" s="5"/>
      <c r="U1086" s="5"/>
      <c r="V1086" s="5"/>
    </row>
    <row r="1087" spans="14:22" x14ac:dyDescent="0.2">
      <c r="N1087" s="5"/>
      <c r="O1087" s="5"/>
      <c r="P1087" s="5"/>
      <c r="Q1087" s="5"/>
      <c r="R1087" s="5"/>
      <c r="S1087" s="5"/>
      <c r="T1087" s="5"/>
      <c r="U1087" s="5"/>
      <c r="V1087" s="5"/>
    </row>
    <row r="1088" spans="14:22" x14ac:dyDescent="0.2">
      <c r="N1088" s="5"/>
      <c r="O1088" s="5"/>
      <c r="P1088" s="5"/>
      <c r="Q1088" s="5"/>
      <c r="R1088" s="5"/>
      <c r="S1088" s="5"/>
      <c r="T1088" s="5"/>
      <c r="U1088" s="5"/>
      <c r="V1088" s="5"/>
    </row>
    <row r="1089" spans="14:22" x14ac:dyDescent="0.2">
      <c r="N1089" s="5"/>
      <c r="O1089" s="5"/>
      <c r="P1089" s="5"/>
      <c r="Q1089" s="5"/>
      <c r="R1089" s="5"/>
      <c r="S1089" s="5"/>
      <c r="T1089" s="5"/>
      <c r="U1089" s="5"/>
      <c r="V1089" s="5"/>
    </row>
    <row r="1090" spans="14:22" x14ac:dyDescent="0.2">
      <c r="N1090" s="5"/>
      <c r="O1090" s="5"/>
      <c r="P1090" s="5"/>
      <c r="Q1090" s="5"/>
      <c r="R1090" s="5"/>
      <c r="S1090" s="5"/>
      <c r="T1090" s="5"/>
      <c r="U1090" s="5"/>
      <c r="V1090" s="5"/>
    </row>
    <row r="1091" spans="14:22" x14ac:dyDescent="0.2">
      <c r="N1091" s="5"/>
      <c r="O1091" s="5"/>
      <c r="P1091" s="5"/>
      <c r="Q1091" s="5"/>
      <c r="R1091" s="5"/>
      <c r="S1091" s="5"/>
      <c r="T1091" s="5"/>
      <c r="U1091" s="5"/>
      <c r="V1091" s="5"/>
    </row>
    <row r="1092" spans="14:22" x14ac:dyDescent="0.2">
      <c r="N1092" s="5"/>
      <c r="O1092" s="5"/>
      <c r="P1092" s="5"/>
      <c r="Q1092" s="5"/>
      <c r="R1092" s="5"/>
      <c r="S1092" s="5"/>
      <c r="T1092" s="5"/>
      <c r="U1092" s="5"/>
      <c r="V1092" s="5"/>
    </row>
    <row r="1093" spans="14:22" x14ac:dyDescent="0.2">
      <c r="N1093" s="5"/>
      <c r="O1093" s="5"/>
      <c r="P1093" s="5"/>
      <c r="Q1093" s="5"/>
      <c r="R1093" s="5"/>
      <c r="S1093" s="5"/>
      <c r="T1093" s="5"/>
      <c r="U1093" s="5"/>
      <c r="V1093" s="5"/>
    </row>
    <row r="1094" spans="14:22" x14ac:dyDescent="0.2">
      <c r="N1094" s="5"/>
      <c r="O1094" s="5"/>
      <c r="P1094" s="5"/>
      <c r="Q1094" s="5"/>
      <c r="R1094" s="5"/>
      <c r="S1094" s="5"/>
      <c r="T1094" s="5"/>
      <c r="U1094" s="5"/>
      <c r="V1094" s="5"/>
    </row>
    <row r="1095" spans="14:22" x14ac:dyDescent="0.2">
      <c r="N1095" s="5"/>
      <c r="O1095" s="5"/>
      <c r="P1095" s="5"/>
      <c r="Q1095" s="5"/>
      <c r="R1095" s="5"/>
      <c r="S1095" s="5"/>
      <c r="T1095" s="5"/>
      <c r="U1095" s="5"/>
      <c r="V1095" s="5"/>
    </row>
    <row r="1096" spans="14:22" x14ac:dyDescent="0.2">
      <c r="N1096" s="5"/>
      <c r="O1096" s="5"/>
      <c r="P1096" s="5"/>
      <c r="Q1096" s="5"/>
      <c r="R1096" s="5"/>
      <c r="S1096" s="5"/>
      <c r="T1096" s="5"/>
      <c r="U1096" s="5"/>
      <c r="V1096" s="5"/>
    </row>
    <row r="1097" spans="14:22" x14ac:dyDescent="0.2">
      <c r="N1097" s="5"/>
      <c r="O1097" s="5"/>
      <c r="P1097" s="5"/>
      <c r="Q1097" s="5"/>
      <c r="R1097" s="5"/>
      <c r="S1097" s="5"/>
      <c r="T1097" s="5"/>
      <c r="U1097" s="5"/>
      <c r="V1097" s="5"/>
    </row>
    <row r="1098" spans="14:22" x14ac:dyDescent="0.2">
      <c r="N1098" s="5"/>
      <c r="O1098" s="5"/>
      <c r="P1098" s="5"/>
      <c r="Q1098" s="5"/>
      <c r="R1098" s="5"/>
      <c r="S1098" s="5"/>
      <c r="T1098" s="5"/>
      <c r="U1098" s="5"/>
      <c r="V1098" s="5"/>
    </row>
    <row r="1099" spans="14:22" x14ac:dyDescent="0.2">
      <c r="N1099" s="5"/>
      <c r="O1099" s="5"/>
      <c r="P1099" s="5"/>
      <c r="Q1099" s="5"/>
      <c r="R1099" s="5"/>
      <c r="S1099" s="5"/>
      <c r="T1099" s="5"/>
      <c r="U1099" s="5"/>
      <c r="V1099" s="5"/>
    </row>
    <row r="1100" spans="14:22" x14ac:dyDescent="0.2">
      <c r="N1100" s="5"/>
      <c r="O1100" s="5"/>
      <c r="P1100" s="5"/>
      <c r="Q1100" s="5"/>
      <c r="R1100" s="5"/>
      <c r="S1100" s="5"/>
      <c r="T1100" s="5"/>
      <c r="U1100" s="5"/>
      <c r="V1100" s="5"/>
    </row>
    <row r="1101" spans="14:22" x14ac:dyDescent="0.2">
      <c r="N1101" s="5"/>
      <c r="O1101" s="5"/>
      <c r="P1101" s="5"/>
      <c r="Q1101" s="5"/>
      <c r="R1101" s="5"/>
      <c r="S1101" s="5"/>
      <c r="T1101" s="5"/>
      <c r="U1101" s="5"/>
      <c r="V1101" s="5"/>
    </row>
    <row r="1102" spans="14:22" x14ac:dyDescent="0.2">
      <c r="N1102" s="5"/>
      <c r="O1102" s="5"/>
      <c r="P1102" s="5"/>
      <c r="Q1102" s="5"/>
      <c r="R1102" s="5"/>
      <c r="S1102" s="5"/>
      <c r="T1102" s="5"/>
      <c r="U1102" s="5"/>
      <c r="V1102" s="5"/>
    </row>
    <row r="1103" spans="14:22" x14ac:dyDescent="0.2">
      <c r="N1103" s="5"/>
      <c r="O1103" s="5"/>
      <c r="P1103" s="5"/>
      <c r="Q1103" s="5"/>
      <c r="R1103" s="5"/>
      <c r="S1103" s="5"/>
      <c r="T1103" s="5"/>
      <c r="U1103" s="5"/>
      <c r="V1103" s="5"/>
    </row>
    <row r="1104" spans="14:22" x14ac:dyDescent="0.2">
      <c r="N1104" s="5"/>
      <c r="O1104" s="5"/>
      <c r="P1104" s="5"/>
      <c r="Q1104" s="5"/>
      <c r="R1104" s="5"/>
      <c r="S1104" s="5"/>
      <c r="T1104" s="5"/>
      <c r="U1104" s="5"/>
      <c r="V1104" s="5"/>
    </row>
    <row r="1105" spans="14:22" x14ac:dyDescent="0.2">
      <c r="N1105" s="5"/>
      <c r="O1105" s="5"/>
      <c r="P1105" s="5"/>
      <c r="Q1105" s="5"/>
      <c r="R1105" s="5"/>
      <c r="S1105" s="5"/>
      <c r="T1105" s="5"/>
      <c r="U1105" s="5"/>
      <c r="V1105" s="5"/>
    </row>
    <row r="1106" spans="14:22" x14ac:dyDescent="0.2">
      <c r="N1106" s="5"/>
      <c r="O1106" s="5"/>
      <c r="P1106" s="5"/>
      <c r="Q1106" s="5"/>
      <c r="R1106" s="5"/>
      <c r="S1106" s="5"/>
      <c r="T1106" s="5"/>
      <c r="U1106" s="5"/>
      <c r="V1106" s="5"/>
    </row>
    <row r="1107" spans="14:22" x14ac:dyDescent="0.2">
      <c r="N1107" s="5"/>
      <c r="O1107" s="5"/>
      <c r="P1107" s="5"/>
      <c r="Q1107" s="5"/>
      <c r="R1107" s="5"/>
      <c r="S1107" s="5"/>
      <c r="T1107" s="5"/>
      <c r="U1107" s="5"/>
      <c r="V1107" s="5"/>
    </row>
    <row r="1108" spans="14:22" x14ac:dyDescent="0.2">
      <c r="N1108" s="5"/>
      <c r="O1108" s="5"/>
      <c r="P1108" s="5"/>
      <c r="Q1108" s="5"/>
      <c r="R1108" s="5"/>
      <c r="S1108" s="5"/>
      <c r="T1108" s="5"/>
      <c r="U1108" s="5"/>
      <c r="V1108" s="5"/>
    </row>
    <row r="1109" spans="14:22" x14ac:dyDescent="0.2">
      <c r="N1109" s="5"/>
      <c r="O1109" s="5"/>
      <c r="P1109" s="5"/>
      <c r="Q1109" s="5"/>
      <c r="R1109" s="5"/>
      <c r="S1109" s="5"/>
      <c r="T1109" s="5"/>
      <c r="U1109" s="5"/>
      <c r="V1109" s="5"/>
    </row>
    <row r="1110" spans="14:22" x14ac:dyDescent="0.2">
      <c r="N1110" s="5"/>
      <c r="O1110" s="5"/>
      <c r="P1110" s="5"/>
      <c r="Q1110" s="5"/>
      <c r="R1110" s="5"/>
      <c r="S1110" s="5"/>
      <c r="T1110" s="5"/>
      <c r="U1110" s="5"/>
      <c r="V1110" s="5"/>
    </row>
    <row r="1111" spans="14:22" x14ac:dyDescent="0.2">
      <c r="N1111" s="5"/>
      <c r="O1111" s="5"/>
      <c r="P1111" s="5"/>
      <c r="Q1111" s="5"/>
      <c r="R1111" s="5"/>
      <c r="S1111" s="5"/>
      <c r="T1111" s="5"/>
      <c r="U1111" s="5"/>
      <c r="V1111" s="5"/>
    </row>
    <row r="1112" spans="14:22" x14ac:dyDescent="0.2">
      <c r="N1112" s="5"/>
      <c r="O1112" s="5"/>
      <c r="P1112" s="5"/>
      <c r="Q1112" s="5"/>
      <c r="R1112" s="5"/>
      <c r="S1112" s="5"/>
      <c r="T1112" s="5"/>
      <c r="U1112" s="5"/>
      <c r="V1112" s="5"/>
    </row>
    <row r="1113" spans="14:22" x14ac:dyDescent="0.2">
      <c r="N1113" s="5"/>
      <c r="O1113" s="5"/>
      <c r="P1113" s="5"/>
      <c r="Q1113" s="5"/>
      <c r="R1113" s="5"/>
      <c r="S1113" s="5"/>
      <c r="T1113" s="5"/>
      <c r="U1113" s="5"/>
      <c r="V1113" s="5"/>
    </row>
    <row r="1114" spans="14:22" x14ac:dyDescent="0.2">
      <c r="N1114" s="5"/>
      <c r="O1114" s="5"/>
      <c r="P1114" s="5"/>
      <c r="Q1114" s="5"/>
      <c r="R1114" s="5"/>
      <c r="S1114" s="5"/>
      <c r="T1114" s="5"/>
      <c r="U1114" s="5"/>
      <c r="V1114" s="5"/>
    </row>
    <row r="1115" spans="14:22" x14ac:dyDescent="0.2">
      <c r="N1115" s="5"/>
      <c r="O1115" s="5"/>
      <c r="P1115" s="5"/>
      <c r="Q1115" s="5"/>
      <c r="R1115" s="5"/>
      <c r="S1115" s="5"/>
      <c r="T1115" s="5"/>
      <c r="U1115" s="5"/>
      <c r="V1115" s="5"/>
    </row>
    <row r="1116" spans="14:22" x14ac:dyDescent="0.2">
      <c r="N1116" s="5"/>
      <c r="O1116" s="5"/>
      <c r="P1116" s="5"/>
      <c r="Q1116" s="5"/>
      <c r="R1116" s="5"/>
      <c r="S1116" s="5"/>
      <c r="T1116" s="5"/>
      <c r="U1116" s="5"/>
      <c r="V1116" s="5"/>
    </row>
    <row r="1117" spans="14:22" x14ac:dyDescent="0.2">
      <c r="N1117" s="5"/>
      <c r="O1117" s="5"/>
      <c r="P1117" s="5"/>
      <c r="Q1117" s="5"/>
      <c r="R1117" s="5"/>
      <c r="S1117" s="5"/>
      <c r="T1117" s="5"/>
      <c r="U1117" s="5"/>
      <c r="V1117" s="5"/>
    </row>
    <row r="1118" spans="14:22" x14ac:dyDescent="0.2">
      <c r="N1118" s="5"/>
      <c r="O1118" s="5"/>
      <c r="P1118" s="5"/>
      <c r="Q1118" s="5"/>
      <c r="R1118" s="5"/>
      <c r="S1118" s="5"/>
      <c r="T1118" s="302"/>
      <c r="U1118" s="5"/>
      <c r="V1118" s="5"/>
    </row>
    <row r="1119" spans="14:22" x14ac:dyDescent="0.2">
      <c r="N1119" s="5"/>
      <c r="O1119" s="5"/>
      <c r="P1119" s="5"/>
      <c r="Q1119" s="5"/>
      <c r="R1119" s="5"/>
      <c r="S1119" s="5"/>
      <c r="T1119" s="302"/>
      <c r="U1119" s="5"/>
      <c r="V1119" s="5"/>
    </row>
    <row r="1120" spans="14:22" x14ac:dyDescent="0.2">
      <c r="N1120" s="5"/>
      <c r="O1120" s="5"/>
      <c r="P1120" s="5"/>
      <c r="Q1120" s="5"/>
      <c r="R1120" s="5"/>
      <c r="S1120" s="5"/>
      <c r="T1120" s="302"/>
      <c r="U1120" s="5"/>
      <c r="V1120" s="5"/>
    </row>
    <row r="1121" spans="14:22" x14ac:dyDescent="0.2">
      <c r="N1121" s="5"/>
      <c r="O1121" s="5"/>
      <c r="P1121" s="5"/>
      <c r="Q1121" s="5"/>
      <c r="R1121" s="5"/>
      <c r="S1121" s="5"/>
      <c r="T1121" s="302"/>
      <c r="U1121" s="5"/>
      <c r="V1121" s="5"/>
    </row>
    <row r="1122" spans="14:22" x14ac:dyDescent="0.2">
      <c r="N1122" s="5"/>
      <c r="O1122" s="5"/>
      <c r="P1122" s="5"/>
      <c r="Q1122" s="5"/>
      <c r="R1122" s="5"/>
      <c r="S1122" s="5"/>
      <c r="T1122" s="302"/>
      <c r="U1122" s="5"/>
      <c r="V1122" s="5"/>
    </row>
    <row r="1123" spans="14:22" x14ac:dyDescent="0.2">
      <c r="N1123" s="5"/>
      <c r="O1123" s="5"/>
      <c r="P1123" s="5"/>
      <c r="Q1123" s="5"/>
      <c r="R1123" s="5"/>
      <c r="S1123" s="5"/>
      <c r="T1123" s="302"/>
      <c r="U1123" s="5"/>
      <c r="V1123" s="5"/>
    </row>
    <row r="1124" spans="14:22" x14ac:dyDescent="0.2">
      <c r="N1124" s="5"/>
      <c r="O1124" s="5"/>
      <c r="P1124" s="5"/>
      <c r="Q1124" s="5"/>
      <c r="R1124" s="5"/>
      <c r="S1124" s="5"/>
      <c r="T1124" s="302"/>
      <c r="U1124" s="5"/>
      <c r="V1124" s="5"/>
    </row>
    <row r="1125" spans="14:22" x14ac:dyDescent="0.2">
      <c r="N1125" s="5"/>
      <c r="O1125" s="5"/>
      <c r="P1125" s="5"/>
      <c r="Q1125" s="5"/>
      <c r="R1125" s="5"/>
      <c r="S1125" s="5"/>
      <c r="T1125" s="302"/>
      <c r="U1125" s="5"/>
      <c r="V1125" s="5"/>
    </row>
    <row r="1126" spans="14:22" x14ac:dyDescent="0.2">
      <c r="N1126" s="5"/>
      <c r="O1126" s="5"/>
      <c r="P1126" s="5"/>
      <c r="Q1126" s="5"/>
      <c r="R1126" s="5"/>
      <c r="S1126" s="5"/>
      <c r="T1126" s="302"/>
      <c r="U1126" s="5"/>
      <c r="V1126" s="5"/>
    </row>
    <row r="1127" spans="14:22" x14ac:dyDescent="0.2">
      <c r="N1127" s="5"/>
      <c r="O1127" s="5"/>
      <c r="P1127" s="5"/>
      <c r="Q1127" s="5"/>
      <c r="R1127" s="5"/>
      <c r="S1127" s="5"/>
      <c r="T1127" s="302"/>
      <c r="U1127" s="5"/>
      <c r="V1127" s="5"/>
    </row>
    <row r="1128" spans="14:22" x14ac:dyDescent="0.2">
      <c r="N1128" s="5"/>
      <c r="O1128" s="5"/>
      <c r="P1128" s="5"/>
      <c r="Q1128" s="5"/>
      <c r="R1128" s="5"/>
      <c r="S1128" s="5"/>
      <c r="T1128" s="302"/>
      <c r="U1128" s="5"/>
      <c r="V1128" s="5"/>
    </row>
    <row r="1129" spans="14:22" x14ac:dyDescent="0.2">
      <c r="N1129" s="5"/>
      <c r="O1129" s="5"/>
      <c r="P1129" s="5"/>
      <c r="Q1129" s="5"/>
      <c r="R1129" s="5"/>
      <c r="S1129" s="5"/>
      <c r="T1129" s="302"/>
      <c r="U1129" s="5"/>
      <c r="V1129" s="5"/>
    </row>
    <row r="1130" spans="14:22" x14ac:dyDescent="0.2">
      <c r="N1130" s="5"/>
      <c r="O1130" s="5"/>
      <c r="P1130" s="5"/>
      <c r="Q1130" s="5"/>
      <c r="R1130" s="5"/>
      <c r="S1130" s="5"/>
      <c r="T1130" s="302"/>
      <c r="U1130" s="5"/>
      <c r="V1130" s="5"/>
    </row>
    <row r="1131" spans="14:22" x14ac:dyDescent="0.2">
      <c r="N1131" s="5"/>
      <c r="O1131" s="5"/>
      <c r="P1131" s="5"/>
      <c r="Q1131" s="5"/>
      <c r="R1131" s="5"/>
      <c r="S1131" s="5"/>
      <c r="T1131" s="302"/>
      <c r="U1131" s="5"/>
      <c r="V1131" s="5"/>
    </row>
    <row r="1132" spans="14:22" x14ac:dyDescent="0.2">
      <c r="N1132" s="5"/>
      <c r="O1132" s="5"/>
      <c r="P1132" s="5"/>
      <c r="Q1132" s="5"/>
      <c r="R1132" s="5"/>
      <c r="S1132" s="5"/>
      <c r="T1132" s="302"/>
      <c r="U1132" s="5"/>
      <c r="V1132" s="5"/>
    </row>
    <row r="1133" spans="14:22" x14ac:dyDescent="0.2">
      <c r="N1133" s="5"/>
      <c r="O1133" s="5"/>
      <c r="P1133" s="5"/>
      <c r="Q1133" s="5"/>
      <c r="R1133" s="5"/>
      <c r="S1133" s="5"/>
      <c r="T1133" s="302"/>
      <c r="U1133" s="5"/>
      <c r="V1133" s="5"/>
    </row>
    <row r="1134" spans="14:22" x14ac:dyDescent="0.2">
      <c r="N1134" s="5"/>
      <c r="O1134" s="5"/>
      <c r="P1134" s="5"/>
      <c r="Q1134" s="5"/>
      <c r="R1134" s="5"/>
      <c r="S1134" s="5"/>
      <c r="T1134" s="302"/>
      <c r="U1134" s="5"/>
      <c r="V1134" s="5"/>
    </row>
    <row r="1135" spans="14:22" x14ac:dyDescent="0.2">
      <c r="N1135" s="5"/>
      <c r="O1135" s="5"/>
      <c r="P1135" s="5"/>
      <c r="Q1135" s="5"/>
      <c r="R1135" s="5"/>
      <c r="S1135" s="5"/>
      <c r="T1135" s="302"/>
      <c r="U1135" s="5"/>
      <c r="V1135" s="5"/>
    </row>
    <row r="1136" spans="14:22" x14ac:dyDescent="0.2">
      <c r="N1136" s="5"/>
      <c r="O1136" s="5"/>
      <c r="P1136" s="5"/>
      <c r="Q1136" s="5"/>
      <c r="R1136" s="5"/>
      <c r="S1136" s="5"/>
      <c r="T1136" s="302"/>
      <c r="U1136" s="5"/>
      <c r="V1136" s="5"/>
    </row>
    <row r="1137" spans="14:22" x14ac:dyDescent="0.2">
      <c r="N1137" s="5"/>
      <c r="O1137" s="5"/>
      <c r="P1137" s="5"/>
      <c r="Q1137" s="5"/>
      <c r="R1137" s="5"/>
      <c r="S1137" s="5"/>
      <c r="T1137" s="302"/>
      <c r="U1137" s="5"/>
      <c r="V1137" s="5"/>
    </row>
    <row r="1138" spans="14:22" x14ac:dyDescent="0.2">
      <c r="N1138" s="5"/>
      <c r="O1138" s="5"/>
      <c r="P1138" s="5"/>
      <c r="Q1138" s="5"/>
      <c r="R1138" s="5"/>
      <c r="S1138" s="5"/>
      <c r="T1138" s="302"/>
      <c r="U1138" s="5"/>
      <c r="V1138" s="5"/>
    </row>
    <row r="1139" spans="14:22" x14ac:dyDescent="0.2">
      <c r="T1139" s="302"/>
      <c r="U1139" s="5"/>
      <c r="V1139" s="5"/>
    </row>
    <row r="1140" spans="14:22" x14ac:dyDescent="0.2">
      <c r="T1140" s="302"/>
      <c r="U1140" s="5"/>
      <c r="V1140" s="5"/>
    </row>
    <row r="1141" spans="14:22" x14ac:dyDescent="0.2">
      <c r="T1141" s="302"/>
    </row>
    <row r="1142" spans="14:22" x14ac:dyDescent="0.2">
      <c r="T1142" s="302"/>
    </row>
    <row r="1143" spans="14:22" x14ac:dyDescent="0.2">
      <c r="T1143" s="302"/>
    </row>
    <row r="1144" spans="14:22" x14ac:dyDescent="0.2">
      <c r="T1144" s="302"/>
    </row>
    <row r="1145" spans="14:22" x14ac:dyDescent="0.2">
      <c r="T1145" s="302"/>
    </row>
    <row r="1146" spans="14:22" x14ac:dyDescent="0.2">
      <c r="T1146" s="302"/>
    </row>
    <row r="1147" spans="14:22" x14ac:dyDescent="0.2">
      <c r="T1147" s="302"/>
    </row>
    <row r="1148" spans="14:22" x14ac:dyDescent="0.2">
      <c r="T1148" s="302"/>
    </row>
    <row r="1149" spans="14:22" x14ac:dyDescent="0.2">
      <c r="T1149" s="302"/>
    </row>
    <row r="1150" spans="14:22" x14ac:dyDescent="0.2">
      <c r="T1150" s="302"/>
    </row>
    <row r="1151" spans="14:22" x14ac:dyDescent="0.2">
      <c r="T1151" s="302"/>
    </row>
    <row r="1152" spans="14:22" x14ac:dyDescent="0.2">
      <c r="T1152" s="302"/>
    </row>
    <row r="1153" spans="20:20" x14ac:dyDescent="0.2">
      <c r="T1153" s="302"/>
    </row>
    <row r="1154" spans="20:20" x14ac:dyDescent="0.2">
      <c r="T1154" s="302"/>
    </row>
    <row r="1155" spans="20:20" x14ac:dyDescent="0.2">
      <c r="T1155" s="302"/>
    </row>
    <row r="1156" spans="20:20" x14ac:dyDescent="0.2">
      <c r="T1156" s="302"/>
    </row>
    <row r="1157" spans="20:20" x14ac:dyDescent="0.2">
      <c r="T1157" s="302"/>
    </row>
    <row r="1158" spans="20:20" x14ac:dyDescent="0.2">
      <c r="T1158" s="302"/>
    </row>
    <row r="1159" spans="20:20" x14ac:dyDescent="0.2">
      <c r="T1159" s="302"/>
    </row>
    <row r="1160" spans="20:20" x14ac:dyDescent="0.2">
      <c r="T1160" s="302"/>
    </row>
    <row r="1161" spans="20:20" x14ac:dyDescent="0.2">
      <c r="T1161" s="302"/>
    </row>
    <row r="1162" spans="20:20" x14ac:dyDescent="0.2">
      <c r="T1162" s="302"/>
    </row>
    <row r="1163" spans="20:20" x14ac:dyDescent="0.2">
      <c r="T1163" s="302"/>
    </row>
    <row r="1164" spans="20:20" x14ac:dyDescent="0.2">
      <c r="T1164" s="302"/>
    </row>
    <row r="1165" spans="20:20" x14ac:dyDescent="0.2">
      <c r="T1165" s="302"/>
    </row>
    <row r="1166" spans="20:20" x14ac:dyDescent="0.2">
      <c r="T1166" s="302"/>
    </row>
    <row r="1167" spans="20:20" x14ac:dyDescent="0.2">
      <c r="T1167" s="302"/>
    </row>
    <row r="1168" spans="20:20" x14ac:dyDescent="0.2">
      <c r="T1168" s="302"/>
    </row>
    <row r="1169" spans="20:20" x14ac:dyDescent="0.2">
      <c r="T1169" s="302"/>
    </row>
    <row r="1170" spans="20:20" x14ac:dyDescent="0.2">
      <c r="T1170" s="302"/>
    </row>
    <row r="1171" spans="20:20" x14ac:dyDescent="0.2">
      <c r="T1171" s="302"/>
    </row>
    <row r="1172" spans="20:20" x14ac:dyDescent="0.2">
      <c r="T1172" s="302"/>
    </row>
    <row r="1173" spans="20:20" x14ac:dyDescent="0.2">
      <c r="T1173" s="302"/>
    </row>
    <row r="1174" spans="20:20" x14ac:dyDescent="0.2">
      <c r="T1174" s="302"/>
    </row>
  </sheetData>
  <sheetProtection password="CABA" sheet="1" objects="1" scenarios="1"/>
  <mergeCells count="28">
    <mergeCell ref="W2:X2"/>
    <mergeCell ref="H8:I8"/>
    <mergeCell ref="G7:I7"/>
    <mergeCell ref="C6:E6"/>
    <mergeCell ref="C7:E7"/>
    <mergeCell ref="G6:I6"/>
    <mergeCell ref="B1:E1"/>
    <mergeCell ref="C4:E4"/>
    <mergeCell ref="G4:I4"/>
    <mergeCell ref="C5:E5"/>
    <mergeCell ref="G5:I5"/>
    <mergeCell ref="D2:E2"/>
    <mergeCell ref="H3:I3"/>
    <mergeCell ref="B65:I65"/>
    <mergeCell ref="G43:I43"/>
    <mergeCell ref="G47:I47"/>
    <mergeCell ref="H9:I9"/>
    <mergeCell ref="G26:I26"/>
    <mergeCell ref="G27:I27"/>
    <mergeCell ref="P20:Q20"/>
    <mergeCell ref="D8:E8"/>
    <mergeCell ref="G24:I24"/>
    <mergeCell ref="G25:I25"/>
    <mergeCell ref="D21:E21"/>
    <mergeCell ref="H21:I21"/>
    <mergeCell ref="H22:I22"/>
    <mergeCell ref="G23:I23"/>
    <mergeCell ref="H10:I10"/>
  </mergeCells>
  <phoneticPr fontId="0" type="noConversion"/>
  <conditionalFormatting sqref="B30:B31">
    <cfRule type="expression" dxfId="113" priority="293" stopIfTrue="1">
      <formula>OR( WPDatenbank,SpezWP)</formula>
    </cfRule>
  </conditionalFormatting>
  <conditionalFormatting sqref="B45 F45:G45">
    <cfRule type="expression" dxfId="112" priority="167" stopIfTrue="1">
      <formula>$L$44</formula>
    </cfRule>
  </conditionalFormatting>
  <conditionalFormatting sqref="B25:C25">
    <cfRule type="expression" dxfId="111" priority="37" stopIfTrue="1">
      <formula>$L$21=18</formula>
    </cfRule>
  </conditionalFormatting>
  <conditionalFormatting sqref="B32:C33">
    <cfRule type="expression" dxfId="110" priority="83" stopIfTrue="1">
      <formula>OR($BK$57=2,WPDatenbank,SpezWP)</formula>
    </cfRule>
  </conditionalFormatting>
  <conditionalFormatting sqref="B35:C35">
    <cfRule type="expression" dxfId="109" priority="7" stopIfTrue="1">
      <formula>OR(WPArt=2,WPArt=6,WPArt=4)</formula>
    </cfRule>
  </conditionalFormatting>
  <conditionalFormatting sqref="B36:C36">
    <cfRule type="expression" dxfId="108" priority="6" stopIfTrue="1">
      <formula>OR(WPArt=2,WPArt=6)</formula>
    </cfRule>
  </conditionalFormatting>
  <conditionalFormatting sqref="B34:F34 H34:I34">
    <cfRule type="expression" dxfId="107" priority="42" stopIfTrue="1">
      <formula>OR(WPArt=2,WPArt=6,$L$34)</formula>
    </cfRule>
  </conditionalFormatting>
  <conditionalFormatting sqref="B53:H53">
    <cfRule type="expression" dxfId="106" priority="58" stopIfTrue="1">
      <formula>$L$47&lt;3</formula>
    </cfRule>
  </conditionalFormatting>
  <conditionalFormatting sqref="C30">
    <cfRule type="expression" dxfId="105" priority="14" stopIfTrue="1">
      <formula>OR($BK$57=3,WPDatenbank,SpezWP)</formula>
    </cfRule>
  </conditionalFormatting>
  <conditionalFormatting sqref="C31">
    <cfRule type="expression" dxfId="104" priority="11" stopIfTrue="1">
      <formula>OR($BK$57=3,WPDatenbank,SpezWP)</formula>
    </cfRule>
  </conditionalFormatting>
  <conditionalFormatting sqref="C45 H45">
    <cfRule type="expression" dxfId="103" priority="19" stopIfTrue="1">
      <formula>OR($BJ$83=2,$BJ$83&gt;4)</formula>
    </cfRule>
  </conditionalFormatting>
  <conditionalFormatting sqref="C48">
    <cfRule type="expression" dxfId="102" priority="64" stopIfTrue="1">
      <formula>$L$47:$L$48&lt;2</formula>
    </cfRule>
  </conditionalFormatting>
  <conditionalFormatting sqref="C55">
    <cfRule type="expression" dxfId="101" priority="73" stopIfTrue="1">
      <formula>NOT(ISERROR(SEARCH("Achtung",C55)))</formula>
    </cfRule>
  </conditionalFormatting>
  <conditionalFormatting sqref="D21">
    <cfRule type="expression" dxfId="100" priority="32" stopIfTrue="1">
      <formula>OR($H$21&lt;&gt;"",SpezWP)</formula>
    </cfRule>
  </conditionalFormatting>
  <conditionalFormatting sqref="D30">
    <cfRule type="expression" dxfId="99" priority="294" stopIfTrue="1">
      <formula>OR( WPDatenbank,SpezWP)</formula>
    </cfRule>
  </conditionalFormatting>
  <conditionalFormatting sqref="D31">
    <cfRule type="expression" dxfId="98" priority="295" stopIfTrue="1">
      <formula>OR( WPDatenbank,SpezWP)</formula>
    </cfRule>
  </conditionalFormatting>
  <conditionalFormatting sqref="D32:D33">
    <cfRule type="expression" dxfId="97" priority="292" stopIfTrue="1">
      <formula>OR($BK$57=2,WPDatenbank,SpezWP)</formula>
    </cfRule>
  </conditionalFormatting>
  <conditionalFormatting sqref="D51">
    <cfRule type="expression" dxfId="96" priority="279" stopIfTrue="1">
      <formula>$L$47&lt;2</formula>
    </cfRule>
  </conditionalFormatting>
  <conditionalFormatting sqref="D45:E45">
    <cfRule type="expression" dxfId="95" priority="2" stopIfTrue="1">
      <formula>$BJ$83=2</formula>
    </cfRule>
  </conditionalFormatting>
  <conditionalFormatting sqref="D48:G48 H48:H51 B48:B52 C49:F50 F51 C51:C52">
    <cfRule type="expression" dxfId="94" priority="57" stopIfTrue="1">
      <formula>$L$47&lt;2</formula>
    </cfRule>
  </conditionalFormatting>
  <conditionalFormatting sqref="D52:I52">
    <cfRule type="expression" dxfId="93" priority="55" stopIfTrue="1">
      <formula>$L$47&lt;2</formula>
    </cfRule>
  </conditionalFormatting>
  <conditionalFormatting sqref="E30:E31">
    <cfRule type="expression" dxfId="92" priority="77" stopIfTrue="1">
      <formula>OR(WPArt=3,WPArt=4,WPArt=5,WPArt=6,WPDatenbank,SpezWP)</formula>
    </cfRule>
    <cfRule type="expression" dxfId="91" priority="78" stopIfTrue="1">
      <formula>$BK$57=3</formula>
    </cfRule>
  </conditionalFormatting>
  <conditionalFormatting sqref="E32:E33">
    <cfRule type="expression" dxfId="90" priority="79" stopIfTrue="1">
      <formula>OR(WPArt=3,WPArt=4,WPArt=5,WPArt=6)</formula>
    </cfRule>
    <cfRule type="expression" dxfId="89" priority="80" stopIfTrue="1">
      <formula>$BK$57=2</formula>
    </cfRule>
  </conditionalFormatting>
  <conditionalFormatting sqref="E35">
    <cfRule type="expression" dxfId="88" priority="10" stopIfTrue="1">
      <formula>OR(WPArt=2,WPArt=6,WPArt=4)</formula>
    </cfRule>
  </conditionalFormatting>
  <conditionalFormatting sqref="E51">
    <cfRule type="expression" dxfId="87" priority="278" stopIfTrue="1">
      <formula xml:space="preserve"> AND($L$47&gt;1,$L$47&lt;4)</formula>
    </cfRule>
    <cfRule type="expression" dxfId="86" priority="277" stopIfTrue="1">
      <formula>OR($L$47&lt;2,$AV$12)</formula>
    </cfRule>
  </conditionalFormatting>
  <conditionalFormatting sqref="E28:H28">
    <cfRule type="expression" dxfId="85" priority="23" stopIfTrue="1">
      <formula>WPArt&lt;&gt;2</formula>
    </cfRule>
  </conditionalFormatting>
  <conditionalFormatting sqref="F30 F31:G31 F32:F33">
    <cfRule type="expression" dxfId="84" priority="13" stopIfTrue="1">
      <formula>$BK$57=3</formula>
    </cfRule>
  </conditionalFormatting>
  <conditionalFormatting sqref="F35">
    <cfRule type="expression" dxfId="83" priority="9" stopIfTrue="1">
      <formula>OR(WPArt=2,WPArt=6,WPArt=4)</formula>
    </cfRule>
  </conditionalFormatting>
  <conditionalFormatting sqref="F36">
    <cfRule type="expression" dxfId="82" priority="267" stopIfTrue="1">
      <formula>WPArt&lt;&gt;3</formula>
    </cfRule>
  </conditionalFormatting>
  <conditionalFormatting sqref="F46">
    <cfRule type="expression" dxfId="81" priority="20" stopIfTrue="1">
      <formula>WW=FALSE</formula>
    </cfRule>
  </conditionalFormatting>
  <conditionalFormatting sqref="F61">
    <cfRule type="expression" dxfId="80" priority="169" stopIfTrue="1">
      <formula>$I$59=0</formula>
    </cfRule>
  </conditionalFormatting>
  <conditionalFormatting sqref="F30:G31 F32:F33">
    <cfRule type="expression" dxfId="79" priority="12" stopIfTrue="1">
      <formula>OR(WPArt=3,WPArt=4,WPArt=5,WPArt=6,WPDatenbank,SpezWP)</formula>
    </cfRule>
  </conditionalFormatting>
  <conditionalFormatting sqref="F39:G40">
    <cfRule type="expression" dxfId="78" priority="186" stopIfTrue="1">
      <formula>Heizung=FALSE</formula>
    </cfRule>
  </conditionalFormatting>
  <conditionalFormatting sqref="G21:G22">
    <cfRule type="expression" dxfId="77" priority="34" stopIfTrue="1">
      <formula>$M$18=TRUE</formula>
    </cfRule>
  </conditionalFormatting>
  <conditionalFormatting sqref="G30">
    <cfRule type="expression" dxfId="76" priority="16" stopIfTrue="1">
      <formula>$BK$57=3</formula>
    </cfRule>
  </conditionalFormatting>
  <conditionalFormatting sqref="G32:G33">
    <cfRule type="expression" dxfId="75" priority="82" stopIfTrue="1">
      <formula>$BK$57=2</formula>
    </cfRule>
    <cfRule type="expression" dxfId="74" priority="81" stopIfTrue="1">
      <formula>OR(WPArt=3,WPArt=4,WPArt=5,WPArt=6)</formula>
    </cfRule>
  </conditionalFormatting>
  <conditionalFormatting sqref="G34">
    <cfRule type="expression" dxfId="73" priority="270" stopIfTrue="1">
      <formula>$U$2</formula>
    </cfRule>
  </conditionalFormatting>
  <conditionalFormatting sqref="G49">
    <cfRule type="expression" dxfId="72" priority="59" stopIfTrue="1">
      <formula>$L$47&gt;1</formula>
    </cfRule>
  </conditionalFormatting>
  <conditionalFormatting sqref="G49:G50">
    <cfRule type="expression" dxfId="71" priority="60" stopIfTrue="1">
      <formula>$L$47=1</formula>
    </cfRule>
  </conditionalFormatting>
  <conditionalFormatting sqref="G51">
    <cfRule type="expression" dxfId="70" priority="282" stopIfTrue="1">
      <formula>OR($AV$12,$L$47&lt;2)</formula>
    </cfRule>
    <cfRule type="expression" dxfId="69" priority="283" stopIfTrue="1">
      <formula>AND($L$47&gt;1,$L$47&lt;4)</formula>
    </cfRule>
  </conditionalFormatting>
  <conditionalFormatting sqref="G56">
    <cfRule type="cellIs" dxfId="68" priority="266" stopIfTrue="1" operator="lessThan">
      <formula>0</formula>
    </cfRule>
  </conditionalFormatting>
  <conditionalFormatting sqref="G61">
    <cfRule type="expression" dxfId="67" priority="168" stopIfTrue="1">
      <formula>$I$59=0</formula>
    </cfRule>
  </conditionalFormatting>
  <conditionalFormatting sqref="G21:I22">
    <cfRule type="expression" dxfId="66" priority="33" stopIfTrue="1">
      <formula>SpezWP</formula>
    </cfRule>
  </conditionalFormatting>
  <conditionalFormatting sqref="G23:I23">
    <cfRule type="expression" dxfId="65" priority="31" stopIfTrue="1">
      <formula>AND($I$11&gt;0,OR($G$23="",$G$23=" "))</formula>
    </cfRule>
  </conditionalFormatting>
  <conditionalFormatting sqref="G24:I24">
    <cfRule type="expression" dxfId="64" priority="26" stopIfTrue="1">
      <formula>AND($G$23&lt;&gt;"",$G$24="")</formula>
    </cfRule>
  </conditionalFormatting>
  <conditionalFormatting sqref="G25:I25">
    <cfRule type="expression" dxfId="63" priority="271" stopIfTrue="1">
      <formula>OR($K$24=3,$K$24=1,$K$21=20,$L$23=18)</formula>
    </cfRule>
    <cfRule type="expression" dxfId="62" priority="272" stopIfTrue="1">
      <formula>$G$25=""</formula>
    </cfRule>
  </conditionalFormatting>
  <conditionalFormatting sqref="G26:I26">
    <cfRule type="expression" dxfId="61" priority="273" stopIfTrue="1">
      <formula>AND($G$24&lt;&gt;"",OR($G$26="",$G$26=" "))</formula>
    </cfRule>
  </conditionalFormatting>
  <conditionalFormatting sqref="G27:I27">
    <cfRule type="expression" dxfId="60" priority="72" stopIfTrue="1">
      <formula>AND($B$27&lt;&gt;"",$G$27="")</formula>
    </cfRule>
    <cfRule type="expression" dxfId="59" priority="71" stopIfTrue="1">
      <formula>$B$27=""</formula>
    </cfRule>
  </conditionalFormatting>
  <conditionalFormatting sqref="G35:I35">
    <cfRule type="expression" dxfId="58" priority="8" stopIfTrue="1">
      <formula>OR(WPArt=2,WPArt=6,WPArt=4)</formula>
    </cfRule>
  </conditionalFormatting>
  <conditionalFormatting sqref="G43:I43">
    <cfRule type="expression" dxfId="57" priority="67" stopIfTrue="1">
      <formula>$L$24&lt;3</formula>
    </cfRule>
  </conditionalFormatting>
  <conditionalFormatting sqref="G46:I46">
    <cfRule type="expression" dxfId="56" priority="69" stopIfTrue="1">
      <formula>OR(WW=FALSE,$L$46&lt;4)</formula>
    </cfRule>
  </conditionalFormatting>
  <conditionalFormatting sqref="H30:H33">
    <cfRule type="expression" dxfId="55" priority="86" stopIfTrue="1">
      <formula>$BK$57=3</formula>
    </cfRule>
    <cfRule type="expression" dxfId="54" priority="85" stopIfTrue="1">
      <formula>OR(WPArt=3,WPArt=4,WPArt=5,WPArt=6,WPDatenbank,SpezWP)</formula>
    </cfRule>
  </conditionalFormatting>
  <conditionalFormatting sqref="H64">
    <cfRule type="expression" dxfId="53" priority="290" stopIfTrue="1">
      <formula>L28=5</formula>
    </cfRule>
  </conditionalFormatting>
  <conditionalFormatting sqref="H8:I10">
    <cfRule type="cellIs" dxfId="52" priority="170" stopIfTrue="1" operator="equal">
      <formula>""</formula>
    </cfRule>
  </conditionalFormatting>
  <conditionalFormatting sqref="H21:I21">
    <cfRule type="expression" dxfId="51" priority="39" stopIfTrue="1">
      <formula>$L$21=TRUE</formula>
    </cfRule>
  </conditionalFormatting>
  <conditionalFormatting sqref="H22:I22">
    <cfRule type="expression" dxfId="50" priority="41" stopIfTrue="1">
      <formula>$L$22=TRUE</formula>
    </cfRule>
  </conditionalFormatting>
  <conditionalFormatting sqref="H36:I36">
    <cfRule type="expression" dxfId="49" priority="5" stopIfTrue="1">
      <formula>OR(WPArt=2,WPArt=6)</formula>
    </cfRule>
  </conditionalFormatting>
  <conditionalFormatting sqref="I28">
    <cfRule type="expression" dxfId="48" priority="35" stopIfTrue="1">
      <formula>$H$9=""</formula>
    </cfRule>
  </conditionalFormatting>
  <conditionalFormatting sqref="I29">
    <cfRule type="expression" dxfId="47" priority="36" stopIfTrue="1">
      <formula>$H$9=""</formula>
    </cfRule>
  </conditionalFormatting>
  <conditionalFormatting sqref="I30">
    <cfRule type="expression" dxfId="46" priority="296" stopIfTrue="1">
      <formula>OR( WPDatenbank,SpezWP)</formula>
    </cfRule>
  </conditionalFormatting>
  <conditionalFormatting sqref="I31">
    <cfRule type="expression" dxfId="45" priority="297" stopIfTrue="1">
      <formula>OR(WPDatenbank,SpezWP)</formula>
    </cfRule>
  </conditionalFormatting>
  <conditionalFormatting sqref="I32:I33">
    <cfRule type="expression" dxfId="44" priority="298" stopIfTrue="1">
      <formula>OR($BK$57=3,WPDatenbank,SpezWP)</formula>
    </cfRule>
  </conditionalFormatting>
  <conditionalFormatting sqref="I35">
    <cfRule type="expression" dxfId="43" priority="285" stopIfTrue="1">
      <formula>AND($U$2,$I$35&lt;&gt;"")</formula>
    </cfRule>
  </conditionalFormatting>
  <conditionalFormatting sqref="I37">
    <cfRule type="expression" dxfId="42" priority="1" stopIfTrue="1">
      <formula>Eingabe1&gt;7</formula>
    </cfRule>
  </conditionalFormatting>
  <conditionalFormatting sqref="I38">
    <cfRule type="expression" dxfId="41" priority="3" stopIfTrue="1">
      <formula>Heizung</formula>
    </cfRule>
  </conditionalFormatting>
  <conditionalFormatting sqref="I39">
    <cfRule type="expression" dxfId="40" priority="187" stopIfTrue="1">
      <formula>$L$39=1</formula>
    </cfRule>
  </conditionalFormatting>
  <conditionalFormatting sqref="I40">
    <cfRule type="expression" dxfId="39" priority="188" stopIfTrue="1">
      <formula>$L$40=1</formula>
    </cfRule>
  </conditionalFormatting>
  <conditionalFormatting sqref="I41">
    <cfRule type="expression" dxfId="38" priority="4" stopIfTrue="1">
      <formula>AND(Heizspeicher,Heizung)</formula>
    </cfRule>
  </conditionalFormatting>
  <conditionalFormatting sqref="I42">
    <cfRule type="expression" dxfId="37" priority="286" stopIfTrue="1">
      <formula>$L$28=5</formula>
    </cfRule>
  </conditionalFormatting>
  <conditionalFormatting sqref="I44">
    <cfRule type="expression" dxfId="36" priority="22" stopIfTrue="1">
      <formula>WW=FALSE</formula>
    </cfRule>
    <cfRule type="expression" dxfId="35" priority="21" stopIfTrue="1">
      <formula>WW</formula>
    </cfRule>
  </conditionalFormatting>
  <conditionalFormatting sqref="I45">
    <cfRule type="expression" dxfId="34" priority="274" stopIfTrue="1">
      <formula>$L$45</formula>
    </cfRule>
    <cfRule type="expression" dxfId="33" priority="275" stopIfTrue="1">
      <formula>AND(WW,OR($I$42&lt;=$I$43,$I$43=""))</formula>
    </cfRule>
    <cfRule type="expression" dxfId="32" priority="276" stopIfTrue="1">
      <formula>$I$42&gt;$I$43</formula>
    </cfRule>
  </conditionalFormatting>
  <conditionalFormatting sqref="I46">
    <cfRule type="expression" dxfId="31" priority="68" stopIfTrue="1">
      <formula>AND(WW,$L$46&gt;3)</formula>
    </cfRule>
  </conditionalFormatting>
  <conditionalFormatting sqref="I48">
    <cfRule type="expression" dxfId="30" priority="46" stopIfTrue="1">
      <formula>$L$47=1</formula>
    </cfRule>
    <cfRule type="expression" dxfId="29" priority="45" stopIfTrue="1">
      <formula>$L$47&gt;1</formula>
    </cfRule>
  </conditionalFormatting>
  <conditionalFormatting sqref="I49">
    <cfRule type="expression" dxfId="28" priority="48" stopIfTrue="1">
      <formula>$L$47=1</formula>
    </cfRule>
    <cfRule type="expression" dxfId="27" priority="47" stopIfTrue="1">
      <formula>$L$47&gt;1</formula>
    </cfRule>
  </conditionalFormatting>
  <conditionalFormatting sqref="I50">
    <cfRule type="expression" dxfId="26" priority="51" stopIfTrue="1">
      <formula>$L$47=1</formula>
    </cfRule>
    <cfRule type="expression" dxfId="25" priority="50" stopIfTrue="1">
      <formula>$L$47&gt;1</formula>
    </cfRule>
    <cfRule type="expression" dxfId="24" priority="49" stopIfTrue="1">
      <formula>solarExtern=TRUE</formula>
    </cfRule>
  </conditionalFormatting>
  <conditionalFormatting sqref="I51">
    <cfRule type="expression" dxfId="23" priority="280" stopIfTrue="1">
      <formula>$L$47&gt;1</formula>
    </cfRule>
    <cfRule type="expression" dxfId="22" priority="281" stopIfTrue="1">
      <formula>$L$47=1</formula>
    </cfRule>
  </conditionalFormatting>
  <conditionalFormatting sqref="I52">
    <cfRule type="expression" dxfId="21" priority="54" stopIfTrue="1">
      <formula>$L$47=1</formula>
    </cfRule>
  </conditionalFormatting>
  <conditionalFormatting sqref="I53">
    <cfRule type="expression" dxfId="20" priority="56" stopIfTrue="1">
      <formula>$L$47&lt;3</formula>
    </cfRule>
  </conditionalFormatting>
  <conditionalFormatting sqref="I61">
    <cfRule type="expression" dxfId="19" priority="269" stopIfTrue="1">
      <formula>AND($I$61&lt;4,$I$11&gt;0)</formula>
    </cfRule>
    <cfRule type="expression" dxfId="18" priority="268" stopIfTrue="1">
      <formula>AND($I$11&gt;0,$I$61&gt;=4,$L$9&gt;1)</formula>
    </cfRule>
  </conditionalFormatting>
  <conditionalFormatting sqref="I64">
    <cfRule type="expression" dxfId="17" priority="287" stopIfTrue="1">
      <formula>AND($I$11&gt;0,$I$64&gt;=3.5,$L$9&gt;1,L28&lt;5)</formula>
    </cfRule>
    <cfRule type="expression" dxfId="16" priority="288" stopIfTrue="1">
      <formula>AND($I$64&lt;3.5,$I$11&gt;0,L28&lt;5)</formula>
    </cfRule>
    <cfRule type="expression" dxfId="15" priority="289" stopIfTrue="1">
      <formula>L28=5</formula>
    </cfRule>
  </conditionalFormatting>
  <conditionalFormatting sqref="L35 I36">
    <cfRule type="expression" dxfId="14" priority="177" stopIfTrue="1">
      <formula>OR(WPArt=3,WPArt=4)</formula>
    </cfRule>
  </conditionalFormatting>
  <conditionalFormatting sqref="L35">
    <cfRule type="expression" dxfId="13" priority="176" stopIfTrue="1">
      <formula>OR(WPArt=2,WPArt=6)</formula>
    </cfRule>
  </conditionalFormatting>
  <conditionalFormatting sqref="AU4">
    <cfRule type="expression" dxfId="12" priority="44" stopIfTrue="1">
      <formula>BU38=4</formula>
    </cfRule>
  </conditionalFormatting>
  <conditionalFormatting sqref="AY2">
    <cfRule type="expression" dxfId="11" priority="178" stopIfTrue="1">
      <formula>BY38=4</formula>
    </cfRule>
  </conditionalFormatting>
  <dataValidations count="18">
    <dataValidation type="list" allowBlank="1" showInputMessage="1" showErrorMessage="1" sqref="H21" xr:uid="{00000000-0002-0000-0300-000000000000}">
      <formula1>L_Hersteller</formula1>
    </dataValidation>
    <dataValidation type="list" allowBlank="1" showInputMessage="1" showErrorMessage="1" sqref="H22" xr:uid="{00000000-0002-0000-0300-000001000000}">
      <formula1>L_Typ</formula1>
    </dataValidation>
    <dataValidation type="list" allowBlank="1" showInputMessage="1" showErrorMessage="1" sqref="H10" xr:uid="{00000000-0002-0000-0300-000002000000}">
      <formula1>$N$5:$N$17</formula1>
    </dataValidation>
    <dataValidation type="list" allowBlank="1" showInputMessage="1" showErrorMessage="1" sqref="F21" xr:uid="{00000000-0002-0000-0300-000003000000}">
      <formula1>$Z$3:$Z$6</formula1>
    </dataValidation>
    <dataValidation type="list" allowBlank="1" showInputMessage="1" showErrorMessage="1" sqref="F46" xr:uid="{00000000-0002-0000-0300-000004000000}">
      <formula1>$AB$3:$AB$6</formula1>
    </dataValidation>
    <dataValidation type="list" allowBlank="1" showInputMessage="1" showErrorMessage="1" sqref="G47:I47" xr:uid="{00000000-0002-0000-0300-000005000000}">
      <formula1>$AT$5:$AT$11</formula1>
    </dataValidation>
    <dataValidation type="list" allowBlank="1" showInputMessage="1" showErrorMessage="1" sqref="G24:I24" xr:uid="{00000000-0002-0000-0300-000006000000}">
      <formula1>$Z$11:$Z$15</formula1>
    </dataValidation>
    <dataValidation type="list" allowBlank="1" showInputMessage="1" showErrorMessage="1" sqref="G25:I25" xr:uid="{00000000-0002-0000-0300-000007000000}">
      <formula1>$AE$3:$AE$8</formula1>
    </dataValidation>
    <dataValidation type="list" allowBlank="1" showInputMessage="1" showErrorMessage="1" sqref="G26:I26" xr:uid="{00000000-0002-0000-0300-000008000000}">
      <formula1>$AJ$3:$AJ$7</formula1>
    </dataValidation>
    <dataValidation type="list" allowBlank="1" showInputMessage="1" showErrorMessage="1" sqref="G27:I27" xr:uid="{00000000-0002-0000-0300-000009000000}">
      <formula1>$AN$3:$AN$6</formula1>
    </dataValidation>
    <dataValidation type="list" allowBlank="1" showInputMessage="1" showErrorMessage="1" sqref="H9:I9" xr:uid="{00000000-0002-0000-0300-00000A000000}">
      <formula1>$N$23:$N$722</formula1>
    </dataValidation>
    <dataValidation type="list" allowBlank="1" showInputMessage="1" showErrorMessage="1" sqref="S16" xr:uid="{00000000-0002-0000-0300-00000B000000}">
      <formula1>$T$17:$T$18</formula1>
    </dataValidation>
    <dataValidation type="list" allowBlank="1" showInputMessage="1" showErrorMessage="1" sqref="G23:I23" xr:uid="{00000000-0002-0000-0300-00000C000000}">
      <formula1>$C$69:$C$89</formula1>
    </dataValidation>
    <dataValidation type="list" allowBlank="1" showInputMessage="1" showErrorMessage="1" sqref="G43:I43" xr:uid="{00000000-0002-0000-0300-00000D000000}">
      <formula1>$AQ$3:$AQ$8</formula1>
    </dataValidation>
    <dataValidation type="list" allowBlank="1" showInputMessage="1" showErrorMessage="1" sqref="J1" xr:uid="{00000000-0002-0000-0300-00000E000000}">
      <formula1>$U$17:$U$18</formula1>
    </dataValidation>
    <dataValidation type="decimal" allowBlank="1" showInputMessage="1" showErrorMessage="1" sqref="I12:I14" xr:uid="{00000000-0002-0000-0300-00000F000000}">
      <formula1>0</formula1>
      <formula2>400</formula2>
    </dataValidation>
    <dataValidation type="list" allowBlank="1" showInputMessage="1" showErrorMessage="1" sqref="H8:I8" xr:uid="{00000000-0002-0000-0300-000010000000}">
      <formula1>$V$4:$V$16</formula1>
    </dataValidation>
    <dataValidation type="list" allowBlank="1" showInputMessage="1" showErrorMessage="1" sqref="F39:F40 F36" xr:uid="{00000000-0002-0000-0300-000011000000}">
      <formula1>$Q$13:$Q$14</formula1>
    </dataValidation>
  </dataValidations>
  <pageMargins left="0.99" right="0.66" top="0.44" bottom="0.16" header="0.34" footer="0.17"/>
  <pageSetup paperSize="9" scale="82" orientation="portrait" r:id="rId1"/>
  <headerFooter alignWithMargins="0">
    <oddFooter>&amp;R&amp;6&amp;F /&amp;A / &amp;D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B1:CH86"/>
  <sheetViews>
    <sheetView showGridLines="0" zoomScale="75" workbookViewId="0"/>
  </sheetViews>
  <sheetFormatPr baseColWidth="10" defaultRowHeight="12.75" x14ac:dyDescent="0.2"/>
  <cols>
    <col min="1" max="1" width="3" customWidth="1"/>
    <col min="2" max="2" width="7" customWidth="1"/>
    <col min="3" max="3" width="7.7109375" customWidth="1"/>
    <col min="4" max="4" width="5.85546875" customWidth="1"/>
    <col min="5" max="8" width="5.5703125" customWidth="1"/>
    <col min="9" max="9" width="5" customWidth="1"/>
    <col min="10" max="10" width="5.5703125" customWidth="1"/>
    <col min="12" max="12" width="16.28515625" bestFit="1" customWidth="1"/>
    <col min="13" max="13" width="9.140625" customWidth="1"/>
    <col min="15" max="15" width="10.140625" bestFit="1" customWidth="1"/>
    <col min="16" max="16" width="5.140625" bestFit="1" customWidth="1"/>
    <col min="18" max="18" width="7.42578125" customWidth="1"/>
    <col min="19" max="19" width="21.28515625" customWidth="1"/>
    <col min="20" max="20" width="5" customWidth="1"/>
    <col min="21" max="35" width="5.140625" customWidth="1"/>
    <col min="36" max="37" width="6.28515625" customWidth="1"/>
    <col min="38" max="95" width="5.140625" customWidth="1"/>
  </cols>
  <sheetData>
    <row r="1" spans="2:85" ht="15.75" x14ac:dyDescent="0.25">
      <c r="B1" s="597" t="s">
        <v>1576</v>
      </c>
      <c r="S1" s="521" t="s">
        <v>99</v>
      </c>
    </row>
    <row r="2" spans="2:85" x14ac:dyDescent="0.2">
      <c r="B2" s="521" t="s">
        <v>1577</v>
      </c>
      <c r="C2" s="521">
        <f>WPArt</f>
        <v>1</v>
      </c>
      <c r="D2" s="598" t="s">
        <v>1578</v>
      </c>
      <c r="E2" s="521" t="str">
        <f ca="1">OFFSET('WP1'!Q4,WPArt,0)</f>
        <v xml:space="preserve"> </v>
      </c>
      <c r="F2" s="521"/>
      <c r="G2" s="521"/>
      <c r="H2" s="521"/>
      <c r="S2" s="595" t="s">
        <v>94</v>
      </c>
    </row>
    <row r="3" spans="2:85" x14ac:dyDescent="0.2">
      <c r="S3" s="552" t="s">
        <v>1702</v>
      </c>
      <c r="T3">
        <f t="shared" ref="T3:AY3" si="0">MATCH(T39,$D$30:$J$30,1)</f>
        <v>1</v>
      </c>
      <c r="U3">
        <f t="shared" si="0"/>
        <v>1</v>
      </c>
      <c r="V3">
        <f t="shared" si="0"/>
        <v>1</v>
      </c>
      <c r="W3">
        <f t="shared" si="0"/>
        <v>1</v>
      </c>
      <c r="X3">
        <f t="shared" si="0"/>
        <v>1</v>
      </c>
      <c r="Y3">
        <f t="shared" si="0"/>
        <v>1</v>
      </c>
      <c r="Z3">
        <f t="shared" si="0"/>
        <v>1</v>
      </c>
      <c r="AA3">
        <f t="shared" si="0"/>
        <v>1</v>
      </c>
      <c r="AB3">
        <f t="shared" si="0"/>
        <v>1</v>
      </c>
      <c r="AC3">
        <f t="shared" si="0"/>
        <v>1</v>
      </c>
      <c r="AD3">
        <f t="shared" si="0"/>
        <v>2</v>
      </c>
      <c r="AE3">
        <f t="shared" si="0"/>
        <v>2</v>
      </c>
      <c r="AF3">
        <f t="shared" si="0"/>
        <v>2</v>
      </c>
      <c r="AG3">
        <f t="shared" si="0"/>
        <v>2</v>
      </c>
      <c r="AH3">
        <f t="shared" si="0"/>
        <v>2</v>
      </c>
      <c r="AI3">
        <f t="shared" si="0"/>
        <v>2</v>
      </c>
      <c r="AJ3">
        <f t="shared" si="0"/>
        <v>2</v>
      </c>
      <c r="AK3">
        <f t="shared" si="0"/>
        <v>2</v>
      </c>
      <c r="AL3">
        <f t="shared" si="0"/>
        <v>3</v>
      </c>
      <c r="AM3">
        <f t="shared" si="0"/>
        <v>3</v>
      </c>
      <c r="AN3">
        <f t="shared" si="0"/>
        <v>3</v>
      </c>
      <c r="AO3">
        <f t="shared" si="0"/>
        <v>3</v>
      </c>
      <c r="AP3">
        <f t="shared" si="0"/>
        <v>3</v>
      </c>
      <c r="AQ3">
        <f t="shared" si="0"/>
        <v>3</v>
      </c>
      <c r="AR3">
        <f t="shared" si="0"/>
        <v>3</v>
      </c>
      <c r="AS3">
        <f t="shared" si="0"/>
        <v>3</v>
      </c>
      <c r="AT3">
        <f t="shared" si="0"/>
        <v>3</v>
      </c>
      <c r="AU3">
        <f t="shared" si="0"/>
        <v>4</v>
      </c>
      <c r="AV3">
        <f t="shared" si="0"/>
        <v>4</v>
      </c>
      <c r="AW3">
        <f t="shared" si="0"/>
        <v>4</v>
      </c>
      <c r="AX3">
        <f t="shared" si="0"/>
        <v>4</v>
      </c>
      <c r="AY3">
        <f t="shared" si="0"/>
        <v>4</v>
      </c>
      <c r="AZ3">
        <f t="shared" ref="AZ3:CG3" si="1">MATCH(AZ39,$D$30:$J$30,1)</f>
        <v>5</v>
      </c>
      <c r="BA3">
        <f t="shared" si="1"/>
        <v>5</v>
      </c>
      <c r="BB3">
        <f t="shared" si="1"/>
        <v>5</v>
      </c>
      <c r="BC3">
        <f t="shared" si="1"/>
        <v>5</v>
      </c>
      <c r="BD3">
        <f t="shared" si="1"/>
        <v>5</v>
      </c>
      <c r="BE3">
        <f t="shared" si="1"/>
        <v>5</v>
      </c>
      <c r="BF3">
        <f t="shared" si="1"/>
        <v>5</v>
      </c>
      <c r="BG3">
        <f t="shared" si="1"/>
        <v>5</v>
      </c>
      <c r="BH3">
        <f t="shared" si="1"/>
        <v>5</v>
      </c>
      <c r="BI3">
        <f t="shared" si="1"/>
        <v>5</v>
      </c>
      <c r="BJ3">
        <f t="shared" si="1"/>
        <v>5</v>
      </c>
      <c r="BK3">
        <f t="shared" si="1"/>
        <v>5</v>
      </c>
      <c r="BL3">
        <f t="shared" si="1"/>
        <v>5</v>
      </c>
      <c r="BM3">
        <f t="shared" si="1"/>
        <v>6</v>
      </c>
      <c r="BN3">
        <f t="shared" si="1"/>
        <v>6</v>
      </c>
      <c r="BO3">
        <f t="shared" si="1"/>
        <v>6</v>
      </c>
      <c r="BP3">
        <f t="shared" si="1"/>
        <v>6</v>
      </c>
      <c r="BQ3">
        <f t="shared" si="1"/>
        <v>6</v>
      </c>
      <c r="BR3">
        <f t="shared" si="1"/>
        <v>6</v>
      </c>
      <c r="BS3">
        <f t="shared" si="1"/>
        <v>6</v>
      </c>
      <c r="BT3">
        <f t="shared" si="1"/>
        <v>6</v>
      </c>
      <c r="BU3">
        <f t="shared" si="1"/>
        <v>6</v>
      </c>
      <c r="BV3">
        <f t="shared" si="1"/>
        <v>6</v>
      </c>
      <c r="BW3">
        <f t="shared" si="1"/>
        <v>6</v>
      </c>
      <c r="BX3">
        <f t="shared" si="1"/>
        <v>6</v>
      </c>
      <c r="BY3">
        <f t="shared" si="1"/>
        <v>6</v>
      </c>
      <c r="BZ3">
        <f t="shared" si="1"/>
        <v>6</v>
      </c>
      <c r="CA3">
        <f t="shared" si="1"/>
        <v>6</v>
      </c>
      <c r="CB3">
        <f t="shared" si="1"/>
        <v>6</v>
      </c>
      <c r="CC3">
        <f t="shared" si="1"/>
        <v>6</v>
      </c>
      <c r="CD3">
        <f t="shared" si="1"/>
        <v>6</v>
      </c>
      <c r="CE3">
        <f t="shared" si="1"/>
        <v>6</v>
      </c>
      <c r="CF3">
        <f t="shared" si="1"/>
        <v>6</v>
      </c>
      <c r="CG3">
        <f t="shared" si="1"/>
        <v>6</v>
      </c>
    </row>
    <row r="4" spans="2:85" x14ac:dyDescent="0.2">
      <c r="B4" t="s">
        <v>1703</v>
      </c>
      <c r="S4" s="552" t="s">
        <v>1704</v>
      </c>
      <c r="T4">
        <f>T3+1</f>
        <v>2</v>
      </c>
      <c r="U4">
        <f>U3+1</f>
        <v>2</v>
      </c>
      <c r="V4">
        <f t="shared" ref="V4:CG4" si="2">V3+1</f>
        <v>2</v>
      </c>
      <c r="W4">
        <f t="shared" si="2"/>
        <v>2</v>
      </c>
      <c r="X4">
        <f t="shared" si="2"/>
        <v>2</v>
      </c>
      <c r="Y4">
        <f t="shared" si="2"/>
        <v>2</v>
      </c>
      <c r="Z4">
        <f t="shared" si="2"/>
        <v>2</v>
      </c>
      <c r="AA4">
        <f t="shared" si="2"/>
        <v>2</v>
      </c>
      <c r="AB4">
        <f t="shared" si="2"/>
        <v>2</v>
      </c>
      <c r="AC4">
        <f t="shared" si="2"/>
        <v>2</v>
      </c>
      <c r="AD4">
        <f t="shared" si="2"/>
        <v>3</v>
      </c>
      <c r="AE4">
        <f t="shared" si="2"/>
        <v>3</v>
      </c>
      <c r="AF4">
        <f t="shared" si="2"/>
        <v>3</v>
      </c>
      <c r="AG4">
        <f t="shared" si="2"/>
        <v>3</v>
      </c>
      <c r="AH4">
        <f t="shared" si="2"/>
        <v>3</v>
      </c>
      <c r="AI4">
        <f t="shared" si="2"/>
        <v>3</v>
      </c>
      <c r="AJ4">
        <f t="shared" si="2"/>
        <v>3</v>
      </c>
      <c r="AK4">
        <f t="shared" si="2"/>
        <v>3</v>
      </c>
      <c r="AL4">
        <f t="shared" si="2"/>
        <v>4</v>
      </c>
      <c r="AM4">
        <f t="shared" si="2"/>
        <v>4</v>
      </c>
      <c r="AN4">
        <f t="shared" si="2"/>
        <v>4</v>
      </c>
      <c r="AO4">
        <f t="shared" si="2"/>
        <v>4</v>
      </c>
      <c r="AP4">
        <f t="shared" si="2"/>
        <v>4</v>
      </c>
      <c r="AQ4">
        <f t="shared" si="2"/>
        <v>4</v>
      </c>
      <c r="AR4">
        <f t="shared" si="2"/>
        <v>4</v>
      </c>
      <c r="AS4">
        <f t="shared" si="2"/>
        <v>4</v>
      </c>
      <c r="AT4">
        <f t="shared" si="2"/>
        <v>4</v>
      </c>
      <c r="AU4">
        <f t="shared" si="2"/>
        <v>5</v>
      </c>
      <c r="AV4">
        <f t="shared" si="2"/>
        <v>5</v>
      </c>
      <c r="AW4">
        <f t="shared" si="2"/>
        <v>5</v>
      </c>
      <c r="AX4">
        <f t="shared" si="2"/>
        <v>5</v>
      </c>
      <c r="AY4">
        <f t="shared" si="2"/>
        <v>5</v>
      </c>
      <c r="AZ4">
        <f t="shared" si="2"/>
        <v>6</v>
      </c>
      <c r="BA4">
        <f t="shared" si="2"/>
        <v>6</v>
      </c>
      <c r="BB4">
        <f t="shared" si="2"/>
        <v>6</v>
      </c>
      <c r="BC4">
        <f t="shared" si="2"/>
        <v>6</v>
      </c>
      <c r="BD4">
        <f t="shared" si="2"/>
        <v>6</v>
      </c>
      <c r="BE4">
        <f t="shared" si="2"/>
        <v>6</v>
      </c>
      <c r="BF4">
        <f t="shared" si="2"/>
        <v>6</v>
      </c>
      <c r="BG4">
        <f t="shared" si="2"/>
        <v>6</v>
      </c>
      <c r="BH4">
        <f t="shared" si="2"/>
        <v>6</v>
      </c>
      <c r="BI4">
        <f t="shared" si="2"/>
        <v>6</v>
      </c>
      <c r="BJ4">
        <f t="shared" si="2"/>
        <v>6</v>
      </c>
      <c r="BK4">
        <f t="shared" si="2"/>
        <v>6</v>
      </c>
      <c r="BL4">
        <f t="shared" si="2"/>
        <v>6</v>
      </c>
      <c r="BM4">
        <f t="shared" si="2"/>
        <v>7</v>
      </c>
      <c r="BN4">
        <f t="shared" si="2"/>
        <v>7</v>
      </c>
      <c r="BO4">
        <f t="shared" si="2"/>
        <v>7</v>
      </c>
      <c r="BP4">
        <f t="shared" si="2"/>
        <v>7</v>
      </c>
      <c r="BQ4">
        <f t="shared" si="2"/>
        <v>7</v>
      </c>
      <c r="BR4">
        <f t="shared" si="2"/>
        <v>7</v>
      </c>
      <c r="BS4">
        <f t="shared" si="2"/>
        <v>7</v>
      </c>
      <c r="BT4">
        <f t="shared" si="2"/>
        <v>7</v>
      </c>
      <c r="BU4">
        <f t="shared" si="2"/>
        <v>7</v>
      </c>
      <c r="BV4">
        <f t="shared" si="2"/>
        <v>7</v>
      </c>
      <c r="BW4">
        <f t="shared" si="2"/>
        <v>7</v>
      </c>
      <c r="BX4">
        <f t="shared" si="2"/>
        <v>7</v>
      </c>
      <c r="BY4">
        <f t="shared" si="2"/>
        <v>7</v>
      </c>
      <c r="BZ4">
        <f t="shared" si="2"/>
        <v>7</v>
      </c>
      <c r="CA4">
        <f t="shared" si="2"/>
        <v>7</v>
      </c>
      <c r="CB4">
        <f t="shared" si="2"/>
        <v>7</v>
      </c>
      <c r="CC4">
        <f t="shared" si="2"/>
        <v>7</v>
      </c>
      <c r="CD4">
        <f t="shared" si="2"/>
        <v>7</v>
      </c>
      <c r="CE4">
        <f t="shared" si="2"/>
        <v>7</v>
      </c>
      <c r="CF4">
        <f t="shared" si="2"/>
        <v>7</v>
      </c>
      <c r="CG4">
        <f t="shared" si="2"/>
        <v>7</v>
      </c>
    </row>
    <row r="5" spans="2:85" x14ac:dyDescent="0.2">
      <c r="S5" s="552" t="s">
        <v>1705</v>
      </c>
      <c r="T5">
        <f t="shared" ref="T5:AY5" si="3">$B$31</f>
        <v>35</v>
      </c>
      <c r="U5">
        <f t="shared" si="3"/>
        <v>35</v>
      </c>
      <c r="V5">
        <f t="shared" si="3"/>
        <v>35</v>
      </c>
      <c r="W5">
        <f t="shared" si="3"/>
        <v>35</v>
      </c>
      <c r="X5">
        <f t="shared" si="3"/>
        <v>35</v>
      </c>
      <c r="Y5">
        <f t="shared" si="3"/>
        <v>35</v>
      </c>
      <c r="Z5">
        <f t="shared" si="3"/>
        <v>35</v>
      </c>
      <c r="AA5">
        <f t="shared" si="3"/>
        <v>35</v>
      </c>
      <c r="AB5">
        <f t="shared" si="3"/>
        <v>35</v>
      </c>
      <c r="AC5">
        <f t="shared" si="3"/>
        <v>35</v>
      </c>
      <c r="AD5">
        <f t="shared" si="3"/>
        <v>35</v>
      </c>
      <c r="AE5">
        <f t="shared" si="3"/>
        <v>35</v>
      </c>
      <c r="AF5">
        <f t="shared" si="3"/>
        <v>35</v>
      </c>
      <c r="AG5">
        <f t="shared" si="3"/>
        <v>35</v>
      </c>
      <c r="AH5">
        <f t="shared" si="3"/>
        <v>35</v>
      </c>
      <c r="AI5">
        <f t="shared" si="3"/>
        <v>35</v>
      </c>
      <c r="AJ5">
        <f t="shared" si="3"/>
        <v>35</v>
      </c>
      <c r="AK5">
        <f t="shared" si="3"/>
        <v>35</v>
      </c>
      <c r="AL5">
        <f t="shared" si="3"/>
        <v>35</v>
      </c>
      <c r="AM5">
        <f t="shared" si="3"/>
        <v>35</v>
      </c>
      <c r="AN5">
        <f t="shared" si="3"/>
        <v>35</v>
      </c>
      <c r="AO5">
        <f t="shared" si="3"/>
        <v>35</v>
      </c>
      <c r="AP5">
        <f t="shared" si="3"/>
        <v>35</v>
      </c>
      <c r="AQ5">
        <f t="shared" si="3"/>
        <v>35</v>
      </c>
      <c r="AR5">
        <f t="shared" si="3"/>
        <v>35</v>
      </c>
      <c r="AS5">
        <f t="shared" si="3"/>
        <v>35</v>
      </c>
      <c r="AT5">
        <f t="shared" si="3"/>
        <v>35</v>
      </c>
      <c r="AU5">
        <f t="shared" si="3"/>
        <v>35</v>
      </c>
      <c r="AV5">
        <f t="shared" si="3"/>
        <v>35</v>
      </c>
      <c r="AW5">
        <f t="shared" si="3"/>
        <v>35</v>
      </c>
      <c r="AX5">
        <f t="shared" si="3"/>
        <v>35</v>
      </c>
      <c r="AY5">
        <f t="shared" si="3"/>
        <v>35</v>
      </c>
      <c r="AZ5">
        <f t="shared" ref="AZ5:CG5" si="4">$B$31</f>
        <v>35</v>
      </c>
      <c r="BA5">
        <f t="shared" si="4"/>
        <v>35</v>
      </c>
      <c r="BB5">
        <f t="shared" si="4"/>
        <v>35</v>
      </c>
      <c r="BC5">
        <f t="shared" si="4"/>
        <v>35</v>
      </c>
      <c r="BD5">
        <f t="shared" si="4"/>
        <v>35</v>
      </c>
      <c r="BE5">
        <f t="shared" si="4"/>
        <v>35</v>
      </c>
      <c r="BF5">
        <f t="shared" si="4"/>
        <v>35</v>
      </c>
      <c r="BG5">
        <f t="shared" si="4"/>
        <v>35</v>
      </c>
      <c r="BH5">
        <f t="shared" si="4"/>
        <v>35</v>
      </c>
      <c r="BI5">
        <f t="shared" si="4"/>
        <v>35</v>
      </c>
      <c r="BJ5">
        <f t="shared" si="4"/>
        <v>35</v>
      </c>
      <c r="BK5">
        <f t="shared" si="4"/>
        <v>35</v>
      </c>
      <c r="BL5">
        <f t="shared" si="4"/>
        <v>35</v>
      </c>
      <c r="BM5">
        <f t="shared" si="4"/>
        <v>35</v>
      </c>
      <c r="BN5">
        <f t="shared" si="4"/>
        <v>35</v>
      </c>
      <c r="BO5">
        <f t="shared" si="4"/>
        <v>35</v>
      </c>
      <c r="BP5">
        <f t="shared" si="4"/>
        <v>35</v>
      </c>
      <c r="BQ5">
        <f t="shared" si="4"/>
        <v>35</v>
      </c>
      <c r="BR5">
        <f t="shared" si="4"/>
        <v>35</v>
      </c>
      <c r="BS5">
        <f t="shared" si="4"/>
        <v>35</v>
      </c>
      <c r="BT5">
        <f t="shared" si="4"/>
        <v>35</v>
      </c>
      <c r="BU5">
        <f t="shared" si="4"/>
        <v>35</v>
      </c>
      <c r="BV5">
        <f t="shared" si="4"/>
        <v>35</v>
      </c>
      <c r="BW5">
        <f t="shared" si="4"/>
        <v>35</v>
      </c>
      <c r="BX5">
        <f t="shared" si="4"/>
        <v>35</v>
      </c>
      <c r="BY5">
        <f t="shared" si="4"/>
        <v>35</v>
      </c>
      <c r="BZ5">
        <f t="shared" si="4"/>
        <v>35</v>
      </c>
      <c r="CA5">
        <f t="shared" si="4"/>
        <v>35</v>
      </c>
      <c r="CB5">
        <f t="shared" si="4"/>
        <v>35</v>
      </c>
      <c r="CC5">
        <f t="shared" si="4"/>
        <v>35</v>
      </c>
      <c r="CD5">
        <f t="shared" si="4"/>
        <v>35</v>
      </c>
      <c r="CE5">
        <f t="shared" si="4"/>
        <v>35</v>
      </c>
      <c r="CF5">
        <f t="shared" si="4"/>
        <v>35</v>
      </c>
      <c r="CG5">
        <f t="shared" si="4"/>
        <v>35</v>
      </c>
    </row>
    <row r="6" spans="2:85" x14ac:dyDescent="0.2">
      <c r="B6" t="s">
        <v>1706</v>
      </c>
      <c r="D6" s="553" t="str">
        <f>'WP1'!F17&amp;'WP1'!C18&amp;" "&amp;'WP1'!G18&amp;" "&amp;'WP1'!G19</f>
        <v>0 0 0</v>
      </c>
      <c r="E6" s="554"/>
      <c r="F6" s="554"/>
      <c r="G6" s="554"/>
      <c r="H6" s="554"/>
      <c r="I6" s="554"/>
      <c r="J6" s="554"/>
      <c r="S6" s="552" t="s">
        <v>1707</v>
      </c>
      <c r="T6">
        <f t="shared" ref="T6:AY6" ca="1" si="5">OFFSET($C$30,0,T3)</f>
        <v>-25</v>
      </c>
      <c r="U6">
        <f t="shared" ca="1" si="5"/>
        <v>-25</v>
      </c>
      <c r="V6">
        <f t="shared" ca="1" si="5"/>
        <v>-25</v>
      </c>
      <c r="W6">
        <f t="shared" ca="1" si="5"/>
        <v>-25</v>
      </c>
      <c r="X6">
        <f t="shared" ca="1" si="5"/>
        <v>-25</v>
      </c>
      <c r="Y6">
        <f t="shared" ca="1" si="5"/>
        <v>-25</v>
      </c>
      <c r="Z6">
        <f t="shared" ca="1" si="5"/>
        <v>-25</v>
      </c>
      <c r="AA6">
        <f t="shared" ca="1" si="5"/>
        <v>-25</v>
      </c>
      <c r="AB6">
        <f t="shared" ca="1" si="5"/>
        <v>-25</v>
      </c>
      <c r="AC6">
        <f t="shared" ca="1" si="5"/>
        <v>-25</v>
      </c>
      <c r="AD6">
        <f t="shared" ca="1" si="5"/>
        <v>-15</v>
      </c>
      <c r="AE6">
        <f t="shared" ca="1" si="5"/>
        <v>-15</v>
      </c>
      <c r="AF6">
        <f t="shared" ca="1" si="5"/>
        <v>-15</v>
      </c>
      <c r="AG6">
        <f t="shared" ca="1" si="5"/>
        <v>-15</v>
      </c>
      <c r="AH6">
        <f t="shared" ca="1" si="5"/>
        <v>-15</v>
      </c>
      <c r="AI6">
        <f t="shared" ca="1" si="5"/>
        <v>-15</v>
      </c>
      <c r="AJ6">
        <f t="shared" ca="1" si="5"/>
        <v>-15</v>
      </c>
      <c r="AK6">
        <f t="shared" ca="1" si="5"/>
        <v>-15</v>
      </c>
      <c r="AL6">
        <f t="shared" ca="1" si="5"/>
        <v>-7</v>
      </c>
      <c r="AM6">
        <f t="shared" ca="1" si="5"/>
        <v>-7</v>
      </c>
      <c r="AN6">
        <f t="shared" ca="1" si="5"/>
        <v>-7</v>
      </c>
      <c r="AO6">
        <f t="shared" ca="1" si="5"/>
        <v>-7</v>
      </c>
      <c r="AP6">
        <f t="shared" ca="1" si="5"/>
        <v>-7</v>
      </c>
      <c r="AQ6">
        <f t="shared" ca="1" si="5"/>
        <v>-7</v>
      </c>
      <c r="AR6">
        <f t="shared" ca="1" si="5"/>
        <v>-7</v>
      </c>
      <c r="AS6">
        <f t="shared" ca="1" si="5"/>
        <v>-7</v>
      </c>
      <c r="AT6">
        <f t="shared" ca="1" si="5"/>
        <v>-7</v>
      </c>
      <c r="AU6">
        <f t="shared" ca="1" si="5"/>
        <v>2</v>
      </c>
      <c r="AV6">
        <f t="shared" ca="1" si="5"/>
        <v>2</v>
      </c>
      <c r="AW6">
        <f t="shared" ca="1" si="5"/>
        <v>2</v>
      </c>
      <c r="AX6">
        <f t="shared" ca="1" si="5"/>
        <v>2</v>
      </c>
      <c r="AY6">
        <f t="shared" ca="1" si="5"/>
        <v>2</v>
      </c>
      <c r="AZ6">
        <f t="shared" ref="AZ6:CG6" ca="1" si="6">OFFSET($C$30,0,AZ3)</f>
        <v>7</v>
      </c>
      <c r="BA6">
        <f t="shared" ca="1" si="6"/>
        <v>7</v>
      </c>
      <c r="BB6">
        <f t="shared" ca="1" si="6"/>
        <v>7</v>
      </c>
      <c r="BC6">
        <f t="shared" ca="1" si="6"/>
        <v>7</v>
      </c>
      <c r="BD6">
        <f t="shared" ca="1" si="6"/>
        <v>7</v>
      </c>
      <c r="BE6">
        <f t="shared" ca="1" si="6"/>
        <v>7</v>
      </c>
      <c r="BF6">
        <f t="shared" ca="1" si="6"/>
        <v>7</v>
      </c>
      <c r="BG6">
        <f t="shared" ca="1" si="6"/>
        <v>7</v>
      </c>
      <c r="BH6">
        <f t="shared" ca="1" si="6"/>
        <v>7</v>
      </c>
      <c r="BI6">
        <f t="shared" ca="1" si="6"/>
        <v>7</v>
      </c>
      <c r="BJ6">
        <f t="shared" ca="1" si="6"/>
        <v>7</v>
      </c>
      <c r="BK6">
        <f t="shared" ca="1" si="6"/>
        <v>7</v>
      </c>
      <c r="BL6">
        <f t="shared" ca="1" si="6"/>
        <v>7</v>
      </c>
      <c r="BM6">
        <f t="shared" ca="1" si="6"/>
        <v>20</v>
      </c>
      <c r="BN6">
        <f t="shared" ca="1" si="6"/>
        <v>20</v>
      </c>
      <c r="BO6">
        <f t="shared" ca="1" si="6"/>
        <v>20</v>
      </c>
      <c r="BP6">
        <f t="shared" ca="1" si="6"/>
        <v>20</v>
      </c>
      <c r="BQ6">
        <f t="shared" ca="1" si="6"/>
        <v>20</v>
      </c>
      <c r="BR6">
        <f t="shared" ca="1" si="6"/>
        <v>20</v>
      </c>
      <c r="BS6">
        <f t="shared" ca="1" si="6"/>
        <v>20</v>
      </c>
      <c r="BT6">
        <f t="shared" ca="1" si="6"/>
        <v>20</v>
      </c>
      <c r="BU6">
        <f t="shared" ca="1" si="6"/>
        <v>20</v>
      </c>
      <c r="BV6">
        <f t="shared" ca="1" si="6"/>
        <v>20</v>
      </c>
      <c r="BW6">
        <f t="shared" ca="1" si="6"/>
        <v>20</v>
      </c>
      <c r="BX6">
        <f t="shared" ca="1" si="6"/>
        <v>20</v>
      </c>
      <c r="BY6">
        <f t="shared" ca="1" si="6"/>
        <v>20</v>
      </c>
      <c r="BZ6">
        <f t="shared" ca="1" si="6"/>
        <v>20</v>
      </c>
      <c r="CA6">
        <f t="shared" ca="1" si="6"/>
        <v>20</v>
      </c>
      <c r="CB6">
        <f t="shared" ca="1" si="6"/>
        <v>20</v>
      </c>
      <c r="CC6">
        <f t="shared" ca="1" si="6"/>
        <v>20</v>
      </c>
      <c r="CD6">
        <f t="shared" ca="1" si="6"/>
        <v>20</v>
      </c>
      <c r="CE6">
        <f t="shared" ca="1" si="6"/>
        <v>20</v>
      </c>
      <c r="CF6">
        <f t="shared" ca="1" si="6"/>
        <v>20</v>
      </c>
      <c r="CG6">
        <f t="shared" ca="1" si="6"/>
        <v>20</v>
      </c>
    </row>
    <row r="7" spans="2:85" x14ac:dyDescent="0.2">
      <c r="S7" s="552" t="s">
        <v>1708</v>
      </c>
      <c r="T7">
        <f t="shared" ref="T7:AY7" si="7">$B$34</f>
        <v>55</v>
      </c>
      <c r="U7">
        <f t="shared" si="7"/>
        <v>55</v>
      </c>
      <c r="V7">
        <f t="shared" si="7"/>
        <v>55</v>
      </c>
      <c r="W7">
        <f t="shared" si="7"/>
        <v>55</v>
      </c>
      <c r="X7">
        <f t="shared" si="7"/>
        <v>55</v>
      </c>
      <c r="Y7">
        <f t="shared" si="7"/>
        <v>55</v>
      </c>
      <c r="Z7">
        <f t="shared" si="7"/>
        <v>55</v>
      </c>
      <c r="AA7">
        <f t="shared" si="7"/>
        <v>55</v>
      </c>
      <c r="AB7">
        <f t="shared" si="7"/>
        <v>55</v>
      </c>
      <c r="AC7">
        <f t="shared" si="7"/>
        <v>55</v>
      </c>
      <c r="AD7">
        <f t="shared" si="7"/>
        <v>55</v>
      </c>
      <c r="AE7">
        <f t="shared" si="7"/>
        <v>55</v>
      </c>
      <c r="AF7">
        <f t="shared" si="7"/>
        <v>55</v>
      </c>
      <c r="AG7">
        <f t="shared" si="7"/>
        <v>55</v>
      </c>
      <c r="AH7">
        <f t="shared" si="7"/>
        <v>55</v>
      </c>
      <c r="AI7">
        <f t="shared" si="7"/>
        <v>55</v>
      </c>
      <c r="AJ7">
        <f t="shared" si="7"/>
        <v>55</v>
      </c>
      <c r="AK7">
        <f t="shared" si="7"/>
        <v>55</v>
      </c>
      <c r="AL7">
        <f t="shared" si="7"/>
        <v>55</v>
      </c>
      <c r="AM7">
        <f t="shared" si="7"/>
        <v>55</v>
      </c>
      <c r="AN7">
        <f t="shared" si="7"/>
        <v>55</v>
      </c>
      <c r="AO7">
        <f t="shared" si="7"/>
        <v>55</v>
      </c>
      <c r="AP7">
        <f t="shared" si="7"/>
        <v>55</v>
      </c>
      <c r="AQ7">
        <f t="shared" si="7"/>
        <v>55</v>
      </c>
      <c r="AR7">
        <f t="shared" si="7"/>
        <v>55</v>
      </c>
      <c r="AS7">
        <f t="shared" si="7"/>
        <v>55</v>
      </c>
      <c r="AT7">
        <f t="shared" si="7"/>
        <v>55</v>
      </c>
      <c r="AU7">
        <f t="shared" si="7"/>
        <v>55</v>
      </c>
      <c r="AV7">
        <f t="shared" si="7"/>
        <v>55</v>
      </c>
      <c r="AW7">
        <f t="shared" si="7"/>
        <v>55</v>
      </c>
      <c r="AX7">
        <f t="shared" si="7"/>
        <v>55</v>
      </c>
      <c r="AY7">
        <f t="shared" si="7"/>
        <v>55</v>
      </c>
      <c r="AZ7">
        <f t="shared" ref="AZ7:CG7" si="8">$B$34</f>
        <v>55</v>
      </c>
      <c r="BA7">
        <f t="shared" si="8"/>
        <v>55</v>
      </c>
      <c r="BB7">
        <f t="shared" si="8"/>
        <v>55</v>
      </c>
      <c r="BC7">
        <f t="shared" si="8"/>
        <v>55</v>
      </c>
      <c r="BD7">
        <f t="shared" si="8"/>
        <v>55</v>
      </c>
      <c r="BE7">
        <f t="shared" si="8"/>
        <v>55</v>
      </c>
      <c r="BF7">
        <f t="shared" si="8"/>
        <v>55</v>
      </c>
      <c r="BG7">
        <f t="shared" si="8"/>
        <v>55</v>
      </c>
      <c r="BH7">
        <f t="shared" si="8"/>
        <v>55</v>
      </c>
      <c r="BI7">
        <f t="shared" si="8"/>
        <v>55</v>
      </c>
      <c r="BJ7">
        <f t="shared" si="8"/>
        <v>55</v>
      </c>
      <c r="BK7">
        <f t="shared" si="8"/>
        <v>55</v>
      </c>
      <c r="BL7">
        <f t="shared" si="8"/>
        <v>55</v>
      </c>
      <c r="BM7">
        <f t="shared" si="8"/>
        <v>55</v>
      </c>
      <c r="BN7">
        <f t="shared" si="8"/>
        <v>55</v>
      </c>
      <c r="BO7">
        <f t="shared" si="8"/>
        <v>55</v>
      </c>
      <c r="BP7">
        <f t="shared" si="8"/>
        <v>55</v>
      </c>
      <c r="BQ7">
        <f t="shared" si="8"/>
        <v>55</v>
      </c>
      <c r="BR7">
        <f t="shared" si="8"/>
        <v>55</v>
      </c>
      <c r="BS7">
        <f t="shared" si="8"/>
        <v>55</v>
      </c>
      <c r="BT7">
        <f t="shared" si="8"/>
        <v>55</v>
      </c>
      <c r="BU7">
        <f t="shared" si="8"/>
        <v>55</v>
      </c>
      <c r="BV7">
        <f t="shared" si="8"/>
        <v>55</v>
      </c>
      <c r="BW7">
        <f t="shared" si="8"/>
        <v>55</v>
      </c>
      <c r="BX7">
        <f t="shared" si="8"/>
        <v>55</v>
      </c>
      <c r="BY7">
        <f t="shared" si="8"/>
        <v>55</v>
      </c>
      <c r="BZ7">
        <f t="shared" si="8"/>
        <v>55</v>
      </c>
      <c r="CA7">
        <f t="shared" si="8"/>
        <v>55</v>
      </c>
      <c r="CB7">
        <f t="shared" si="8"/>
        <v>55</v>
      </c>
      <c r="CC7">
        <f t="shared" si="8"/>
        <v>55</v>
      </c>
      <c r="CD7">
        <f t="shared" si="8"/>
        <v>55</v>
      </c>
      <c r="CE7">
        <f t="shared" si="8"/>
        <v>55</v>
      </c>
      <c r="CF7">
        <f t="shared" si="8"/>
        <v>55</v>
      </c>
      <c r="CG7">
        <f t="shared" si="8"/>
        <v>55</v>
      </c>
    </row>
    <row r="8" spans="2:85" x14ac:dyDescent="0.2">
      <c r="B8" t="s">
        <v>1709</v>
      </c>
      <c r="S8" s="552" t="s">
        <v>1710</v>
      </c>
      <c r="T8">
        <f t="shared" ref="T8:AY8" ca="1" si="9">OFFSET($C$30,0,T4)</f>
        <v>-15</v>
      </c>
      <c r="U8">
        <f t="shared" ca="1" si="9"/>
        <v>-15</v>
      </c>
      <c r="V8">
        <f t="shared" ca="1" si="9"/>
        <v>-15</v>
      </c>
      <c r="W8">
        <f t="shared" ca="1" si="9"/>
        <v>-15</v>
      </c>
      <c r="X8">
        <f t="shared" ca="1" si="9"/>
        <v>-15</v>
      </c>
      <c r="Y8">
        <f t="shared" ca="1" si="9"/>
        <v>-15</v>
      </c>
      <c r="Z8">
        <f t="shared" ca="1" si="9"/>
        <v>-15</v>
      </c>
      <c r="AA8">
        <f t="shared" ca="1" si="9"/>
        <v>-15</v>
      </c>
      <c r="AB8">
        <f t="shared" ca="1" si="9"/>
        <v>-15</v>
      </c>
      <c r="AC8">
        <f t="shared" ca="1" si="9"/>
        <v>-15</v>
      </c>
      <c r="AD8">
        <f t="shared" ca="1" si="9"/>
        <v>-7</v>
      </c>
      <c r="AE8">
        <f t="shared" ca="1" si="9"/>
        <v>-7</v>
      </c>
      <c r="AF8">
        <f t="shared" ca="1" si="9"/>
        <v>-7</v>
      </c>
      <c r="AG8">
        <f t="shared" ca="1" si="9"/>
        <v>-7</v>
      </c>
      <c r="AH8">
        <f t="shared" ca="1" si="9"/>
        <v>-7</v>
      </c>
      <c r="AI8">
        <f t="shared" ca="1" si="9"/>
        <v>-7</v>
      </c>
      <c r="AJ8">
        <f t="shared" ca="1" si="9"/>
        <v>-7</v>
      </c>
      <c r="AK8">
        <f t="shared" ca="1" si="9"/>
        <v>-7</v>
      </c>
      <c r="AL8">
        <f t="shared" ca="1" si="9"/>
        <v>2</v>
      </c>
      <c r="AM8">
        <f t="shared" ca="1" si="9"/>
        <v>2</v>
      </c>
      <c r="AN8">
        <f t="shared" ca="1" si="9"/>
        <v>2</v>
      </c>
      <c r="AO8">
        <f t="shared" ca="1" si="9"/>
        <v>2</v>
      </c>
      <c r="AP8">
        <f t="shared" ca="1" si="9"/>
        <v>2</v>
      </c>
      <c r="AQ8">
        <f t="shared" ca="1" si="9"/>
        <v>2</v>
      </c>
      <c r="AR8">
        <f t="shared" ca="1" si="9"/>
        <v>2</v>
      </c>
      <c r="AS8">
        <f t="shared" ca="1" si="9"/>
        <v>2</v>
      </c>
      <c r="AT8">
        <f t="shared" ca="1" si="9"/>
        <v>2</v>
      </c>
      <c r="AU8">
        <f t="shared" ca="1" si="9"/>
        <v>7</v>
      </c>
      <c r="AV8">
        <f t="shared" ca="1" si="9"/>
        <v>7</v>
      </c>
      <c r="AW8">
        <f t="shared" ca="1" si="9"/>
        <v>7</v>
      </c>
      <c r="AX8">
        <f t="shared" ca="1" si="9"/>
        <v>7</v>
      </c>
      <c r="AY8">
        <f t="shared" ca="1" si="9"/>
        <v>7</v>
      </c>
      <c r="AZ8">
        <f t="shared" ref="AZ8:CG8" ca="1" si="10">OFFSET($C$30,0,AZ4)</f>
        <v>20</v>
      </c>
      <c r="BA8">
        <f t="shared" ca="1" si="10"/>
        <v>20</v>
      </c>
      <c r="BB8">
        <f t="shared" ca="1" si="10"/>
        <v>20</v>
      </c>
      <c r="BC8">
        <f t="shared" ca="1" si="10"/>
        <v>20</v>
      </c>
      <c r="BD8">
        <f t="shared" ca="1" si="10"/>
        <v>20</v>
      </c>
      <c r="BE8">
        <f t="shared" ca="1" si="10"/>
        <v>20</v>
      </c>
      <c r="BF8">
        <f t="shared" ca="1" si="10"/>
        <v>20</v>
      </c>
      <c r="BG8">
        <f t="shared" ca="1" si="10"/>
        <v>20</v>
      </c>
      <c r="BH8">
        <f t="shared" ca="1" si="10"/>
        <v>20</v>
      </c>
      <c r="BI8">
        <f t="shared" ca="1" si="10"/>
        <v>20</v>
      </c>
      <c r="BJ8">
        <f t="shared" ca="1" si="10"/>
        <v>20</v>
      </c>
      <c r="BK8">
        <f t="shared" ca="1" si="10"/>
        <v>20</v>
      </c>
      <c r="BL8">
        <f t="shared" ca="1" si="10"/>
        <v>20</v>
      </c>
      <c r="BM8">
        <f t="shared" ca="1" si="10"/>
        <v>60</v>
      </c>
      <c r="BN8">
        <f t="shared" ca="1" si="10"/>
        <v>60</v>
      </c>
      <c r="BO8">
        <f t="shared" ca="1" si="10"/>
        <v>60</v>
      </c>
      <c r="BP8">
        <f t="shared" ca="1" si="10"/>
        <v>60</v>
      </c>
      <c r="BQ8">
        <f t="shared" ca="1" si="10"/>
        <v>60</v>
      </c>
      <c r="BR8">
        <f t="shared" ca="1" si="10"/>
        <v>60</v>
      </c>
      <c r="BS8">
        <f t="shared" ca="1" si="10"/>
        <v>60</v>
      </c>
      <c r="BT8">
        <f t="shared" ca="1" si="10"/>
        <v>60</v>
      </c>
      <c r="BU8">
        <f t="shared" ca="1" si="10"/>
        <v>60</v>
      </c>
      <c r="BV8">
        <f t="shared" ca="1" si="10"/>
        <v>60</v>
      </c>
      <c r="BW8">
        <f t="shared" ca="1" si="10"/>
        <v>60</v>
      </c>
      <c r="BX8">
        <f t="shared" ca="1" si="10"/>
        <v>60</v>
      </c>
      <c r="BY8">
        <f t="shared" ca="1" si="10"/>
        <v>60</v>
      </c>
      <c r="BZ8">
        <f t="shared" ca="1" si="10"/>
        <v>60</v>
      </c>
      <c r="CA8">
        <f t="shared" ca="1" si="10"/>
        <v>60</v>
      </c>
      <c r="CB8">
        <f t="shared" ca="1" si="10"/>
        <v>60</v>
      </c>
      <c r="CC8">
        <f t="shared" ca="1" si="10"/>
        <v>60</v>
      </c>
      <c r="CD8">
        <f t="shared" ca="1" si="10"/>
        <v>60</v>
      </c>
      <c r="CE8">
        <f t="shared" ca="1" si="10"/>
        <v>60</v>
      </c>
      <c r="CF8">
        <f t="shared" ca="1" si="10"/>
        <v>60</v>
      </c>
      <c r="CG8">
        <f t="shared" ca="1" si="10"/>
        <v>60</v>
      </c>
    </row>
    <row r="9" spans="2:85" ht="15.75" x14ac:dyDescent="0.3">
      <c r="B9" s="380"/>
      <c r="C9" s="381"/>
      <c r="D9" s="380" t="s">
        <v>1389</v>
      </c>
      <c r="E9" s="555"/>
      <c r="F9" s="555"/>
      <c r="G9" s="555"/>
      <c r="H9" s="555"/>
      <c r="I9" s="555"/>
      <c r="J9" s="381"/>
      <c r="M9" t="s">
        <v>85</v>
      </c>
      <c r="S9" s="552" t="s">
        <v>3273</v>
      </c>
      <c r="T9" s="556">
        <f t="shared" ref="T9:AY9" ca="1" si="11">OFFSET($C$31,0,T$3)</f>
        <v>0</v>
      </c>
      <c r="U9" s="556">
        <f t="shared" ca="1" si="11"/>
        <v>0</v>
      </c>
      <c r="V9" s="556">
        <f t="shared" ca="1" si="11"/>
        <v>0</v>
      </c>
      <c r="W9" s="556">
        <f t="shared" ca="1" si="11"/>
        <v>0</v>
      </c>
      <c r="X9" s="556">
        <f t="shared" ca="1" si="11"/>
        <v>0</v>
      </c>
      <c r="Y9" s="556">
        <f t="shared" ca="1" si="11"/>
        <v>0</v>
      </c>
      <c r="Z9" s="556">
        <f t="shared" ca="1" si="11"/>
        <v>0</v>
      </c>
      <c r="AA9" s="556">
        <f t="shared" ca="1" si="11"/>
        <v>0</v>
      </c>
      <c r="AB9" s="556">
        <f t="shared" ca="1" si="11"/>
        <v>0</v>
      </c>
      <c r="AC9" s="556">
        <f t="shared" ca="1" si="11"/>
        <v>0</v>
      </c>
      <c r="AD9" s="556">
        <f t="shared" ca="1" si="11"/>
        <v>0</v>
      </c>
      <c r="AE9" s="556">
        <f t="shared" ca="1" si="11"/>
        <v>0</v>
      </c>
      <c r="AF9" s="556">
        <f t="shared" ca="1" si="11"/>
        <v>0</v>
      </c>
      <c r="AG9" s="556">
        <f t="shared" ca="1" si="11"/>
        <v>0</v>
      </c>
      <c r="AH9" s="556">
        <f t="shared" ca="1" si="11"/>
        <v>0</v>
      </c>
      <c r="AI9" s="556">
        <f t="shared" ca="1" si="11"/>
        <v>0</v>
      </c>
      <c r="AJ9" s="556">
        <f t="shared" ca="1" si="11"/>
        <v>0</v>
      </c>
      <c r="AK9" s="556">
        <f t="shared" ca="1" si="11"/>
        <v>0</v>
      </c>
      <c r="AL9" s="556">
        <f t="shared" ca="1" si="11"/>
        <v>0</v>
      </c>
      <c r="AM9" s="556">
        <f t="shared" ca="1" si="11"/>
        <v>0</v>
      </c>
      <c r="AN9" s="556">
        <f t="shared" ca="1" si="11"/>
        <v>0</v>
      </c>
      <c r="AO9" s="556">
        <f t="shared" ca="1" si="11"/>
        <v>0</v>
      </c>
      <c r="AP9" s="556">
        <f t="shared" ca="1" si="11"/>
        <v>0</v>
      </c>
      <c r="AQ9" s="556">
        <f t="shared" ca="1" si="11"/>
        <v>0</v>
      </c>
      <c r="AR9" s="556">
        <f t="shared" ca="1" si="11"/>
        <v>0</v>
      </c>
      <c r="AS9" s="556">
        <f t="shared" ca="1" si="11"/>
        <v>0</v>
      </c>
      <c r="AT9" s="556">
        <f t="shared" ca="1" si="11"/>
        <v>0</v>
      </c>
      <c r="AU9" s="556">
        <f t="shared" ca="1" si="11"/>
        <v>0</v>
      </c>
      <c r="AV9" s="556">
        <f t="shared" ca="1" si="11"/>
        <v>0</v>
      </c>
      <c r="AW9" s="556">
        <f t="shared" ca="1" si="11"/>
        <v>0</v>
      </c>
      <c r="AX9" s="556">
        <f t="shared" ca="1" si="11"/>
        <v>0</v>
      </c>
      <c r="AY9" s="556">
        <f t="shared" ca="1" si="11"/>
        <v>0</v>
      </c>
      <c r="AZ9" s="556">
        <f t="shared" ref="AZ9:CG9" ca="1" si="12">OFFSET($C$31,0,AZ$3)</f>
        <v>0</v>
      </c>
      <c r="BA9" s="556">
        <f t="shared" ca="1" si="12"/>
        <v>0</v>
      </c>
      <c r="BB9" s="556">
        <f t="shared" ca="1" si="12"/>
        <v>0</v>
      </c>
      <c r="BC9" s="556">
        <f t="shared" ca="1" si="12"/>
        <v>0</v>
      </c>
      <c r="BD9" s="556">
        <f t="shared" ca="1" si="12"/>
        <v>0</v>
      </c>
      <c r="BE9" s="556">
        <f t="shared" ca="1" si="12"/>
        <v>0</v>
      </c>
      <c r="BF9" s="556">
        <f t="shared" ca="1" si="12"/>
        <v>0</v>
      </c>
      <c r="BG9" s="556">
        <f t="shared" ca="1" si="12"/>
        <v>0</v>
      </c>
      <c r="BH9" s="556">
        <f t="shared" ca="1" si="12"/>
        <v>0</v>
      </c>
      <c r="BI9" s="556">
        <f t="shared" ca="1" si="12"/>
        <v>0</v>
      </c>
      <c r="BJ9" s="556">
        <f t="shared" ca="1" si="12"/>
        <v>0</v>
      </c>
      <c r="BK9" s="556">
        <f t="shared" ca="1" si="12"/>
        <v>0</v>
      </c>
      <c r="BL9" s="556">
        <f t="shared" ca="1" si="12"/>
        <v>0</v>
      </c>
      <c r="BM9" s="556">
        <f t="shared" ca="1" si="12"/>
        <v>0</v>
      </c>
      <c r="BN9" s="556">
        <f t="shared" ca="1" si="12"/>
        <v>0</v>
      </c>
      <c r="BO9" s="556">
        <f t="shared" ca="1" si="12"/>
        <v>0</v>
      </c>
      <c r="BP9" s="556">
        <f t="shared" ca="1" si="12"/>
        <v>0</v>
      </c>
      <c r="BQ9" s="556">
        <f t="shared" ca="1" si="12"/>
        <v>0</v>
      </c>
      <c r="BR9" s="556">
        <f t="shared" ca="1" si="12"/>
        <v>0</v>
      </c>
      <c r="BS9" s="556">
        <f t="shared" ca="1" si="12"/>
        <v>0</v>
      </c>
      <c r="BT9" s="556">
        <f t="shared" ca="1" si="12"/>
        <v>0</v>
      </c>
      <c r="BU9" s="556">
        <f t="shared" ca="1" si="12"/>
        <v>0</v>
      </c>
      <c r="BV9" s="556">
        <f t="shared" ca="1" si="12"/>
        <v>0</v>
      </c>
      <c r="BW9" s="556">
        <f t="shared" ca="1" si="12"/>
        <v>0</v>
      </c>
      <c r="BX9" s="556">
        <f t="shared" ca="1" si="12"/>
        <v>0</v>
      </c>
      <c r="BY9" s="556">
        <f t="shared" ca="1" si="12"/>
        <v>0</v>
      </c>
      <c r="BZ9" s="556">
        <f t="shared" ca="1" si="12"/>
        <v>0</v>
      </c>
      <c r="CA9" s="556">
        <f t="shared" ca="1" si="12"/>
        <v>0</v>
      </c>
      <c r="CB9" s="556">
        <f t="shared" ca="1" si="12"/>
        <v>0</v>
      </c>
      <c r="CC9" s="556">
        <f t="shared" ca="1" si="12"/>
        <v>0</v>
      </c>
      <c r="CD9" s="556">
        <f t="shared" ca="1" si="12"/>
        <v>0</v>
      </c>
      <c r="CE9" s="556">
        <f t="shared" ca="1" si="12"/>
        <v>0</v>
      </c>
      <c r="CF9" s="556">
        <f t="shared" ca="1" si="12"/>
        <v>0</v>
      </c>
      <c r="CG9" s="556">
        <f t="shared" ca="1" si="12"/>
        <v>0</v>
      </c>
    </row>
    <row r="10" spans="2:85" ht="15.75" x14ac:dyDescent="0.3">
      <c r="B10" s="557" t="s">
        <v>86</v>
      </c>
      <c r="C10" s="558"/>
      <c r="D10" s="559">
        <v>-15</v>
      </c>
      <c r="E10" s="560">
        <v>-7</v>
      </c>
      <c r="F10" s="560">
        <v>2</v>
      </c>
      <c r="G10" s="560">
        <v>7</v>
      </c>
      <c r="H10" s="560">
        <v>20</v>
      </c>
      <c r="I10" s="560"/>
      <c r="J10" s="561"/>
      <c r="K10" s="562"/>
      <c r="L10" s="562"/>
      <c r="M10" s="562">
        <f>IF(N27=1,H10,Spez!T10)</f>
        <v>20</v>
      </c>
      <c r="S10" s="552" t="s">
        <v>3274</v>
      </c>
      <c r="T10" s="556">
        <f t="shared" ref="T10:AY10" ca="1" si="13">OFFSET($C$31,0,T$4)</f>
        <v>0</v>
      </c>
      <c r="U10" s="556">
        <f t="shared" ca="1" si="13"/>
        <v>0</v>
      </c>
      <c r="V10" s="556">
        <f t="shared" ca="1" si="13"/>
        <v>0</v>
      </c>
      <c r="W10" s="556">
        <f t="shared" ca="1" si="13"/>
        <v>0</v>
      </c>
      <c r="X10" s="556">
        <f t="shared" ca="1" si="13"/>
        <v>0</v>
      </c>
      <c r="Y10" s="556">
        <f t="shared" ca="1" si="13"/>
        <v>0</v>
      </c>
      <c r="Z10" s="556">
        <f t="shared" ca="1" si="13"/>
        <v>0</v>
      </c>
      <c r="AA10" s="556">
        <f t="shared" ca="1" si="13"/>
        <v>0</v>
      </c>
      <c r="AB10" s="556">
        <f t="shared" ca="1" si="13"/>
        <v>0</v>
      </c>
      <c r="AC10" s="556">
        <f t="shared" ca="1" si="13"/>
        <v>0</v>
      </c>
      <c r="AD10" s="556">
        <f t="shared" ca="1" si="13"/>
        <v>0</v>
      </c>
      <c r="AE10" s="556">
        <f t="shared" ca="1" si="13"/>
        <v>0</v>
      </c>
      <c r="AF10" s="556">
        <f t="shared" ca="1" si="13"/>
        <v>0</v>
      </c>
      <c r="AG10" s="556">
        <f t="shared" ca="1" si="13"/>
        <v>0</v>
      </c>
      <c r="AH10" s="556">
        <f t="shared" ca="1" si="13"/>
        <v>0</v>
      </c>
      <c r="AI10" s="556">
        <f t="shared" ca="1" si="13"/>
        <v>0</v>
      </c>
      <c r="AJ10" s="556">
        <f t="shared" ca="1" si="13"/>
        <v>0</v>
      </c>
      <c r="AK10" s="556">
        <f t="shared" ca="1" si="13"/>
        <v>0</v>
      </c>
      <c r="AL10" s="556">
        <f t="shared" ca="1" si="13"/>
        <v>0</v>
      </c>
      <c r="AM10" s="556">
        <f t="shared" ca="1" si="13"/>
        <v>0</v>
      </c>
      <c r="AN10" s="556">
        <f t="shared" ca="1" si="13"/>
        <v>0</v>
      </c>
      <c r="AO10" s="556">
        <f t="shared" ca="1" si="13"/>
        <v>0</v>
      </c>
      <c r="AP10" s="556">
        <f t="shared" ca="1" si="13"/>
        <v>0</v>
      </c>
      <c r="AQ10" s="556">
        <f t="shared" ca="1" si="13"/>
        <v>0</v>
      </c>
      <c r="AR10" s="556">
        <f t="shared" ca="1" si="13"/>
        <v>0</v>
      </c>
      <c r="AS10" s="556">
        <f t="shared" ca="1" si="13"/>
        <v>0</v>
      </c>
      <c r="AT10" s="556">
        <f t="shared" ca="1" si="13"/>
        <v>0</v>
      </c>
      <c r="AU10" s="556">
        <f t="shared" ca="1" si="13"/>
        <v>0</v>
      </c>
      <c r="AV10" s="556">
        <f t="shared" ca="1" si="13"/>
        <v>0</v>
      </c>
      <c r="AW10" s="556">
        <f t="shared" ca="1" si="13"/>
        <v>0</v>
      </c>
      <c r="AX10" s="556">
        <f t="shared" ca="1" si="13"/>
        <v>0</v>
      </c>
      <c r="AY10" s="556">
        <f t="shared" ca="1" si="13"/>
        <v>0</v>
      </c>
      <c r="AZ10" s="556">
        <f t="shared" ref="AZ10:CG10" ca="1" si="14">OFFSET($C$31,0,AZ$4)</f>
        <v>0</v>
      </c>
      <c r="BA10" s="556">
        <f t="shared" ca="1" si="14"/>
        <v>0</v>
      </c>
      <c r="BB10" s="556">
        <f t="shared" ca="1" si="14"/>
        <v>0</v>
      </c>
      <c r="BC10" s="556">
        <f t="shared" ca="1" si="14"/>
        <v>0</v>
      </c>
      <c r="BD10" s="556">
        <f t="shared" ca="1" si="14"/>
        <v>0</v>
      </c>
      <c r="BE10" s="556">
        <f t="shared" ca="1" si="14"/>
        <v>0</v>
      </c>
      <c r="BF10" s="556">
        <f t="shared" ca="1" si="14"/>
        <v>0</v>
      </c>
      <c r="BG10" s="556">
        <f t="shared" ca="1" si="14"/>
        <v>0</v>
      </c>
      <c r="BH10" s="556">
        <f t="shared" ca="1" si="14"/>
        <v>0</v>
      </c>
      <c r="BI10" s="556">
        <f t="shared" ca="1" si="14"/>
        <v>0</v>
      </c>
      <c r="BJ10" s="556">
        <f t="shared" ca="1" si="14"/>
        <v>0</v>
      </c>
      <c r="BK10" s="556">
        <f t="shared" ca="1" si="14"/>
        <v>0</v>
      </c>
      <c r="BL10" s="556">
        <f t="shared" ca="1" si="14"/>
        <v>0</v>
      </c>
      <c r="BM10" s="556">
        <f t="shared" ca="1" si="14"/>
        <v>0</v>
      </c>
      <c r="BN10" s="556">
        <f t="shared" ca="1" si="14"/>
        <v>0</v>
      </c>
      <c r="BO10" s="556">
        <f t="shared" ca="1" si="14"/>
        <v>0</v>
      </c>
      <c r="BP10" s="556">
        <f t="shared" ca="1" si="14"/>
        <v>0</v>
      </c>
      <c r="BQ10" s="556">
        <f t="shared" ca="1" si="14"/>
        <v>0</v>
      </c>
      <c r="BR10" s="556">
        <f t="shared" ca="1" si="14"/>
        <v>0</v>
      </c>
      <c r="BS10" s="556">
        <f t="shared" ca="1" si="14"/>
        <v>0</v>
      </c>
      <c r="BT10" s="556">
        <f t="shared" ca="1" si="14"/>
        <v>0</v>
      </c>
      <c r="BU10" s="556">
        <f t="shared" ca="1" si="14"/>
        <v>0</v>
      </c>
      <c r="BV10" s="556">
        <f t="shared" ca="1" si="14"/>
        <v>0</v>
      </c>
      <c r="BW10" s="556">
        <f t="shared" ca="1" si="14"/>
        <v>0</v>
      </c>
      <c r="BX10" s="556">
        <f t="shared" ca="1" si="14"/>
        <v>0</v>
      </c>
      <c r="BY10" s="556">
        <f t="shared" ca="1" si="14"/>
        <v>0</v>
      </c>
      <c r="BZ10" s="556">
        <f t="shared" ca="1" si="14"/>
        <v>0</v>
      </c>
      <c r="CA10" s="556">
        <f t="shared" ca="1" si="14"/>
        <v>0</v>
      </c>
      <c r="CB10" s="556">
        <f t="shared" ca="1" si="14"/>
        <v>0</v>
      </c>
      <c r="CC10" s="556">
        <f t="shared" ca="1" si="14"/>
        <v>0</v>
      </c>
      <c r="CD10" s="556">
        <f t="shared" ca="1" si="14"/>
        <v>0</v>
      </c>
      <c r="CE10" s="556">
        <f t="shared" ca="1" si="14"/>
        <v>0</v>
      </c>
      <c r="CF10" s="556">
        <f t="shared" ca="1" si="14"/>
        <v>0</v>
      </c>
      <c r="CG10" s="556">
        <f t="shared" ca="1" si="14"/>
        <v>0</v>
      </c>
    </row>
    <row r="11" spans="2:85" x14ac:dyDescent="0.2">
      <c r="B11" s="380">
        <v>35</v>
      </c>
      <c r="C11" s="563" t="s">
        <v>2135</v>
      </c>
      <c r="D11" s="564">
        <f ca="1">WP_Daten!G5</f>
        <v>0</v>
      </c>
      <c r="E11" s="565">
        <f ca="1">WP_Daten!I5</f>
        <v>0</v>
      </c>
      <c r="F11" s="565">
        <f ca="1">WP_Daten!K5</f>
        <v>0</v>
      </c>
      <c r="G11" s="565">
        <f ca="1">WP_Daten!M5</f>
        <v>0</v>
      </c>
      <c r="H11" s="649">
        <f ca="1">WP_Daten!O5</f>
        <v>0</v>
      </c>
      <c r="I11" s="566"/>
      <c r="J11" s="567"/>
      <c r="S11" s="552" t="s">
        <v>3275</v>
      </c>
      <c r="T11" s="556">
        <f t="shared" ref="T11:AY11" ca="1" si="15">OFFSET($C$34,0,T$3)</f>
        <v>0</v>
      </c>
      <c r="U11" s="556">
        <f t="shared" ca="1" si="15"/>
        <v>0</v>
      </c>
      <c r="V11" s="556">
        <f t="shared" ca="1" si="15"/>
        <v>0</v>
      </c>
      <c r="W11" s="556">
        <f t="shared" ca="1" si="15"/>
        <v>0</v>
      </c>
      <c r="X11" s="556">
        <f t="shared" ca="1" si="15"/>
        <v>0</v>
      </c>
      <c r="Y11" s="556">
        <f t="shared" ca="1" si="15"/>
        <v>0</v>
      </c>
      <c r="Z11" s="556">
        <f t="shared" ca="1" si="15"/>
        <v>0</v>
      </c>
      <c r="AA11" s="556">
        <f t="shared" ca="1" si="15"/>
        <v>0</v>
      </c>
      <c r="AB11" s="556">
        <f t="shared" ca="1" si="15"/>
        <v>0</v>
      </c>
      <c r="AC11" s="556">
        <f t="shared" ca="1" si="15"/>
        <v>0</v>
      </c>
      <c r="AD11" s="556">
        <f t="shared" ca="1" si="15"/>
        <v>0</v>
      </c>
      <c r="AE11" s="556">
        <f t="shared" ca="1" si="15"/>
        <v>0</v>
      </c>
      <c r="AF11" s="556">
        <f t="shared" ca="1" si="15"/>
        <v>0</v>
      </c>
      <c r="AG11" s="556">
        <f t="shared" ca="1" si="15"/>
        <v>0</v>
      </c>
      <c r="AH11" s="556">
        <f t="shared" ca="1" si="15"/>
        <v>0</v>
      </c>
      <c r="AI11" s="556">
        <f t="shared" ca="1" si="15"/>
        <v>0</v>
      </c>
      <c r="AJ11" s="556">
        <f t="shared" ca="1" si="15"/>
        <v>0</v>
      </c>
      <c r="AK11" s="556">
        <f t="shared" ca="1" si="15"/>
        <v>0</v>
      </c>
      <c r="AL11" s="556">
        <f t="shared" ca="1" si="15"/>
        <v>0</v>
      </c>
      <c r="AM11" s="556">
        <f t="shared" ca="1" si="15"/>
        <v>0</v>
      </c>
      <c r="AN11" s="556">
        <f t="shared" ca="1" si="15"/>
        <v>0</v>
      </c>
      <c r="AO11" s="556">
        <f t="shared" ca="1" si="15"/>
        <v>0</v>
      </c>
      <c r="AP11" s="556">
        <f t="shared" ca="1" si="15"/>
        <v>0</v>
      </c>
      <c r="AQ11" s="556">
        <f t="shared" ca="1" si="15"/>
        <v>0</v>
      </c>
      <c r="AR11" s="556">
        <f t="shared" ca="1" si="15"/>
        <v>0</v>
      </c>
      <c r="AS11" s="556">
        <f t="shared" ca="1" si="15"/>
        <v>0</v>
      </c>
      <c r="AT11" s="556">
        <f t="shared" ca="1" si="15"/>
        <v>0</v>
      </c>
      <c r="AU11" s="556">
        <f t="shared" ca="1" si="15"/>
        <v>0</v>
      </c>
      <c r="AV11" s="556">
        <f t="shared" ca="1" si="15"/>
        <v>0</v>
      </c>
      <c r="AW11" s="556">
        <f t="shared" ca="1" si="15"/>
        <v>0</v>
      </c>
      <c r="AX11" s="556">
        <f t="shared" ca="1" si="15"/>
        <v>0</v>
      </c>
      <c r="AY11" s="556">
        <f t="shared" ca="1" si="15"/>
        <v>0</v>
      </c>
      <c r="AZ11" s="556">
        <f t="shared" ref="AZ11:CG11" ca="1" si="16">OFFSET($C$34,0,AZ$3)</f>
        <v>0</v>
      </c>
      <c r="BA11" s="556">
        <f t="shared" ca="1" si="16"/>
        <v>0</v>
      </c>
      <c r="BB11" s="556">
        <f t="shared" ca="1" si="16"/>
        <v>0</v>
      </c>
      <c r="BC11" s="556">
        <f t="shared" ca="1" si="16"/>
        <v>0</v>
      </c>
      <c r="BD11" s="556">
        <f t="shared" ca="1" si="16"/>
        <v>0</v>
      </c>
      <c r="BE11" s="556">
        <f t="shared" ca="1" si="16"/>
        <v>0</v>
      </c>
      <c r="BF11" s="556">
        <f t="shared" ca="1" si="16"/>
        <v>0</v>
      </c>
      <c r="BG11" s="556">
        <f t="shared" ca="1" si="16"/>
        <v>0</v>
      </c>
      <c r="BH11" s="556">
        <f t="shared" ca="1" si="16"/>
        <v>0</v>
      </c>
      <c r="BI11" s="556">
        <f t="shared" ca="1" si="16"/>
        <v>0</v>
      </c>
      <c r="BJ11" s="556">
        <f t="shared" ca="1" si="16"/>
        <v>0</v>
      </c>
      <c r="BK11" s="556">
        <f t="shared" ca="1" si="16"/>
        <v>0</v>
      </c>
      <c r="BL11" s="556">
        <f t="shared" ca="1" si="16"/>
        <v>0</v>
      </c>
      <c r="BM11" s="556">
        <f t="shared" ca="1" si="16"/>
        <v>0</v>
      </c>
      <c r="BN11" s="556">
        <f t="shared" ca="1" si="16"/>
        <v>0</v>
      </c>
      <c r="BO11" s="556">
        <f t="shared" ca="1" si="16"/>
        <v>0</v>
      </c>
      <c r="BP11" s="556">
        <f t="shared" ca="1" si="16"/>
        <v>0</v>
      </c>
      <c r="BQ11" s="556">
        <f t="shared" ca="1" si="16"/>
        <v>0</v>
      </c>
      <c r="BR11" s="556">
        <f t="shared" ca="1" si="16"/>
        <v>0</v>
      </c>
      <c r="BS11" s="556">
        <f t="shared" ca="1" si="16"/>
        <v>0</v>
      </c>
      <c r="BT11" s="556">
        <f t="shared" ca="1" si="16"/>
        <v>0</v>
      </c>
      <c r="BU11" s="556">
        <f t="shared" ca="1" si="16"/>
        <v>0</v>
      </c>
      <c r="BV11" s="556">
        <f t="shared" ca="1" si="16"/>
        <v>0</v>
      </c>
      <c r="BW11" s="556">
        <f t="shared" ca="1" si="16"/>
        <v>0</v>
      </c>
      <c r="BX11" s="556">
        <f t="shared" ca="1" si="16"/>
        <v>0</v>
      </c>
      <c r="BY11" s="556">
        <f t="shared" ca="1" si="16"/>
        <v>0</v>
      </c>
      <c r="BZ11" s="556">
        <f t="shared" ca="1" si="16"/>
        <v>0</v>
      </c>
      <c r="CA11" s="556">
        <f t="shared" ca="1" si="16"/>
        <v>0</v>
      </c>
      <c r="CB11" s="556">
        <f t="shared" ca="1" si="16"/>
        <v>0</v>
      </c>
      <c r="CC11" s="556">
        <f t="shared" ca="1" si="16"/>
        <v>0</v>
      </c>
      <c r="CD11" s="556">
        <f t="shared" ca="1" si="16"/>
        <v>0</v>
      </c>
      <c r="CE11" s="556">
        <f t="shared" ca="1" si="16"/>
        <v>0</v>
      </c>
      <c r="CF11" s="556">
        <f t="shared" ca="1" si="16"/>
        <v>0</v>
      </c>
      <c r="CG11" s="556">
        <f t="shared" ca="1" si="16"/>
        <v>0</v>
      </c>
    </row>
    <row r="12" spans="2:85" x14ac:dyDescent="0.2">
      <c r="B12" s="557"/>
      <c r="C12" s="568" t="s">
        <v>774</v>
      </c>
      <c r="D12" s="569">
        <f ca="1">WP_Daten!H5</f>
        <v>0</v>
      </c>
      <c r="E12" s="570">
        <f ca="1">WP_Daten!J5</f>
        <v>0</v>
      </c>
      <c r="F12" s="570">
        <f ca="1">WP_Daten!L5</f>
        <v>0</v>
      </c>
      <c r="G12" s="570">
        <f ca="1">WP_Daten!N5</f>
        <v>0</v>
      </c>
      <c r="H12" s="650">
        <f ca="1">WP_Daten!P5</f>
        <v>0</v>
      </c>
      <c r="I12" s="571"/>
      <c r="J12" s="568"/>
      <c r="S12" s="552" t="s">
        <v>3276</v>
      </c>
      <c r="T12" s="556">
        <f t="shared" ref="T12:AY12" ca="1" si="17">OFFSET($C$34,0,T$4)</f>
        <v>0</v>
      </c>
      <c r="U12" s="556">
        <f t="shared" ca="1" si="17"/>
        <v>0</v>
      </c>
      <c r="V12" s="556">
        <f t="shared" ca="1" si="17"/>
        <v>0</v>
      </c>
      <c r="W12" s="556">
        <f t="shared" ca="1" si="17"/>
        <v>0</v>
      </c>
      <c r="X12" s="556">
        <f t="shared" ca="1" si="17"/>
        <v>0</v>
      </c>
      <c r="Y12" s="556">
        <f t="shared" ca="1" si="17"/>
        <v>0</v>
      </c>
      <c r="Z12" s="556">
        <f t="shared" ca="1" si="17"/>
        <v>0</v>
      </c>
      <c r="AA12" s="556">
        <f t="shared" ca="1" si="17"/>
        <v>0</v>
      </c>
      <c r="AB12" s="556">
        <f t="shared" ca="1" si="17"/>
        <v>0</v>
      </c>
      <c r="AC12" s="556">
        <f t="shared" ca="1" si="17"/>
        <v>0</v>
      </c>
      <c r="AD12" s="556">
        <f t="shared" ca="1" si="17"/>
        <v>0</v>
      </c>
      <c r="AE12" s="556">
        <f t="shared" ca="1" si="17"/>
        <v>0</v>
      </c>
      <c r="AF12" s="556">
        <f t="shared" ca="1" si="17"/>
        <v>0</v>
      </c>
      <c r="AG12" s="556">
        <f t="shared" ca="1" si="17"/>
        <v>0</v>
      </c>
      <c r="AH12" s="556">
        <f t="shared" ca="1" si="17"/>
        <v>0</v>
      </c>
      <c r="AI12" s="556">
        <f t="shared" ca="1" si="17"/>
        <v>0</v>
      </c>
      <c r="AJ12" s="556">
        <f t="shared" ca="1" si="17"/>
        <v>0</v>
      </c>
      <c r="AK12" s="556">
        <f t="shared" ca="1" si="17"/>
        <v>0</v>
      </c>
      <c r="AL12" s="556">
        <f t="shared" ca="1" si="17"/>
        <v>0</v>
      </c>
      <c r="AM12" s="556">
        <f t="shared" ca="1" si="17"/>
        <v>0</v>
      </c>
      <c r="AN12" s="556">
        <f t="shared" ca="1" si="17"/>
        <v>0</v>
      </c>
      <c r="AO12" s="556">
        <f t="shared" ca="1" si="17"/>
        <v>0</v>
      </c>
      <c r="AP12" s="556">
        <f t="shared" ca="1" si="17"/>
        <v>0</v>
      </c>
      <c r="AQ12" s="556">
        <f t="shared" ca="1" si="17"/>
        <v>0</v>
      </c>
      <c r="AR12" s="556">
        <f t="shared" ca="1" si="17"/>
        <v>0</v>
      </c>
      <c r="AS12" s="556">
        <f t="shared" ca="1" si="17"/>
        <v>0</v>
      </c>
      <c r="AT12" s="556">
        <f t="shared" ca="1" si="17"/>
        <v>0</v>
      </c>
      <c r="AU12" s="556">
        <f t="shared" ca="1" si="17"/>
        <v>0</v>
      </c>
      <c r="AV12" s="556">
        <f t="shared" ca="1" si="17"/>
        <v>0</v>
      </c>
      <c r="AW12" s="556">
        <f t="shared" ca="1" si="17"/>
        <v>0</v>
      </c>
      <c r="AX12" s="556">
        <f t="shared" ca="1" si="17"/>
        <v>0</v>
      </c>
      <c r="AY12" s="556">
        <f t="shared" ca="1" si="17"/>
        <v>0</v>
      </c>
      <c r="AZ12" s="556">
        <f t="shared" ref="AZ12:CG12" ca="1" si="18">OFFSET($C$34,0,AZ$4)</f>
        <v>0</v>
      </c>
      <c r="BA12" s="556">
        <f t="shared" ca="1" si="18"/>
        <v>0</v>
      </c>
      <c r="BB12" s="556">
        <f t="shared" ca="1" si="18"/>
        <v>0</v>
      </c>
      <c r="BC12" s="556">
        <f t="shared" ca="1" si="18"/>
        <v>0</v>
      </c>
      <c r="BD12" s="556">
        <f t="shared" ca="1" si="18"/>
        <v>0</v>
      </c>
      <c r="BE12" s="556">
        <f t="shared" ca="1" si="18"/>
        <v>0</v>
      </c>
      <c r="BF12" s="556">
        <f t="shared" ca="1" si="18"/>
        <v>0</v>
      </c>
      <c r="BG12" s="556">
        <f t="shared" ca="1" si="18"/>
        <v>0</v>
      </c>
      <c r="BH12" s="556">
        <f t="shared" ca="1" si="18"/>
        <v>0</v>
      </c>
      <c r="BI12" s="556">
        <f t="shared" ca="1" si="18"/>
        <v>0</v>
      </c>
      <c r="BJ12" s="556">
        <f t="shared" ca="1" si="18"/>
        <v>0</v>
      </c>
      <c r="BK12" s="556">
        <f t="shared" ca="1" si="18"/>
        <v>0</v>
      </c>
      <c r="BL12" s="556">
        <f t="shared" ca="1" si="18"/>
        <v>0</v>
      </c>
      <c r="BM12" s="556">
        <f t="shared" ca="1" si="18"/>
        <v>0</v>
      </c>
      <c r="BN12" s="556">
        <f t="shared" ca="1" si="18"/>
        <v>0</v>
      </c>
      <c r="BO12" s="556">
        <f t="shared" ca="1" si="18"/>
        <v>0</v>
      </c>
      <c r="BP12" s="556">
        <f t="shared" ca="1" si="18"/>
        <v>0</v>
      </c>
      <c r="BQ12" s="556">
        <f t="shared" ca="1" si="18"/>
        <v>0</v>
      </c>
      <c r="BR12" s="556">
        <f t="shared" ca="1" si="18"/>
        <v>0</v>
      </c>
      <c r="BS12" s="556">
        <f t="shared" ca="1" si="18"/>
        <v>0</v>
      </c>
      <c r="BT12" s="556">
        <f t="shared" ca="1" si="18"/>
        <v>0</v>
      </c>
      <c r="BU12" s="556">
        <f t="shared" ca="1" si="18"/>
        <v>0</v>
      </c>
      <c r="BV12" s="556">
        <f t="shared" ca="1" si="18"/>
        <v>0</v>
      </c>
      <c r="BW12" s="556">
        <f t="shared" ca="1" si="18"/>
        <v>0</v>
      </c>
      <c r="BX12" s="556">
        <f t="shared" ca="1" si="18"/>
        <v>0</v>
      </c>
      <c r="BY12" s="556">
        <f t="shared" ca="1" si="18"/>
        <v>0</v>
      </c>
      <c r="BZ12" s="556">
        <f t="shared" ca="1" si="18"/>
        <v>0</v>
      </c>
      <c r="CA12" s="556">
        <f t="shared" ca="1" si="18"/>
        <v>0</v>
      </c>
      <c r="CB12" s="556">
        <f t="shared" ca="1" si="18"/>
        <v>0</v>
      </c>
      <c r="CC12" s="556">
        <f t="shared" ca="1" si="18"/>
        <v>0</v>
      </c>
      <c r="CD12" s="556">
        <f t="shared" ca="1" si="18"/>
        <v>0</v>
      </c>
      <c r="CE12" s="556">
        <f t="shared" ca="1" si="18"/>
        <v>0</v>
      </c>
      <c r="CF12" s="556">
        <f t="shared" ca="1" si="18"/>
        <v>0</v>
      </c>
      <c r="CG12" s="556">
        <f t="shared" ca="1" si="18"/>
        <v>0</v>
      </c>
    </row>
    <row r="13" spans="2:85" x14ac:dyDescent="0.2">
      <c r="B13" s="380">
        <v>55</v>
      </c>
      <c r="C13" s="563" t="s">
        <v>2135</v>
      </c>
      <c r="D13" s="572"/>
      <c r="E13" s="565">
        <f ca="1">WP_Daten!Q5</f>
        <v>0</v>
      </c>
      <c r="F13" s="566"/>
      <c r="G13" s="565">
        <f ca="1">WP_Daten!S5</f>
        <v>0</v>
      </c>
      <c r="H13" s="565">
        <f ca="1">WP_Daten!U5</f>
        <v>0</v>
      </c>
      <c r="I13" s="566"/>
      <c r="J13" s="567"/>
      <c r="S13" s="641" t="s">
        <v>3883</v>
      </c>
      <c r="T13" s="573">
        <f ca="1">OFFSET($C$32,0,T$3)</f>
        <v>0</v>
      </c>
      <c r="U13" s="573">
        <f t="shared" ref="U13:CF13" ca="1" si="19">OFFSET($C$32,0,U$3)</f>
        <v>0</v>
      </c>
      <c r="V13" s="573">
        <f t="shared" ca="1" si="19"/>
        <v>0</v>
      </c>
      <c r="W13" s="573">
        <f t="shared" ca="1" si="19"/>
        <v>0</v>
      </c>
      <c r="X13" s="573">
        <f t="shared" ca="1" si="19"/>
        <v>0</v>
      </c>
      <c r="Y13" s="573">
        <f t="shared" ca="1" si="19"/>
        <v>0</v>
      </c>
      <c r="Z13" s="573">
        <f t="shared" ca="1" si="19"/>
        <v>0</v>
      </c>
      <c r="AA13" s="573">
        <f t="shared" ca="1" si="19"/>
        <v>0</v>
      </c>
      <c r="AB13" s="573">
        <f t="shared" ca="1" si="19"/>
        <v>0</v>
      </c>
      <c r="AC13" s="573">
        <f t="shared" ca="1" si="19"/>
        <v>0</v>
      </c>
      <c r="AD13" s="573">
        <f t="shared" ca="1" si="19"/>
        <v>0</v>
      </c>
      <c r="AE13" s="573">
        <f t="shared" ca="1" si="19"/>
        <v>0</v>
      </c>
      <c r="AF13" s="573">
        <f t="shared" ca="1" si="19"/>
        <v>0</v>
      </c>
      <c r="AG13" s="573">
        <f t="shared" ca="1" si="19"/>
        <v>0</v>
      </c>
      <c r="AH13" s="573">
        <f t="shared" ca="1" si="19"/>
        <v>0</v>
      </c>
      <c r="AI13" s="573">
        <f t="shared" ca="1" si="19"/>
        <v>0</v>
      </c>
      <c r="AJ13" s="573">
        <f t="shared" ca="1" si="19"/>
        <v>0</v>
      </c>
      <c r="AK13" s="573">
        <f t="shared" ca="1" si="19"/>
        <v>0</v>
      </c>
      <c r="AL13" s="573">
        <f t="shared" ca="1" si="19"/>
        <v>0</v>
      </c>
      <c r="AM13" s="573">
        <f t="shared" ca="1" si="19"/>
        <v>0</v>
      </c>
      <c r="AN13" s="573">
        <f t="shared" ca="1" si="19"/>
        <v>0</v>
      </c>
      <c r="AO13" s="573">
        <f t="shared" ca="1" si="19"/>
        <v>0</v>
      </c>
      <c r="AP13" s="573">
        <f t="shared" ca="1" si="19"/>
        <v>0</v>
      </c>
      <c r="AQ13" s="573">
        <f t="shared" ca="1" si="19"/>
        <v>0</v>
      </c>
      <c r="AR13" s="573">
        <f t="shared" ca="1" si="19"/>
        <v>0</v>
      </c>
      <c r="AS13" s="573">
        <f t="shared" ca="1" si="19"/>
        <v>0</v>
      </c>
      <c r="AT13" s="573">
        <f t="shared" ca="1" si="19"/>
        <v>0</v>
      </c>
      <c r="AU13" s="573">
        <f t="shared" ca="1" si="19"/>
        <v>0</v>
      </c>
      <c r="AV13" s="573">
        <f t="shared" ca="1" si="19"/>
        <v>0</v>
      </c>
      <c r="AW13" s="573">
        <f t="shared" ca="1" si="19"/>
        <v>0</v>
      </c>
      <c r="AX13" s="573">
        <f t="shared" ca="1" si="19"/>
        <v>0</v>
      </c>
      <c r="AY13" s="573">
        <f t="shared" ca="1" si="19"/>
        <v>0</v>
      </c>
      <c r="AZ13" s="573">
        <f t="shared" ca="1" si="19"/>
        <v>0</v>
      </c>
      <c r="BA13" s="573">
        <f t="shared" ca="1" si="19"/>
        <v>0</v>
      </c>
      <c r="BB13" s="573">
        <f t="shared" ca="1" si="19"/>
        <v>0</v>
      </c>
      <c r="BC13" s="573">
        <f t="shared" ca="1" si="19"/>
        <v>0</v>
      </c>
      <c r="BD13" s="573">
        <f t="shared" ca="1" si="19"/>
        <v>0</v>
      </c>
      <c r="BE13" s="573">
        <f t="shared" ca="1" si="19"/>
        <v>0</v>
      </c>
      <c r="BF13" s="573">
        <f t="shared" ca="1" si="19"/>
        <v>0</v>
      </c>
      <c r="BG13" s="573">
        <f t="shared" ca="1" si="19"/>
        <v>0</v>
      </c>
      <c r="BH13" s="573">
        <f t="shared" ca="1" si="19"/>
        <v>0</v>
      </c>
      <c r="BI13" s="573">
        <f t="shared" ca="1" si="19"/>
        <v>0</v>
      </c>
      <c r="BJ13" s="573">
        <f t="shared" ca="1" si="19"/>
        <v>0</v>
      </c>
      <c r="BK13" s="573">
        <f t="shared" ca="1" si="19"/>
        <v>0</v>
      </c>
      <c r="BL13" s="573">
        <f t="shared" ca="1" si="19"/>
        <v>0</v>
      </c>
      <c r="BM13" s="573">
        <f t="shared" ca="1" si="19"/>
        <v>0</v>
      </c>
      <c r="BN13" s="573">
        <f t="shared" ca="1" si="19"/>
        <v>0</v>
      </c>
      <c r="BO13" s="573">
        <f t="shared" ca="1" si="19"/>
        <v>0</v>
      </c>
      <c r="BP13" s="573">
        <f t="shared" ca="1" si="19"/>
        <v>0</v>
      </c>
      <c r="BQ13" s="573">
        <f t="shared" ca="1" si="19"/>
        <v>0</v>
      </c>
      <c r="BR13" s="573">
        <f t="shared" ca="1" si="19"/>
        <v>0</v>
      </c>
      <c r="BS13" s="573">
        <f t="shared" ca="1" si="19"/>
        <v>0</v>
      </c>
      <c r="BT13" s="573">
        <f t="shared" ca="1" si="19"/>
        <v>0</v>
      </c>
      <c r="BU13" s="573">
        <f t="shared" ca="1" si="19"/>
        <v>0</v>
      </c>
      <c r="BV13" s="573">
        <f t="shared" ca="1" si="19"/>
        <v>0</v>
      </c>
      <c r="BW13" s="573">
        <f t="shared" ca="1" si="19"/>
        <v>0</v>
      </c>
      <c r="BX13" s="573">
        <f t="shared" ca="1" si="19"/>
        <v>0</v>
      </c>
      <c r="BY13" s="573">
        <f t="shared" ca="1" si="19"/>
        <v>0</v>
      </c>
      <c r="BZ13" s="573">
        <f t="shared" ca="1" si="19"/>
        <v>0</v>
      </c>
      <c r="CA13" s="573">
        <f t="shared" ca="1" si="19"/>
        <v>0</v>
      </c>
      <c r="CB13" s="573">
        <f t="shared" ca="1" si="19"/>
        <v>0</v>
      </c>
      <c r="CC13" s="573">
        <f t="shared" ca="1" si="19"/>
        <v>0</v>
      </c>
      <c r="CD13" s="573">
        <f t="shared" ca="1" si="19"/>
        <v>0</v>
      </c>
      <c r="CE13" s="573">
        <f t="shared" ca="1" si="19"/>
        <v>0</v>
      </c>
      <c r="CF13" s="573">
        <f t="shared" ca="1" si="19"/>
        <v>0</v>
      </c>
      <c r="CG13" s="642">
        <f ca="1">OFFSET($C$32,0,CG$3)</f>
        <v>0</v>
      </c>
    </row>
    <row r="14" spans="2:85" x14ac:dyDescent="0.2">
      <c r="B14" s="557"/>
      <c r="C14" s="568" t="s">
        <v>774</v>
      </c>
      <c r="D14" s="574"/>
      <c r="E14" s="570">
        <f ca="1">WP_Daten!R5</f>
        <v>0</v>
      </c>
      <c r="F14" s="571"/>
      <c r="G14" s="570">
        <f ca="1">WP_Daten!T5</f>
        <v>0</v>
      </c>
      <c r="H14" s="570">
        <f ca="1">WP_Daten!V5</f>
        <v>0</v>
      </c>
      <c r="I14" s="571"/>
      <c r="J14" s="568"/>
      <c r="S14" s="641" t="s">
        <v>3884</v>
      </c>
      <c r="T14" s="573">
        <f ca="1">OFFSET($C$32,0,T$4)</f>
        <v>0</v>
      </c>
      <c r="U14" s="573">
        <f t="shared" ref="U14:CF14" ca="1" si="20">OFFSET($C$32,0,U$4)</f>
        <v>0</v>
      </c>
      <c r="V14" s="573">
        <f t="shared" ca="1" si="20"/>
        <v>0</v>
      </c>
      <c r="W14" s="573">
        <f t="shared" ca="1" si="20"/>
        <v>0</v>
      </c>
      <c r="X14" s="573">
        <f t="shared" ca="1" si="20"/>
        <v>0</v>
      </c>
      <c r="Y14" s="573">
        <f t="shared" ca="1" si="20"/>
        <v>0</v>
      </c>
      <c r="Z14" s="573">
        <f t="shared" ca="1" si="20"/>
        <v>0</v>
      </c>
      <c r="AA14" s="573">
        <f t="shared" ca="1" si="20"/>
        <v>0</v>
      </c>
      <c r="AB14" s="573">
        <f t="shared" ca="1" si="20"/>
        <v>0</v>
      </c>
      <c r="AC14" s="573">
        <f t="shared" ca="1" si="20"/>
        <v>0</v>
      </c>
      <c r="AD14" s="573">
        <f t="shared" ca="1" si="20"/>
        <v>0</v>
      </c>
      <c r="AE14" s="573">
        <f t="shared" ca="1" si="20"/>
        <v>0</v>
      </c>
      <c r="AF14" s="573">
        <f t="shared" ca="1" si="20"/>
        <v>0</v>
      </c>
      <c r="AG14" s="573">
        <f t="shared" ca="1" si="20"/>
        <v>0</v>
      </c>
      <c r="AH14" s="573">
        <f t="shared" ca="1" si="20"/>
        <v>0</v>
      </c>
      <c r="AI14" s="573">
        <f t="shared" ca="1" si="20"/>
        <v>0</v>
      </c>
      <c r="AJ14" s="573">
        <f t="shared" ca="1" si="20"/>
        <v>0</v>
      </c>
      <c r="AK14" s="573">
        <f t="shared" ca="1" si="20"/>
        <v>0</v>
      </c>
      <c r="AL14" s="573">
        <f t="shared" ca="1" si="20"/>
        <v>0</v>
      </c>
      <c r="AM14" s="573">
        <f t="shared" ca="1" si="20"/>
        <v>0</v>
      </c>
      <c r="AN14" s="573">
        <f t="shared" ca="1" si="20"/>
        <v>0</v>
      </c>
      <c r="AO14" s="573">
        <f t="shared" ca="1" si="20"/>
        <v>0</v>
      </c>
      <c r="AP14" s="573">
        <f t="shared" ca="1" si="20"/>
        <v>0</v>
      </c>
      <c r="AQ14" s="573">
        <f t="shared" ca="1" si="20"/>
        <v>0</v>
      </c>
      <c r="AR14" s="573">
        <f t="shared" ca="1" si="20"/>
        <v>0</v>
      </c>
      <c r="AS14" s="573">
        <f t="shared" ca="1" si="20"/>
        <v>0</v>
      </c>
      <c r="AT14" s="573">
        <f t="shared" ca="1" si="20"/>
        <v>0</v>
      </c>
      <c r="AU14" s="573">
        <f t="shared" ca="1" si="20"/>
        <v>0</v>
      </c>
      <c r="AV14" s="573">
        <f t="shared" ca="1" si="20"/>
        <v>0</v>
      </c>
      <c r="AW14" s="573">
        <f t="shared" ca="1" si="20"/>
        <v>0</v>
      </c>
      <c r="AX14" s="573">
        <f t="shared" ca="1" si="20"/>
        <v>0</v>
      </c>
      <c r="AY14" s="573">
        <f t="shared" ca="1" si="20"/>
        <v>0</v>
      </c>
      <c r="AZ14" s="573">
        <f t="shared" ca="1" si="20"/>
        <v>0</v>
      </c>
      <c r="BA14" s="573">
        <f t="shared" ca="1" si="20"/>
        <v>0</v>
      </c>
      <c r="BB14" s="573">
        <f t="shared" ca="1" si="20"/>
        <v>0</v>
      </c>
      <c r="BC14" s="573">
        <f t="shared" ca="1" si="20"/>
        <v>0</v>
      </c>
      <c r="BD14" s="573">
        <f t="shared" ca="1" si="20"/>
        <v>0</v>
      </c>
      <c r="BE14" s="573">
        <f t="shared" ca="1" si="20"/>
        <v>0</v>
      </c>
      <c r="BF14" s="573">
        <f t="shared" ca="1" si="20"/>
        <v>0</v>
      </c>
      <c r="BG14" s="573">
        <f t="shared" ca="1" si="20"/>
        <v>0</v>
      </c>
      <c r="BH14" s="573">
        <f t="shared" ca="1" si="20"/>
        <v>0</v>
      </c>
      <c r="BI14" s="573">
        <f t="shared" ca="1" si="20"/>
        <v>0</v>
      </c>
      <c r="BJ14" s="573">
        <f t="shared" ca="1" si="20"/>
        <v>0</v>
      </c>
      <c r="BK14" s="573">
        <f t="shared" ca="1" si="20"/>
        <v>0</v>
      </c>
      <c r="BL14" s="573">
        <f t="shared" ca="1" si="20"/>
        <v>0</v>
      </c>
      <c r="BM14" s="573">
        <f t="shared" ca="1" si="20"/>
        <v>0</v>
      </c>
      <c r="BN14" s="573">
        <f t="shared" ca="1" si="20"/>
        <v>0</v>
      </c>
      <c r="BO14" s="573">
        <f t="shared" ca="1" si="20"/>
        <v>0</v>
      </c>
      <c r="BP14" s="573">
        <f t="shared" ca="1" si="20"/>
        <v>0</v>
      </c>
      <c r="BQ14" s="573">
        <f t="shared" ca="1" si="20"/>
        <v>0</v>
      </c>
      <c r="BR14" s="573">
        <f t="shared" ca="1" si="20"/>
        <v>0</v>
      </c>
      <c r="BS14" s="573">
        <f t="shared" ca="1" si="20"/>
        <v>0</v>
      </c>
      <c r="BT14" s="573">
        <f t="shared" ca="1" si="20"/>
        <v>0</v>
      </c>
      <c r="BU14" s="573">
        <f t="shared" ca="1" si="20"/>
        <v>0</v>
      </c>
      <c r="BV14" s="573">
        <f t="shared" ca="1" si="20"/>
        <v>0</v>
      </c>
      <c r="BW14" s="573">
        <f t="shared" ca="1" si="20"/>
        <v>0</v>
      </c>
      <c r="BX14" s="573">
        <f t="shared" ca="1" si="20"/>
        <v>0</v>
      </c>
      <c r="BY14" s="573">
        <f t="shared" ca="1" si="20"/>
        <v>0</v>
      </c>
      <c r="BZ14" s="573">
        <f t="shared" ca="1" si="20"/>
        <v>0</v>
      </c>
      <c r="CA14" s="573">
        <f t="shared" ca="1" si="20"/>
        <v>0</v>
      </c>
      <c r="CB14" s="573">
        <f t="shared" ca="1" si="20"/>
        <v>0</v>
      </c>
      <c r="CC14" s="573">
        <f t="shared" ca="1" si="20"/>
        <v>0</v>
      </c>
      <c r="CD14" s="573">
        <f t="shared" ca="1" si="20"/>
        <v>0</v>
      </c>
      <c r="CE14" s="573">
        <f t="shared" ca="1" si="20"/>
        <v>0</v>
      </c>
      <c r="CF14" s="573">
        <f t="shared" ca="1" si="20"/>
        <v>0</v>
      </c>
      <c r="CG14" s="642">
        <f ca="1">OFFSET($C$32,0,CG$4)</f>
        <v>0</v>
      </c>
    </row>
    <row r="15" spans="2:85" x14ac:dyDescent="0.2">
      <c r="S15" s="641" t="s">
        <v>3885</v>
      </c>
      <c r="T15" s="573">
        <f ca="1">OFFSET($C$35,0,T$3)</f>
        <v>0</v>
      </c>
      <c r="U15" s="573">
        <f t="shared" ref="U15:CF15" ca="1" si="21">OFFSET($C$35,0,U$3)</f>
        <v>0</v>
      </c>
      <c r="V15" s="573">
        <f t="shared" ca="1" si="21"/>
        <v>0</v>
      </c>
      <c r="W15" s="573">
        <f t="shared" ca="1" si="21"/>
        <v>0</v>
      </c>
      <c r="X15" s="573">
        <f t="shared" ca="1" si="21"/>
        <v>0</v>
      </c>
      <c r="Y15" s="573">
        <f t="shared" ca="1" si="21"/>
        <v>0</v>
      </c>
      <c r="Z15" s="573">
        <f t="shared" ca="1" si="21"/>
        <v>0</v>
      </c>
      <c r="AA15" s="573">
        <f t="shared" ca="1" si="21"/>
        <v>0</v>
      </c>
      <c r="AB15" s="573">
        <f t="shared" ca="1" si="21"/>
        <v>0</v>
      </c>
      <c r="AC15" s="573">
        <f t="shared" ca="1" si="21"/>
        <v>0</v>
      </c>
      <c r="AD15" s="573">
        <f t="shared" ca="1" si="21"/>
        <v>0</v>
      </c>
      <c r="AE15" s="573">
        <f t="shared" ca="1" si="21"/>
        <v>0</v>
      </c>
      <c r="AF15" s="573">
        <f t="shared" ca="1" si="21"/>
        <v>0</v>
      </c>
      <c r="AG15" s="573">
        <f t="shared" ca="1" si="21"/>
        <v>0</v>
      </c>
      <c r="AH15" s="573">
        <f t="shared" ca="1" si="21"/>
        <v>0</v>
      </c>
      <c r="AI15" s="573">
        <f t="shared" ca="1" si="21"/>
        <v>0</v>
      </c>
      <c r="AJ15" s="573">
        <f t="shared" ca="1" si="21"/>
        <v>0</v>
      </c>
      <c r="AK15" s="573">
        <f t="shared" ca="1" si="21"/>
        <v>0</v>
      </c>
      <c r="AL15" s="573">
        <f t="shared" ca="1" si="21"/>
        <v>0</v>
      </c>
      <c r="AM15" s="573">
        <f t="shared" ca="1" si="21"/>
        <v>0</v>
      </c>
      <c r="AN15" s="573">
        <f t="shared" ca="1" si="21"/>
        <v>0</v>
      </c>
      <c r="AO15" s="573">
        <f t="shared" ca="1" si="21"/>
        <v>0</v>
      </c>
      <c r="AP15" s="573">
        <f t="shared" ca="1" si="21"/>
        <v>0</v>
      </c>
      <c r="AQ15" s="573">
        <f t="shared" ca="1" si="21"/>
        <v>0</v>
      </c>
      <c r="AR15" s="573">
        <f t="shared" ca="1" si="21"/>
        <v>0</v>
      </c>
      <c r="AS15" s="573">
        <f t="shared" ca="1" si="21"/>
        <v>0</v>
      </c>
      <c r="AT15" s="573">
        <f t="shared" ca="1" si="21"/>
        <v>0</v>
      </c>
      <c r="AU15" s="573">
        <f t="shared" ca="1" si="21"/>
        <v>0</v>
      </c>
      <c r="AV15" s="573">
        <f t="shared" ca="1" si="21"/>
        <v>0</v>
      </c>
      <c r="AW15" s="573">
        <f t="shared" ca="1" si="21"/>
        <v>0</v>
      </c>
      <c r="AX15" s="573">
        <f t="shared" ca="1" si="21"/>
        <v>0</v>
      </c>
      <c r="AY15" s="573">
        <f t="shared" ca="1" si="21"/>
        <v>0</v>
      </c>
      <c r="AZ15" s="573">
        <f t="shared" ca="1" si="21"/>
        <v>0</v>
      </c>
      <c r="BA15" s="573">
        <f t="shared" ca="1" si="21"/>
        <v>0</v>
      </c>
      <c r="BB15" s="573">
        <f t="shared" ca="1" si="21"/>
        <v>0</v>
      </c>
      <c r="BC15" s="573">
        <f t="shared" ca="1" si="21"/>
        <v>0</v>
      </c>
      <c r="BD15" s="573">
        <f t="shared" ca="1" si="21"/>
        <v>0</v>
      </c>
      <c r="BE15" s="573">
        <f t="shared" ca="1" si="21"/>
        <v>0</v>
      </c>
      <c r="BF15" s="573">
        <f t="shared" ca="1" si="21"/>
        <v>0</v>
      </c>
      <c r="BG15" s="573">
        <f t="shared" ca="1" si="21"/>
        <v>0</v>
      </c>
      <c r="BH15" s="573">
        <f t="shared" ca="1" si="21"/>
        <v>0</v>
      </c>
      <c r="BI15" s="573">
        <f t="shared" ca="1" si="21"/>
        <v>0</v>
      </c>
      <c r="BJ15" s="573">
        <f t="shared" ca="1" si="21"/>
        <v>0</v>
      </c>
      <c r="BK15" s="573">
        <f t="shared" ca="1" si="21"/>
        <v>0</v>
      </c>
      <c r="BL15" s="573">
        <f t="shared" ca="1" si="21"/>
        <v>0</v>
      </c>
      <c r="BM15" s="573">
        <f t="shared" ca="1" si="21"/>
        <v>0</v>
      </c>
      <c r="BN15" s="573">
        <f t="shared" ca="1" si="21"/>
        <v>0</v>
      </c>
      <c r="BO15" s="573">
        <f t="shared" ca="1" si="21"/>
        <v>0</v>
      </c>
      <c r="BP15" s="573">
        <f t="shared" ca="1" si="21"/>
        <v>0</v>
      </c>
      <c r="BQ15" s="573">
        <f t="shared" ca="1" si="21"/>
        <v>0</v>
      </c>
      <c r="BR15" s="573">
        <f t="shared" ca="1" si="21"/>
        <v>0</v>
      </c>
      <c r="BS15" s="573">
        <f t="shared" ca="1" si="21"/>
        <v>0</v>
      </c>
      <c r="BT15" s="573">
        <f t="shared" ca="1" si="21"/>
        <v>0</v>
      </c>
      <c r="BU15" s="573">
        <f t="shared" ca="1" si="21"/>
        <v>0</v>
      </c>
      <c r="BV15" s="573">
        <f t="shared" ca="1" si="21"/>
        <v>0</v>
      </c>
      <c r="BW15" s="573">
        <f t="shared" ca="1" si="21"/>
        <v>0</v>
      </c>
      <c r="BX15" s="573">
        <f t="shared" ca="1" si="21"/>
        <v>0</v>
      </c>
      <c r="BY15" s="573">
        <f t="shared" ca="1" si="21"/>
        <v>0</v>
      </c>
      <c r="BZ15" s="573">
        <f t="shared" ca="1" si="21"/>
        <v>0</v>
      </c>
      <c r="CA15" s="573">
        <f t="shared" ca="1" si="21"/>
        <v>0</v>
      </c>
      <c r="CB15" s="573">
        <f t="shared" ca="1" si="21"/>
        <v>0</v>
      </c>
      <c r="CC15" s="573">
        <f t="shared" ca="1" si="21"/>
        <v>0</v>
      </c>
      <c r="CD15" s="573">
        <f t="shared" ca="1" si="21"/>
        <v>0</v>
      </c>
      <c r="CE15" s="573">
        <f t="shared" ca="1" si="21"/>
        <v>0</v>
      </c>
      <c r="CF15" s="573">
        <f t="shared" ca="1" si="21"/>
        <v>0</v>
      </c>
      <c r="CG15" s="642">
        <f ca="1">OFFSET($C$35,0,CG$3)</f>
        <v>0</v>
      </c>
    </row>
    <row r="16" spans="2:85" x14ac:dyDescent="0.2">
      <c r="B16" t="s">
        <v>1372</v>
      </c>
      <c r="S16" s="641" t="s">
        <v>3886</v>
      </c>
      <c r="T16" s="573">
        <f ca="1">OFFSET($C$35,0,T$4)</f>
        <v>0</v>
      </c>
      <c r="U16" s="573">
        <f t="shared" ref="U16:CF16" ca="1" si="22">OFFSET($C$35,0,U$4)</f>
        <v>0</v>
      </c>
      <c r="V16" s="573">
        <f t="shared" ca="1" si="22"/>
        <v>0</v>
      </c>
      <c r="W16" s="573">
        <f t="shared" ca="1" si="22"/>
        <v>0</v>
      </c>
      <c r="X16" s="573">
        <f t="shared" ca="1" si="22"/>
        <v>0</v>
      </c>
      <c r="Y16" s="573">
        <f t="shared" ca="1" si="22"/>
        <v>0</v>
      </c>
      <c r="Z16" s="573">
        <f t="shared" ca="1" si="22"/>
        <v>0</v>
      </c>
      <c r="AA16" s="573">
        <f t="shared" ca="1" si="22"/>
        <v>0</v>
      </c>
      <c r="AB16" s="573">
        <f t="shared" ca="1" si="22"/>
        <v>0</v>
      </c>
      <c r="AC16" s="573">
        <f t="shared" ca="1" si="22"/>
        <v>0</v>
      </c>
      <c r="AD16" s="573">
        <f t="shared" ca="1" si="22"/>
        <v>0</v>
      </c>
      <c r="AE16" s="573">
        <f t="shared" ca="1" si="22"/>
        <v>0</v>
      </c>
      <c r="AF16" s="573">
        <f t="shared" ca="1" si="22"/>
        <v>0</v>
      </c>
      <c r="AG16" s="573">
        <f t="shared" ca="1" si="22"/>
        <v>0</v>
      </c>
      <c r="AH16" s="573">
        <f t="shared" ca="1" si="22"/>
        <v>0</v>
      </c>
      <c r="AI16" s="573">
        <f t="shared" ca="1" si="22"/>
        <v>0</v>
      </c>
      <c r="AJ16" s="573">
        <f t="shared" ca="1" si="22"/>
        <v>0</v>
      </c>
      <c r="AK16" s="573">
        <f t="shared" ca="1" si="22"/>
        <v>0</v>
      </c>
      <c r="AL16" s="573">
        <f t="shared" ca="1" si="22"/>
        <v>0</v>
      </c>
      <c r="AM16" s="573">
        <f t="shared" ca="1" si="22"/>
        <v>0</v>
      </c>
      <c r="AN16" s="573">
        <f t="shared" ca="1" si="22"/>
        <v>0</v>
      </c>
      <c r="AO16" s="573">
        <f t="shared" ca="1" si="22"/>
        <v>0</v>
      </c>
      <c r="AP16" s="573">
        <f t="shared" ca="1" si="22"/>
        <v>0</v>
      </c>
      <c r="AQ16" s="573">
        <f t="shared" ca="1" si="22"/>
        <v>0</v>
      </c>
      <c r="AR16" s="573">
        <f t="shared" ca="1" si="22"/>
        <v>0</v>
      </c>
      <c r="AS16" s="573">
        <f t="shared" ca="1" si="22"/>
        <v>0</v>
      </c>
      <c r="AT16" s="573">
        <f t="shared" ca="1" si="22"/>
        <v>0</v>
      </c>
      <c r="AU16" s="573">
        <f t="shared" ca="1" si="22"/>
        <v>0</v>
      </c>
      <c r="AV16" s="573">
        <f t="shared" ca="1" si="22"/>
        <v>0</v>
      </c>
      <c r="AW16" s="573">
        <f t="shared" ca="1" si="22"/>
        <v>0</v>
      </c>
      <c r="AX16" s="573">
        <f t="shared" ca="1" si="22"/>
        <v>0</v>
      </c>
      <c r="AY16" s="573">
        <f t="shared" ca="1" si="22"/>
        <v>0</v>
      </c>
      <c r="AZ16" s="573">
        <f t="shared" ca="1" si="22"/>
        <v>0</v>
      </c>
      <c r="BA16" s="573">
        <f t="shared" ca="1" si="22"/>
        <v>0</v>
      </c>
      <c r="BB16" s="573">
        <f t="shared" ca="1" si="22"/>
        <v>0</v>
      </c>
      <c r="BC16" s="573">
        <f t="shared" ca="1" si="22"/>
        <v>0</v>
      </c>
      <c r="BD16" s="573">
        <f t="shared" ca="1" si="22"/>
        <v>0</v>
      </c>
      <c r="BE16" s="573">
        <f t="shared" ca="1" si="22"/>
        <v>0</v>
      </c>
      <c r="BF16" s="573">
        <f t="shared" ca="1" si="22"/>
        <v>0</v>
      </c>
      <c r="BG16" s="573">
        <f t="shared" ca="1" si="22"/>
        <v>0</v>
      </c>
      <c r="BH16" s="573">
        <f t="shared" ca="1" si="22"/>
        <v>0</v>
      </c>
      <c r="BI16" s="573">
        <f t="shared" ca="1" si="22"/>
        <v>0</v>
      </c>
      <c r="BJ16" s="573">
        <f t="shared" ca="1" si="22"/>
        <v>0</v>
      </c>
      <c r="BK16" s="573">
        <f t="shared" ca="1" si="22"/>
        <v>0</v>
      </c>
      <c r="BL16" s="573">
        <f t="shared" ca="1" si="22"/>
        <v>0</v>
      </c>
      <c r="BM16" s="573">
        <f t="shared" ca="1" si="22"/>
        <v>0</v>
      </c>
      <c r="BN16" s="573">
        <f t="shared" ca="1" si="22"/>
        <v>0</v>
      </c>
      <c r="BO16" s="573">
        <f t="shared" ca="1" si="22"/>
        <v>0</v>
      </c>
      <c r="BP16" s="573">
        <f t="shared" ca="1" si="22"/>
        <v>0</v>
      </c>
      <c r="BQ16" s="573">
        <f t="shared" ca="1" si="22"/>
        <v>0</v>
      </c>
      <c r="BR16" s="573">
        <f t="shared" ca="1" si="22"/>
        <v>0</v>
      </c>
      <c r="BS16" s="573">
        <f t="shared" ca="1" si="22"/>
        <v>0</v>
      </c>
      <c r="BT16" s="573">
        <f t="shared" ca="1" si="22"/>
        <v>0</v>
      </c>
      <c r="BU16" s="573">
        <f t="shared" ca="1" si="22"/>
        <v>0</v>
      </c>
      <c r="BV16" s="573">
        <f t="shared" ca="1" si="22"/>
        <v>0</v>
      </c>
      <c r="BW16" s="573">
        <f t="shared" ca="1" si="22"/>
        <v>0</v>
      </c>
      <c r="BX16" s="573">
        <f t="shared" ca="1" si="22"/>
        <v>0</v>
      </c>
      <c r="BY16" s="573">
        <f t="shared" ca="1" si="22"/>
        <v>0</v>
      </c>
      <c r="BZ16" s="573">
        <f t="shared" ca="1" si="22"/>
        <v>0</v>
      </c>
      <c r="CA16" s="573">
        <f t="shared" ca="1" si="22"/>
        <v>0</v>
      </c>
      <c r="CB16" s="573">
        <f t="shared" ca="1" si="22"/>
        <v>0</v>
      </c>
      <c r="CC16" s="573">
        <f t="shared" ca="1" si="22"/>
        <v>0</v>
      </c>
      <c r="CD16" s="573">
        <f t="shared" ca="1" si="22"/>
        <v>0</v>
      </c>
      <c r="CE16" s="573">
        <f t="shared" ca="1" si="22"/>
        <v>0</v>
      </c>
      <c r="CF16" s="573">
        <f t="shared" ca="1" si="22"/>
        <v>0</v>
      </c>
      <c r="CG16" s="642">
        <f ca="1">OFFSET($C$35,0,CG$4)</f>
        <v>0</v>
      </c>
    </row>
    <row r="17" spans="2:85" ht="15.75" x14ac:dyDescent="0.3">
      <c r="B17" s="380"/>
      <c r="C17" s="381"/>
      <c r="D17" s="380" t="s">
        <v>1389</v>
      </c>
      <c r="E17" s="555"/>
      <c r="F17" s="555"/>
      <c r="G17" s="555"/>
      <c r="H17" s="555"/>
      <c r="I17" s="555"/>
      <c r="J17" s="381"/>
      <c r="L17" t="s">
        <v>1376</v>
      </c>
      <c r="S17" s="641" t="s">
        <v>3887</v>
      </c>
      <c r="T17" s="573">
        <f t="shared" ref="T17:AY17" ca="1" si="23">T13+((T14-T13)/(T8-T6))*(T39-T6)</f>
        <v>0</v>
      </c>
      <c r="U17" s="573">
        <f t="shared" ca="1" si="23"/>
        <v>0</v>
      </c>
      <c r="V17" s="573">
        <f t="shared" ca="1" si="23"/>
        <v>0</v>
      </c>
      <c r="W17" s="573">
        <f t="shared" ca="1" si="23"/>
        <v>0</v>
      </c>
      <c r="X17" s="573">
        <f t="shared" ca="1" si="23"/>
        <v>0</v>
      </c>
      <c r="Y17" s="573">
        <f t="shared" ca="1" si="23"/>
        <v>0</v>
      </c>
      <c r="Z17" s="573">
        <f t="shared" ca="1" si="23"/>
        <v>0</v>
      </c>
      <c r="AA17" s="573">
        <f t="shared" ca="1" si="23"/>
        <v>0</v>
      </c>
      <c r="AB17" s="573">
        <f t="shared" ca="1" si="23"/>
        <v>0</v>
      </c>
      <c r="AC17" s="573">
        <f t="shared" ca="1" si="23"/>
        <v>0</v>
      </c>
      <c r="AD17" s="573">
        <f t="shared" ca="1" si="23"/>
        <v>0</v>
      </c>
      <c r="AE17" s="573">
        <f t="shared" ca="1" si="23"/>
        <v>0</v>
      </c>
      <c r="AF17" s="573">
        <f t="shared" ca="1" si="23"/>
        <v>0</v>
      </c>
      <c r="AG17" s="573">
        <f t="shared" ca="1" si="23"/>
        <v>0</v>
      </c>
      <c r="AH17" s="573">
        <f t="shared" ca="1" si="23"/>
        <v>0</v>
      </c>
      <c r="AI17" s="573">
        <f t="shared" ca="1" si="23"/>
        <v>0</v>
      </c>
      <c r="AJ17" s="573">
        <f t="shared" ca="1" si="23"/>
        <v>0</v>
      </c>
      <c r="AK17" s="573">
        <f t="shared" ca="1" si="23"/>
        <v>0</v>
      </c>
      <c r="AL17" s="573">
        <f t="shared" ca="1" si="23"/>
        <v>0</v>
      </c>
      <c r="AM17" s="573">
        <f t="shared" ca="1" si="23"/>
        <v>0</v>
      </c>
      <c r="AN17" s="573">
        <f t="shared" ca="1" si="23"/>
        <v>0</v>
      </c>
      <c r="AO17" s="573">
        <f t="shared" ca="1" si="23"/>
        <v>0</v>
      </c>
      <c r="AP17" s="573">
        <f t="shared" ca="1" si="23"/>
        <v>0</v>
      </c>
      <c r="AQ17" s="573">
        <f t="shared" ca="1" si="23"/>
        <v>0</v>
      </c>
      <c r="AR17" s="573">
        <f t="shared" ca="1" si="23"/>
        <v>0</v>
      </c>
      <c r="AS17" s="573">
        <f t="shared" ca="1" si="23"/>
        <v>0</v>
      </c>
      <c r="AT17" s="573">
        <f t="shared" ca="1" si="23"/>
        <v>0</v>
      </c>
      <c r="AU17" s="573">
        <f t="shared" ca="1" si="23"/>
        <v>0</v>
      </c>
      <c r="AV17" s="573">
        <f t="shared" ca="1" si="23"/>
        <v>0</v>
      </c>
      <c r="AW17" s="573">
        <f t="shared" ca="1" si="23"/>
        <v>0</v>
      </c>
      <c r="AX17" s="573">
        <f t="shared" ca="1" si="23"/>
        <v>0</v>
      </c>
      <c r="AY17" s="573">
        <f t="shared" ca="1" si="23"/>
        <v>0</v>
      </c>
      <c r="AZ17" s="573">
        <f t="shared" ref="AZ17:CG17" ca="1" si="24">AZ13+((AZ14-AZ13)/(AZ8-AZ6))*(AZ39-AZ6)</f>
        <v>0</v>
      </c>
      <c r="BA17" s="573">
        <f t="shared" ca="1" si="24"/>
        <v>0</v>
      </c>
      <c r="BB17" s="573">
        <f t="shared" ca="1" si="24"/>
        <v>0</v>
      </c>
      <c r="BC17" s="573">
        <f t="shared" ca="1" si="24"/>
        <v>0</v>
      </c>
      <c r="BD17" s="573">
        <f t="shared" ca="1" si="24"/>
        <v>0</v>
      </c>
      <c r="BE17" s="573">
        <f t="shared" ca="1" si="24"/>
        <v>0</v>
      </c>
      <c r="BF17" s="573">
        <f t="shared" ca="1" si="24"/>
        <v>0</v>
      </c>
      <c r="BG17" s="573">
        <f t="shared" ca="1" si="24"/>
        <v>0</v>
      </c>
      <c r="BH17" s="573">
        <f t="shared" ca="1" si="24"/>
        <v>0</v>
      </c>
      <c r="BI17" s="573">
        <f t="shared" ca="1" si="24"/>
        <v>0</v>
      </c>
      <c r="BJ17" s="573">
        <f t="shared" ca="1" si="24"/>
        <v>0</v>
      </c>
      <c r="BK17" s="573">
        <f t="shared" ca="1" si="24"/>
        <v>0</v>
      </c>
      <c r="BL17" s="573">
        <f t="shared" ca="1" si="24"/>
        <v>0</v>
      </c>
      <c r="BM17" s="573">
        <f t="shared" ca="1" si="24"/>
        <v>0</v>
      </c>
      <c r="BN17" s="573">
        <f t="shared" ca="1" si="24"/>
        <v>0</v>
      </c>
      <c r="BO17" s="573">
        <f t="shared" ca="1" si="24"/>
        <v>0</v>
      </c>
      <c r="BP17" s="573">
        <f t="shared" ca="1" si="24"/>
        <v>0</v>
      </c>
      <c r="BQ17" s="573">
        <f t="shared" ca="1" si="24"/>
        <v>0</v>
      </c>
      <c r="BR17" s="573">
        <f t="shared" ca="1" si="24"/>
        <v>0</v>
      </c>
      <c r="BS17" s="573">
        <f t="shared" ca="1" si="24"/>
        <v>0</v>
      </c>
      <c r="BT17" s="573">
        <f t="shared" ca="1" si="24"/>
        <v>0</v>
      </c>
      <c r="BU17" s="573">
        <f t="shared" ca="1" si="24"/>
        <v>0</v>
      </c>
      <c r="BV17" s="573">
        <f t="shared" ca="1" si="24"/>
        <v>0</v>
      </c>
      <c r="BW17" s="573">
        <f t="shared" ca="1" si="24"/>
        <v>0</v>
      </c>
      <c r="BX17" s="573">
        <f t="shared" ca="1" si="24"/>
        <v>0</v>
      </c>
      <c r="BY17" s="573">
        <f t="shared" ca="1" si="24"/>
        <v>0</v>
      </c>
      <c r="BZ17" s="573">
        <f t="shared" ca="1" si="24"/>
        <v>0</v>
      </c>
      <c r="CA17" s="573">
        <f t="shared" ca="1" si="24"/>
        <v>0</v>
      </c>
      <c r="CB17" s="573">
        <f t="shared" ca="1" si="24"/>
        <v>0</v>
      </c>
      <c r="CC17" s="573">
        <f t="shared" ca="1" si="24"/>
        <v>0</v>
      </c>
      <c r="CD17" s="573">
        <f t="shared" ca="1" si="24"/>
        <v>0</v>
      </c>
      <c r="CE17" s="573">
        <f t="shared" ca="1" si="24"/>
        <v>0</v>
      </c>
      <c r="CF17" s="573">
        <f t="shared" ca="1" si="24"/>
        <v>0</v>
      </c>
      <c r="CG17" s="642">
        <f t="shared" ca="1" si="24"/>
        <v>0</v>
      </c>
    </row>
    <row r="18" spans="2:85" ht="15.75" x14ac:dyDescent="0.3">
      <c r="B18" s="382" t="s">
        <v>86</v>
      </c>
      <c r="C18" s="558"/>
      <c r="D18" s="575">
        <v>-25</v>
      </c>
      <c r="E18" s="576">
        <v>-15</v>
      </c>
      <c r="F18" s="576">
        <v>-7</v>
      </c>
      <c r="G18" s="576">
        <v>2</v>
      </c>
      <c r="H18" s="576">
        <v>7</v>
      </c>
      <c r="I18" s="576">
        <v>20</v>
      </c>
      <c r="J18" s="577">
        <v>60</v>
      </c>
      <c r="S18" s="641" t="s">
        <v>3888</v>
      </c>
      <c r="T18" s="573">
        <f t="shared" ref="T18:AY18" ca="1" si="25">T15+((T16-T15)/(T8-T6))*(T39-T6)</f>
        <v>0</v>
      </c>
      <c r="U18" s="573">
        <f t="shared" ca="1" si="25"/>
        <v>0</v>
      </c>
      <c r="V18" s="573">
        <f t="shared" ca="1" si="25"/>
        <v>0</v>
      </c>
      <c r="W18" s="573">
        <f t="shared" ca="1" si="25"/>
        <v>0</v>
      </c>
      <c r="X18" s="573">
        <f t="shared" ca="1" si="25"/>
        <v>0</v>
      </c>
      <c r="Y18" s="573">
        <f t="shared" ca="1" si="25"/>
        <v>0</v>
      </c>
      <c r="Z18" s="573">
        <f t="shared" ca="1" si="25"/>
        <v>0</v>
      </c>
      <c r="AA18" s="573">
        <f t="shared" ca="1" si="25"/>
        <v>0</v>
      </c>
      <c r="AB18" s="573">
        <f t="shared" ca="1" si="25"/>
        <v>0</v>
      </c>
      <c r="AC18" s="573">
        <f t="shared" ca="1" si="25"/>
        <v>0</v>
      </c>
      <c r="AD18" s="573">
        <f t="shared" ca="1" si="25"/>
        <v>0</v>
      </c>
      <c r="AE18" s="573">
        <f t="shared" ca="1" si="25"/>
        <v>0</v>
      </c>
      <c r="AF18" s="573">
        <f t="shared" ca="1" si="25"/>
        <v>0</v>
      </c>
      <c r="AG18" s="573">
        <f t="shared" ca="1" si="25"/>
        <v>0</v>
      </c>
      <c r="AH18" s="573">
        <f t="shared" ca="1" si="25"/>
        <v>0</v>
      </c>
      <c r="AI18" s="573">
        <f t="shared" ca="1" si="25"/>
        <v>0</v>
      </c>
      <c r="AJ18" s="573">
        <f t="shared" ca="1" si="25"/>
        <v>0</v>
      </c>
      <c r="AK18" s="573">
        <f t="shared" ca="1" si="25"/>
        <v>0</v>
      </c>
      <c r="AL18" s="573">
        <f t="shared" ca="1" si="25"/>
        <v>0</v>
      </c>
      <c r="AM18" s="573">
        <f t="shared" ca="1" si="25"/>
        <v>0</v>
      </c>
      <c r="AN18" s="573">
        <f t="shared" ca="1" si="25"/>
        <v>0</v>
      </c>
      <c r="AO18" s="573">
        <f t="shared" ca="1" si="25"/>
        <v>0</v>
      </c>
      <c r="AP18" s="573">
        <f t="shared" ca="1" si="25"/>
        <v>0</v>
      </c>
      <c r="AQ18" s="573">
        <f t="shared" ca="1" si="25"/>
        <v>0</v>
      </c>
      <c r="AR18" s="573">
        <f t="shared" ca="1" si="25"/>
        <v>0</v>
      </c>
      <c r="AS18" s="573">
        <f t="shared" ca="1" si="25"/>
        <v>0</v>
      </c>
      <c r="AT18" s="573">
        <f t="shared" ca="1" si="25"/>
        <v>0</v>
      </c>
      <c r="AU18" s="573">
        <f t="shared" ca="1" si="25"/>
        <v>0</v>
      </c>
      <c r="AV18" s="573">
        <f t="shared" ca="1" si="25"/>
        <v>0</v>
      </c>
      <c r="AW18" s="573">
        <f t="shared" ca="1" si="25"/>
        <v>0</v>
      </c>
      <c r="AX18" s="573">
        <f t="shared" ca="1" si="25"/>
        <v>0</v>
      </c>
      <c r="AY18" s="573">
        <f t="shared" ca="1" si="25"/>
        <v>0</v>
      </c>
      <c r="AZ18" s="573">
        <f t="shared" ref="AZ18:CG18" ca="1" si="26">AZ15+((AZ16-AZ15)/(AZ8-AZ6))*(AZ39-AZ6)</f>
        <v>0</v>
      </c>
      <c r="BA18" s="573">
        <f t="shared" ca="1" si="26"/>
        <v>0</v>
      </c>
      <c r="BB18" s="573">
        <f t="shared" ca="1" si="26"/>
        <v>0</v>
      </c>
      <c r="BC18" s="573">
        <f t="shared" ca="1" si="26"/>
        <v>0</v>
      </c>
      <c r="BD18" s="573">
        <f t="shared" ca="1" si="26"/>
        <v>0</v>
      </c>
      <c r="BE18" s="573">
        <f t="shared" ca="1" si="26"/>
        <v>0</v>
      </c>
      <c r="BF18" s="573">
        <f t="shared" ca="1" si="26"/>
        <v>0</v>
      </c>
      <c r="BG18" s="573">
        <f t="shared" ca="1" si="26"/>
        <v>0</v>
      </c>
      <c r="BH18" s="573">
        <f t="shared" ca="1" si="26"/>
        <v>0</v>
      </c>
      <c r="BI18" s="573">
        <f t="shared" ca="1" si="26"/>
        <v>0</v>
      </c>
      <c r="BJ18" s="573">
        <f t="shared" ca="1" si="26"/>
        <v>0</v>
      </c>
      <c r="BK18" s="573">
        <f t="shared" ca="1" si="26"/>
        <v>0</v>
      </c>
      <c r="BL18" s="573">
        <f t="shared" ca="1" si="26"/>
        <v>0</v>
      </c>
      <c r="BM18" s="573">
        <f t="shared" ca="1" si="26"/>
        <v>0</v>
      </c>
      <c r="BN18" s="573">
        <f t="shared" ca="1" si="26"/>
        <v>0</v>
      </c>
      <c r="BO18" s="573">
        <f t="shared" ca="1" si="26"/>
        <v>0</v>
      </c>
      <c r="BP18" s="573">
        <f t="shared" ca="1" si="26"/>
        <v>0</v>
      </c>
      <c r="BQ18" s="573">
        <f t="shared" ca="1" si="26"/>
        <v>0</v>
      </c>
      <c r="BR18" s="573">
        <f t="shared" ca="1" si="26"/>
        <v>0</v>
      </c>
      <c r="BS18" s="573">
        <f t="shared" ca="1" si="26"/>
        <v>0</v>
      </c>
      <c r="BT18" s="573">
        <f t="shared" ca="1" si="26"/>
        <v>0</v>
      </c>
      <c r="BU18" s="573">
        <f t="shared" ca="1" si="26"/>
        <v>0</v>
      </c>
      <c r="BV18" s="573">
        <f t="shared" ca="1" si="26"/>
        <v>0</v>
      </c>
      <c r="BW18" s="573">
        <f t="shared" ca="1" si="26"/>
        <v>0</v>
      </c>
      <c r="BX18" s="573">
        <f t="shared" ca="1" si="26"/>
        <v>0</v>
      </c>
      <c r="BY18" s="573">
        <f t="shared" ca="1" si="26"/>
        <v>0</v>
      </c>
      <c r="BZ18" s="573">
        <f t="shared" ca="1" si="26"/>
        <v>0</v>
      </c>
      <c r="CA18" s="573">
        <f t="shared" ca="1" si="26"/>
        <v>0</v>
      </c>
      <c r="CB18" s="573">
        <f t="shared" ca="1" si="26"/>
        <v>0</v>
      </c>
      <c r="CC18" s="573">
        <f t="shared" ca="1" si="26"/>
        <v>0</v>
      </c>
      <c r="CD18" s="573">
        <f t="shared" ca="1" si="26"/>
        <v>0</v>
      </c>
      <c r="CE18" s="573">
        <f t="shared" ca="1" si="26"/>
        <v>0</v>
      </c>
      <c r="CF18" s="573">
        <f t="shared" ca="1" si="26"/>
        <v>0</v>
      </c>
      <c r="CG18" s="642">
        <f t="shared" ca="1" si="26"/>
        <v>0</v>
      </c>
    </row>
    <row r="19" spans="2:85" x14ac:dyDescent="0.2">
      <c r="B19" s="606">
        <v>35</v>
      </c>
      <c r="C19" s="604" t="s">
        <v>2135</v>
      </c>
      <c r="D19" s="585">
        <f ca="1">E19-N19*(E18-D18)</f>
        <v>0</v>
      </c>
      <c r="E19" s="578">
        <f t="shared" ref="E19:H20" ca="1" si="27">D11</f>
        <v>0</v>
      </c>
      <c r="F19" s="578">
        <f t="shared" ca="1" si="27"/>
        <v>0</v>
      </c>
      <c r="G19" s="578">
        <f t="shared" ca="1" si="27"/>
        <v>0</v>
      </c>
      <c r="H19" s="578">
        <f t="shared" ca="1" si="27"/>
        <v>0</v>
      </c>
      <c r="I19" s="585">
        <f ca="1">IF(H11&gt;0,H11,H19+N22*(I18-H18))</f>
        <v>0</v>
      </c>
      <c r="J19" s="589">
        <f ca="1">I19</f>
        <v>0</v>
      </c>
      <c r="L19" t="s">
        <v>1378</v>
      </c>
      <c r="M19" s="552" t="s">
        <v>1379</v>
      </c>
      <c r="N19" s="579">
        <f ca="1">(F19-E19)/($F$18-$E$18)</f>
        <v>0</v>
      </c>
      <c r="S19" s="641" t="s">
        <v>3889</v>
      </c>
      <c r="T19">
        <f ca="1">IF(T17=0,0,T17/((T5+273.15)/(T5-T39)))</f>
        <v>0</v>
      </c>
      <c r="U19">
        <f t="shared" ref="U19:CF19" ca="1" si="28">IF(U17=0,0,U17/((U5+273.15)/(U5-U39)))</f>
        <v>0</v>
      </c>
      <c r="V19">
        <f t="shared" ca="1" si="28"/>
        <v>0</v>
      </c>
      <c r="W19">
        <f t="shared" ca="1" si="28"/>
        <v>0</v>
      </c>
      <c r="X19">
        <f t="shared" ca="1" si="28"/>
        <v>0</v>
      </c>
      <c r="Y19">
        <f t="shared" ca="1" si="28"/>
        <v>0</v>
      </c>
      <c r="Z19">
        <f t="shared" ca="1" si="28"/>
        <v>0</v>
      </c>
      <c r="AA19">
        <f t="shared" ca="1" si="28"/>
        <v>0</v>
      </c>
      <c r="AB19">
        <f t="shared" ca="1" si="28"/>
        <v>0</v>
      </c>
      <c r="AC19">
        <f t="shared" ca="1" si="28"/>
        <v>0</v>
      </c>
      <c r="AD19">
        <f t="shared" ca="1" si="28"/>
        <v>0</v>
      </c>
      <c r="AE19">
        <f t="shared" ca="1" si="28"/>
        <v>0</v>
      </c>
      <c r="AF19">
        <f t="shared" ca="1" si="28"/>
        <v>0</v>
      </c>
      <c r="AG19">
        <f t="shared" ca="1" si="28"/>
        <v>0</v>
      </c>
      <c r="AH19">
        <f t="shared" ca="1" si="28"/>
        <v>0</v>
      </c>
      <c r="AI19">
        <f t="shared" ca="1" si="28"/>
        <v>0</v>
      </c>
      <c r="AJ19">
        <f t="shared" ca="1" si="28"/>
        <v>0</v>
      </c>
      <c r="AK19">
        <f t="shared" ca="1" si="28"/>
        <v>0</v>
      </c>
      <c r="AL19">
        <f t="shared" ca="1" si="28"/>
        <v>0</v>
      </c>
      <c r="AM19">
        <f t="shared" ca="1" si="28"/>
        <v>0</v>
      </c>
      <c r="AN19">
        <f t="shared" ca="1" si="28"/>
        <v>0</v>
      </c>
      <c r="AO19">
        <f t="shared" ca="1" si="28"/>
        <v>0</v>
      </c>
      <c r="AP19">
        <f t="shared" ca="1" si="28"/>
        <v>0</v>
      </c>
      <c r="AQ19">
        <f t="shared" ca="1" si="28"/>
        <v>0</v>
      </c>
      <c r="AR19">
        <f t="shared" ca="1" si="28"/>
        <v>0</v>
      </c>
      <c r="AS19">
        <f t="shared" ca="1" si="28"/>
        <v>0</v>
      </c>
      <c r="AT19">
        <f t="shared" ca="1" si="28"/>
        <v>0</v>
      </c>
      <c r="AU19">
        <f t="shared" ca="1" si="28"/>
        <v>0</v>
      </c>
      <c r="AV19">
        <f t="shared" ca="1" si="28"/>
        <v>0</v>
      </c>
      <c r="AW19">
        <f t="shared" ca="1" si="28"/>
        <v>0</v>
      </c>
      <c r="AX19">
        <f t="shared" ca="1" si="28"/>
        <v>0</v>
      </c>
      <c r="AY19">
        <f t="shared" ca="1" si="28"/>
        <v>0</v>
      </c>
      <c r="AZ19">
        <f t="shared" ca="1" si="28"/>
        <v>0</v>
      </c>
      <c r="BA19">
        <f t="shared" ca="1" si="28"/>
        <v>0</v>
      </c>
      <c r="BB19">
        <f t="shared" ca="1" si="28"/>
        <v>0</v>
      </c>
      <c r="BC19">
        <f t="shared" ca="1" si="28"/>
        <v>0</v>
      </c>
      <c r="BD19">
        <f t="shared" ca="1" si="28"/>
        <v>0</v>
      </c>
      <c r="BE19">
        <f t="shared" ca="1" si="28"/>
        <v>0</v>
      </c>
      <c r="BF19">
        <f t="shared" ca="1" si="28"/>
        <v>0</v>
      </c>
      <c r="BG19">
        <f t="shared" ca="1" si="28"/>
        <v>0</v>
      </c>
      <c r="BH19">
        <f t="shared" ca="1" si="28"/>
        <v>0</v>
      </c>
      <c r="BI19">
        <f t="shared" ca="1" si="28"/>
        <v>0</v>
      </c>
      <c r="BJ19">
        <f t="shared" ca="1" si="28"/>
        <v>0</v>
      </c>
      <c r="BK19">
        <f t="shared" ca="1" si="28"/>
        <v>0</v>
      </c>
      <c r="BL19">
        <f t="shared" ca="1" si="28"/>
        <v>0</v>
      </c>
      <c r="BM19">
        <f t="shared" ca="1" si="28"/>
        <v>0</v>
      </c>
      <c r="BN19">
        <f t="shared" ca="1" si="28"/>
        <v>0</v>
      </c>
      <c r="BO19">
        <f t="shared" ca="1" si="28"/>
        <v>0</v>
      </c>
      <c r="BP19">
        <f t="shared" ca="1" si="28"/>
        <v>0</v>
      </c>
      <c r="BQ19">
        <f t="shared" ca="1" si="28"/>
        <v>0</v>
      </c>
      <c r="BR19">
        <f t="shared" ca="1" si="28"/>
        <v>0</v>
      </c>
      <c r="BS19">
        <f t="shared" ca="1" si="28"/>
        <v>0</v>
      </c>
      <c r="BT19">
        <f t="shared" ca="1" si="28"/>
        <v>0</v>
      </c>
      <c r="BU19">
        <f t="shared" ca="1" si="28"/>
        <v>0</v>
      </c>
      <c r="BV19">
        <f t="shared" ca="1" si="28"/>
        <v>0</v>
      </c>
      <c r="BW19">
        <f t="shared" ca="1" si="28"/>
        <v>0</v>
      </c>
      <c r="BX19">
        <f t="shared" ca="1" si="28"/>
        <v>0</v>
      </c>
      <c r="BY19">
        <f t="shared" ca="1" si="28"/>
        <v>0</v>
      </c>
      <c r="BZ19">
        <f t="shared" ca="1" si="28"/>
        <v>0</v>
      </c>
      <c r="CA19">
        <f t="shared" ca="1" si="28"/>
        <v>0</v>
      </c>
      <c r="CB19">
        <f t="shared" ca="1" si="28"/>
        <v>0</v>
      </c>
      <c r="CC19">
        <f t="shared" ca="1" si="28"/>
        <v>0</v>
      </c>
      <c r="CD19">
        <f t="shared" ca="1" si="28"/>
        <v>0</v>
      </c>
      <c r="CE19">
        <f t="shared" ca="1" si="28"/>
        <v>0</v>
      </c>
      <c r="CF19">
        <f t="shared" ca="1" si="28"/>
        <v>0</v>
      </c>
      <c r="CG19">
        <f ca="1">IF(CG17=0,0,CG17/((CG5+273.15)/(CG5-CG39)))</f>
        <v>0</v>
      </c>
    </row>
    <row r="20" spans="2:85" x14ac:dyDescent="0.2">
      <c r="B20" s="607"/>
      <c r="C20" s="605" t="s">
        <v>774</v>
      </c>
      <c r="D20" s="586">
        <f ca="1">(($B19+273.15)/($B19-D$18))*D21</f>
        <v>0</v>
      </c>
      <c r="E20" s="580">
        <f t="shared" ca="1" si="27"/>
        <v>0</v>
      </c>
      <c r="F20" s="580">
        <f t="shared" ca="1" si="27"/>
        <v>0</v>
      </c>
      <c r="G20" s="580">
        <f t="shared" ca="1" si="27"/>
        <v>0</v>
      </c>
      <c r="H20" s="580">
        <f t="shared" ca="1" si="27"/>
        <v>0</v>
      </c>
      <c r="I20" s="586">
        <f ca="1">IF(H12&gt;0,H12,H20+N23*(I18-H18))</f>
        <v>0</v>
      </c>
      <c r="J20" s="590">
        <f ca="1">I20</f>
        <v>0</v>
      </c>
      <c r="M20" t="s">
        <v>774</v>
      </c>
      <c r="N20" s="579">
        <f ca="1">(F20-E20)/($F$18-$E$18)</f>
        <v>0</v>
      </c>
      <c r="S20" s="643" t="s">
        <v>3890</v>
      </c>
      <c r="T20" s="644">
        <f ca="1">IF(T18=0,0,T18/((T7+273.15)/(T7-T39)))</f>
        <v>0</v>
      </c>
      <c r="U20" s="644">
        <f t="shared" ref="U20:CF20" ca="1" si="29">IF(U18=0,0,U18/((U7+273.15)/(U7-U39)))</f>
        <v>0</v>
      </c>
      <c r="V20" s="644">
        <f t="shared" ca="1" si="29"/>
        <v>0</v>
      </c>
      <c r="W20" s="644">
        <f t="shared" ca="1" si="29"/>
        <v>0</v>
      </c>
      <c r="X20" s="644">
        <f t="shared" ca="1" si="29"/>
        <v>0</v>
      </c>
      <c r="Y20" s="644">
        <f t="shared" ca="1" si="29"/>
        <v>0</v>
      </c>
      <c r="Z20" s="644">
        <f t="shared" ca="1" si="29"/>
        <v>0</v>
      </c>
      <c r="AA20" s="644">
        <f t="shared" ca="1" si="29"/>
        <v>0</v>
      </c>
      <c r="AB20" s="644">
        <f t="shared" ca="1" si="29"/>
        <v>0</v>
      </c>
      <c r="AC20" s="644">
        <f t="shared" ca="1" si="29"/>
        <v>0</v>
      </c>
      <c r="AD20" s="644">
        <f t="shared" ca="1" si="29"/>
        <v>0</v>
      </c>
      <c r="AE20" s="644">
        <f t="shared" ca="1" si="29"/>
        <v>0</v>
      </c>
      <c r="AF20" s="644">
        <f t="shared" ca="1" si="29"/>
        <v>0</v>
      </c>
      <c r="AG20" s="644">
        <f t="shared" ca="1" si="29"/>
        <v>0</v>
      </c>
      <c r="AH20" s="644">
        <f t="shared" ca="1" si="29"/>
        <v>0</v>
      </c>
      <c r="AI20" s="644">
        <f t="shared" ca="1" si="29"/>
        <v>0</v>
      </c>
      <c r="AJ20" s="644">
        <f t="shared" ca="1" si="29"/>
        <v>0</v>
      </c>
      <c r="AK20" s="644">
        <f t="shared" ca="1" si="29"/>
        <v>0</v>
      </c>
      <c r="AL20" s="644">
        <f t="shared" ca="1" si="29"/>
        <v>0</v>
      </c>
      <c r="AM20" s="644">
        <f t="shared" ca="1" si="29"/>
        <v>0</v>
      </c>
      <c r="AN20" s="644">
        <f t="shared" ca="1" si="29"/>
        <v>0</v>
      </c>
      <c r="AO20" s="644">
        <f t="shared" ca="1" si="29"/>
        <v>0</v>
      </c>
      <c r="AP20" s="644">
        <f t="shared" ca="1" si="29"/>
        <v>0</v>
      </c>
      <c r="AQ20" s="644">
        <f t="shared" ca="1" si="29"/>
        <v>0</v>
      </c>
      <c r="AR20" s="644">
        <f t="shared" ca="1" si="29"/>
        <v>0</v>
      </c>
      <c r="AS20" s="644">
        <f t="shared" ca="1" si="29"/>
        <v>0</v>
      </c>
      <c r="AT20" s="644">
        <f t="shared" ca="1" si="29"/>
        <v>0</v>
      </c>
      <c r="AU20" s="644">
        <f t="shared" ca="1" si="29"/>
        <v>0</v>
      </c>
      <c r="AV20" s="644">
        <f t="shared" ca="1" si="29"/>
        <v>0</v>
      </c>
      <c r="AW20" s="644">
        <f t="shared" ca="1" si="29"/>
        <v>0</v>
      </c>
      <c r="AX20" s="644">
        <f t="shared" ca="1" si="29"/>
        <v>0</v>
      </c>
      <c r="AY20" s="644">
        <f t="shared" ca="1" si="29"/>
        <v>0</v>
      </c>
      <c r="AZ20" s="644">
        <f t="shared" ca="1" si="29"/>
        <v>0</v>
      </c>
      <c r="BA20" s="644">
        <f t="shared" ca="1" si="29"/>
        <v>0</v>
      </c>
      <c r="BB20" s="644">
        <f t="shared" ca="1" si="29"/>
        <v>0</v>
      </c>
      <c r="BC20" s="644">
        <f t="shared" ca="1" si="29"/>
        <v>0</v>
      </c>
      <c r="BD20" s="644">
        <f t="shared" ca="1" si="29"/>
        <v>0</v>
      </c>
      <c r="BE20" s="644">
        <f t="shared" ca="1" si="29"/>
        <v>0</v>
      </c>
      <c r="BF20" s="644">
        <f t="shared" ca="1" si="29"/>
        <v>0</v>
      </c>
      <c r="BG20" s="644">
        <f t="shared" ca="1" si="29"/>
        <v>0</v>
      </c>
      <c r="BH20" s="644">
        <f t="shared" ca="1" si="29"/>
        <v>0</v>
      </c>
      <c r="BI20" s="644">
        <f t="shared" ca="1" si="29"/>
        <v>0</v>
      </c>
      <c r="BJ20" s="644">
        <f t="shared" ca="1" si="29"/>
        <v>0</v>
      </c>
      <c r="BK20" s="644">
        <f t="shared" ca="1" si="29"/>
        <v>0</v>
      </c>
      <c r="BL20" s="644">
        <f t="shared" ca="1" si="29"/>
        <v>0</v>
      </c>
      <c r="BM20" s="644">
        <f t="shared" ca="1" si="29"/>
        <v>0</v>
      </c>
      <c r="BN20" s="644">
        <f t="shared" ca="1" si="29"/>
        <v>0</v>
      </c>
      <c r="BO20" s="644">
        <f t="shared" ca="1" si="29"/>
        <v>0</v>
      </c>
      <c r="BP20" s="644">
        <f t="shared" ca="1" si="29"/>
        <v>0</v>
      </c>
      <c r="BQ20" s="644">
        <f t="shared" ca="1" si="29"/>
        <v>0</v>
      </c>
      <c r="BR20" s="644">
        <f t="shared" ca="1" si="29"/>
        <v>0</v>
      </c>
      <c r="BS20" s="644">
        <f t="shared" ca="1" si="29"/>
        <v>0</v>
      </c>
      <c r="BT20" s="644">
        <f t="shared" ca="1" si="29"/>
        <v>0</v>
      </c>
      <c r="BU20" s="644">
        <f t="shared" ca="1" si="29"/>
        <v>0</v>
      </c>
      <c r="BV20" s="644">
        <f t="shared" ca="1" si="29"/>
        <v>0</v>
      </c>
      <c r="BW20" s="644">
        <f t="shared" ca="1" si="29"/>
        <v>0</v>
      </c>
      <c r="BX20" s="644">
        <f t="shared" ca="1" si="29"/>
        <v>0</v>
      </c>
      <c r="BY20" s="644">
        <f t="shared" ca="1" si="29"/>
        <v>0</v>
      </c>
      <c r="BZ20" s="644">
        <f t="shared" ca="1" si="29"/>
        <v>0</v>
      </c>
      <c r="CA20" s="644">
        <f t="shared" ca="1" si="29"/>
        <v>0</v>
      </c>
      <c r="CB20" s="644">
        <f t="shared" ca="1" si="29"/>
        <v>0</v>
      </c>
      <c r="CC20" s="644">
        <f t="shared" ca="1" si="29"/>
        <v>0</v>
      </c>
      <c r="CD20" s="644">
        <f t="shared" ca="1" si="29"/>
        <v>0</v>
      </c>
      <c r="CE20" s="644">
        <f t="shared" ca="1" si="29"/>
        <v>0</v>
      </c>
      <c r="CF20" s="644">
        <f t="shared" ca="1" si="29"/>
        <v>0</v>
      </c>
      <c r="CG20" s="644">
        <f ca="1">IF(CG18=0,0,CG18/((CG7+273.15)/(CG7-CG39)))</f>
        <v>0</v>
      </c>
    </row>
    <row r="21" spans="2:85" x14ac:dyDescent="0.2">
      <c r="B21" s="608"/>
      <c r="C21" s="603" t="s">
        <v>103</v>
      </c>
      <c r="D21" s="602">
        <f ca="1">E21</f>
        <v>0</v>
      </c>
      <c r="E21" s="582">
        <f t="shared" ref="E21:J21" ca="1" si="30">E20/(($B19+273.15)/($B19-E$18))</f>
        <v>0</v>
      </c>
      <c r="F21" s="582">
        <f t="shared" ca="1" si="30"/>
        <v>0</v>
      </c>
      <c r="G21" s="582">
        <f t="shared" ca="1" si="30"/>
        <v>0</v>
      </c>
      <c r="H21" s="582">
        <f t="shared" ca="1" si="30"/>
        <v>0</v>
      </c>
      <c r="I21" s="587">
        <f t="shared" ca="1" si="30"/>
        <v>0</v>
      </c>
      <c r="J21" s="588">
        <f t="shared" ca="1" si="30"/>
        <v>0</v>
      </c>
      <c r="N21" s="579"/>
    </row>
    <row r="22" spans="2:85" x14ac:dyDescent="0.2">
      <c r="B22" s="606">
        <v>55</v>
      </c>
      <c r="C22" s="563" t="s">
        <v>2135</v>
      </c>
      <c r="D22" s="585">
        <f ca="1">E22-N19*(E18-D18)</f>
        <v>0</v>
      </c>
      <c r="E22" s="585">
        <f ca="1">F22-N19*(F18-E18)</f>
        <v>0</v>
      </c>
      <c r="F22" s="578">
        <f ca="1">E13</f>
        <v>0</v>
      </c>
      <c r="G22" s="585">
        <f ca="1">F22+Q23*(G18-F18)</f>
        <v>0</v>
      </c>
      <c r="H22" s="578">
        <f ca="1">G13</f>
        <v>0</v>
      </c>
      <c r="I22" s="578">
        <f ca="1">IF(H13=0,G13,H13)</f>
        <v>0</v>
      </c>
      <c r="J22" s="589">
        <f ca="1">I22</f>
        <v>0</v>
      </c>
      <c r="L22" t="s">
        <v>1382</v>
      </c>
      <c r="M22" s="552" t="s">
        <v>1379</v>
      </c>
      <c r="N22" s="579">
        <f ca="1">(I22-H22)/($I$18-$H$18)</f>
        <v>0</v>
      </c>
      <c r="O22" t="s">
        <v>1383</v>
      </c>
      <c r="P22" t="s">
        <v>1384</v>
      </c>
    </row>
    <row r="23" spans="2:85" x14ac:dyDescent="0.2">
      <c r="B23" s="607"/>
      <c r="C23" s="568" t="s">
        <v>774</v>
      </c>
      <c r="D23" s="586">
        <f ca="1">(($B22+273.15)/($B22-D$18))*D24</f>
        <v>0</v>
      </c>
      <c r="E23" s="586">
        <f ca="1">F23-N20*(F18-E18)</f>
        <v>0</v>
      </c>
      <c r="F23" s="580">
        <f ca="1">E14</f>
        <v>0</v>
      </c>
      <c r="G23" s="586">
        <f ca="1">F23+Q24*(G18-F18)</f>
        <v>0</v>
      </c>
      <c r="H23" s="580">
        <f ca="1">G14</f>
        <v>0</v>
      </c>
      <c r="I23" s="580">
        <f ca="1">IF(H14=0,G14,H14)</f>
        <v>0</v>
      </c>
      <c r="J23" s="590">
        <f ca="1">I23</f>
        <v>0</v>
      </c>
      <c r="M23" t="s">
        <v>774</v>
      </c>
      <c r="N23" s="579">
        <f ca="1">(I23-H23)/($I$18-$H$18)</f>
        <v>0</v>
      </c>
      <c r="P23" t="s">
        <v>774</v>
      </c>
      <c r="Q23" s="579">
        <f ca="1">(H22-F22)/($H$18-$F$18)</f>
        <v>0</v>
      </c>
      <c r="S23" s="595" t="s">
        <v>97</v>
      </c>
    </row>
    <row r="24" spans="2:85" x14ac:dyDescent="0.2">
      <c r="B24" s="608"/>
      <c r="C24" s="603" t="s">
        <v>103</v>
      </c>
      <c r="D24" s="587">
        <f ca="1">E24</f>
        <v>0</v>
      </c>
      <c r="E24" s="582">
        <f t="shared" ref="E24:J24" ca="1" si="31">E23/(($B22+273.15)/($B22-E$18))</f>
        <v>0</v>
      </c>
      <c r="F24" s="582">
        <f t="shared" ca="1" si="31"/>
        <v>0</v>
      </c>
      <c r="G24" s="582">
        <f t="shared" ca="1" si="31"/>
        <v>0</v>
      </c>
      <c r="H24" s="582">
        <f t="shared" ca="1" si="31"/>
        <v>0</v>
      </c>
      <c r="I24" s="587">
        <f t="shared" ca="1" si="31"/>
        <v>0</v>
      </c>
      <c r="J24" s="588">
        <f t="shared" ca="1" si="31"/>
        <v>0</v>
      </c>
      <c r="Q24" s="579">
        <f ca="1">(H23-F23)/($H$18-$F$18)</f>
        <v>0</v>
      </c>
      <c r="S24" s="552" t="s">
        <v>1373</v>
      </c>
      <c r="T24" s="573" t="e">
        <f t="shared" ref="T24:AY24" ca="1" si="32">1-((T39-T6)/(T8-T6))-((T43-T5)/(T7-T5))+T27</f>
        <v>#DIV/0!</v>
      </c>
      <c r="U24" s="573" t="e">
        <f t="shared" ca="1" si="32"/>
        <v>#DIV/0!</v>
      </c>
      <c r="V24" s="573" t="e">
        <f t="shared" ca="1" si="32"/>
        <v>#DIV/0!</v>
      </c>
      <c r="W24" s="573" t="e">
        <f t="shared" ca="1" si="32"/>
        <v>#DIV/0!</v>
      </c>
      <c r="X24" s="573" t="e">
        <f t="shared" ca="1" si="32"/>
        <v>#DIV/0!</v>
      </c>
      <c r="Y24" s="573" t="e">
        <f t="shared" ca="1" si="32"/>
        <v>#DIV/0!</v>
      </c>
      <c r="Z24" s="573" t="e">
        <f t="shared" ca="1" si="32"/>
        <v>#DIV/0!</v>
      </c>
      <c r="AA24" s="573" t="e">
        <f t="shared" ca="1" si="32"/>
        <v>#DIV/0!</v>
      </c>
      <c r="AB24" s="573" t="e">
        <f t="shared" ca="1" si="32"/>
        <v>#DIV/0!</v>
      </c>
      <c r="AC24" s="573" t="e">
        <f t="shared" ca="1" si="32"/>
        <v>#DIV/0!</v>
      </c>
      <c r="AD24" s="573" t="e">
        <f t="shared" ca="1" si="32"/>
        <v>#DIV/0!</v>
      </c>
      <c r="AE24" s="573" t="e">
        <f t="shared" ca="1" si="32"/>
        <v>#DIV/0!</v>
      </c>
      <c r="AF24" s="573" t="e">
        <f t="shared" ca="1" si="32"/>
        <v>#DIV/0!</v>
      </c>
      <c r="AG24" s="573" t="e">
        <f t="shared" ca="1" si="32"/>
        <v>#DIV/0!</v>
      </c>
      <c r="AH24" s="573" t="e">
        <f t="shared" ca="1" si="32"/>
        <v>#DIV/0!</v>
      </c>
      <c r="AI24" s="573" t="e">
        <f t="shared" ca="1" si="32"/>
        <v>#DIV/0!</v>
      </c>
      <c r="AJ24" s="573" t="e">
        <f t="shared" ca="1" si="32"/>
        <v>#DIV/0!</v>
      </c>
      <c r="AK24" s="573">
        <f t="shared" ca="1" si="32"/>
        <v>0.13750000000000001</v>
      </c>
      <c r="AL24" s="573" t="e">
        <f t="shared" ca="1" si="32"/>
        <v>#DIV/0!</v>
      </c>
      <c r="AM24" s="573" t="e">
        <f t="shared" ca="1" si="32"/>
        <v>#DIV/0!</v>
      </c>
      <c r="AN24" s="573" t="e">
        <f t="shared" ca="1" si="32"/>
        <v>#DIV/0!</v>
      </c>
      <c r="AO24" s="573" t="e">
        <f t="shared" ca="1" si="32"/>
        <v>#DIV/0!</v>
      </c>
      <c r="AP24" s="573" t="e">
        <f t="shared" ca="1" si="32"/>
        <v>#DIV/0!</v>
      </c>
      <c r="AQ24" s="573" t="e">
        <f t="shared" ca="1" si="32"/>
        <v>#DIV/0!</v>
      </c>
      <c r="AR24" s="573" t="e">
        <f t="shared" ca="1" si="32"/>
        <v>#DIV/0!</v>
      </c>
      <c r="AS24" s="573" t="e">
        <f t="shared" ca="1" si="32"/>
        <v>#DIV/0!</v>
      </c>
      <c r="AT24" s="573" t="e">
        <f t="shared" ca="1" si="32"/>
        <v>#DIV/0!</v>
      </c>
      <c r="AU24" s="573" t="e">
        <f t="shared" ca="1" si="32"/>
        <v>#DIV/0!</v>
      </c>
      <c r="AV24" s="573" t="e">
        <f t="shared" ca="1" si="32"/>
        <v>#DIV/0!</v>
      </c>
      <c r="AW24" s="573" t="e">
        <f t="shared" ca="1" si="32"/>
        <v>#DIV/0!</v>
      </c>
      <c r="AX24" s="573" t="e">
        <f t="shared" ca="1" si="32"/>
        <v>#DIV/0!</v>
      </c>
      <c r="AY24" s="573" t="e">
        <f t="shared" ca="1" si="32"/>
        <v>#DIV/0!</v>
      </c>
      <c r="AZ24" s="573" t="e">
        <f t="shared" ref="AZ24:CG24" ca="1" si="33">1-((AZ39-AZ6)/(AZ8-AZ6))-((AZ43-AZ5)/(AZ7-AZ5))+AZ27</f>
        <v>#DIV/0!</v>
      </c>
      <c r="BA24" s="573" t="e">
        <f t="shared" ca="1" si="33"/>
        <v>#DIV/0!</v>
      </c>
      <c r="BB24" s="573" t="e">
        <f t="shared" ca="1" si="33"/>
        <v>#DIV/0!</v>
      </c>
      <c r="BC24" s="573" t="e">
        <f t="shared" ca="1" si="33"/>
        <v>#DIV/0!</v>
      </c>
      <c r="BD24" s="573" t="e">
        <f t="shared" ca="1" si="33"/>
        <v>#DIV/0!</v>
      </c>
      <c r="BE24" s="573" t="e">
        <f t="shared" ca="1" si="33"/>
        <v>#DIV/0!</v>
      </c>
      <c r="BF24" s="573" t="e">
        <f t="shared" ca="1" si="33"/>
        <v>#DIV/0!</v>
      </c>
      <c r="BG24" s="573" t="e">
        <f t="shared" ca="1" si="33"/>
        <v>#DIV/0!</v>
      </c>
      <c r="BH24" s="573" t="e">
        <f t="shared" ca="1" si="33"/>
        <v>#DIV/0!</v>
      </c>
      <c r="BI24" s="573" t="e">
        <f t="shared" ca="1" si="33"/>
        <v>#DIV/0!</v>
      </c>
      <c r="BJ24" s="573" t="e">
        <f t="shared" ca="1" si="33"/>
        <v>#DIV/0!</v>
      </c>
      <c r="BK24" s="573" t="e">
        <f t="shared" ca="1" si="33"/>
        <v>#DIV/0!</v>
      </c>
      <c r="BL24" s="573" t="e">
        <f t="shared" ca="1" si="33"/>
        <v>#DIV/0!</v>
      </c>
      <c r="BM24" s="573" t="e">
        <f t="shared" ca="1" si="33"/>
        <v>#DIV/0!</v>
      </c>
      <c r="BN24" s="573" t="e">
        <f t="shared" ca="1" si="33"/>
        <v>#DIV/0!</v>
      </c>
      <c r="BO24" s="573" t="e">
        <f t="shared" ca="1" si="33"/>
        <v>#DIV/0!</v>
      </c>
      <c r="BP24" s="573" t="e">
        <f t="shared" ca="1" si="33"/>
        <v>#DIV/0!</v>
      </c>
      <c r="BQ24" s="573" t="e">
        <f t="shared" ca="1" si="33"/>
        <v>#DIV/0!</v>
      </c>
      <c r="BR24" s="573" t="e">
        <f t="shared" ca="1" si="33"/>
        <v>#DIV/0!</v>
      </c>
      <c r="BS24" s="573" t="e">
        <f t="shared" ca="1" si="33"/>
        <v>#DIV/0!</v>
      </c>
      <c r="BT24" s="573" t="e">
        <f t="shared" ca="1" si="33"/>
        <v>#DIV/0!</v>
      </c>
      <c r="BU24" s="573" t="e">
        <f t="shared" ca="1" si="33"/>
        <v>#DIV/0!</v>
      </c>
      <c r="BV24" s="573" t="e">
        <f t="shared" ca="1" si="33"/>
        <v>#DIV/0!</v>
      </c>
      <c r="BW24" s="573" t="e">
        <f t="shared" ca="1" si="33"/>
        <v>#DIV/0!</v>
      </c>
      <c r="BX24" s="573" t="e">
        <f t="shared" ca="1" si="33"/>
        <v>#DIV/0!</v>
      </c>
      <c r="BY24" s="573" t="e">
        <f t="shared" ca="1" si="33"/>
        <v>#DIV/0!</v>
      </c>
      <c r="BZ24" s="573" t="e">
        <f t="shared" ca="1" si="33"/>
        <v>#DIV/0!</v>
      </c>
      <c r="CA24" s="573" t="e">
        <f t="shared" ca="1" si="33"/>
        <v>#DIV/0!</v>
      </c>
      <c r="CB24" s="573" t="e">
        <f t="shared" ca="1" si="33"/>
        <v>#DIV/0!</v>
      </c>
      <c r="CC24" s="573" t="e">
        <f t="shared" ca="1" si="33"/>
        <v>#DIV/0!</v>
      </c>
      <c r="CD24" s="573" t="e">
        <f t="shared" ca="1" si="33"/>
        <v>#DIV/0!</v>
      </c>
      <c r="CE24" s="573" t="e">
        <f t="shared" ca="1" si="33"/>
        <v>#DIV/0!</v>
      </c>
      <c r="CF24" s="573" t="e">
        <f t="shared" ca="1" si="33"/>
        <v>#DIV/0!</v>
      </c>
      <c r="CG24" s="573" t="e">
        <f t="shared" ca="1" si="33"/>
        <v>#DIV/0!</v>
      </c>
    </row>
    <row r="25" spans="2:85" x14ac:dyDescent="0.2">
      <c r="S25" s="552" t="s">
        <v>1374</v>
      </c>
      <c r="T25" t="e">
        <f t="shared" ref="T25:AY25" ca="1" si="34">((T39-T6)/(T8-T6))-T27</f>
        <v>#DIV/0!</v>
      </c>
      <c r="U25" t="e">
        <f t="shared" ca="1" si="34"/>
        <v>#DIV/0!</v>
      </c>
      <c r="V25" t="e">
        <f t="shared" ca="1" si="34"/>
        <v>#DIV/0!</v>
      </c>
      <c r="W25" t="e">
        <f t="shared" ca="1" si="34"/>
        <v>#DIV/0!</v>
      </c>
      <c r="X25" t="e">
        <f t="shared" ca="1" si="34"/>
        <v>#DIV/0!</v>
      </c>
      <c r="Y25" t="e">
        <f t="shared" ca="1" si="34"/>
        <v>#DIV/0!</v>
      </c>
      <c r="Z25" t="e">
        <f t="shared" ca="1" si="34"/>
        <v>#DIV/0!</v>
      </c>
      <c r="AA25" t="e">
        <f t="shared" ca="1" si="34"/>
        <v>#DIV/0!</v>
      </c>
      <c r="AB25" t="e">
        <f t="shared" ca="1" si="34"/>
        <v>#DIV/0!</v>
      </c>
      <c r="AC25" t="e">
        <f t="shared" ca="1" si="34"/>
        <v>#DIV/0!</v>
      </c>
      <c r="AD25" t="e">
        <f t="shared" ca="1" si="34"/>
        <v>#DIV/0!</v>
      </c>
      <c r="AE25" t="e">
        <f t="shared" ca="1" si="34"/>
        <v>#DIV/0!</v>
      </c>
      <c r="AF25" t="e">
        <f t="shared" ca="1" si="34"/>
        <v>#DIV/0!</v>
      </c>
      <c r="AG25" t="e">
        <f t="shared" ca="1" si="34"/>
        <v>#DIV/0!</v>
      </c>
      <c r="AH25" t="e">
        <f t="shared" ca="1" si="34"/>
        <v>#DIV/0!</v>
      </c>
      <c r="AI25" t="e">
        <f t="shared" ca="1" si="34"/>
        <v>#DIV/0!</v>
      </c>
      <c r="AJ25" t="e">
        <f t="shared" ca="1" si="34"/>
        <v>#DIV/0!</v>
      </c>
      <c r="AK25">
        <f t="shared" ca="1" si="34"/>
        <v>0.96250000000000002</v>
      </c>
      <c r="AL25" t="e">
        <f t="shared" ca="1" si="34"/>
        <v>#DIV/0!</v>
      </c>
      <c r="AM25" t="e">
        <f t="shared" ca="1" si="34"/>
        <v>#DIV/0!</v>
      </c>
      <c r="AN25" t="e">
        <f t="shared" ca="1" si="34"/>
        <v>#DIV/0!</v>
      </c>
      <c r="AO25" t="e">
        <f t="shared" ca="1" si="34"/>
        <v>#DIV/0!</v>
      </c>
      <c r="AP25" t="e">
        <f t="shared" ca="1" si="34"/>
        <v>#DIV/0!</v>
      </c>
      <c r="AQ25" t="e">
        <f t="shared" ca="1" si="34"/>
        <v>#DIV/0!</v>
      </c>
      <c r="AR25" t="e">
        <f t="shared" ca="1" si="34"/>
        <v>#DIV/0!</v>
      </c>
      <c r="AS25" t="e">
        <f t="shared" ca="1" si="34"/>
        <v>#DIV/0!</v>
      </c>
      <c r="AT25" t="e">
        <f t="shared" ca="1" si="34"/>
        <v>#DIV/0!</v>
      </c>
      <c r="AU25" t="e">
        <f t="shared" ca="1" si="34"/>
        <v>#DIV/0!</v>
      </c>
      <c r="AV25" t="e">
        <f t="shared" ca="1" si="34"/>
        <v>#DIV/0!</v>
      </c>
      <c r="AW25" t="e">
        <f t="shared" ca="1" si="34"/>
        <v>#DIV/0!</v>
      </c>
      <c r="AX25" t="e">
        <f t="shared" ca="1" si="34"/>
        <v>#DIV/0!</v>
      </c>
      <c r="AY25" t="e">
        <f t="shared" ca="1" si="34"/>
        <v>#DIV/0!</v>
      </c>
      <c r="AZ25" t="e">
        <f t="shared" ref="AZ25:CG25" ca="1" si="35">((AZ39-AZ6)/(AZ8-AZ6))-AZ27</f>
        <v>#DIV/0!</v>
      </c>
      <c r="BA25" t="e">
        <f t="shared" ca="1" si="35"/>
        <v>#DIV/0!</v>
      </c>
      <c r="BB25" t="e">
        <f t="shared" ca="1" si="35"/>
        <v>#DIV/0!</v>
      </c>
      <c r="BC25" t="e">
        <f t="shared" ca="1" si="35"/>
        <v>#DIV/0!</v>
      </c>
      <c r="BD25" t="e">
        <f t="shared" ca="1" si="35"/>
        <v>#DIV/0!</v>
      </c>
      <c r="BE25" t="e">
        <f t="shared" ca="1" si="35"/>
        <v>#DIV/0!</v>
      </c>
      <c r="BF25" t="e">
        <f t="shared" ca="1" si="35"/>
        <v>#DIV/0!</v>
      </c>
      <c r="BG25" t="e">
        <f t="shared" ca="1" si="35"/>
        <v>#DIV/0!</v>
      </c>
      <c r="BH25" t="e">
        <f t="shared" ca="1" si="35"/>
        <v>#DIV/0!</v>
      </c>
      <c r="BI25" t="e">
        <f t="shared" ca="1" si="35"/>
        <v>#DIV/0!</v>
      </c>
      <c r="BJ25" t="e">
        <f t="shared" ca="1" si="35"/>
        <v>#DIV/0!</v>
      </c>
      <c r="BK25" t="e">
        <f t="shared" ca="1" si="35"/>
        <v>#DIV/0!</v>
      </c>
      <c r="BL25" t="e">
        <f t="shared" ca="1" si="35"/>
        <v>#DIV/0!</v>
      </c>
      <c r="BM25" t="e">
        <f t="shared" ca="1" si="35"/>
        <v>#DIV/0!</v>
      </c>
      <c r="BN25" t="e">
        <f t="shared" ca="1" si="35"/>
        <v>#DIV/0!</v>
      </c>
      <c r="BO25" t="e">
        <f t="shared" ca="1" si="35"/>
        <v>#DIV/0!</v>
      </c>
      <c r="BP25" t="e">
        <f t="shared" ca="1" si="35"/>
        <v>#DIV/0!</v>
      </c>
      <c r="BQ25" t="e">
        <f t="shared" ca="1" si="35"/>
        <v>#DIV/0!</v>
      </c>
      <c r="BR25" t="e">
        <f t="shared" ca="1" si="35"/>
        <v>#DIV/0!</v>
      </c>
      <c r="BS25" t="e">
        <f t="shared" ca="1" si="35"/>
        <v>#DIV/0!</v>
      </c>
      <c r="BT25" t="e">
        <f t="shared" ca="1" si="35"/>
        <v>#DIV/0!</v>
      </c>
      <c r="BU25" t="e">
        <f t="shared" ca="1" si="35"/>
        <v>#DIV/0!</v>
      </c>
      <c r="BV25" t="e">
        <f t="shared" ca="1" si="35"/>
        <v>#DIV/0!</v>
      </c>
      <c r="BW25" t="e">
        <f t="shared" ca="1" si="35"/>
        <v>#DIV/0!</v>
      </c>
      <c r="BX25" t="e">
        <f t="shared" ca="1" si="35"/>
        <v>#DIV/0!</v>
      </c>
      <c r="BY25" t="e">
        <f t="shared" ca="1" si="35"/>
        <v>#DIV/0!</v>
      </c>
      <c r="BZ25" t="e">
        <f t="shared" ca="1" si="35"/>
        <v>#DIV/0!</v>
      </c>
      <c r="CA25" t="e">
        <f t="shared" ca="1" si="35"/>
        <v>#DIV/0!</v>
      </c>
      <c r="CB25" t="e">
        <f t="shared" ca="1" si="35"/>
        <v>#DIV/0!</v>
      </c>
      <c r="CC25" t="e">
        <f t="shared" ca="1" si="35"/>
        <v>#DIV/0!</v>
      </c>
      <c r="CD25" t="e">
        <f t="shared" ca="1" si="35"/>
        <v>#DIV/0!</v>
      </c>
      <c r="CE25" t="e">
        <f t="shared" ca="1" si="35"/>
        <v>#DIV/0!</v>
      </c>
      <c r="CF25" t="e">
        <f t="shared" ca="1" si="35"/>
        <v>#DIV/0!</v>
      </c>
      <c r="CG25" t="e">
        <f t="shared" ca="1" si="35"/>
        <v>#DIV/0!</v>
      </c>
    </row>
    <row r="26" spans="2:85" x14ac:dyDescent="0.2">
      <c r="S26" s="552" t="s">
        <v>1375</v>
      </c>
      <c r="T26" t="e">
        <f t="shared" ref="T26:AY26" ca="1" si="36">((T43-T5)/(T7-T5))-T27</f>
        <v>#DIV/0!</v>
      </c>
      <c r="U26" t="e">
        <f t="shared" ca="1" si="36"/>
        <v>#DIV/0!</v>
      </c>
      <c r="V26" t="e">
        <f t="shared" ca="1" si="36"/>
        <v>#DIV/0!</v>
      </c>
      <c r="W26" t="e">
        <f t="shared" ca="1" si="36"/>
        <v>#DIV/0!</v>
      </c>
      <c r="X26" t="e">
        <f t="shared" ca="1" si="36"/>
        <v>#DIV/0!</v>
      </c>
      <c r="Y26" t="e">
        <f t="shared" ca="1" si="36"/>
        <v>#DIV/0!</v>
      </c>
      <c r="Z26" t="e">
        <f t="shared" ca="1" si="36"/>
        <v>#DIV/0!</v>
      </c>
      <c r="AA26" t="e">
        <f t="shared" ca="1" si="36"/>
        <v>#DIV/0!</v>
      </c>
      <c r="AB26" t="e">
        <f t="shared" ca="1" si="36"/>
        <v>#DIV/0!</v>
      </c>
      <c r="AC26" t="e">
        <f t="shared" ca="1" si="36"/>
        <v>#DIV/0!</v>
      </c>
      <c r="AD26" t="e">
        <f t="shared" ca="1" si="36"/>
        <v>#DIV/0!</v>
      </c>
      <c r="AE26" t="e">
        <f t="shared" ca="1" si="36"/>
        <v>#DIV/0!</v>
      </c>
      <c r="AF26" t="e">
        <f t="shared" ca="1" si="36"/>
        <v>#DIV/0!</v>
      </c>
      <c r="AG26" t="e">
        <f t="shared" ca="1" si="36"/>
        <v>#DIV/0!</v>
      </c>
      <c r="AH26" t="e">
        <f t="shared" ca="1" si="36"/>
        <v>#DIV/0!</v>
      </c>
      <c r="AI26" t="e">
        <f t="shared" ca="1" si="36"/>
        <v>#DIV/0!</v>
      </c>
      <c r="AJ26" t="e">
        <f t="shared" ca="1" si="36"/>
        <v>#DIV/0!</v>
      </c>
      <c r="AK26">
        <f t="shared" ca="1" si="36"/>
        <v>-1.2500000000000011E-2</v>
      </c>
      <c r="AL26" t="e">
        <f t="shared" ca="1" si="36"/>
        <v>#DIV/0!</v>
      </c>
      <c r="AM26" t="e">
        <f t="shared" ca="1" si="36"/>
        <v>#DIV/0!</v>
      </c>
      <c r="AN26" t="e">
        <f t="shared" ca="1" si="36"/>
        <v>#DIV/0!</v>
      </c>
      <c r="AO26" t="e">
        <f t="shared" ca="1" si="36"/>
        <v>#DIV/0!</v>
      </c>
      <c r="AP26" t="e">
        <f t="shared" ca="1" si="36"/>
        <v>#DIV/0!</v>
      </c>
      <c r="AQ26" t="e">
        <f t="shared" ca="1" si="36"/>
        <v>#DIV/0!</v>
      </c>
      <c r="AR26" t="e">
        <f t="shared" ca="1" si="36"/>
        <v>#DIV/0!</v>
      </c>
      <c r="AS26" t="e">
        <f t="shared" ca="1" si="36"/>
        <v>#DIV/0!</v>
      </c>
      <c r="AT26" t="e">
        <f t="shared" ca="1" si="36"/>
        <v>#DIV/0!</v>
      </c>
      <c r="AU26" t="e">
        <f t="shared" ca="1" si="36"/>
        <v>#DIV/0!</v>
      </c>
      <c r="AV26" t="e">
        <f t="shared" ca="1" si="36"/>
        <v>#DIV/0!</v>
      </c>
      <c r="AW26" t="e">
        <f t="shared" ca="1" si="36"/>
        <v>#DIV/0!</v>
      </c>
      <c r="AX26" t="e">
        <f t="shared" ca="1" si="36"/>
        <v>#DIV/0!</v>
      </c>
      <c r="AY26" t="e">
        <f t="shared" ca="1" si="36"/>
        <v>#DIV/0!</v>
      </c>
      <c r="AZ26" t="e">
        <f t="shared" ref="AZ26:CE26" ca="1" si="37">((AZ43-AZ5)/(AZ7-AZ5))-AZ27</f>
        <v>#DIV/0!</v>
      </c>
      <c r="BA26" t="e">
        <f t="shared" ca="1" si="37"/>
        <v>#DIV/0!</v>
      </c>
      <c r="BB26" t="e">
        <f t="shared" ca="1" si="37"/>
        <v>#DIV/0!</v>
      </c>
      <c r="BC26" t="e">
        <f t="shared" ca="1" si="37"/>
        <v>#DIV/0!</v>
      </c>
      <c r="BD26" t="e">
        <f t="shared" ca="1" si="37"/>
        <v>#DIV/0!</v>
      </c>
      <c r="BE26" t="e">
        <f t="shared" ca="1" si="37"/>
        <v>#DIV/0!</v>
      </c>
      <c r="BF26" t="e">
        <f t="shared" ca="1" si="37"/>
        <v>#DIV/0!</v>
      </c>
      <c r="BG26" t="e">
        <f t="shared" ca="1" si="37"/>
        <v>#DIV/0!</v>
      </c>
      <c r="BH26" t="e">
        <f t="shared" ca="1" si="37"/>
        <v>#DIV/0!</v>
      </c>
      <c r="BI26" t="e">
        <f t="shared" ca="1" si="37"/>
        <v>#DIV/0!</v>
      </c>
      <c r="BJ26" t="e">
        <f t="shared" ca="1" si="37"/>
        <v>#DIV/0!</v>
      </c>
      <c r="BK26" t="e">
        <f t="shared" ca="1" si="37"/>
        <v>#DIV/0!</v>
      </c>
      <c r="BL26" t="e">
        <f t="shared" ca="1" si="37"/>
        <v>#DIV/0!</v>
      </c>
      <c r="BM26" t="e">
        <f t="shared" ca="1" si="37"/>
        <v>#DIV/0!</v>
      </c>
      <c r="BN26" t="e">
        <f t="shared" ca="1" si="37"/>
        <v>#DIV/0!</v>
      </c>
      <c r="BO26" t="e">
        <f t="shared" ca="1" si="37"/>
        <v>#DIV/0!</v>
      </c>
      <c r="BP26" t="e">
        <f t="shared" ca="1" si="37"/>
        <v>#DIV/0!</v>
      </c>
      <c r="BQ26" t="e">
        <f t="shared" ca="1" si="37"/>
        <v>#DIV/0!</v>
      </c>
      <c r="BR26" t="e">
        <f t="shared" ca="1" si="37"/>
        <v>#DIV/0!</v>
      </c>
      <c r="BS26" t="e">
        <f t="shared" ca="1" si="37"/>
        <v>#DIV/0!</v>
      </c>
      <c r="BT26" t="e">
        <f t="shared" ca="1" si="37"/>
        <v>#DIV/0!</v>
      </c>
      <c r="BU26" t="e">
        <f t="shared" ca="1" si="37"/>
        <v>#DIV/0!</v>
      </c>
      <c r="BV26" t="e">
        <f t="shared" ca="1" si="37"/>
        <v>#DIV/0!</v>
      </c>
      <c r="BW26" t="e">
        <f t="shared" ca="1" si="37"/>
        <v>#DIV/0!</v>
      </c>
      <c r="BX26" t="e">
        <f t="shared" ca="1" si="37"/>
        <v>#DIV/0!</v>
      </c>
      <c r="BY26" t="e">
        <f t="shared" ca="1" si="37"/>
        <v>#DIV/0!</v>
      </c>
      <c r="BZ26" t="e">
        <f t="shared" ca="1" si="37"/>
        <v>#DIV/0!</v>
      </c>
      <c r="CA26" t="e">
        <f t="shared" ca="1" si="37"/>
        <v>#DIV/0!</v>
      </c>
      <c r="CB26" t="e">
        <f t="shared" ca="1" si="37"/>
        <v>#DIV/0!</v>
      </c>
      <c r="CC26" t="e">
        <f t="shared" ca="1" si="37"/>
        <v>#DIV/0!</v>
      </c>
      <c r="CD26" t="e">
        <f t="shared" ca="1" si="37"/>
        <v>#DIV/0!</v>
      </c>
      <c r="CE26" t="e">
        <f t="shared" ca="1" si="37"/>
        <v>#DIV/0!</v>
      </c>
      <c r="CF26" t="e">
        <f ca="1">((CF43-CF5)/(CF7-CF5))-CF27</f>
        <v>#DIV/0!</v>
      </c>
      <c r="CG26" t="e">
        <f ca="1">((CG43-CG5)/(CG7-CG5))-CG27</f>
        <v>#DIV/0!</v>
      </c>
    </row>
    <row r="27" spans="2:85" x14ac:dyDescent="0.2">
      <c r="B27" s="552" t="s">
        <v>3879</v>
      </c>
      <c r="L27" s="552" t="s">
        <v>3880</v>
      </c>
      <c r="N27" s="554">
        <f>IF(SpezWP,2,1)</f>
        <v>1</v>
      </c>
      <c r="O27" s="552" t="s">
        <v>3881</v>
      </c>
      <c r="S27" s="552" t="s">
        <v>1377</v>
      </c>
      <c r="T27" t="e">
        <f t="shared" ref="T27:AY27" ca="1" si="38">(((T39-T6)*(T43-T5))/((T8-T6)*(T7-T5)))</f>
        <v>#DIV/0!</v>
      </c>
      <c r="U27" t="e">
        <f t="shared" ca="1" si="38"/>
        <v>#DIV/0!</v>
      </c>
      <c r="V27" t="e">
        <f t="shared" ca="1" si="38"/>
        <v>#DIV/0!</v>
      </c>
      <c r="W27" t="e">
        <f t="shared" ca="1" si="38"/>
        <v>#DIV/0!</v>
      </c>
      <c r="X27" t="e">
        <f t="shared" ca="1" si="38"/>
        <v>#DIV/0!</v>
      </c>
      <c r="Y27" t="e">
        <f t="shared" ca="1" si="38"/>
        <v>#DIV/0!</v>
      </c>
      <c r="Z27" t="e">
        <f t="shared" ca="1" si="38"/>
        <v>#DIV/0!</v>
      </c>
      <c r="AA27" t="e">
        <f t="shared" ca="1" si="38"/>
        <v>#DIV/0!</v>
      </c>
      <c r="AB27" t="e">
        <f t="shared" ca="1" si="38"/>
        <v>#DIV/0!</v>
      </c>
      <c r="AC27" t="e">
        <f t="shared" ca="1" si="38"/>
        <v>#DIV/0!</v>
      </c>
      <c r="AD27" t="e">
        <f t="shared" ca="1" si="38"/>
        <v>#DIV/0!</v>
      </c>
      <c r="AE27" t="e">
        <f t="shared" ca="1" si="38"/>
        <v>#DIV/0!</v>
      </c>
      <c r="AF27" t="e">
        <f t="shared" ca="1" si="38"/>
        <v>#DIV/0!</v>
      </c>
      <c r="AG27" t="e">
        <f t="shared" ca="1" si="38"/>
        <v>#DIV/0!</v>
      </c>
      <c r="AH27" t="e">
        <f t="shared" ca="1" si="38"/>
        <v>#DIV/0!</v>
      </c>
      <c r="AI27" t="e">
        <f t="shared" ca="1" si="38"/>
        <v>#DIV/0!</v>
      </c>
      <c r="AJ27" t="e">
        <f ca="1">(((AJ39-AJ6)*(AJ43-AJ5))/((AJ8-AJ6)*(AJ7-AJ5)))</f>
        <v>#DIV/0!</v>
      </c>
      <c r="AK27">
        <f t="shared" ca="1" si="38"/>
        <v>-8.7499999999999994E-2</v>
      </c>
      <c r="AL27" t="e">
        <f t="shared" ca="1" si="38"/>
        <v>#DIV/0!</v>
      </c>
      <c r="AM27" t="e">
        <f t="shared" ca="1" si="38"/>
        <v>#DIV/0!</v>
      </c>
      <c r="AN27" t="e">
        <f t="shared" ca="1" si="38"/>
        <v>#DIV/0!</v>
      </c>
      <c r="AO27" t="e">
        <f t="shared" ca="1" si="38"/>
        <v>#DIV/0!</v>
      </c>
      <c r="AP27" t="e">
        <f t="shared" ca="1" si="38"/>
        <v>#DIV/0!</v>
      </c>
      <c r="AQ27" t="e">
        <f t="shared" ca="1" si="38"/>
        <v>#DIV/0!</v>
      </c>
      <c r="AR27" t="e">
        <f t="shared" ca="1" si="38"/>
        <v>#DIV/0!</v>
      </c>
      <c r="AS27" t="e">
        <f t="shared" ca="1" si="38"/>
        <v>#DIV/0!</v>
      </c>
      <c r="AT27" t="e">
        <f t="shared" ca="1" si="38"/>
        <v>#DIV/0!</v>
      </c>
      <c r="AU27" t="e">
        <f t="shared" ca="1" si="38"/>
        <v>#DIV/0!</v>
      </c>
      <c r="AV27" t="e">
        <f t="shared" ca="1" si="38"/>
        <v>#DIV/0!</v>
      </c>
      <c r="AW27" t="e">
        <f t="shared" ca="1" si="38"/>
        <v>#DIV/0!</v>
      </c>
      <c r="AX27" t="e">
        <f t="shared" ca="1" si="38"/>
        <v>#DIV/0!</v>
      </c>
      <c r="AY27" t="e">
        <f t="shared" ca="1" si="38"/>
        <v>#DIV/0!</v>
      </c>
      <c r="AZ27" t="e">
        <f t="shared" ref="AZ27:CG27" ca="1" si="39">(((AZ39-AZ6)*(AZ43-AZ5))/((AZ8-AZ6)*(AZ7-AZ5)))</f>
        <v>#DIV/0!</v>
      </c>
      <c r="BA27" t="e">
        <f t="shared" ca="1" si="39"/>
        <v>#DIV/0!</v>
      </c>
      <c r="BB27" t="e">
        <f t="shared" ca="1" si="39"/>
        <v>#DIV/0!</v>
      </c>
      <c r="BC27" t="e">
        <f t="shared" ca="1" si="39"/>
        <v>#DIV/0!</v>
      </c>
      <c r="BD27" t="e">
        <f t="shared" ca="1" si="39"/>
        <v>#DIV/0!</v>
      </c>
      <c r="BE27" t="e">
        <f t="shared" ca="1" si="39"/>
        <v>#DIV/0!</v>
      </c>
      <c r="BF27" t="e">
        <f t="shared" ca="1" si="39"/>
        <v>#DIV/0!</v>
      </c>
      <c r="BG27" t="e">
        <f t="shared" ca="1" si="39"/>
        <v>#DIV/0!</v>
      </c>
      <c r="BH27" t="e">
        <f t="shared" ca="1" si="39"/>
        <v>#DIV/0!</v>
      </c>
      <c r="BI27" t="e">
        <f t="shared" ca="1" si="39"/>
        <v>#DIV/0!</v>
      </c>
      <c r="BJ27" t="e">
        <f t="shared" ca="1" si="39"/>
        <v>#DIV/0!</v>
      </c>
      <c r="BK27" t="e">
        <f t="shared" ca="1" si="39"/>
        <v>#DIV/0!</v>
      </c>
      <c r="BL27" t="e">
        <f t="shared" ca="1" si="39"/>
        <v>#DIV/0!</v>
      </c>
      <c r="BM27" t="e">
        <f t="shared" ca="1" si="39"/>
        <v>#DIV/0!</v>
      </c>
      <c r="BN27" t="e">
        <f t="shared" ca="1" si="39"/>
        <v>#DIV/0!</v>
      </c>
      <c r="BO27" t="e">
        <f t="shared" ca="1" si="39"/>
        <v>#DIV/0!</v>
      </c>
      <c r="BP27" t="e">
        <f t="shared" ca="1" si="39"/>
        <v>#DIV/0!</v>
      </c>
      <c r="BQ27" t="e">
        <f t="shared" ca="1" si="39"/>
        <v>#DIV/0!</v>
      </c>
      <c r="BR27" t="e">
        <f t="shared" ca="1" si="39"/>
        <v>#DIV/0!</v>
      </c>
      <c r="BS27" t="e">
        <f t="shared" ca="1" si="39"/>
        <v>#DIV/0!</v>
      </c>
      <c r="BT27" t="e">
        <f t="shared" ca="1" si="39"/>
        <v>#DIV/0!</v>
      </c>
      <c r="BU27" t="e">
        <f t="shared" ca="1" si="39"/>
        <v>#DIV/0!</v>
      </c>
      <c r="BV27" t="e">
        <f t="shared" ca="1" si="39"/>
        <v>#DIV/0!</v>
      </c>
      <c r="BW27" t="e">
        <f t="shared" ca="1" si="39"/>
        <v>#DIV/0!</v>
      </c>
      <c r="BX27" t="e">
        <f t="shared" ca="1" si="39"/>
        <v>#DIV/0!</v>
      </c>
      <c r="BY27" t="e">
        <f t="shared" ca="1" si="39"/>
        <v>#DIV/0!</v>
      </c>
      <c r="BZ27" t="e">
        <f t="shared" ca="1" si="39"/>
        <v>#DIV/0!</v>
      </c>
      <c r="CA27" t="e">
        <f t="shared" ca="1" si="39"/>
        <v>#DIV/0!</v>
      </c>
      <c r="CB27" t="e">
        <f t="shared" ca="1" si="39"/>
        <v>#DIV/0!</v>
      </c>
      <c r="CC27" t="e">
        <f t="shared" ca="1" si="39"/>
        <v>#DIV/0!</v>
      </c>
      <c r="CD27" t="e">
        <f t="shared" ca="1" si="39"/>
        <v>#DIV/0!</v>
      </c>
      <c r="CE27" t="e">
        <f t="shared" ca="1" si="39"/>
        <v>#DIV/0!</v>
      </c>
      <c r="CF27" t="e">
        <f t="shared" ca="1" si="39"/>
        <v>#DIV/0!</v>
      </c>
      <c r="CG27" t="e">
        <f t="shared" ca="1" si="39"/>
        <v>#DIV/0!</v>
      </c>
    </row>
    <row r="28" spans="2:85" x14ac:dyDescent="0.2">
      <c r="S28" s="595" t="s">
        <v>98</v>
      </c>
    </row>
    <row r="29" spans="2:85" ht="15.75" x14ac:dyDescent="0.3">
      <c r="B29" s="380"/>
      <c r="C29" s="381"/>
      <c r="D29" s="380" t="s">
        <v>1389</v>
      </c>
      <c r="E29" s="555"/>
      <c r="F29" s="555"/>
      <c r="G29" s="555"/>
      <c r="H29" s="555"/>
      <c r="I29" s="555"/>
      <c r="J29" s="381"/>
      <c r="L29" t="s">
        <v>1376</v>
      </c>
      <c r="S29" s="552" t="s">
        <v>1373</v>
      </c>
      <c r="T29" s="573">
        <f t="shared" ref="T29:AY29" ca="1" si="40">1-((T39-T6)/(T8-T6))-((T50-T5)/(T7-T5))+T32</f>
        <v>-0.25</v>
      </c>
      <c r="U29" s="573">
        <f t="shared" ca="1" si="40"/>
        <v>-0.22499999999999998</v>
      </c>
      <c r="V29" s="573">
        <f t="shared" ca="1" si="40"/>
        <v>-0.19999999999999996</v>
      </c>
      <c r="W29" s="573">
        <f t="shared" ca="1" si="40"/>
        <v>-0.17500000000000004</v>
      </c>
      <c r="X29" s="573">
        <f t="shared" ca="1" si="40"/>
        <v>-0.15000000000000002</v>
      </c>
      <c r="Y29" s="573">
        <f t="shared" ca="1" si="40"/>
        <v>-0.125</v>
      </c>
      <c r="Z29" s="573">
        <f t="shared" ca="1" si="40"/>
        <v>-9.9999999999999978E-2</v>
      </c>
      <c r="AA29" s="573">
        <f t="shared" ca="1" si="40"/>
        <v>-7.4999999999999956E-2</v>
      </c>
      <c r="AB29" s="573">
        <f t="shared" ca="1" si="40"/>
        <v>-5.0000000000000044E-2</v>
      </c>
      <c r="AC29" s="573">
        <f t="shared" ca="1" si="40"/>
        <v>-2.4999999999999911E-2</v>
      </c>
      <c r="AD29" s="573">
        <f t="shared" ca="1" si="40"/>
        <v>-0.25</v>
      </c>
      <c r="AE29" s="573">
        <f t="shared" ca="1" si="40"/>
        <v>-0.21875</v>
      </c>
      <c r="AF29" s="573">
        <f t="shared" ca="1" si="40"/>
        <v>-0.1875</v>
      </c>
      <c r="AG29" s="573">
        <f t="shared" ca="1" si="40"/>
        <v>-0.15625</v>
      </c>
      <c r="AH29" s="573">
        <f t="shared" ca="1" si="40"/>
        <v>-0.125</v>
      </c>
      <c r="AI29" s="573">
        <f t="shared" ca="1" si="40"/>
        <v>-9.375E-2</v>
      </c>
      <c r="AJ29" s="573">
        <f t="shared" ca="1" si="40"/>
        <v>-6.25E-2</v>
      </c>
      <c r="AK29" s="573">
        <f t="shared" ca="1" si="40"/>
        <v>-3.125E-2</v>
      </c>
      <c r="AL29" s="573">
        <f t="shared" ca="1" si="40"/>
        <v>-0.25</v>
      </c>
      <c r="AM29" s="573">
        <f t="shared" ca="1" si="40"/>
        <v>-0.22222222222222227</v>
      </c>
      <c r="AN29" s="573">
        <f t="shared" ca="1" si="40"/>
        <v>-0.19444444444444442</v>
      </c>
      <c r="AO29" s="573">
        <f t="shared" ca="1" si="40"/>
        <v>-0.16666666666666657</v>
      </c>
      <c r="AP29" s="573">
        <f t="shared" ca="1" si="40"/>
        <v>-0.13888888888888884</v>
      </c>
      <c r="AQ29" s="573">
        <f t="shared" ca="1" si="40"/>
        <v>-0.11111111111111116</v>
      </c>
      <c r="AR29" s="573">
        <f t="shared" ca="1" si="40"/>
        <v>-8.3333333333333259E-2</v>
      </c>
      <c r="AS29" s="573">
        <f t="shared" ca="1" si="40"/>
        <v>-5.5555555555555469E-2</v>
      </c>
      <c r="AT29" s="573">
        <f t="shared" ca="1" si="40"/>
        <v>-2.7777777777777679E-2</v>
      </c>
      <c r="AU29" s="573">
        <f t="shared" ca="1" si="40"/>
        <v>-0.25</v>
      </c>
      <c r="AV29" s="573">
        <f t="shared" ca="1" si="40"/>
        <v>-0.19999999999999996</v>
      </c>
      <c r="AW29" s="573">
        <f t="shared" ca="1" si="40"/>
        <v>-0.15000000000000002</v>
      </c>
      <c r="AX29" s="573">
        <f t="shared" ca="1" si="40"/>
        <v>-9.9999999999999978E-2</v>
      </c>
      <c r="AY29" s="573">
        <f t="shared" ca="1" si="40"/>
        <v>-5.0000000000000044E-2</v>
      </c>
      <c r="AZ29" s="573">
        <f t="shared" ref="AZ29:CG29" ca="1" si="41">1-((AZ39-AZ6)/(AZ8-AZ6))-((AZ50-AZ5)/(AZ7-AZ5))+AZ32</f>
        <v>-0.25</v>
      </c>
      <c r="BA29" s="573">
        <f t="shared" ca="1" si="41"/>
        <v>-0.23076923076923073</v>
      </c>
      <c r="BB29" s="573">
        <f t="shared" ca="1" si="41"/>
        <v>-0.21153846153846154</v>
      </c>
      <c r="BC29" s="573">
        <f t="shared" ca="1" si="41"/>
        <v>-0.1923076923076924</v>
      </c>
      <c r="BD29" s="573">
        <f t="shared" ca="1" si="41"/>
        <v>-0.17307692307692307</v>
      </c>
      <c r="BE29" s="573">
        <f t="shared" ca="1" si="41"/>
        <v>-0.1538461538461538</v>
      </c>
      <c r="BF29" s="573">
        <f t="shared" ca="1" si="41"/>
        <v>-0.13461538461538469</v>
      </c>
      <c r="BG29" s="573">
        <f t="shared" ca="1" si="41"/>
        <v>-0.11538461538461531</v>
      </c>
      <c r="BH29" s="573">
        <f t="shared" ca="1" si="41"/>
        <v>-9.6153846153846145E-2</v>
      </c>
      <c r="BI29" s="573">
        <f t="shared" ca="1" si="41"/>
        <v>-7.6923076923076872E-2</v>
      </c>
      <c r="BJ29" s="573">
        <f t="shared" ca="1" si="41"/>
        <v>-5.7692307692307598E-2</v>
      </c>
      <c r="BK29" s="573">
        <f t="shared" ca="1" si="41"/>
        <v>-3.8461538461538547E-2</v>
      </c>
      <c r="BL29" s="573">
        <f t="shared" ca="1" si="41"/>
        <v>-1.9230769230769384E-2</v>
      </c>
      <c r="BM29" s="573">
        <f t="shared" ca="1" si="41"/>
        <v>-0.25</v>
      </c>
      <c r="BN29" s="573">
        <f t="shared" ca="1" si="41"/>
        <v>-0.25</v>
      </c>
      <c r="BO29" s="573">
        <f t="shared" ca="1" si="41"/>
        <v>-0.25</v>
      </c>
      <c r="BP29" s="573">
        <f t="shared" ca="1" si="41"/>
        <v>-0.25</v>
      </c>
      <c r="BQ29" s="573">
        <f t="shared" ca="1" si="41"/>
        <v>-0.25</v>
      </c>
      <c r="BR29" s="573">
        <f t="shared" ca="1" si="41"/>
        <v>-0.25</v>
      </c>
      <c r="BS29" s="573">
        <f t="shared" ca="1" si="41"/>
        <v>-0.25</v>
      </c>
      <c r="BT29" s="573">
        <f t="shared" ca="1" si="41"/>
        <v>-0.25</v>
      </c>
      <c r="BU29" s="573">
        <f t="shared" ca="1" si="41"/>
        <v>-0.25</v>
      </c>
      <c r="BV29" s="573">
        <f t="shared" ca="1" si="41"/>
        <v>-0.25</v>
      </c>
      <c r="BW29" s="573">
        <f t="shared" ca="1" si="41"/>
        <v>-0.25</v>
      </c>
      <c r="BX29" s="573">
        <f t="shared" ca="1" si="41"/>
        <v>-0.25</v>
      </c>
      <c r="BY29" s="573">
        <f t="shared" ca="1" si="41"/>
        <v>-0.25</v>
      </c>
      <c r="BZ29" s="573">
        <f t="shared" ca="1" si="41"/>
        <v>-0.25</v>
      </c>
      <c r="CA29" s="573">
        <f t="shared" ca="1" si="41"/>
        <v>-0.25</v>
      </c>
      <c r="CB29" s="573">
        <f t="shared" ca="1" si="41"/>
        <v>-0.25</v>
      </c>
      <c r="CC29" s="573">
        <f t="shared" ca="1" si="41"/>
        <v>-0.25</v>
      </c>
      <c r="CD29" s="573">
        <f t="shared" ca="1" si="41"/>
        <v>-0.25</v>
      </c>
      <c r="CE29" s="573">
        <f t="shared" ca="1" si="41"/>
        <v>-0.25</v>
      </c>
      <c r="CF29" s="573">
        <f t="shared" ca="1" si="41"/>
        <v>-0.25</v>
      </c>
      <c r="CG29" s="573">
        <f t="shared" ca="1" si="41"/>
        <v>-0.25</v>
      </c>
    </row>
    <row r="30" spans="2:85" ht="15.75" x14ac:dyDescent="0.3">
      <c r="B30" s="382" t="s">
        <v>86</v>
      </c>
      <c r="C30" s="558"/>
      <c r="D30" s="575">
        <f>IF($N$27=1,D18,Spez!W20)</f>
        <v>-25</v>
      </c>
      <c r="E30" s="576">
        <f>IF($N$27=1,E18,Spez!X20)</f>
        <v>-15</v>
      </c>
      <c r="F30" s="576">
        <f>IF($N$27=1,F18,Spez!Y20)</f>
        <v>-7</v>
      </c>
      <c r="G30" s="576">
        <f>IF($N$27=1,G18,Spez!Z20)</f>
        <v>2</v>
      </c>
      <c r="H30" s="576">
        <f>IF($N$27=1,H18,Spez!AA20)</f>
        <v>7</v>
      </c>
      <c r="I30" s="576">
        <f>IF($N$27=1,I18,Spez!AB20)</f>
        <v>20</v>
      </c>
      <c r="J30" s="577">
        <f>IF($N$27=1,J18,Spez!AC20)</f>
        <v>60</v>
      </c>
      <c r="S30" s="552" t="s">
        <v>1374</v>
      </c>
      <c r="T30">
        <f t="shared" ref="T30:AY30" ca="1" si="42">((T39-T6)/(T8-T6))-T32</f>
        <v>0</v>
      </c>
      <c r="U30">
        <f t="shared" ca="1" si="42"/>
        <v>-2.4999999999999994E-2</v>
      </c>
      <c r="V30">
        <f t="shared" ca="1" si="42"/>
        <v>-4.9999999999999989E-2</v>
      </c>
      <c r="W30">
        <f t="shared" ca="1" si="42"/>
        <v>-7.5000000000000011E-2</v>
      </c>
      <c r="X30">
        <f t="shared" ca="1" si="42"/>
        <v>-9.9999999999999978E-2</v>
      </c>
      <c r="Y30">
        <f t="shared" ca="1" si="42"/>
        <v>-0.125</v>
      </c>
      <c r="Z30">
        <f t="shared" ca="1" si="42"/>
        <v>-0.15000000000000002</v>
      </c>
      <c r="AA30">
        <f t="shared" ca="1" si="42"/>
        <v>-0.17500000000000004</v>
      </c>
      <c r="AB30">
        <f t="shared" ca="1" si="42"/>
        <v>-0.19999999999999996</v>
      </c>
      <c r="AC30">
        <f t="shared" ca="1" si="42"/>
        <v>-0.22499999999999998</v>
      </c>
      <c r="AD30">
        <f t="shared" ca="1" si="42"/>
        <v>0</v>
      </c>
      <c r="AE30">
        <f t="shared" ca="1" si="42"/>
        <v>-3.125E-2</v>
      </c>
      <c r="AF30">
        <f t="shared" ca="1" si="42"/>
        <v>-6.25E-2</v>
      </c>
      <c r="AG30">
        <f t="shared" ca="1" si="42"/>
        <v>-9.375E-2</v>
      </c>
      <c r="AH30">
        <f t="shared" ca="1" si="42"/>
        <v>-0.125</v>
      </c>
      <c r="AI30">
        <f t="shared" ca="1" si="42"/>
        <v>-0.15625</v>
      </c>
      <c r="AJ30">
        <f t="shared" ca="1" si="42"/>
        <v>-0.1875</v>
      </c>
      <c r="AK30">
        <f t="shared" ca="1" si="42"/>
        <v>-0.21875</v>
      </c>
      <c r="AL30">
        <f t="shared" ca="1" si="42"/>
        <v>0</v>
      </c>
      <c r="AM30">
        <f t="shared" ca="1" si="42"/>
        <v>-2.777777777777779E-2</v>
      </c>
      <c r="AN30">
        <f t="shared" ca="1" si="42"/>
        <v>-5.555555555555558E-2</v>
      </c>
      <c r="AO30">
        <f t="shared" ca="1" si="42"/>
        <v>-8.333333333333337E-2</v>
      </c>
      <c r="AP30">
        <f t="shared" ca="1" si="42"/>
        <v>-0.11111111111111116</v>
      </c>
      <c r="AQ30">
        <f t="shared" ca="1" si="42"/>
        <v>-0.13888888888888884</v>
      </c>
      <c r="AR30">
        <f t="shared" ca="1" si="42"/>
        <v>-0.16666666666666674</v>
      </c>
      <c r="AS30">
        <f t="shared" ca="1" si="42"/>
        <v>-0.19444444444444442</v>
      </c>
      <c r="AT30">
        <f t="shared" ca="1" si="42"/>
        <v>-0.22222222222222232</v>
      </c>
      <c r="AU30">
        <f t="shared" ca="1" si="42"/>
        <v>0</v>
      </c>
      <c r="AV30">
        <f t="shared" ca="1" si="42"/>
        <v>-4.9999999999999989E-2</v>
      </c>
      <c r="AW30">
        <f t="shared" ca="1" si="42"/>
        <v>-9.9999999999999978E-2</v>
      </c>
      <c r="AX30">
        <f t="shared" ca="1" si="42"/>
        <v>-0.15000000000000002</v>
      </c>
      <c r="AY30">
        <f t="shared" ca="1" si="42"/>
        <v>-0.19999999999999996</v>
      </c>
      <c r="AZ30">
        <f t="shared" ref="AZ30:CG30" ca="1" si="43">((AZ39-AZ6)/(AZ8-AZ6))-AZ32</f>
        <v>0</v>
      </c>
      <c r="BA30">
        <f t="shared" ca="1" si="43"/>
        <v>-1.9230769230769232E-2</v>
      </c>
      <c r="BB30">
        <f t="shared" ca="1" si="43"/>
        <v>-3.8461538461538464E-2</v>
      </c>
      <c r="BC30">
        <f t="shared" ca="1" si="43"/>
        <v>-5.7692307692307654E-2</v>
      </c>
      <c r="BD30">
        <f t="shared" ca="1" si="43"/>
        <v>-7.6923076923076927E-2</v>
      </c>
      <c r="BE30">
        <f t="shared" ca="1" si="43"/>
        <v>-9.6153846153846145E-2</v>
      </c>
      <c r="BF30">
        <f t="shared" ca="1" si="43"/>
        <v>-0.11538461538461531</v>
      </c>
      <c r="BG30">
        <f t="shared" ca="1" si="43"/>
        <v>-0.13461538461538469</v>
      </c>
      <c r="BH30">
        <f t="shared" ca="1" si="43"/>
        <v>-0.15384615384615385</v>
      </c>
      <c r="BI30">
        <f t="shared" ca="1" si="43"/>
        <v>-0.17307692307692313</v>
      </c>
      <c r="BJ30">
        <f t="shared" ca="1" si="43"/>
        <v>-0.19230769230769229</v>
      </c>
      <c r="BK30">
        <f t="shared" ca="1" si="43"/>
        <v>-0.21153846153846156</v>
      </c>
      <c r="BL30">
        <f t="shared" ca="1" si="43"/>
        <v>-0.23076923076923062</v>
      </c>
      <c r="BM30">
        <f t="shared" ca="1" si="43"/>
        <v>0</v>
      </c>
      <c r="BN30">
        <f t="shared" ca="1" si="43"/>
        <v>0</v>
      </c>
      <c r="BO30">
        <f t="shared" ca="1" si="43"/>
        <v>0</v>
      </c>
      <c r="BP30">
        <f t="shared" ca="1" si="43"/>
        <v>0</v>
      </c>
      <c r="BQ30">
        <f t="shared" ca="1" si="43"/>
        <v>0</v>
      </c>
      <c r="BR30">
        <f t="shared" ca="1" si="43"/>
        <v>0</v>
      </c>
      <c r="BS30">
        <f t="shared" ca="1" si="43"/>
        <v>0</v>
      </c>
      <c r="BT30">
        <f t="shared" ca="1" si="43"/>
        <v>0</v>
      </c>
      <c r="BU30">
        <f t="shared" ca="1" si="43"/>
        <v>0</v>
      </c>
      <c r="BV30">
        <f t="shared" ca="1" si="43"/>
        <v>0</v>
      </c>
      <c r="BW30">
        <f t="shared" ca="1" si="43"/>
        <v>0</v>
      </c>
      <c r="BX30">
        <f t="shared" ca="1" si="43"/>
        <v>0</v>
      </c>
      <c r="BY30">
        <f t="shared" ca="1" si="43"/>
        <v>0</v>
      </c>
      <c r="BZ30">
        <f t="shared" ca="1" si="43"/>
        <v>0</v>
      </c>
      <c r="CA30">
        <f t="shared" ca="1" si="43"/>
        <v>0</v>
      </c>
      <c r="CB30">
        <f t="shared" ca="1" si="43"/>
        <v>0</v>
      </c>
      <c r="CC30">
        <f t="shared" ca="1" si="43"/>
        <v>0</v>
      </c>
      <c r="CD30">
        <f t="shared" ca="1" si="43"/>
        <v>0</v>
      </c>
      <c r="CE30">
        <f t="shared" ca="1" si="43"/>
        <v>0</v>
      </c>
      <c r="CF30">
        <f t="shared" ca="1" si="43"/>
        <v>0</v>
      </c>
      <c r="CG30">
        <f t="shared" ca="1" si="43"/>
        <v>0</v>
      </c>
    </row>
    <row r="31" spans="2:85" x14ac:dyDescent="0.2">
      <c r="B31" s="606">
        <f>IF($N$27=1,B19,Spez!U21)</f>
        <v>35</v>
      </c>
      <c r="C31" s="604" t="s">
        <v>2135</v>
      </c>
      <c r="D31" s="633">
        <f ca="1">IF($N$27=1,D19,Spez!W21)</f>
        <v>0</v>
      </c>
      <c r="E31" s="633">
        <f ca="1">IF($N$27=1,E19,Spez!X21)</f>
        <v>0</v>
      </c>
      <c r="F31" s="633">
        <f ca="1">IF($N$27=1,F19,Spez!Y21)</f>
        <v>0</v>
      </c>
      <c r="G31" s="633">
        <f ca="1">IF($N$27=1,G19,Spez!Z21)</f>
        <v>0</v>
      </c>
      <c r="H31" s="633">
        <f ca="1">IF($N$27=1,H19,Spez!AA21)</f>
        <v>0</v>
      </c>
      <c r="I31" s="633">
        <f ca="1">IF($N$27=1,I19,Spez!AB21)</f>
        <v>0</v>
      </c>
      <c r="J31" s="634">
        <f ca="1">IF($N$27=1,J19,Spez!AC21)</f>
        <v>0</v>
      </c>
      <c r="L31" t="s">
        <v>1378</v>
      </c>
      <c r="M31" s="552" t="s">
        <v>1379</v>
      </c>
      <c r="N31" s="579">
        <f ca="1">(F31-E31)/($F$30-$E$30)</f>
        <v>0</v>
      </c>
      <c r="S31" s="552" t="s">
        <v>1375</v>
      </c>
      <c r="T31">
        <f t="shared" ref="T31:AY31" ca="1" si="44">((T50-T5)/(T7-T5))-T32</f>
        <v>1.25</v>
      </c>
      <c r="U31">
        <f t="shared" ca="1" si="44"/>
        <v>1.125</v>
      </c>
      <c r="V31">
        <f t="shared" ca="1" si="44"/>
        <v>1</v>
      </c>
      <c r="W31">
        <f t="shared" ca="1" si="44"/>
        <v>0.875</v>
      </c>
      <c r="X31">
        <f t="shared" ca="1" si="44"/>
        <v>0.75</v>
      </c>
      <c r="Y31">
        <f t="shared" ca="1" si="44"/>
        <v>0.625</v>
      </c>
      <c r="Z31">
        <f t="shared" ca="1" si="44"/>
        <v>0.5</v>
      </c>
      <c r="AA31">
        <f t="shared" ca="1" si="44"/>
        <v>0.375</v>
      </c>
      <c r="AB31">
        <f t="shared" ca="1" si="44"/>
        <v>0.25</v>
      </c>
      <c r="AC31">
        <f t="shared" ca="1" si="44"/>
        <v>0.125</v>
      </c>
      <c r="AD31">
        <f t="shared" ca="1" si="44"/>
        <v>1.25</v>
      </c>
      <c r="AE31">
        <f t="shared" ca="1" si="44"/>
        <v>1.09375</v>
      </c>
      <c r="AF31">
        <f t="shared" ca="1" si="44"/>
        <v>0.9375</v>
      </c>
      <c r="AG31">
        <f t="shared" ca="1" si="44"/>
        <v>0.78125</v>
      </c>
      <c r="AH31">
        <f t="shared" ca="1" si="44"/>
        <v>0.625</v>
      </c>
      <c r="AI31">
        <f t="shared" ca="1" si="44"/>
        <v>0.46875</v>
      </c>
      <c r="AJ31">
        <f t="shared" ca="1" si="44"/>
        <v>0.3125</v>
      </c>
      <c r="AK31">
        <f t="shared" ca="1" si="44"/>
        <v>0.15625</v>
      </c>
      <c r="AL31">
        <f t="shared" ca="1" si="44"/>
        <v>1.25</v>
      </c>
      <c r="AM31">
        <f t="shared" ca="1" si="44"/>
        <v>1.1111111111111112</v>
      </c>
      <c r="AN31">
        <f t="shared" ca="1" si="44"/>
        <v>0.97222222222222221</v>
      </c>
      <c r="AO31">
        <f t="shared" ca="1" si="44"/>
        <v>0.83333333333333326</v>
      </c>
      <c r="AP31">
        <f t="shared" ca="1" si="44"/>
        <v>0.69444444444444442</v>
      </c>
      <c r="AQ31">
        <f t="shared" ca="1" si="44"/>
        <v>0.55555555555555558</v>
      </c>
      <c r="AR31">
        <f t="shared" ca="1" si="44"/>
        <v>0.41666666666666663</v>
      </c>
      <c r="AS31">
        <f t="shared" ca="1" si="44"/>
        <v>0.27777777777777779</v>
      </c>
      <c r="AT31">
        <f t="shared" ca="1" si="44"/>
        <v>0.13888888888888884</v>
      </c>
      <c r="AU31">
        <f t="shared" ca="1" si="44"/>
        <v>1.25</v>
      </c>
      <c r="AV31">
        <f t="shared" ca="1" si="44"/>
        <v>1</v>
      </c>
      <c r="AW31">
        <f t="shared" ca="1" si="44"/>
        <v>0.75</v>
      </c>
      <c r="AX31">
        <f t="shared" ca="1" si="44"/>
        <v>0.5</v>
      </c>
      <c r="AY31">
        <f t="shared" ca="1" si="44"/>
        <v>0.25</v>
      </c>
      <c r="AZ31">
        <f t="shared" ref="AZ31:CE31" ca="1" si="45">((AZ50-AZ5)/(AZ7-AZ5))-AZ32</f>
        <v>1.25</v>
      </c>
      <c r="BA31">
        <f t="shared" ca="1" si="45"/>
        <v>1.1538461538461537</v>
      </c>
      <c r="BB31">
        <f t="shared" ca="1" si="45"/>
        <v>1.0576923076923077</v>
      </c>
      <c r="BC31">
        <f t="shared" ca="1" si="45"/>
        <v>0.96153846153846156</v>
      </c>
      <c r="BD31">
        <f t="shared" ca="1" si="45"/>
        <v>0.86538461538461542</v>
      </c>
      <c r="BE31">
        <f t="shared" ca="1" si="45"/>
        <v>0.76923076923076916</v>
      </c>
      <c r="BF31">
        <f t="shared" ca="1" si="45"/>
        <v>0.67307692307692313</v>
      </c>
      <c r="BG31">
        <f t="shared" ca="1" si="45"/>
        <v>0.57692307692307687</v>
      </c>
      <c r="BH31">
        <f t="shared" ca="1" si="45"/>
        <v>0.48076923076923073</v>
      </c>
      <c r="BI31">
        <f t="shared" ca="1" si="45"/>
        <v>0.38461538461538458</v>
      </c>
      <c r="BJ31">
        <f t="shared" ca="1" si="45"/>
        <v>0.28846153846153844</v>
      </c>
      <c r="BK31">
        <f t="shared" ca="1" si="45"/>
        <v>0.19230769230769229</v>
      </c>
      <c r="BL31">
        <f t="shared" ca="1" si="45"/>
        <v>9.6153846153846256E-2</v>
      </c>
      <c r="BM31">
        <f t="shared" ca="1" si="45"/>
        <v>1.25</v>
      </c>
      <c r="BN31">
        <f t="shared" ca="1" si="45"/>
        <v>1.25</v>
      </c>
      <c r="BO31">
        <f t="shared" ca="1" si="45"/>
        <v>1.25</v>
      </c>
      <c r="BP31">
        <f t="shared" ca="1" si="45"/>
        <v>1.25</v>
      </c>
      <c r="BQ31">
        <f t="shared" ca="1" si="45"/>
        <v>1.25</v>
      </c>
      <c r="BR31">
        <f t="shared" ca="1" si="45"/>
        <v>1.25</v>
      </c>
      <c r="BS31">
        <f t="shared" ca="1" si="45"/>
        <v>1.25</v>
      </c>
      <c r="BT31">
        <f t="shared" ca="1" si="45"/>
        <v>1.25</v>
      </c>
      <c r="BU31">
        <f t="shared" ca="1" si="45"/>
        <v>1.25</v>
      </c>
      <c r="BV31">
        <f t="shared" ca="1" si="45"/>
        <v>1.25</v>
      </c>
      <c r="BW31">
        <f t="shared" ca="1" si="45"/>
        <v>1.25</v>
      </c>
      <c r="BX31">
        <f t="shared" ca="1" si="45"/>
        <v>1.25</v>
      </c>
      <c r="BY31">
        <f t="shared" ca="1" si="45"/>
        <v>1.25</v>
      </c>
      <c r="BZ31">
        <f t="shared" ca="1" si="45"/>
        <v>1.25</v>
      </c>
      <c r="CA31">
        <f t="shared" ca="1" si="45"/>
        <v>1.25</v>
      </c>
      <c r="CB31">
        <f t="shared" ca="1" si="45"/>
        <v>1.25</v>
      </c>
      <c r="CC31">
        <f t="shared" ca="1" si="45"/>
        <v>1.25</v>
      </c>
      <c r="CD31">
        <f t="shared" ca="1" si="45"/>
        <v>1.25</v>
      </c>
      <c r="CE31">
        <f t="shared" ca="1" si="45"/>
        <v>1.25</v>
      </c>
      <c r="CF31">
        <f ca="1">((CF50-CF5)/(CF7-CF5))-CF32</f>
        <v>1.25</v>
      </c>
      <c r="CG31">
        <f ca="1">((CG50-CG5)/(CG7-CG5))-CG32</f>
        <v>1.25</v>
      </c>
    </row>
    <row r="32" spans="2:85" x14ac:dyDescent="0.2">
      <c r="B32" s="607"/>
      <c r="C32" s="605" t="s">
        <v>774</v>
      </c>
      <c r="D32" s="635">
        <f ca="1">IF($N$27=1,D20,Spez!W22)</f>
        <v>0</v>
      </c>
      <c r="E32" s="635">
        <f ca="1">IF($N$27=1,E20,Spez!X22)</f>
        <v>0</v>
      </c>
      <c r="F32" s="635">
        <f ca="1">IF($N$27=1,F20,Spez!Y22)</f>
        <v>0</v>
      </c>
      <c r="G32" s="635">
        <f ca="1">IF($N$27=1,G20,Spez!Z22)</f>
        <v>0</v>
      </c>
      <c r="H32" s="635">
        <f ca="1">IF($N$27=1,H20,Spez!AA22)</f>
        <v>0</v>
      </c>
      <c r="I32" s="635">
        <f ca="1">IF($N$27=1,I20,Spez!AB22)</f>
        <v>0</v>
      </c>
      <c r="J32" s="636">
        <f ca="1">IF($N$27=1,J20,Spez!AC22)</f>
        <v>0</v>
      </c>
      <c r="M32" t="s">
        <v>774</v>
      </c>
      <c r="N32" s="579">
        <f ca="1">(F32-E32)/($F$30-$E$30)</f>
        <v>0</v>
      </c>
      <c r="S32" s="552" t="s">
        <v>1377</v>
      </c>
      <c r="T32">
        <f t="shared" ref="T32:AY32" ca="1" si="46">(((T39-T6)*(T50-T5))/((T8-T6)*(T7-T5)))</f>
        <v>0</v>
      </c>
      <c r="U32">
        <f t="shared" ca="1" si="46"/>
        <v>0.125</v>
      </c>
      <c r="V32">
        <f t="shared" ca="1" si="46"/>
        <v>0.25</v>
      </c>
      <c r="W32">
        <f t="shared" ca="1" si="46"/>
        <v>0.375</v>
      </c>
      <c r="X32">
        <f t="shared" ca="1" si="46"/>
        <v>0.5</v>
      </c>
      <c r="Y32">
        <f t="shared" ca="1" si="46"/>
        <v>0.625</v>
      </c>
      <c r="Z32">
        <f t="shared" ca="1" si="46"/>
        <v>0.75</v>
      </c>
      <c r="AA32">
        <f t="shared" ca="1" si="46"/>
        <v>0.875</v>
      </c>
      <c r="AB32">
        <f t="shared" ca="1" si="46"/>
        <v>1</v>
      </c>
      <c r="AC32">
        <f t="shared" ca="1" si="46"/>
        <v>1.125</v>
      </c>
      <c r="AD32">
        <f t="shared" ca="1" si="46"/>
        <v>0</v>
      </c>
      <c r="AE32">
        <f t="shared" ca="1" si="46"/>
        <v>0.15625</v>
      </c>
      <c r="AF32">
        <f t="shared" ca="1" si="46"/>
        <v>0.3125</v>
      </c>
      <c r="AG32">
        <f t="shared" ca="1" si="46"/>
        <v>0.46875</v>
      </c>
      <c r="AH32">
        <f t="shared" ca="1" si="46"/>
        <v>0.625</v>
      </c>
      <c r="AI32">
        <f t="shared" ca="1" si="46"/>
        <v>0.78125</v>
      </c>
      <c r="AJ32">
        <f t="shared" ca="1" si="46"/>
        <v>0.9375</v>
      </c>
      <c r="AK32">
        <f t="shared" ca="1" si="46"/>
        <v>1.09375</v>
      </c>
      <c r="AL32">
        <f t="shared" ca="1" si="46"/>
        <v>0</v>
      </c>
      <c r="AM32">
        <f t="shared" ca="1" si="46"/>
        <v>0.1388888888888889</v>
      </c>
      <c r="AN32">
        <f t="shared" ca="1" si="46"/>
        <v>0.27777777777777779</v>
      </c>
      <c r="AO32">
        <f t="shared" ca="1" si="46"/>
        <v>0.41666666666666669</v>
      </c>
      <c r="AP32">
        <f t="shared" ca="1" si="46"/>
        <v>0.55555555555555558</v>
      </c>
      <c r="AQ32">
        <f t="shared" ca="1" si="46"/>
        <v>0.69444444444444442</v>
      </c>
      <c r="AR32">
        <f t="shared" ca="1" si="46"/>
        <v>0.83333333333333337</v>
      </c>
      <c r="AS32">
        <f t="shared" ca="1" si="46"/>
        <v>0.97222222222222221</v>
      </c>
      <c r="AT32">
        <f t="shared" ca="1" si="46"/>
        <v>1.1111111111111112</v>
      </c>
      <c r="AU32">
        <f t="shared" ca="1" si="46"/>
        <v>0</v>
      </c>
      <c r="AV32">
        <f t="shared" ca="1" si="46"/>
        <v>0.25</v>
      </c>
      <c r="AW32">
        <f t="shared" ca="1" si="46"/>
        <v>0.5</v>
      </c>
      <c r="AX32">
        <f t="shared" ca="1" si="46"/>
        <v>0.75</v>
      </c>
      <c r="AY32">
        <f t="shared" ca="1" si="46"/>
        <v>1</v>
      </c>
      <c r="AZ32">
        <f t="shared" ref="AZ32:CG32" ca="1" si="47">(((AZ39-AZ6)*(AZ50-AZ5))/((AZ8-AZ6)*(AZ7-AZ5)))</f>
        <v>0</v>
      </c>
      <c r="BA32">
        <f t="shared" ca="1" si="47"/>
        <v>9.6153846153846159E-2</v>
      </c>
      <c r="BB32">
        <f t="shared" ca="1" si="47"/>
        <v>0.19230769230769232</v>
      </c>
      <c r="BC32">
        <f t="shared" ca="1" si="47"/>
        <v>0.28846153846153844</v>
      </c>
      <c r="BD32">
        <f t="shared" ca="1" si="47"/>
        <v>0.38461538461538464</v>
      </c>
      <c r="BE32">
        <f t="shared" ca="1" si="47"/>
        <v>0.48076923076923078</v>
      </c>
      <c r="BF32">
        <f t="shared" ca="1" si="47"/>
        <v>0.57692307692307687</v>
      </c>
      <c r="BG32">
        <f t="shared" ca="1" si="47"/>
        <v>0.67307692307692313</v>
      </c>
      <c r="BH32">
        <f t="shared" ca="1" si="47"/>
        <v>0.76923076923076927</v>
      </c>
      <c r="BI32">
        <f t="shared" ca="1" si="47"/>
        <v>0.86538461538461542</v>
      </c>
      <c r="BJ32">
        <f t="shared" ca="1" si="47"/>
        <v>0.96153846153846156</v>
      </c>
      <c r="BK32">
        <f t="shared" ca="1" si="47"/>
        <v>1.0576923076923077</v>
      </c>
      <c r="BL32">
        <f t="shared" ca="1" si="47"/>
        <v>1.1538461538461537</v>
      </c>
      <c r="BM32">
        <f t="shared" ca="1" si="47"/>
        <v>0</v>
      </c>
      <c r="BN32">
        <f t="shared" ca="1" si="47"/>
        <v>0</v>
      </c>
      <c r="BO32">
        <f t="shared" ca="1" si="47"/>
        <v>0</v>
      </c>
      <c r="BP32">
        <f t="shared" ca="1" si="47"/>
        <v>0</v>
      </c>
      <c r="BQ32">
        <f t="shared" ca="1" si="47"/>
        <v>0</v>
      </c>
      <c r="BR32">
        <f t="shared" ca="1" si="47"/>
        <v>0</v>
      </c>
      <c r="BS32">
        <f t="shared" ca="1" si="47"/>
        <v>0</v>
      </c>
      <c r="BT32">
        <f t="shared" ca="1" si="47"/>
        <v>0</v>
      </c>
      <c r="BU32">
        <f t="shared" ca="1" si="47"/>
        <v>0</v>
      </c>
      <c r="BV32">
        <f t="shared" ca="1" si="47"/>
        <v>0</v>
      </c>
      <c r="BW32">
        <f t="shared" ca="1" si="47"/>
        <v>0</v>
      </c>
      <c r="BX32">
        <f t="shared" ca="1" si="47"/>
        <v>0</v>
      </c>
      <c r="BY32">
        <f t="shared" ca="1" si="47"/>
        <v>0</v>
      </c>
      <c r="BZ32">
        <f t="shared" ca="1" si="47"/>
        <v>0</v>
      </c>
      <c r="CA32">
        <f t="shared" ca="1" si="47"/>
        <v>0</v>
      </c>
      <c r="CB32">
        <f t="shared" ca="1" si="47"/>
        <v>0</v>
      </c>
      <c r="CC32">
        <f t="shared" ca="1" si="47"/>
        <v>0</v>
      </c>
      <c r="CD32">
        <f t="shared" ca="1" si="47"/>
        <v>0</v>
      </c>
      <c r="CE32">
        <f t="shared" ca="1" si="47"/>
        <v>0</v>
      </c>
      <c r="CF32">
        <f t="shared" ca="1" si="47"/>
        <v>0</v>
      </c>
      <c r="CG32">
        <f t="shared" ca="1" si="47"/>
        <v>0</v>
      </c>
    </row>
    <row r="33" spans="2:86" x14ac:dyDescent="0.2">
      <c r="B33" s="608"/>
      <c r="C33" s="603" t="s">
        <v>103</v>
      </c>
      <c r="D33" s="637">
        <f ca="1">IF($N$27=1,D21,Spez!W23)</f>
        <v>0</v>
      </c>
      <c r="E33" s="638">
        <f ca="1">IF($N$27=1,E21,Spez!X23)</f>
        <v>0</v>
      </c>
      <c r="F33" s="638">
        <f ca="1">IF($N$27=1,F21,Spez!Y23)</f>
        <v>0</v>
      </c>
      <c r="G33" s="638">
        <f ca="1">IF($N$27=1,G21,Spez!Z23)</f>
        <v>0</v>
      </c>
      <c r="H33" s="638">
        <f ca="1">IF($N$27=1,H21,Spez!AA23)</f>
        <v>0</v>
      </c>
      <c r="I33" s="638">
        <f ca="1">IF($N$27=1,I21,Spez!AB23)</f>
        <v>0</v>
      </c>
      <c r="J33" s="639">
        <f ca="1">IF($N$27=1,J21,Spez!AC23)</f>
        <v>0</v>
      </c>
      <c r="N33" s="579"/>
    </row>
    <row r="34" spans="2:86" x14ac:dyDescent="0.2">
      <c r="B34" s="606">
        <f>IF($N$27=1,B22,Spez!U24)</f>
        <v>55</v>
      </c>
      <c r="C34" s="563" t="s">
        <v>2135</v>
      </c>
      <c r="D34" s="633">
        <f ca="1">IF($N$27=1,D22,Spez!W24)</f>
        <v>0</v>
      </c>
      <c r="E34" s="633">
        <f ca="1">IF($N$27=1,E22,Spez!X24)</f>
        <v>0</v>
      </c>
      <c r="F34" s="633">
        <f ca="1">IF($N$27=1,F22,Spez!Y24)</f>
        <v>0</v>
      </c>
      <c r="G34" s="633">
        <f ca="1">IF($N$27=1,G22,Spez!Z24)</f>
        <v>0</v>
      </c>
      <c r="H34" s="633">
        <f ca="1">IF($N$27=1,H22,Spez!AA24)</f>
        <v>0</v>
      </c>
      <c r="I34" s="633">
        <f ca="1">IF($N$27=1,I22,Spez!AB24)</f>
        <v>0</v>
      </c>
      <c r="J34" s="634">
        <f ca="1">IF($N$27=1,J22,Spez!AC24)</f>
        <v>0</v>
      </c>
      <c r="L34" t="s">
        <v>1382</v>
      </c>
      <c r="M34" s="552" t="s">
        <v>1379</v>
      </c>
      <c r="N34" s="579">
        <f ca="1">(I34-H34)/($I$30-$H$30)</f>
        <v>0</v>
      </c>
      <c r="O34" t="s">
        <v>1383</v>
      </c>
      <c r="P34" t="s">
        <v>1384</v>
      </c>
      <c r="Q34" s="579">
        <f ca="1">(H34-F34)/($H$30-$F$30)</f>
        <v>0</v>
      </c>
      <c r="S34" s="595" t="s">
        <v>93</v>
      </c>
    </row>
    <row r="35" spans="2:86" x14ac:dyDescent="0.2">
      <c r="B35" s="607"/>
      <c r="C35" s="568" t="s">
        <v>774</v>
      </c>
      <c r="D35" s="635">
        <f ca="1">IF($N$27=1,D23,Spez!W25)</f>
        <v>0</v>
      </c>
      <c r="E35" s="635">
        <f ca="1">IF($N$27=1,E23,Spez!X25)</f>
        <v>0</v>
      </c>
      <c r="F35" s="635">
        <f ca="1">IF($N$27=1,F23,Spez!Y25)</f>
        <v>0</v>
      </c>
      <c r="G35" s="635">
        <f ca="1">IF($N$27=1,G23,Spez!Z25)</f>
        <v>0</v>
      </c>
      <c r="H35" s="635">
        <f ca="1">IF($N$27=1,H23,Spez!AA25)</f>
        <v>0</v>
      </c>
      <c r="I35" s="635">
        <f ca="1">IF($N$27=1,I23,Spez!AB25)</f>
        <v>0</v>
      </c>
      <c r="J35" s="636">
        <f ca="1">IF($N$27=1,J23,Spez!AC25)</f>
        <v>0</v>
      </c>
      <c r="M35" t="s">
        <v>774</v>
      </c>
      <c r="N35" s="579">
        <f ca="1">(I35-H35)/($I$30-$H$30)</f>
        <v>0</v>
      </c>
      <c r="P35" t="s">
        <v>774</v>
      </c>
      <c r="Q35" s="579">
        <f ca="1">(H35-F35)/($H$30-$F$30)</f>
        <v>0</v>
      </c>
      <c r="S35" s="521" t="s">
        <v>1380</v>
      </c>
      <c r="T35" s="521">
        <v>-25</v>
      </c>
      <c r="U35" s="521">
        <f>T35+1</f>
        <v>-24</v>
      </c>
      <c r="V35" s="521">
        <f t="shared" ref="V35:CG35" si="48">U35+1</f>
        <v>-23</v>
      </c>
      <c r="W35" s="521">
        <f t="shared" si="48"/>
        <v>-22</v>
      </c>
      <c r="X35" s="521">
        <f t="shared" si="48"/>
        <v>-21</v>
      </c>
      <c r="Y35" s="521">
        <f t="shared" si="48"/>
        <v>-20</v>
      </c>
      <c r="Z35" s="521">
        <f t="shared" si="48"/>
        <v>-19</v>
      </c>
      <c r="AA35" s="521">
        <f t="shared" si="48"/>
        <v>-18</v>
      </c>
      <c r="AB35" s="521">
        <f t="shared" si="48"/>
        <v>-17</v>
      </c>
      <c r="AC35" s="521">
        <f t="shared" si="48"/>
        <v>-16</v>
      </c>
      <c r="AD35" s="521">
        <f t="shared" si="48"/>
        <v>-15</v>
      </c>
      <c r="AE35" s="521">
        <f t="shared" si="48"/>
        <v>-14</v>
      </c>
      <c r="AF35" s="521">
        <f t="shared" si="48"/>
        <v>-13</v>
      </c>
      <c r="AG35" s="521">
        <f t="shared" si="48"/>
        <v>-12</v>
      </c>
      <c r="AH35" s="521">
        <f t="shared" si="48"/>
        <v>-11</v>
      </c>
      <c r="AI35" s="521">
        <f t="shared" si="48"/>
        <v>-10</v>
      </c>
      <c r="AJ35" s="521">
        <f t="shared" si="48"/>
        <v>-9</v>
      </c>
      <c r="AK35" s="521">
        <f t="shared" si="48"/>
        <v>-8</v>
      </c>
      <c r="AL35" s="521">
        <f t="shared" si="48"/>
        <v>-7</v>
      </c>
      <c r="AM35" s="521">
        <f t="shared" si="48"/>
        <v>-6</v>
      </c>
      <c r="AN35" s="521">
        <f t="shared" si="48"/>
        <v>-5</v>
      </c>
      <c r="AO35" s="521">
        <f t="shared" si="48"/>
        <v>-4</v>
      </c>
      <c r="AP35" s="521">
        <f t="shared" si="48"/>
        <v>-3</v>
      </c>
      <c r="AQ35" s="521">
        <f t="shared" si="48"/>
        <v>-2</v>
      </c>
      <c r="AR35" s="521">
        <f t="shared" si="48"/>
        <v>-1</v>
      </c>
      <c r="AS35" s="521">
        <f t="shared" si="48"/>
        <v>0</v>
      </c>
      <c r="AT35" s="521">
        <f t="shared" si="48"/>
        <v>1</v>
      </c>
      <c r="AU35" s="521">
        <f t="shared" si="48"/>
        <v>2</v>
      </c>
      <c r="AV35" s="521">
        <f t="shared" si="48"/>
        <v>3</v>
      </c>
      <c r="AW35" s="521">
        <f t="shared" si="48"/>
        <v>4</v>
      </c>
      <c r="AX35" s="521">
        <f t="shared" si="48"/>
        <v>5</v>
      </c>
      <c r="AY35" s="521">
        <f t="shared" si="48"/>
        <v>6</v>
      </c>
      <c r="AZ35" s="521">
        <f t="shared" si="48"/>
        <v>7</v>
      </c>
      <c r="BA35" s="521">
        <f t="shared" si="48"/>
        <v>8</v>
      </c>
      <c r="BB35" s="521">
        <f t="shared" si="48"/>
        <v>9</v>
      </c>
      <c r="BC35" s="521">
        <f t="shared" si="48"/>
        <v>10</v>
      </c>
      <c r="BD35" s="521">
        <f t="shared" si="48"/>
        <v>11</v>
      </c>
      <c r="BE35" s="521">
        <f t="shared" si="48"/>
        <v>12</v>
      </c>
      <c r="BF35" s="521">
        <f t="shared" si="48"/>
        <v>13</v>
      </c>
      <c r="BG35" s="521">
        <f t="shared" si="48"/>
        <v>14</v>
      </c>
      <c r="BH35" s="521">
        <f t="shared" si="48"/>
        <v>15</v>
      </c>
      <c r="BI35" s="521">
        <f t="shared" si="48"/>
        <v>16</v>
      </c>
      <c r="BJ35" s="521">
        <f t="shared" si="48"/>
        <v>17</v>
      </c>
      <c r="BK35" s="521">
        <f t="shared" si="48"/>
        <v>18</v>
      </c>
      <c r="BL35" s="521">
        <f t="shared" si="48"/>
        <v>19</v>
      </c>
      <c r="BM35" s="521">
        <f t="shared" si="48"/>
        <v>20</v>
      </c>
      <c r="BN35" s="521">
        <f t="shared" si="48"/>
        <v>21</v>
      </c>
      <c r="BO35" s="521">
        <f t="shared" si="48"/>
        <v>22</v>
      </c>
      <c r="BP35" s="521">
        <f t="shared" si="48"/>
        <v>23</v>
      </c>
      <c r="BQ35" s="521">
        <f t="shared" si="48"/>
        <v>24</v>
      </c>
      <c r="BR35" s="521">
        <f t="shared" si="48"/>
        <v>25</v>
      </c>
      <c r="BS35" s="521">
        <f t="shared" si="48"/>
        <v>26</v>
      </c>
      <c r="BT35" s="521">
        <f t="shared" si="48"/>
        <v>27</v>
      </c>
      <c r="BU35" s="521">
        <f t="shared" si="48"/>
        <v>28</v>
      </c>
      <c r="BV35" s="521">
        <f t="shared" si="48"/>
        <v>29</v>
      </c>
      <c r="BW35" s="521">
        <f t="shared" si="48"/>
        <v>30</v>
      </c>
      <c r="BX35" s="521">
        <f t="shared" si="48"/>
        <v>31</v>
      </c>
      <c r="BY35" s="521">
        <f t="shared" si="48"/>
        <v>32</v>
      </c>
      <c r="BZ35" s="521">
        <f t="shared" si="48"/>
        <v>33</v>
      </c>
      <c r="CA35" s="521">
        <f t="shared" si="48"/>
        <v>34</v>
      </c>
      <c r="CB35" s="521">
        <f t="shared" si="48"/>
        <v>35</v>
      </c>
      <c r="CC35" s="521">
        <f t="shared" si="48"/>
        <v>36</v>
      </c>
      <c r="CD35" s="521">
        <f t="shared" si="48"/>
        <v>37</v>
      </c>
      <c r="CE35" s="521">
        <f t="shared" si="48"/>
        <v>38</v>
      </c>
      <c r="CF35" s="521">
        <f t="shared" si="48"/>
        <v>39</v>
      </c>
      <c r="CG35" s="521">
        <f t="shared" si="48"/>
        <v>40</v>
      </c>
    </row>
    <row r="36" spans="2:86" x14ac:dyDescent="0.2">
      <c r="B36" s="608"/>
      <c r="C36" s="603" t="s">
        <v>103</v>
      </c>
      <c r="D36" s="638">
        <f ca="1">IF($N$27=1,D24,Spez!W26)</f>
        <v>0</v>
      </c>
      <c r="E36" s="638">
        <f ca="1">IF($N$27=1,E24,Spez!X26)</f>
        <v>0</v>
      </c>
      <c r="F36" s="638">
        <f ca="1">IF($N$27=1,F24,Spez!Y26)</f>
        <v>0</v>
      </c>
      <c r="G36" s="638">
        <f ca="1">IF($N$27=1,G24,Spez!Z26)</f>
        <v>0</v>
      </c>
      <c r="H36" s="638">
        <f ca="1">IF($N$27=1,H24,Spez!AA26)</f>
        <v>0</v>
      </c>
      <c r="I36" s="638">
        <f ca="1">IF($N$27=1,I24,Spez!AB26)</f>
        <v>0</v>
      </c>
      <c r="J36" s="639">
        <f ca="1">IF($N$27=1,J24,Spez!AC26)</f>
        <v>0</v>
      </c>
      <c r="S36" s="552" t="s">
        <v>2699</v>
      </c>
      <c r="T36" s="552">
        <f>INDEX('WP1'!$W$60:$W$125,T75,1)</f>
        <v>0</v>
      </c>
      <c r="U36" s="552">
        <f>INDEX('WP1'!$W$60:$W$125,U75,1)</f>
        <v>0</v>
      </c>
      <c r="V36" s="552">
        <f>INDEX('WP1'!$W$60:$W$125,V75,1)</f>
        <v>0</v>
      </c>
      <c r="W36" s="552">
        <f>INDEX('WP1'!$W$60:$W$125,W75,1)</f>
        <v>0</v>
      </c>
      <c r="X36" s="552">
        <f>INDEX('WP1'!$W$60:$W$125,X75,1)</f>
        <v>0</v>
      </c>
      <c r="Y36" s="552">
        <f>INDEX('WP1'!$W$60:$W$125,Y75,1)</f>
        <v>0</v>
      </c>
      <c r="Z36" s="552">
        <f>INDEX('WP1'!$W$60:$W$125,Z75,1)</f>
        <v>0</v>
      </c>
      <c r="AA36" s="552">
        <f>INDEX('WP1'!$W$60:$W$125,AA75,1)</f>
        <v>0</v>
      </c>
      <c r="AB36" s="552">
        <f>INDEX('WP1'!$W$60:$W$125,AB75,1)</f>
        <v>0</v>
      </c>
      <c r="AC36" s="552">
        <f>INDEX('WP1'!$W$60:$W$125,AC75,1)</f>
        <v>0</v>
      </c>
      <c r="AD36" s="552">
        <f>INDEX('WP1'!$W$60:$W$125,AD75,1)</f>
        <v>0</v>
      </c>
      <c r="AE36" s="552">
        <f>INDEX('WP1'!$W$60:$W$125,AE75,1)</f>
        <v>0</v>
      </c>
      <c r="AF36" s="552">
        <f>INDEX('WP1'!$W$60:$W$125,AF75,1)</f>
        <v>0</v>
      </c>
      <c r="AG36" s="552">
        <f>INDEX('WP1'!$W$60:$W$125,AG75,1)</f>
        <v>0</v>
      </c>
      <c r="AH36" s="552">
        <f>INDEX('WP1'!$W$60:$W$125,AH75,1)</f>
        <v>0</v>
      </c>
      <c r="AI36" s="552">
        <f>INDEX('WP1'!$W$60:$W$125,AI75,1)</f>
        <v>0</v>
      </c>
      <c r="AJ36" s="552">
        <f>INDEX('WP1'!$W$60:$W$125,AJ75,1)</f>
        <v>0</v>
      </c>
      <c r="AK36" s="552" t="e">
        <f>INDEX('WP1'!$W$60:$W$125,AK75,1)</f>
        <v>#VALUE!</v>
      </c>
      <c r="AL36" s="552" t="e">
        <f>INDEX('WP1'!$W$60:$W$125,AL75,1)</f>
        <v>#VALUE!</v>
      </c>
      <c r="AM36" s="552" t="e">
        <f>INDEX('WP1'!$W$60:$W$125,AM75,1)</f>
        <v>#VALUE!</v>
      </c>
      <c r="AN36" s="552" t="e">
        <f>INDEX('WP1'!$W$60:$W$125,AN75,1)</f>
        <v>#VALUE!</v>
      </c>
      <c r="AO36" s="552" t="e">
        <f>INDEX('WP1'!$W$60:$W$125,AO75,1)</f>
        <v>#VALUE!</v>
      </c>
      <c r="AP36" s="552" t="e">
        <f>INDEX('WP1'!$W$60:$W$125,AP75,1)</f>
        <v>#VALUE!</v>
      </c>
      <c r="AQ36" s="552" t="e">
        <f>INDEX('WP1'!$W$60:$W$125,AQ75,1)</f>
        <v>#VALUE!</v>
      </c>
      <c r="AR36" s="552" t="e">
        <f>INDEX('WP1'!$W$60:$W$125,AR75,1)</f>
        <v>#VALUE!</v>
      </c>
      <c r="AS36" s="552" t="e">
        <f>INDEX('WP1'!$W$60:$W$125,AS75,1)</f>
        <v>#VALUE!</v>
      </c>
      <c r="AT36" s="552" t="e">
        <f>INDEX('WP1'!$W$60:$W$125,AT75,1)</f>
        <v>#VALUE!</v>
      </c>
      <c r="AU36" s="552" t="e">
        <f>INDEX('WP1'!$W$60:$W$125,AU75,1)</f>
        <v>#VALUE!</v>
      </c>
      <c r="AV36" s="552" t="e">
        <f>INDEX('WP1'!$W$60:$W$125,AV75,1)</f>
        <v>#VALUE!</v>
      </c>
      <c r="AW36" s="552" t="e">
        <f>INDEX('WP1'!$W$60:$W$125,AW75,1)</f>
        <v>#VALUE!</v>
      </c>
      <c r="AX36" s="552" t="e">
        <f>INDEX('WP1'!$W$60:$W$125,AX75,1)</f>
        <v>#VALUE!</v>
      </c>
      <c r="AY36" s="552" t="e">
        <f>INDEX('WP1'!$W$60:$W$125,AY75,1)</f>
        <v>#VALUE!</v>
      </c>
      <c r="AZ36" s="552" t="e">
        <f>INDEX('WP1'!$W$60:$W$125,AZ75,1)</f>
        <v>#VALUE!</v>
      </c>
      <c r="BA36" s="552">
        <f>INDEX('WP1'!$W$60:$W$125,BA75,1)</f>
        <v>0</v>
      </c>
      <c r="BB36" s="552">
        <f>INDEX('WP1'!$W$60:$W$125,BB75,1)</f>
        <v>0</v>
      </c>
      <c r="BC36" s="552">
        <f>INDEX('WP1'!$W$60:$W$125,BC75,1)</f>
        <v>0</v>
      </c>
      <c r="BD36" s="552">
        <f>INDEX('WP1'!$W$60:$W$125,BD75,1)</f>
        <v>0</v>
      </c>
      <c r="BE36" s="552">
        <f>INDEX('WP1'!$W$60:$W$125,BE75,1)</f>
        <v>0</v>
      </c>
      <c r="BF36" s="552">
        <f>INDEX('WP1'!$W$60:$W$125,BF75,1)</f>
        <v>0</v>
      </c>
      <c r="BG36" s="552">
        <f>INDEX('WP1'!$W$60:$W$125,BG75,1)</f>
        <v>0</v>
      </c>
      <c r="BH36" s="552">
        <f>INDEX('WP1'!$W$60:$W$125,BH75,1)</f>
        <v>0</v>
      </c>
      <c r="BI36" s="552">
        <f>INDEX('WP1'!$W$60:$W$125,BI75,1)</f>
        <v>0</v>
      </c>
      <c r="BJ36" s="552">
        <f>INDEX('WP1'!$W$60:$W$125,BJ75,1)</f>
        <v>0</v>
      </c>
      <c r="BK36" s="552">
        <f>INDEX('WP1'!$W$60:$W$125,BK75,1)</f>
        <v>0</v>
      </c>
      <c r="BL36" s="552">
        <f>INDEX('WP1'!$W$60:$W$125,BL75,1)</f>
        <v>0</v>
      </c>
      <c r="BM36" s="552">
        <f>INDEX('WP1'!$W$60:$W$125,BM75,1)</f>
        <v>0</v>
      </c>
      <c r="BN36" s="552">
        <f>INDEX('WP1'!$W$60:$W$125,BN75,1)</f>
        <v>0</v>
      </c>
      <c r="BO36" s="552">
        <f>INDEX('WP1'!$W$60:$W$125,BO75,1)</f>
        <v>0</v>
      </c>
      <c r="BP36" s="552">
        <f>INDEX('WP1'!$W$60:$W$125,BP75,1)</f>
        <v>0</v>
      </c>
      <c r="BQ36" s="552">
        <f>INDEX('WP1'!$W$60:$W$125,BQ75,1)</f>
        <v>0</v>
      </c>
      <c r="BR36" s="552">
        <f>INDEX('WP1'!$W$60:$W$125,BR75,1)</f>
        <v>0</v>
      </c>
      <c r="BS36" s="552">
        <f>INDEX('WP1'!$W$60:$W$125,BS75,1)</f>
        <v>0</v>
      </c>
      <c r="BT36" s="552">
        <f>INDEX('WP1'!$W$60:$W$125,BT75,1)</f>
        <v>0</v>
      </c>
      <c r="BU36" s="552">
        <f>INDEX('WP1'!$W$60:$W$125,BU75,1)</f>
        <v>0</v>
      </c>
      <c r="BV36" s="552">
        <f>INDEX('WP1'!$W$60:$W$125,BV75,1)</f>
        <v>0</v>
      </c>
      <c r="BW36" s="552">
        <f>INDEX('WP1'!$W$60:$W$125,BW75,1)</f>
        <v>0</v>
      </c>
      <c r="BX36" s="552">
        <f>INDEX('WP1'!$W$60:$W$125,BX75,1)</f>
        <v>0</v>
      </c>
      <c r="BY36" s="552">
        <f>INDEX('WP1'!$W$60:$W$125,BY75,1)</f>
        <v>0</v>
      </c>
      <c r="BZ36" s="552">
        <f>INDEX('WP1'!$W$60:$W$125,BZ75,1)</f>
        <v>0</v>
      </c>
      <c r="CA36" s="552">
        <f>INDEX('WP1'!$W$60:$W$125,CA75,1)</f>
        <v>0</v>
      </c>
      <c r="CB36" s="552">
        <f>INDEX('WP1'!$W$60:$W$125,CB75,1)</f>
        <v>0</v>
      </c>
      <c r="CC36" s="552">
        <f>INDEX('WP1'!$W$60:$W$125,CC75,1)</f>
        <v>0</v>
      </c>
      <c r="CD36" s="552">
        <f>INDEX('WP1'!$W$60:$W$125,CD75,1)</f>
        <v>0</v>
      </c>
      <c r="CE36" s="552">
        <f>INDEX('WP1'!$W$60:$W$125,CE75,1)</f>
        <v>0</v>
      </c>
      <c r="CF36" s="552">
        <f>INDEX('WP1'!$W$60:$W$125,CF75,1)</f>
        <v>0</v>
      </c>
      <c r="CG36" s="552">
        <f>INDEX('WP1'!$W$60:$W$125,CG75,1)</f>
        <v>0</v>
      </c>
      <c r="CH36" t="e">
        <f>SUM(T36:CG36)</f>
        <v>#VALUE!</v>
      </c>
    </row>
    <row r="37" spans="2:86" x14ac:dyDescent="0.2">
      <c r="T37" s="1123">
        <v>0</v>
      </c>
      <c r="U37" s="1123">
        <v>0</v>
      </c>
      <c r="V37" s="1123">
        <v>0</v>
      </c>
      <c r="W37" s="1123">
        <v>0</v>
      </c>
      <c r="X37" s="1123">
        <v>0</v>
      </c>
      <c r="Y37" s="1123">
        <v>0</v>
      </c>
      <c r="Z37" s="1123">
        <v>0</v>
      </c>
      <c r="AA37" s="1123">
        <v>0</v>
      </c>
      <c r="AB37" s="1123">
        <v>0</v>
      </c>
      <c r="AC37" s="1123">
        <v>0</v>
      </c>
      <c r="AD37" s="1123">
        <v>0</v>
      </c>
      <c r="AE37" s="1123">
        <v>0</v>
      </c>
      <c r="AF37" s="1123">
        <v>0</v>
      </c>
      <c r="AG37" s="1123">
        <v>0</v>
      </c>
      <c r="AH37" s="1123">
        <v>0</v>
      </c>
      <c r="AI37" s="1123">
        <v>0</v>
      </c>
      <c r="AJ37" s="1123">
        <v>0</v>
      </c>
      <c r="AK37" s="1123">
        <v>0</v>
      </c>
      <c r="AL37" s="1123">
        <v>0</v>
      </c>
      <c r="AM37" s="1123">
        <v>0</v>
      </c>
      <c r="AN37" s="1123">
        <v>0</v>
      </c>
      <c r="AO37" s="1123">
        <v>0</v>
      </c>
      <c r="AP37" s="1123">
        <v>0</v>
      </c>
      <c r="AQ37" s="1123">
        <v>0</v>
      </c>
      <c r="AR37" s="1123">
        <v>0</v>
      </c>
      <c r="AS37" s="1123">
        <v>0</v>
      </c>
      <c r="AT37" s="1123">
        <v>0</v>
      </c>
      <c r="AU37" s="1123">
        <v>0</v>
      </c>
      <c r="AV37" s="1123">
        <v>0</v>
      </c>
      <c r="AW37" s="1123">
        <v>0</v>
      </c>
      <c r="AX37" s="1123">
        <v>0</v>
      </c>
      <c r="AY37" s="1123">
        <v>0</v>
      </c>
      <c r="AZ37" s="1123">
        <v>0</v>
      </c>
      <c r="BA37" s="1123">
        <v>0</v>
      </c>
      <c r="BB37" s="1123">
        <v>0</v>
      </c>
      <c r="BC37" s="1123">
        <v>0</v>
      </c>
      <c r="BD37" s="1123">
        <v>0</v>
      </c>
      <c r="BE37" s="1123">
        <v>0</v>
      </c>
      <c r="BF37" s="1123">
        <v>0</v>
      </c>
      <c r="BG37" s="1123">
        <v>0</v>
      </c>
      <c r="BH37" s="1123">
        <v>0</v>
      </c>
      <c r="BI37" s="1123">
        <v>0</v>
      </c>
      <c r="BJ37" s="1123">
        <v>0</v>
      </c>
      <c r="BK37" s="1123">
        <v>0</v>
      </c>
      <c r="BL37" s="1123">
        <v>0</v>
      </c>
      <c r="BM37" s="1123">
        <v>0</v>
      </c>
      <c r="BN37" s="1123">
        <v>0</v>
      </c>
      <c r="BO37" s="1123">
        <v>0</v>
      </c>
      <c r="BP37" s="1123">
        <v>0</v>
      </c>
      <c r="BQ37" s="1123">
        <v>0</v>
      </c>
      <c r="BR37" s="1123">
        <v>0</v>
      </c>
      <c r="BS37" s="1123">
        <v>0</v>
      </c>
      <c r="BT37" s="1123">
        <v>0</v>
      </c>
      <c r="BU37" s="1123">
        <v>0</v>
      </c>
      <c r="BV37" s="1123">
        <v>0</v>
      </c>
      <c r="BW37" s="1123">
        <v>0</v>
      </c>
      <c r="BX37" s="1123">
        <v>0</v>
      </c>
      <c r="BY37" s="1123">
        <v>0</v>
      </c>
      <c r="BZ37" s="1123">
        <v>0</v>
      </c>
      <c r="CA37" s="1123">
        <v>0</v>
      </c>
      <c r="CB37" s="1123">
        <v>0</v>
      </c>
      <c r="CC37" s="1123">
        <v>0</v>
      </c>
      <c r="CD37" s="1123">
        <v>0</v>
      </c>
      <c r="CE37" s="1123">
        <v>0</v>
      </c>
      <c r="CF37" s="1123">
        <v>0</v>
      </c>
      <c r="CG37" s="1123">
        <v>0</v>
      </c>
    </row>
    <row r="38" spans="2:86" x14ac:dyDescent="0.2">
      <c r="S38" s="552" t="s">
        <v>1385</v>
      </c>
      <c r="T38">
        <f t="shared" ref="T38:AY38" si="49">T35+T37</f>
        <v>-25</v>
      </c>
      <c r="U38">
        <f t="shared" si="49"/>
        <v>-24</v>
      </c>
      <c r="V38">
        <f t="shared" si="49"/>
        <v>-23</v>
      </c>
      <c r="W38">
        <f t="shared" si="49"/>
        <v>-22</v>
      </c>
      <c r="X38">
        <f t="shared" si="49"/>
        <v>-21</v>
      </c>
      <c r="Y38">
        <f t="shared" si="49"/>
        <v>-20</v>
      </c>
      <c r="Z38">
        <f t="shared" si="49"/>
        <v>-19</v>
      </c>
      <c r="AA38">
        <f t="shared" si="49"/>
        <v>-18</v>
      </c>
      <c r="AB38">
        <f t="shared" si="49"/>
        <v>-17</v>
      </c>
      <c r="AC38">
        <f t="shared" si="49"/>
        <v>-16</v>
      </c>
      <c r="AD38">
        <f t="shared" si="49"/>
        <v>-15</v>
      </c>
      <c r="AE38">
        <f t="shared" si="49"/>
        <v>-14</v>
      </c>
      <c r="AF38">
        <f t="shared" si="49"/>
        <v>-13</v>
      </c>
      <c r="AG38">
        <f t="shared" si="49"/>
        <v>-12</v>
      </c>
      <c r="AH38">
        <f t="shared" si="49"/>
        <v>-11</v>
      </c>
      <c r="AI38">
        <f t="shared" si="49"/>
        <v>-10</v>
      </c>
      <c r="AJ38">
        <f t="shared" si="49"/>
        <v>-9</v>
      </c>
      <c r="AK38">
        <f t="shared" si="49"/>
        <v>-8</v>
      </c>
      <c r="AL38">
        <f t="shared" si="49"/>
        <v>-7</v>
      </c>
      <c r="AM38" s="556">
        <f t="shared" si="49"/>
        <v>-6</v>
      </c>
      <c r="AN38" s="556">
        <f t="shared" si="49"/>
        <v>-5</v>
      </c>
      <c r="AO38" s="556">
        <f t="shared" si="49"/>
        <v>-4</v>
      </c>
      <c r="AP38" s="556">
        <f t="shared" si="49"/>
        <v>-3</v>
      </c>
      <c r="AQ38" s="556">
        <f t="shared" si="49"/>
        <v>-2</v>
      </c>
      <c r="AR38" s="556">
        <f t="shared" si="49"/>
        <v>-1</v>
      </c>
      <c r="AS38" s="556">
        <f t="shared" si="49"/>
        <v>0</v>
      </c>
      <c r="AT38" s="556">
        <f t="shared" si="49"/>
        <v>1</v>
      </c>
      <c r="AU38">
        <f t="shared" si="49"/>
        <v>2</v>
      </c>
      <c r="AV38">
        <f t="shared" si="49"/>
        <v>3</v>
      </c>
      <c r="AW38">
        <f t="shared" si="49"/>
        <v>4</v>
      </c>
      <c r="AX38">
        <f t="shared" si="49"/>
        <v>5</v>
      </c>
      <c r="AY38">
        <f t="shared" si="49"/>
        <v>6</v>
      </c>
      <c r="AZ38">
        <f t="shared" ref="AZ38:CE38" si="50">AZ35+AZ37</f>
        <v>7</v>
      </c>
      <c r="BA38">
        <f t="shared" si="50"/>
        <v>8</v>
      </c>
      <c r="BB38">
        <f t="shared" si="50"/>
        <v>9</v>
      </c>
      <c r="BC38">
        <f t="shared" si="50"/>
        <v>10</v>
      </c>
      <c r="BD38">
        <f t="shared" si="50"/>
        <v>11</v>
      </c>
      <c r="BE38">
        <f t="shared" si="50"/>
        <v>12</v>
      </c>
      <c r="BF38">
        <f t="shared" si="50"/>
        <v>13</v>
      </c>
      <c r="BG38">
        <f t="shared" si="50"/>
        <v>14</v>
      </c>
      <c r="BH38">
        <f t="shared" si="50"/>
        <v>15</v>
      </c>
      <c r="BI38">
        <f t="shared" si="50"/>
        <v>16</v>
      </c>
      <c r="BJ38">
        <f t="shared" si="50"/>
        <v>17</v>
      </c>
      <c r="BK38">
        <f t="shared" si="50"/>
        <v>18</v>
      </c>
      <c r="BL38">
        <f t="shared" si="50"/>
        <v>19</v>
      </c>
      <c r="BM38">
        <f t="shared" si="50"/>
        <v>20</v>
      </c>
      <c r="BN38">
        <f t="shared" si="50"/>
        <v>21</v>
      </c>
      <c r="BO38">
        <f t="shared" si="50"/>
        <v>22</v>
      </c>
      <c r="BP38">
        <f t="shared" si="50"/>
        <v>23</v>
      </c>
      <c r="BQ38">
        <f t="shared" si="50"/>
        <v>24</v>
      </c>
      <c r="BR38">
        <f t="shared" si="50"/>
        <v>25</v>
      </c>
      <c r="BS38">
        <f t="shared" si="50"/>
        <v>26</v>
      </c>
      <c r="BT38">
        <f t="shared" si="50"/>
        <v>27</v>
      </c>
      <c r="BU38">
        <f t="shared" si="50"/>
        <v>28</v>
      </c>
      <c r="BV38">
        <f t="shared" si="50"/>
        <v>29</v>
      </c>
      <c r="BW38">
        <f t="shared" si="50"/>
        <v>30</v>
      </c>
      <c r="BX38">
        <f t="shared" si="50"/>
        <v>31</v>
      </c>
      <c r="BY38">
        <f t="shared" si="50"/>
        <v>32</v>
      </c>
      <c r="BZ38">
        <f t="shared" si="50"/>
        <v>33</v>
      </c>
      <c r="CA38">
        <f t="shared" si="50"/>
        <v>34</v>
      </c>
      <c r="CB38">
        <f t="shared" si="50"/>
        <v>35</v>
      </c>
      <c r="CC38">
        <f t="shared" si="50"/>
        <v>36</v>
      </c>
      <c r="CD38">
        <f t="shared" si="50"/>
        <v>37</v>
      </c>
      <c r="CE38">
        <f t="shared" si="50"/>
        <v>38</v>
      </c>
      <c r="CF38">
        <f>CF35+CF37</f>
        <v>39</v>
      </c>
      <c r="CG38">
        <f>CG35+CG37</f>
        <v>40</v>
      </c>
    </row>
    <row r="39" spans="2:86" ht="15.75" x14ac:dyDescent="0.3">
      <c r="S39" s="552" t="s">
        <v>87</v>
      </c>
      <c r="T39">
        <f t="shared" ref="T39:AY39" si="51">MIN(T38,$M$10)</f>
        <v>-25</v>
      </c>
      <c r="U39">
        <f t="shared" si="51"/>
        <v>-24</v>
      </c>
      <c r="V39">
        <f t="shared" si="51"/>
        <v>-23</v>
      </c>
      <c r="W39">
        <f t="shared" si="51"/>
        <v>-22</v>
      </c>
      <c r="X39">
        <f t="shared" si="51"/>
        <v>-21</v>
      </c>
      <c r="Y39">
        <f t="shared" si="51"/>
        <v>-20</v>
      </c>
      <c r="Z39">
        <f t="shared" si="51"/>
        <v>-19</v>
      </c>
      <c r="AA39">
        <f t="shared" si="51"/>
        <v>-18</v>
      </c>
      <c r="AB39">
        <f t="shared" si="51"/>
        <v>-17</v>
      </c>
      <c r="AC39">
        <f t="shared" si="51"/>
        <v>-16</v>
      </c>
      <c r="AD39">
        <f t="shared" si="51"/>
        <v>-15</v>
      </c>
      <c r="AE39">
        <f t="shared" si="51"/>
        <v>-14</v>
      </c>
      <c r="AF39">
        <f t="shared" si="51"/>
        <v>-13</v>
      </c>
      <c r="AG39">
        <f t="shared" si="51"/>
        <v>-12</v>
      </c>
      <c r="AH39">
        <f t="shared" si="51"/>
        <v>-11</v>
      </c>
      <c r="AI39">
        <f t="shared" si="51"/>
        <v>-10</v>
      </c>
      <c r="AJ39">
        <f t="shared" si="51"/>
        <v>-9</v>
      </c>
      <c r="AK39">
        <f t="shared" si="51"/>
        <v>-8</v>
      </c>
      <c r="AL39">
        <f t="shared" si="51"/>
        <v>-7</v>
      </c>
      <c r="AM39" s="556">
        <f t="shared" si="51"/>
        <v>-6</v>
      </c>
      <c r="AN39" s="556">
        <f t="shared" si="51"/>
        <v>-5</v>
      </c>
      <c r="AO39" s="556">
        <f t="shared" si="51"/>
        <v>-4</v>
      </c>
      <c r="AP39" s="556">
        <f t="shared" si="51"/>
        <v>-3</v>
      </c>
      <c r="AQ39" s="556">
        <f t="shared" si="51"/>
        <v>-2</v>
      </c>
      <c r="AR39" s="556">
        <f t="shared" si="51"/>
        <v>-1</v>
      </c>
      <c r="AS39" s="556">
        <f t="shared" si="51"/>
        <v>0</v>
      </c>
      <c r="AT39" s="556">
        <f t="shared" si="51"/>
        <v>1</v>
      </c>
      <c r="AU39">
        <f t="shared" si="51"/>
        <v>2</v>
      </c>
      <c r="AV39">
        <f t="shared" si="51"/>
        <v>3</v>
      </c>
      <c r="AW39">
        <f t="shared" si="51"/>
        <v>4</v>
      </c>
      <c r="AX39">
        <f t="shared" si="51"/>
        <v>5</v>
      </c>
      <c r="AY39">
        <f t="shared" si="51"/>
        <v>6</v>
      </c>
      <c r="AZ39">
        <f t="shared" ref="AZ39:CE39" si="52">MIN(AZ38,$M$10)</f>
        <v>7</v>
      </c>
      <c r="BA39">
        <f t="shared" si="52"/>
        <v>8</v>
      </c>
      <c r="BB39">
        <f t="shared" si="52"/>
        <v>9</v>
      </c>
      <c r="BC39">
        <f t="shared" si="52"/>
        <v>10</v>
      </c>
      <c r="BD39">
        <f t="shared" si="52"/>
        <v>11</v>
      </c>
      <c r="BE39">
        <f t="shared" si="52"/>
        <v>12</v>
      </c>
      <c r="BF39">
        <f t="shared" si="52"/>
        <v>13</v>
      </c>
      <c r="BG39">
        <f t="shared" si="52"/>
        <v>14</v>
      </c>
      <c r="BH39">
        <f t="shared" si="52"/>
        <v>15</v>
      </c>
      <c r="BI39">
        <f t="shared" si="52"/>
        <v>16</v>
      </c>
      <c r="BJ39">
        <f t="shared" si="52"/>
        <v>17</v>
      </c>
      <c r="BK39">
        <f t="shared" si="52"/>
        <v>18</v>
      </c>
      <c r="BL39">
        <f t="shared" si="52"/>
        <v>19</v>
      </c>
      <c r="BM39">
        <f t="shared" si="52"/>
        <v>20</v>
      </c>
      <c r="BN39">
        <f t="shared" si="52"/>
        <v>20</v>
      </c>
      <c r="BO39">
        <f t="shared" si="52"/>
        <v>20</v>
      </c>
      <c r="BP39">
        <f t="shared" si="52"/>
        <v>20</v>
      </c>
      <c r="BQ39">
        <f t="shared" si="52"/>
        <v>20</v>
      </c>
      <c r="BR39">
        <f t="shared" si="52"/>
        <v>20</v>
      </c>
      <c r="BS39">
        <f t="shared" si="52"/>
        <v>20</v>
      </c>
      <c r="BT39">
        <f t="shared" si="52"/>
        <v>20</v>
      </c>
      <c r="BU39">
        <f t="shared" si="52"/>
        <v>20</v>
      </c>
      <c r="BV39">
        <f t="shared" si="52"/>
        <v>20</v>
      </c>
      <c r="BW39">
        <f t="shared" si="52"/>
        <v>20</v>
      </c>
      <c r="BX39">
        <f t="shared" si="52"/>
        <v>20</v>
      </c>
      <c r="BY39">
        <f t="shared" si="52"/>
        <v>20</v>
      </c>
      <c r="BZ39">
        <f t="shared" si="52"/>
        <v>20</v>
      </c>
      <c r="CA39">
        <f t="shared" si="52"/>
        <v>20</v>
      </c>
      <c r="CB39">
        <f t="shared" si="52"/>
        <v>20</v>
      </c>
      <c r="CC39">
        <f t="shared" si="52"/>
        <v>20</v>
      </c>
      <c r="CD39">
        <f t="shared" si="52"/>
        <v>20</v>
      </c>
      <c r="CE39">
        <f t="shared" si="52"/>
        <v>20</v>
      </c>
      <c r="CF39">
        <f>MIN(CF38,$M$10)</f>
        <v>20</v>
      </c>
      <c r="CG39">
        <f>MIN(CG38,$M$10)</f>
        <v>20</v>
      </c>
    </row>
    <row r="40" spans="2:86" x14ac:dyDescent="0.2">
      <c r="S40" s="552" t="s">
        <v>1381</v>
      </c>
      <c r="T40" s="573">
        <f>$AL$40</f>
        <v>0</v>
      </c>
      <c r="U40" s="573">
        <f t="shared" ref="U40:AK40" si="53">$AL$40</f>
        <v>0</v>
      </c>
      <c r="V40" s="573">
        <f t="shared" si="53"/>
        <v>0</v>
      </c>
      <c r="W40" s="573">
        <f t="shared" si="53"/>
        <v>0</v>
      </c>
      <c r="X40" s="573">
        <f t="shared" si="53"/>
        <v>0</v>
      </c>
      <c r="Y40" s="573">
        <f t="shared" si="53"/>
        <v>0</v>
      </c>
      <c r="Z40" s="573">
        <f t="shared" si="53"/>
        <v>0</v>
      </c>
      <c r="AA40" s="573">
        <f t="shared" si="53"/>
        <v>0</v>
      </c>
      <c r="AB40" s="573">
        <f t="shared" si="53"/>
        <v>0</v>
      </c>
      <c r="AC40" s="573">
        <f t="shared" si="53"/>
        <v>0</v>
      </c>
      <c r="AD40" s="573">
        <f t="shared" si="53"/>
        <v>0</v>
      </c>
      <c r="AE40" s="573">
        <f t="shared" si="53"/>
        <v>0</v>
      </c>
      <c r="AF40" s="573">
        <f t="shared" si="53"/>
        <v>0</v>
      </c>
      <c r="AG40" s="573">
        <f t="shared" si="53"/>
        <v>0</v>
      </c>
      <c r="AH40" s="573">
        <f t="shared" si="53"/>
        <v>0</v>
      </c>
      <c r="AI40" s="573">
        <f t="shared" si="53"/>
        <v>0</v>
      </c>
      <c r="AJ40" s="573">
        <f t="shared" si="53"/>
        <v>0</v>
      </c>
      <c r="AK40" s="573">
        <f t="shared" si="53"/>
        <v>0</v>
      </c>
      <c r="AL40" s="1124">
        <f>Spez!J56</f>
        <v>0</v>
      </c>
      <c r="AM40" s="573">
        <f>$AL$40+($AU$40-$AL$40)/9*(AM35-$AL$35)</f>
        <v>0</v>
      </c>
      <c r="AN40" s="573">
        <f t="shared" ref="AN40:AT40" si="54">$AL$40+($AU$40-$AL$40)/9*(AN35-$AL$35)</f>
        <v>0</v>
      </c>
      <c r="AO40" s="573">
        <f t="shared" si="54"/>
        <v>0</v>
      </c>
      <c r="AP40" s="573">
        <f t="shared" si="54"/>
        <v>0</v>
      </c>
      <c r="AQ40" s="573">
        <f t="shared" si="54"/>
        <v>0</v>
      </c>
      <c r="AR40" s="573">
        <f t="shared" si="54"/>
        <v>0</v>
      </c>
      <c r="AS40" s="573">
        <f t="shared" si="54"/>
        <v>0</v>
      </c>
      <c r="AT40" s="573">
        <f t="shared" si="54"/>
        <v>0</v>
      </c>
      <c r="AU40" s="1124">
        <f>Spez!J57</f>
        <v>0</v>
      </c>
      <c r="AV40" s="556">
        <f>$AU$40+($AZ$40-$AU$40)/5*(AV$35-$AU$35)</f>
        <v>0</v>
      </c>
      <c r="AW40" s="556">
        <f t="shared" ref="AW40:AY40" si="55">$AU$40+($AZ$40-$AU$40)/5*(AW$35-$AU$35)</f>
        <v>0</v>
      </c>
      <c r="AX40" s="556">
        <f t="shared" si="55"/>
        <v>0</v>
      </c>
      <c r="AY40" s="556">
        <f t="shared" si="55"/>
        <v>0</v>
      </c>
      <c r="AZ40" s="1124">
        <f>Spez!J58</f>
        <v>0</v>
      </c>
      <c r="BA40" s="573">
        <f>$AZ$40</f>
        <v>0</v>
      </c>
      <c r="BB40" s="573">
        <f t="shared" ref="BB40:CG40" si="56">$AZ$40</f>
        <v>0</v>
      </c>
      <c r="BC40" s="573">
        <f t="shared" si="56"/>
        <v>0</v>
      </c>
      <c r="BD40" s="573">
        <f t="shared" si="56"/>
        <v>0</v>
      </c>
      <c r="BE40" s="573">
        <f t="shared" si="56"/>
        <v>0</v>
      </c>
      <c r="BF40" s="573">
        <f t="shared" si="56"/>
        <v>0</v>
      </c>
      <c r="BG40" s="573">
        <f t="shared" si="56"/>
        <v>0</v>
      </c>
      <c r="BH40" s="573">
        <f t="shared" si="56"/>
        <v>0</v>
      </c>
      <c r="BI40" s="573">
        <f t="shared" si="56"/>
        <v>0</v>
      </c>
      <c r="BJ40" s="573">
        <f t="shared" si="56"/>
        <v>0</v>
      </c>
      <c r="BK40" s="573">
        <f t="shared" si="56"/>
        <v>0</v>
      </c>
      <c r="BL40" s="573">
        <f t="shared" si="56"/>
        <v>0</v>
      </c>
      <c r="BM40" s="573">
        <f t="shared" si="56"/>
        <v>0</v>
      </c>
      <c r="BN40" s="573">
        <f t="shared" si="56"/>
        <v>0</v>
      </c>
      <c r="BO40" s="573">
        <f t="shared" si="56"/>
        <v>0</v>
      </c>
      <c r="BP40" s="573">
        <f t="shared" si="56"/>
        <v>0</v>
      </c>
      <c r="BQ40" s="573">
        <f t="shared" si="56"/>
        <v>0</v>
      </c>
      <c r="BR40" s="573">
        <f t="shared" si="56"/>
        <v>0</v>
      </c>
      <c r="BS40" s="573">
        <f t="shared" si="56"/>
        <v>0</v>
      </c>
      <c r="BT40" s="573">
        <f t="shared" si="56"/>
        <v>0</v>
      </c>
      <c r="BU40" s="573">
        <f t="shared" si="56"/>
        <v>0</v>
      </c>
      <c r="BV40" s="573">
        <f t="shared" si="56"/>
        <v>0</v>
      </c>
      <c r="BW40" s="573">
        <f t="shared" si="56"/>
        <v>0</v>
      </c>
      <c r="BX40" s="573">
        <f t="shared" si="56"/>
        <v>0</v>
      </c>
      <c r="BY40" s="573">
        <f t="shared" si="56"/>
        <v>0</v>
      </c>
      <c r="BZ40" s="573">
        <f t="shared" si="56"/>
        <v>0</v>
      </c>
      <c r="CA40" s="573">
        <f t="shared" si="56"/>
        <v>0</v>
      </c>
      <c r="CB40" s="573">
        <f t="shared" si="56"/>
        <v>0</v>
      </c>
      <c r="CC40" s="573">
        <f t="shared" si="56"/>
        <v>0</v>
      </c>
      <c r="CD40" s="573">
        <f t="shared" si="56"/>
        <v>0</v>
      </c>
      <c r="CE40" s="573">
        <f t="shared" si="56"/>
        <v>0</v>
      </c>
      <c r="CF40" s="573">
        <f t="shared" si="56"/>
        <v>0</v>
      </c>
      <c r="CG40" s="573">
        <f t="shared" si="56"/>
        <v>0</v>
      </c>
    </row>
    <row r="41" spans="2:86" x14ac:dyDescent="0.2">
      <c r="S41" s="521" t="s">
        <v>100</v>
      </c>
    </row>
    <row r="42" spans="2:86" x14ac:dyDescent="0.2">
      <c r="S42" s="661" t="s">
        <v>752</v>
      </c>
    </row>
    <row r="43" spans="2:86" x14ac:dyDescent="0.2">
      <c r="S43" s="552" t="s">
        <v>96</v>
      </c>
      <c r="T43" s="667" t="e">
        <f>T77</f>
        <v>#DIV/0!</v>
      </c>
      <c r="U43" s="667" t="e">
        <f t="shared" ref="U43:CF43" si="57">U77</f>
        <v>#DIV/0!</v>
      </c>
      <c r="V43" s="667" t="e">
        <f t="shared" si="57"/>
        <v>#DIV/0!</v>
      </c>
      <c r="W43" s="667" t="e">
        <f t="shared" si="57"/>
        <v>#DIV/0!</v>
      </c>
      <c r="X43" s="667" t="e">
        <f t="shared" si="57"/>
        <v>#DIV/0!</v>
      </c>
      <c r="Y43" s="667" t="e">
        <f t="shared" si="57"/>
        <v>#DIV/0!</v>
      </c>
      <c r="Z43" s="667" t="e">
        <f t="shared" si="57"/>
        <v>#DIV/0!</v>
      </c>
      <c r="AA43" s="667" t="e">
        <f t="shared" si="57"/>
        <v>#DIV/0!</v>
      </c>
      <c r="AB43" s="667" t="e">
        <f t="shared" si="57"/>
        <v>#DIV/0!</v>
      </c>
      <c r="AC43" s="667" t="e">
        <f t="shared" si="57"/>
        <v>#DIV/0!</v>
      </c>
      <c r="AD43" s="667" t="e">
        <f t="shared" si="57"/>
        <v>#DIV/0!</v>
      </c>
      <c r="AE43" s="667" t="e">
        <f t="shared" si="57"/>
        <v>#DIV/0!</v>
      </c>
      <c r="AF43" s="667" t="e">
        <f t="shared" si="57"/>
        <v>#DIV/0!</v>
      </c>
      <c r="AG43" s="667" t="e">
        <f t="shared" si="57"/>
        <v>#DIV/0!</v>
      </c>
      <c r="AH43" s="667" t="e">
        <f t="shared" si="57"/>
        <v>#DIV/0!</v>
      </c>
      <c r="AI43" s="667" t="e">
        <f t="shared" si="57"/>
        <v>#DIV/0!</v>
      </c>
      <c r="AJ43" s="667" t="e">
        <f t="shared" si="57"/>
        <v>#DIV/0!</v>
      </c>
      <c r="AK43" s="667">
        <f t="shared" si="57"/>
        <v>33</v>
      </c>
      <c r="AL43" s="667" t="e">
        <f t="shared" si="57"/>
        <v>#DIV/0!</v>
      </c>
      <c r="AM43" s="667" t="e">
        <f t="shared" si="57"/>
        <v>#DIV/0!</v>
      </c>
      <c r="AN43" s="667" t="e">
        <f t="shared" si="57"/>
        <v>#DIV/0!</v>
      </c>
      <c r="AO43" s="667" t="e">
        <f t="shared" si="57"/>
        <v>#DIV/0!</v>
      </c>
      <c r="AP43" s="667" t="e">
        <f t="shared" si="57"/>
        <v>#DIV/0!</v>
      </c>
      <c r="AQ43" s="667" t="e">
        <f t="shared" si="57"/>
        <v>#DIV/0!</v>
      </c>
      <c r="AR43" s="667" t="e">
        <f t="shared" si="57"/>
        <v>#DIV/0!</v>
      </c>
      <c r="AS43" s="667" t="e">
        <f t="shared" si="57"/>
        <v>#DIV/0!</v>
      </c>
      <c r="AT43" s="667" t="e">
        <f t="shared" si="57"/>
        <v>#DIV/0!</v>
      </c>
      <c r="AU43" s="667" t="e">
        <f t="shared" si="57"/>
        <v>#DIV/0!</v>
      </c>
      <c r="AV43" s="667" t="e">
        <f t="shared" si="57"/>
        <v>#DIV/0!</v>
      </c>
      <c r="AW43" s="667" t="e">
        <f t="shared" si="57"/>
        <v>#DIV/0!</v>
      </c>
      <c r="AX43" s="667" t="e">
        <f t="shared" si="57"/>
        <v>#DIV/0!</v>
      </c>
      <c r="AY43" s="667" t="e">
        <f t="shared" si="57"/>
        <v>#DIV/0!</v>
      </c>
      <c r="AZ43" s="667" t="e">
        <f t="shared" si="57"/>
        <v>#DIV/0!</v>
      </c>
      <c r="BA43" s="667" t="e">
        <f t="shared" si="57"/>
        <v>#DIV/0!</v>
      </c>
      <c r="BB43" s="667" t="e">
        <f t="shared" si="57"/>
        <v>#DIV/0!</v>
      </c>
      <c r="BC43" s="667" t="e">
        <f t="shared" si="57"/>
        <v>#DIV/0!</v>
      </c>
      <c r="BD43" s="667" t="e">
        <f t="shared" si="57"/>
        <v>#DIV/0!</v>
      </c>
      <c r="BE43" s="667" t="e">
        <f t="shared" si="57"/>
        <v>#DIV/0!</v>
      </c>
      <c r="BF43" s="667" t="e">
        <f t="shared" si="57"/>
        <v>#DIV/0!</v>
      </c>
      <c r="BG43" s="667" t="e">
        <f t="shared" si="57"/>
        <v>#DIV/0!</v>
      </c>
      <c r="BH43" s="667" t="e">
        <f t="shared" si="57"/>
        <v>#DIV/0!</v>
      </c>
      <c r="BI43" s="667" t="e">
        <f t="shared" si="57"/>
        <v>#DIV/0!</v>
      </c>
      <c r="BJ43" s="667" t="e">
        <f t="shared" si="57"/>
        <v>#DIV/0!</v>
      </c>
      <c r="BK43" s="667" t="e">
        <f t="shared" si="57"/>
        <v>#DIV/0!</v>
      </c>
      <c r="BL43" s="667" t="e">
        <f t="shared" si="57"/>
        <v>#DIV/0!</v>
      </c>
      <c r="BM43" s="667" t="e">
        <f t="shared" si="57"/>
        <v>#DIV/0!</v>
      </c>
      <c r="BN43" s="667" t="e">
        <f t="shared" si="57"/>
        <v>#DIV/0!</v>
      </c>
      <c r="BO43" s="667" t="e">
        <f t="shared" si="57"/>
        <v>#DIV/0!</v>
      </c>
      <c r="BP43" s="667" t="e">
        <f t="shared" si="57"/>
        <v>#DIV/0!</v>
      </c>
      <c r="BQ43" s="667" t="e">
        <f t="shared" si="57"/>
        <v>#DIV/0!</v>
      </c>
      <c r="BR43" s="667" t="e">
        <f t="shared" si="57"/>
        <v>#DIV/0!</v>
      </c>
      <c r="BS43" s="667" t="e">
        <f t="shared" si="57"/>
        <v>#DIV/0!</v>
      </c>
      <c r="BT43" s="667" t="e">
        <f t="shared" si="57"/>
        <v>#DIV/0!</v>
      </c>
      <c r="BU43" s="667" t="e">
        <f t="shared" si="57"/>
        <v>#DIV/0!</v>
      </c>
      <c r="BV43" s="667" t="e">
        <f t="shared" si="57"/>
        <v>#DIV/0!</v>
      </c>
      <c r="BW43" s="667" t="e">
        <f t="shared" si="57"/>
        <v>#DIV/0!</v>
      </c>
      <c r="BX43" s="667" t="e">
        <f t="shared" si="57"/>
        <v>#DIV/0!</v>
      </c>
      <c r="BY43" s="667" t="e">
        <f t="shared" si="57"/>
        <v>#DIV/0!</v>
      </c>
      <c r="BZ43" s="667" t="e">
        <f t="shared" si="57"/>
        <v>#DIV/0!</v>
      </c>
      <c r="CA43" s="667" t="e">
        <f t="shared" si="57"/>
        <v>#DIV/0!</v>
      </c>
      <c r="CB43" s="667" t="e">
        <f t="shared" si="57"/>
        <v>#DIV/0!</v>
      </c>
      <c r="CC43" s="667" t="e">
        <f t="shared" si="57"/>
        <v>#DIV/0!</v>
      </c>
      <c r="CD43" s="667" t="e">
        <f t="shared" si="57"/>
        <v>#DIV/0!</v>
      </c>
      <c r="CE43" s="667" t="e">
        <f t="shared" si="57"/>
        <v>#DIV/0!</v>
      </c>
      <c r="CF43" s="667" t="e">
        <f t="shared" si="57"/>
        <v>#DIV/0!</v>
      </c>
      <c r="CG43" s="667" t="e">
        <f>CG77</f>
        <v>#DIV/0!</v>
      </c>
    </row>
    <row r="44" spans="2:86" x14ac:dyDescent="0.2">
      <c r="S44" t="s">
        <v>2138</v>
      </c>
      <c r="T44" s="584" t="e">
        <f t="shared" ref="T44:AY44" ca="1" si="58">T9*T24+T10*T25+T11*T26+T12*T27</f>
        <v>#DIV/0!</v>
      </c>
      <c r="U44" s="584" t="e">
        <f t="shared" ca="1" si="58"/>
        <v>#DIV/0!</v>
      </c>
      <c r="V44" s="584" t="e">
        <f t="shared" ca="1" si="58"/>
        <v>#DIV/0!</v>
      </c>
      <c r="W44" s="584" t="e">
        <f t="shared" ca="1" si="58"/>
        <v>#DIV/0!</v>
      </c>
      <c r="X44" s="584" t="e">
        <f t="shared" ca="1" si="58"/>
        <v>#DIV/0!</v>
      </c>
      <c r="Y44" s="584" t="e">
        <f t="shared" ca="1" si="58"/>
        <v>#DIV/0!</v>
      </c>
      <c r="Z44" s="584" t="e">
        <f t="shared" ca="1" si="58"/>
        <v>#DIV/0!</v>
      </c>
      <c r="AA44" s="584" t="e">
        <f t="shared" ca="1" si="58"/>
        <v>#DIV/0!</v>
      </c>
      <c r="AB44" s="584" t="e">
        <f t="shared" ca="1" si="58"/>
        <v>#DIV/0!</v>
      </c>
      <c r="AC44" s="584" t="e">
        <f t="shared" ca="1" si="58"/>
        <v>#DIV/0!</v>
      </c>
      <c r="AD44" s="584" t="e">
        <f t="shared" ca="1" si="58"/>
        <v>#DIV/0!</v>
      </c>
      <c r="AE44" s="584" t="e">
        <f t="shared" ca="1" si="58"/>
        <v>#DIV/0!</v>
      </c>
      <c r="AF44" s="584" t="e">
        <f t="shared" ca="1" si="58"/>
        <v>#DIV/0!</v>
      </c>
      <c r="AG44" s="584" t="e">
        <f t="shared" ca="1" si="58"/>
        <v>#DIV/0!</v>
      </c>
      <c r="AH44" s="584" t="e">
        <f t="shared" ca="1" si="58"/>
        <v>#DIV/0!</v>
      </c>
      <c r="AI44" s="584" t="e">
        <f t="shared" ca="1" si="58"/>
        <v>#DIV/0!</v>
      </c>
      <c r="AJ44" s="584" t="e">
        <f t="shared" ca="1" si="58"/>
        <v>#DIV/0!</v>
      </c>
      <c r="AK44" s="584">
        <f t="shared" ca="1" si="58"/>
        <v>0</v>
      </c>
      <c r="AL44" s="584" t="e">
        <f t="shared" ca="1" si="58"/>
        <v>#DIV/0!</v>
      </c>
      <c r="AM44" s="584" t="e">
        <f t="shared" ca="1" si="58"/>
        <v>#DIV/0!</v>
      </c>
      <c r="AN44" s="584" t="e">
        <f t="shared" ca="1" si="58"/>
        <v>#DIV/0!</v>
      </c>
      <c r="AO44" s="584" t="e">
        <f t="shared" ca="1" si="58"/>
        <v>#DIV/0!</v>
      </c>
      <c r="AP44" s="584" t="e">
        <f t="shared" ca="1" si="58"/>
        <v>#DIV/0!</v>
      </c>
      <c r="AQ44" s="584" t="e">
        <f t="shared" ca="1" si="58"/>
        <v>#DIV/0!</v>
      </c>
      <c r="AR44" s="584" t="e">
        <f t="shared" ca="1" si="58"/>
        <v>#DIV/0!</v>
      </c>
      <c r="AS44" s="584" t="e">
        <f t="shared" ca="1" si="58"/>
        <v>#DIV/0!</v>
      </c>
      <c r="AT44" s="584" t="e">
        <f t="shared" ca="1" si="58"/>
        <v>#DIV/0!</v>
      </c>
      <c r="AU44" s="584" t="e">
        <f t="shared" ca="1" si="58"/>
        <v>#DIV/0!</v>
      </c>
      <c r="AV44" s="584" t="e">
        <f t="shared" ca="1" si="58"/>
        <v>#DIV/0!</v>
      </c>
      <c r="AW44" s="584" t="e">
        <f t="shared" ca="1" si="58"/>
        <v>#DIV/0!</v>
      </c>
      <c r="AX44" s="584" t="e">
        <f t="shared" ca="1" si="58"/>
        <v>#DIV/0!</v>
      </c>
      <c r="AY44" s="584" t="e">
        <f t="shared" ca="1" si="58"/>
        <v>#DIV/0!</v>
      </c>
      <c r="AZ44" s="584" t="e">
        <f t="shared" ref="AZ44:CG44" ca="1" si="59">AZ9*AZ24+AZ10*AZ25+AZ11*AZ26+AZ12*AZ27</f>
        <v>#DIV/0!</v>
      </c>
      <c r="BA44" s="584" t="e">
        <f t="shared" ca="1" si="59"/>
        <v>#DIV/0!</v>
      </c>
      <c r="BB44" s="584" t="e">
        <f t="shared" ca="1" si="59"/>
        <v>#DIV/0!</v>
      </c>
      <c r="BC44" s="584" t="e">
        <f t="shared" ca="1" si="59"/>
        <v>#DIV/0!</v>
      </c>
      <c r="BD44" s="584" t="e">
        <f t="shared" ca="1" si="59"/>
        <v>#DIV/0!</v>
      </c>
      <c r="BE44" s="584" t="e">
        <f t="shared" ca="1" si="59"/>
        <v>#DIV/0!</v>
      </c>
      <c r="BF44" s="584" t="e">
        <f t="shared" ca="1" si="59"/>
        <v>#DIV/0!</v>
      </c>
      <c r="BG44" s="584" t="e">
        <f t="shared" ca="1" si="59"/>
        <v>#DIV/0!</v>
      </c>
      <c r="BH44" s="584" t="e">
        <f t="shared" ca="1" si="59"/>
        <v>#DIV/0!</v>
      </c>
      <c r="BI44" s="584" t="e">
        <f t="shared" ca="1" si="59"/>
        <v>#DIV/0!</v>
      </c>
      <c r="BJ44" s="584" t="e">
        <f t="shared" ca="1" si="59"/>
        <v>#DIV/0!</v>
      </c>
      <c r="BK44" s="584" t="e">
        <f t="shared" ca="1" si="59"/>
        <v>#DIV/0!</v>
      </c>
      <c r="BL44" s="584" t="e">
        <f t="shared" ca="1" si="59"/>
        <v>#DIV/0!</v>
      </c>
      <c r="BM44" s="584" t="e">
        <f t="shared" ca="1" si="59"/>
        <v>#DIV/0!</v>
      </c>
      <c r="BN44" s="584" t="e">
        <f t="shared" ca="1" si="59"/>
        <v>#DIV/0!</v>
      </c>
      <c r="BO44" s="584" t="e">
        <f t="shared" ca="1" si="59"/>
        <v>#DIV/0!</v>
      </c>
      <c r="BP44" s="584" t="e">
        <f t="shared" ca="1" si="59"/>
        <v>#DIV/0!</v>
      </c>
      <c r="BQ44" s="584" t="e">
        <f t="shared" ca="1" si="59"/>
        <v>#DIV/0!</v>
      </c>
      <c r="BR44" s="584" t="e">
        <f t="shared" ca="1" si="59"/>
        <v>#DIV/0!</v>
      </c>
      <c r="BS44" s="584" t="e">
        <f t="shared" ca="1" si="59"/>
        <v>#DIV/0!</v>
      </c>
      <c r="BT44" s="584" t="e">
        <f t="shared" ca="1" si="59"/>
        <v>#DIV/0!</v>
      </c>
      <c r="BU44" s="584" t="e">
        <f t="shared" ca="1" si="59"/>
        <v>#DIV/0!</v>
      </c>
      <c r="BV44" s="584" t="e">
        <f t="shared" ca="1" si="59"/>
        <v>#DIV/0!</v>
      </c>
      <c r="BW44" s="584" t="e">
        <f t="shared" ca="1" si="59"/>
        <v>#DIV/0!</v>
      </c>
      <c r="BX44" s="584" t="e">
        <f t="shared" ca="1" si="59"/>
        <v>#DIV/0!</v>
      </c>
      <c r="BY44" s="584" t="e">
        <f t="shared" ca="1" si="59"/>
        <v>#DIV/0!</v>
      </c>
      <c r="BZ44" s="584" t="e">
        <f t="shared" ca="1" si="59"/>
        <v>#DIV/0!</v>
      </c>
      <c r="CA44" s="584" t="e">
        <f t="shared" ca="1" si="59"/>
        <v>#DIV/0!</v>
      </c>
      <c r="CB44" s="584" t="e">
        <f t="shared" ca="1" si="59"/>
        <v>#DIV/0!</v>
      </c>
      <c r="CC44" s="584" t="e">
        <f t="shared" ca="1" si="59"/>
        <v>#DIV/0!</v>
      </c>
      <c r="CD44" s="584" t="e">
        <f t="shared" ca="1" si="59"/>
        <v>#DIV/0!</v>
      </c>
      <c r="CE44" s="584" t="e">
        <f t="shared" ca="1" si="59"/>
        <v>#DIV/0!</v>
      </c>
      <c r="CF44" s="584" t="e">
        <f t="shared" ca="1" si="59"/>
        <v>#DIV/0!</v>
      </c>
      <c r="CG44" s="584" t="e">
        <f t="shared" ca="1" si="59"/>
        <v>#DIV/0!</v>
      </c>
    </row>
    <row r="45" spans="2:86" x14ac:dyDescent="0.2">
      <c r="S45" s="641" t="s">
        <v>88</v>
      </c>
      <c r="T45" t="e">
        <f t="shared" ref="T45:AY45" ca="1" si="60">T19+((T20-T19)/(T7-T5))*(T43-T5)</f>
        <v>#DIV/0!</v>
      </c>
      <c r="U45" t="e">
        <f t="shared" ca="1" si="60"/>
        <v>#DIV/0!</v>
      </c>
      <c r="V45" t="e">
        <f t="shared" ca="1" si="60"/>
        <v>#DIV/0!</v>
      </c>
      <c r="W45" t="e">
        <f t="shared" ca="1" si="60"/>
        <v>#DIV/0!</v>
      </c>
      <c r="X45" t="e">
        <f t="shared" ca="1" si="60"/>
        <v>#DIV/0!</v>
      </c>
      <c r="Y45" t="e">
        <f t="shared" ca="1" si="60"/>
        <v>#DIV/0!</v>
      </c>
      <c r="Z45" t="e">
        <f t="shared" ca="1" si="60"/>
        <v>#DIV/0!</v>
      </c>
      <c r="AA45" t="e">
        <f t="shared" ca="1" si="60"/>
        <v>#DIV/0!</v>
      </c>
      <c r="AB45" t="e">
        <f t="shared" ca="1" si="60"/>
        <v>#DIV/0!</v>
      </c>
      <c r="AC45" t="e">
        <f t="shared" ca="1" si="60"/>
        <v>#DIV/0!</v>
      </c>
      <c r="AD45" t="e">
        <f t="shared" ca="1" si="60"/>
        <v>#DIV/0!</v>
      </c>
      <c r="AE45" t="e">
        <f t="shared" ca="1" si="60"/>
        <v>#DIV/0!</v>
      </c>
      <c r="AF45" t="e">
        <f t="shared" ca="1" si="60"/>
        <v>#DIV/0!</v>
      </c>
      <c r="AG45" t="e">
        <f t="shared" ca="1" si="60"/>
        <v>#DIV/0!</v>
      </c>
      <c r="AH45" t="e">
        <f t="shared" ca="1" si="60"/>
        <v>#DIV/0!</v>
      </c>
      <c r="AI45" t="e">
        <f t="shared" ca="1" si="60"/>
        <v>#DIV/0!</v>
      </c>
      <c r="AJ45" t="e">
        <f t="shared" ca="1" si="60"/>
        <v>#DIV/0!</v>
      </c>
      <c r="AK45">
        <f t="shared" ca="1" si="60"/>
        <v>0</v>
      </c>
      <c r="AL45" t="e">
        <f t="shared" ca="1" si="60"/>
        <v>#DIV/0!</v>
      </c>
      <c r="AM45" t="e">
        <f t="shared" ca="1" si="60"/>
        <v>#DIV/0!</v>
      </c>
      <c r="AN45" t="e">
        <f t="shared" ca="1" si="60"/>
        <v>#DIV/0!</v>
      </c>
      <c r="AO45" t="e">
        <f t="shared" ca="1" si="60"/>
        <v>#DIV/0!</v>
      </c>
      <c r="AP45" t="e">
        <f t="shared" ca="1" si="60"/>
        <v>#DIV/0!</v>
      </c>
      <c r="AQ45" t="e">
        <f t="shared" ca="1" si="60"/>
        <v>#DIV/0!</v>
      </c>
      <c r="AR45" t="e">
        <f t="shared" ca="1" si="60"/>
        <v>#DIV/0!</v>
      </c>
      <c r="AS45" t="e">
        <f t="shared" ca="1" si="60"/>
        <v>#DIV/0!</v>
      </c>
      <c r="AT45" t="e">
        <f t="shared" ca="1" si="60"/>
        <v>#DIV/0!</v>
      </c>
      <c r="AU45" t="e">
        <f t="shared" ca="1" si="60"/>
        <v>#DIV/0!</v>
      </c>
      <c r="AV45" t="e">
        <f t="shared" ca="1" si="60"/>
        <v>#DIV/0!</v>
      </c>
      <c r="AW45" t="e">
        <f t="shared" ca="1" si="60"/>
        <v>#DIV/0!</v>
      </c>
      <c r="AX45" t="e">
        <f t="shared" ca="1" si="60"/>
        <v>#DIV/0!</v>
      </c>
      <c r="AY45" t="e">
        <f t="shared" ca="1" si="60"/>
        <v>#DIV/0!</v>
      </c>
      <c r="AZ45" t="e">
        <f t="shared" ref="AZ45:CG45" ca="1" si="61">AZ19+((AZ20-AZ19)/(AZ7-AZ5))*(AZ43-AZ5)</f>
        <v>#DIV/0!</v>
      </c>
      <c r="BA45" t="e">
        <f t="shared" ca="1" si="61"/>
        <v>#DIV/0!</v>
      </c>
      <c r="BB45" t="e">
        <f t="shared" ca="1" si="61"/>
        <v>#DIV/0!</v>
      </c>
      <c r="BC45" t="e">
        <f t="shared" ca="1" si="61"/>
        <v>#DIV/0!</v>
      </c>
      <c r="BD45" t="e">
        <f t="shared" ca="1" si="61"/>
        <v>#DIV/0!</v>
      </c>
      <c r="BE45" t="e">
        <f t="shared" ca="1" si="61"/>
        <v>#DIV/0!</v>
      </c>
      <c r="BF45" t="e">
        <f t="shared" ca="1" si="61"/>
        <v>#DIV/0!</v>
      </c>
      <c r="BG45" t="e">
        <f t="shared" ca="1" si="61"/>
        <v>#DIV/0!</v>
      </c>
      <c r="BH45" t="e">
        <f t="shared" ca="1" si="61"/>
        <v>#DIV/0!</v>
      </c>
      <c r="BI45" t="e">
        <f t="shared" ca="1" si="61"/>
        <v>#DIV/0!</v>
      </c>
      <c r="BJ45" t="e">
        <f t="shared" ca="1" si="61"/>
        <v>#DIV/0!</v>
      </c>
      <c r="BK45" t="e">
        <f t="shared" ca="1" si="61"/>
        <v>#DIV/0!</v>
      </c>
      <c r="BL45" t="e">
        <f t="shared" ca="1" si="61"/>
        <v>#DIV/0!</v>
      </c>
      <c r="BM45" t="e">
        <f t="shared" ca="1" si="61"/>
        <v>#DIV/0!</v>
      </c>
      <c r="BN45" t="e">
        <f t="shared" ca="1" si="61"/>
        <v>#DIV/0!</v>
      </c>
      <c r="BO45" t="e">
        <f t="shared" ca="1" si="61"/>
        <v>#DIV/0!</v>
      </c>
      <c r="BP45" t="e">
        <f t="shared" ca="1" si="61"/>
        <v>#DIV/0!</v>
      </c>
      <c r="BQ45" t="e">
        <f t="shared" ca="1" si="61"/>
        <v>#DIV/0!</v>
      </c>
      <c r="BR45" t="e">
        <f t="shared" ca="1" si="61"/>
        <v>#DIV/0!</v>
      </c>
      <c r="BS45" t="e">
        <f t="shared" ca="1" si="61"/>
        <v>#DIV/0!</v>
      </c>
      <c r="BT45" t="e">
        <f t="shared" ca="1" si="61"/>
        <v>#DIV/0!</v>
      </c>
      <c r="BU45" t="e">
        <f t="shared" ca="1" si="61"/>
        <v>#DIV/0!</v>
      </c>
      <c r="BV45" t="e">
        <f t="shared" ca="1" si="61"/>
        <v>#DIV/0!</v>
      </c>
      <c r="BW45" t="e">
        <f t="shared" ca="1" si="61"/>
        <v>#DIV/0!</v>
      </c>
      <c r="BX45" t="e">
        <f t="shared" ca="1" si="61"/>
        <v>#DIV/0!</v>
      </c>
      <c r="BY45" t="e">
        <f t="shared" ca="1" si="61"/>
        <v>#DIV/0!</v>
      </c>
      <c r="BZ45" t="e">
        <f t="shared" ca="1" si="61"/>
        <v>#DIV/0!</v>
      </c>
      <c r="CA45" t="e">
        <f t="shared" ca="1" si="61"/>
        <v>#DIV/0!</v>
      </c>
      <c r="CB45" t="e">
        <f t="shared" ca="1" si="61"/>
        <v>#DIV/0!</v>
      </c>
      <c r="CC45" t="e">
        <f t="shared" ca="1" si="61"/>
        <v>#DIV/0!</v>
      </c>
      <c r="CD45" t="e">
        <f t="shared" ca="1" si="61"/>
        <v>#DIV/0!</v>
      </c>
      <c r="CE45" t="e">
        <f t="shared" ca="1" si="61"/>
        <v>#DIV/0!</v>
      </c>
      <c r="CF45" t="e">
        <f t="shared" ca="1" si="61"/>
        <v>#DIV/0!</v>
      </c>
      <c r="CG45" s="383" t="e">
        <f t="shared" ca="1" si="61"/>
        <v>#DIV/0!</v>
      </c>
    </row>
    <row r="46" spans="2:86" x14ac:dyDescent="0.2">
      <c r="S46" s="552" t="s">
        <v>1386</v>
      </c>
      <c r="T46" t="e">
        <f>(T43+273.15)/(T43-T39-T40)</f>
        <v>#DIV/0!</v>
      </c>
      <c r="U46" t="e">
        <f t="shared" ref="U46:CG46" si="62">(U43+273.15)/(U43-U39-U40)</f>
        <v>#DIV/0!</v>
      </c>
      <c r="V46" t="e">
        <f t="shared" si="62"/>
        <v>#DIV/0!</v>
      </c>
      <c r="W46" t="e">
        <f t="shared" si="62"/>
        <v>#DIV/0!</v>
      </c>
      <c r="X46" t="e">
        <f t="shared" si="62"/>
        <v>#DIV/0!</v>
      </c>
      <c r="Y46" t="e">
        <f t="shared" si="62"/>
        <v>#DIV/0!</v>
      </c>
      <c r="Z46" t="e">
        <f t="shared" si="62"/>
        <v>#DIV/0!</v>
      </c>
      <c r="AA46" t="e">
        <f t="shared" si="62"/>
        <v>#DIV/0!</v>
      </c>
      <c r="AB46" t="e">
        <f t="shared" si="62"/>
        <v>#DIV/0!</v>
      </c>
      <c r="AC46" t="e">
        <f t="shared" si="62"/>
        <v>#DIV/0!</v>
      </c>
      <c r="AD46" t="e">
        <f t="shared" si="62"/>
        <v>#DIV/0!</v>
      </c>
      <c r="AE46" t="e">
        <f t="shared" si="62"/>
        <v>#DIV/0!</v>
      </c>
      <c r="AF46" t="e">
        <f t="shared" si="62"/>
        <v>#DIV/0!</v>
      </c>
      <c r="AG46" t="e">
        <f t="shared" si="62"/>
        <v>#DIV/0!</v>
      </c>
      <c r="AH46" t="e">
        <f t="shared" si="62"/>
        <v>#DIV/0!</v>
      </c>
      <c r="AI46" t="e">
        <f t="shared" si="62"/>
        <v>#DIV/0!</v>
      </c>
      <c r="AJ46" t="e">
        <f t="shared" si="62"/>
        <v>#DIV/0!</v>
      </c>
      <c r="AK46">
        <f t="shared" si="62"/>
        <v>7.4670731707317071</v>
      </c>
      <c r="AL46" t="e">
        <f t="shared" si="62"/>
        <v>#DIV/0!</v>
      </c>
      <c r="AM46" t="e">
        <f t="shared" si="62"/>
        <v>#DIV/0!</v>
      </c>
      <c r="AN46" t="e">
        <f t="shared" si="62"/>
        <v>#DIV/0!</v>
      </c>
      <c r="AO46" t="e">
        <f t="shared" si="62"/>
        <v>#DIV/0!</v>
      </c>
      <c r="AP46" t="e">
        <f t="shared" si="62"/>
        <v>#DIV/0!</v>
      </c>
      <c r="AQ46" t="e">
        <f t="shared" si="62"/>
        <v>#DIV/0!</v>
      </c>
      <c r="AR46" t="e">
        <f t="shared" si="62"/>
        <v>#DIV/0!</v>
      </c>
      <c r="AS46" t="e">
        <f t="shared" si="62"/>
        <v>#DIV/0!</v>
      </c>
      <c r="AT46" t="e">
        <f t="shared" si="62"/>
        <v>#DIV/0!</v>
      </c>
      <c r="AU46" t="e">
        <f t="shared" si="62"/>
        <v>#DIV/0!</v>
      </c>
      <c r="AV46" t="e">
        <f t="shared" si="62"/>
        <v>#DIV/0!</v>
      </c>
      <c r="AW46" t="e">
        <f t="shared" si="62"/>
        <v>#DIV/0!</v>
      </c>
      <c r="AX46" t="e">
        <f t="shared" si="62"/>
        <v>#DIV/0!</v>
      </c>
      <c r="AY46" t="e">
        <f t="shared" si="62"/>
        <v>#DIV/0!</v>
      </c>
      <c r="AZ46" t="e">
        <f t="shared" si="62"/>
        <v>#DIV/0!</v>
      </c>
      <c r="BA46" t="e">
        <f t="shared" si="62"/>
        <v>#DIV/0!</v>
      </c>
      <c r="BB46" t="e">
        <f t="shared" si="62"/>
        <v>#DIV/0!</v>
      </c>
      <c r="BC46" t="e">
        <f t="shared" si="62"/>
        <v>#DIV/0!</v>
      </c>
      <c r="BD46" t="e">
        <f t="shared" si="62"/>
        <v>#DIV/0!</v>
      </c>
      <c r="BE46" t="e">
        <f t="shared" si="62"/>
        <v>#DIV/0!</v>
      </c>
      <c r="BF46" t="e">
        <f t="shared" si="62"/>
        <v>#DIV/0!</v>
      </c>
      <c r="BG46" t="e">
        <f t="shared" si="62"/>
        <v>#DIV/0!</v>
      </c>
      <c r="BH46" t="e">
        <f t="shared" si="62"/>
        <v>#DIV/0!</v>
      </c>
      <c r="BI46" t="e">
        <f t="shared" si="62"/>
        <v>#DIV/0!</v>
      </c>
      <c r="BJ46" t="e">
        <f t="shared" si="62"/>
        <v>#DIV/0!</v>
      </c>
      <c r="BK46" t="e">
        <f t="shared" si="62"/>
        <v>#DIV/0!</v>
      </c>
      <c r="BL46" t="e">
        <f t="shared" si="62"/>
        <v>#DIV/0!</v>
      </c>
      <c r="BM46" t="e">
        <f t="shared" si="62"/>
        <v>#DIV/0!</v>
      </c>
      <c r="BN46" t="e">
        <f t="shared" si="62"/>
        <v>#DIV/0!</v>
      </c>
      <c r="BO46" t="e">
        <f t="shared" si="62"/>
        <v>#DIV/0!</v>
      </c>
      <c r="BP46" t="e">
        <f t="shared" si="62"/>
        <v>#DIV/0!</v>
      </c>
      <c r="BQ46" t="e">
        <f t="shared" si="62"/>
        <v>#DIV/0!</v>
      </c>
      <c r="BR46" t="e">
        <f t="shared" si="62"/>
        <v>#DIV/0!</v>
      </c>
      <c r="BS46" t="e">
        <f t="shared" si="62"/>
        <v>#DIV/0!</v>
      </c>
      <c r="BT46" t="e">
        <f t="shared" si="62"/>
        <v>#DIV/0!</v>
      </c>
      <c r="BU46" t="e">
        <f t="shared" si="62"/>
        <v>#DIV/0!</v>
      </c>
      <c r="BV46" t="e">
        <f t="shared" si="62"/>
        <v>#DIV/0!</v>
      </c>
      <c r="BW46" t="e">
        <f t="shared" si="62"/>
        <v>#DIV/0!</v>
      </c>
      <c r="BX46" t="e">
        <f t="shared" si="62"/>
        <v>#DIV/0!</v>
      </c>
      <c r="BY46" t="e">
        <f t="shared" si="62"/>
        <v>#DIV/0!</v>
      </c>
      <c r="BZ46" t="e">
        <f t="shared" si="62"/>
        <v>#DIV/0!</v>
      </c>
      <c r="CA46" t="e">
        <f t="shared" si="62"/>
        <v>#DIV/0!</v>
      </c>
      <c r="CB46" t="e">
        <f t="shared" si="62"/>
        <v>#DIV/0!</v>
      </c>
      <c r="CC46" t="e">
        <f t="shared" si="62"/>
        <v>#DIV/0!</v>
      </c>
      <c r="CD46" t="e">
        <f t="shared" si="62"/>
        <v>#DIV/0!</v>
      </c>
      <c r="CE46" t="e">
        <f t="shared" si="62"/>
        <v>#DIV/0!</v>
      </c>
      <c r="CF46" t="e">
        <f t="shared" si="62"/>
        <v>#DIV/0!</v>
      </c>
      <c r="CG46" t="e">
        <f t="shared" si="62"/>
        <v>#DIV/0!</v>
      </c>
    </row>
    <row r="47" spans="2:86" x14ac:dyDescent="0.2">
      <c r="S47" s="643" t="s">
        <v>1387</v>
      </c>
      <c r="T47" s="645" t="e">
        <f t="shared" ref="T47:AY47" ca="1" si="63">T46*T45</f>
        <v>#DIV/0!</v>
      </c>
      <c r="U47" s="645" t="e">
        <f t="shared" ca="1" si="63"/>
        <v>#DIV/0!</v>
      </c>
      <c r="V47" s="645" t="e">
        <f t="shared" ca="1" si="63"/>
        <v>#DIV/0!</v>
      </c>
      <c r="W47" s="645" t="e">
        <f t="shared" ca="1" si="63"/>
        <v>#DIV/0!</v>
      </c>
      <c r="X47" s="645" t="e">
        <f t="shared" ca="1" si="63"/>
        <v>#DIV/0!</v>
      </c>
      <c r="Y47" s="645" t="e">
        <f t="shared" ca="1" si="63"/>
        <v>#DIV/0!</v>
      </c>
      <c r="Z47" s="645" t="e">
        <f t="shared" ca="1" si="63"/>
        <v>#DIV/0!</v>
      </c>
      <c r="AA47" s="645" t="e">
        <f t="shared" ca="1" si="63"/>
        <v>#DIV/0!</v>
      </c>
      <c r="AB47" s="645" t="e">
        <f t="shared" ca="1" si="63"/>
        <v>#DIV/0!</v>
      </c>
      <c r="AC47" s="645" t="e">
        <f t="shared" ca="1" si="63"/>
        <v>#DIV/0!</v>
      </c>
      <c r="AD47" s="645" t="e">
        <f t="shared" ca="1" si="63"/>
        <v>#DIV/0!</v>
      </c>
      <c r="AE47" s="645" t="e">
        <f t="shared" ca="1" si="63"/>
        <v>#DIV/0!</v>
      </c>
      <c r="AF47" s="645" t="e">
        <f t="shared" ca="1" si="63"/>
        <v>#DIV/0!</v>
      </c>
      <c r="AG47" s="645" t="e">
        <f t="shared" ca="1" si="63"/>
        <v>#DIV/0!</v>
      </c>
      <c r="AH47" s="645" t="e">
        <f t="shared" ca="1" si="63"/>
        <v>#DIV/0!</v>
      </c>
      <c r="AI47" s="645" t="e">
        <f t="shared" ca="1" si="63"/>
        <v>#DIV/0!</v>
      </c>
      <c r="AJ47" s="645" t="e">
        <f t="shared" ca="1" si="63"/>
        <v>#DIV/0!</v>
      </c>
      <c r="AK47" s="645">
        <f t="shared" ca="1" si="63"/>
        <v>0</v>
      </c>
      <c r="AL47" s="645" t="e">
        <f t="shared" ca="1" si="63"/>
        <v>#DIV/0!</v>
      </c>
      <c r="AM47" s="645" t="e">
        <f t="shared" ca="1" si="63"/>
        <v>#DIV/0!</v>
      </c>
      <c r="AN47" s="645" t="e">
        <f t="shared" ca="1" si="63"/>
        <v>#DIV/0!</v>
      </c>
      <c r="AO47" s="645" t="e">
        <f t="shared" ca="1" si="63"/>
        <v>#DIV/0!</v>
      </c>
      <c r="AP47" s="645" t="e">
        <f t="shared" ca="1" si="63"/>
        <v>#DIV/0!</v>
      </c>
      <c r="AQ47" s="645" t="e">
        <f t="shared" ca="1" si="63"/>
        <v>#DIV/0!</v>
      </c>
      <c r="AR47" s="645" t="e">
        <f t="shared" ca="1" si="63"/>
        <v>#DIV/0!</v>
      </c>
      <c r="AS47" s="645" t="e">
        <f t="shared" ca="1" si="63"/>
        <v>#DIV/0!</v>
      </c>
      <c r="AT47" s="645" t="e">
        <f t="shared" ca="1" si="63"/>
        <v>#DIV/0!</v>
      </c>
      <c r="AU47" s="645" t="e">
        <f t="shared" ca="1" si="63"/>
        <v>#DIV/0!</v>
      </c>
      <c r="AV47" s="645" t="e">
        <f t="shared" ca="1" si="63"/>
        <v>#DIV/0!</v>
      </c>
      <c r="AW47" s="645" t="e">
        <f t="shared" ca="1" si="63"/>
        <v>#DIV/0!</v>
      </c>
      <c r="AX47" s="645" t="e">
        <f t="shared" ca="1" si="63"/>
        <v>#DIV/0!</v>
      </c>
      <c r="AY47" s="645" t="e">
        <f t="shared" ca="1" si="63"/>
        <v>#DIV/0!</v>
      </c>
      <c r="AZ47" s="645" t="e">
        <f t="shared" ref="AZ47:CE47" ca="1" si="64">AZ46*AZ45</f>
        <v>#DIV/0!</v>
      </c>
      <c r="BA47" s="645" t="e">
        <f t="shared" ca="1" si="64"/>
        <v>#DIV/0!</v>
      </c>
      <c r="BB47" s="645" t="e">
        <f t="shared" ca="1" si="64"/>
        <v>#DIV/0!</v>
      </c>
      <c r="BC47" s="645" t="e">
        <f t="shared" ca="1" si="64"/>
        <v>#DIV/0!</v>
      </c>
      <c r="BD47" s="645" t="e">
        <f t="shared" ca="1" si="64"/>
        <v>#DIV/0!</v>
      </c>
      <c r="BE47" s="645" t="e">
        <f t="shared" ca="1" si="64"/>
        <v>#DIV/0!</v>
      </c>
      <c r="BF47" s="645" t="e">
        <f t="shared" ca="1" si="64"/>
        <v>#DIV/0!</v>
      </c>
      <c r="BG47" s="645" t="e">
        <f t="shared" ca="1" si="64"/>
        <v>#DIV/0!</v>
      </c>
      <c r="BH47" s="645" t="e">
        <f t="shared" ca="1" si="64"/>
        <v>#DIV/0!</v>
      </c>
      <c r="BI47" s="645" t="e">
        <f t="shared" ca="1" si="64"/>
        <v>#DIV/0!</v>
      </c>
      <c r="BJ47" s="645" t="e">
        <f t="shared" ca="1" si="64"/>
        <v>#DIV/0!</v>
      </c>
      <c r="BK47" s="645" t="e">
        <f t="shared" ca="1" si="64"/>
        <v>#DIV/0!</v>
      </c>
      <c r="BL47" s="645" t="e">
        <f t="shared" ca="1" si="64"/>
        <v>#DIV/0!</v>
      </c>
      <c r="BM47" s="645" t="e">
        <f t="shared" ca="1" si="64"/>
        <v>#DIV/0!</v>
      </c>
      <c r="BN47" s="645" t="e">
        <f t="shared" ca="1" si="64"/>
        <v>#DIV/0!</v>
      </c>
      <c r="BO47" s="645" t="e">
        <f t="shared" ca="1" si="64"/>
        <v>#DIV/0!</v>
      </c>
      <c r="BP47" s="645" t="e">
        <f t="shared" ca="1" si="64"/>
        <v>#DIV/0!</v>
      </c>
      <c r="BQ47" s="645" t="e">
        <f t="shared" ca="1" si="64"/>
        <v>#DIV/0!</v>
      </c>
      <c r="BR47" s="645" t="e">
        <f t="shared" ca="1" si="64"/>
        <v>#DIV/0!</v>
      </c>
      <c r="BS47" s="645" t="e">
        <f t="shared" ca="1" si="64"/>
        <v>#DIV/0!</v>
      </c>
      <c r="BT47" s="645" t="e">
        <f t="shared" ca="1" si="64"/>
        <v>#DIV/0!</v>
      </c>
      <c r="BU47" s="645" t="e">
        <f t="shared" ca="1" si="64"/>
        <v>#DIV/0!</v>
      </c>
      <c r="BV47" s="645" t="e">
        <f t="shared" ca="1" si="64"/>
        <v>#DIV/0!</v>
      </c>
      <c r="BW47" s="645" t="e">
        <f t="shared" ca="1" si="64"/>
        <v>#DIV/0!</v>
      </c>
      <c r="BX47" s="645" t="e">
        <f t="shared" ca="1" si="64"/>
        <v>#DIV/0!</v>
      </c>
      <c r="BY47" s="645" t="e">
        <f t="shared" ca="1" si="64"/>
        <v>#DIV/0!</v>
      </c>
      <c r="BZ47" s="645" t="e">
        <f t="shared" ca="1" si="64"/>
        <v>#DIV/0!</v>
      </c>
      <c r="CA47" s="645" t="e">
        <f t="shared" ca="1" si="64"/>
        <v>#DIV/0!</v>
      </c>
      <c r="CB47" s="645" t="e">
        <f t="shared" ca="1" si="64"/>
        <v>#DIV/0!</v>
      </c>
      <c r="CC47" s="645" t="e">
        <f t="shared" ca="1" si="64"/>
        <v>#DIV/0!</v>
      </c>
      <c r="CD47" s="645" t="e">
        <f t="shared" ca="1" si="64"/>
        <v>#DIV/0!</v>
      </c>
      <c r="CE47" s="645" t="e">
        <f t="shared" ca="1" si="64"/>
        <v>#DIV/0!</v>
      </c>
      <c r="CF47" s="645" t="e">
        <f ca="1">CF46*CF45</f>
        <v>#DIV/0!</v>
      </c>
      <c r="CG47" s="646" t="e">
        <f ca="1">CG46*CG45</f>
        <v>#DIV/0!</v>
      </c>
    </row>
    <row r="49" spans="2:85" x14ac:dyDescent="0.2">
      <c r="S49" s="661" t="s">
        <v>3484</v>
      </c>
    </row>
    <row r="50" spans="2:85" x14ac:dyDescent="0.2">
      <c r="S50" s="552" t="s">
        <v>95</v>
      </c>
      <c r="T50" s="583">
        <f>IF(_Tww1&gt;0,_Tww1,60)</f>
        <v>60</v>
      </c>
      <c r="U50" s="583">
        <f>T50</f>
        <v>60</v>
      </c>
      <c r="V50" s="583">
        <f t="shared" ref="V50:CG50" si="65">U50</f>
        <v>60</v>
      </c>
      <c r="W50" s="583">
        <f t="shared" si="65"/>
        <v>60</v>
      </c>
      <c r="X50" s="583">
        <f t="shared" si="65"/>
        <v>60</v>
      </c>
      <c r="Y50" s="583">
        <f t="shared" si="65"/>
        <v>60</v>
      </c>
      <c r="Z50" s="583">
        <f t="shared" si="65"/>
        <v>60</v>
      </c>
      <c r="AA50" s="583">
        <f t="shared" si="65"/>
        <v>60</v>
      </c>
      <c r="AB50" s="583">
        <f t="shared" si="65"/>
        <v>60</v>
      </c>
      <c r="AC50" s="583">
        <f t="shared" si="65"/>
        <v>60</v>
      </c>
      <c r="AD50" s="583">
        <f t="shared" si="65"/>
        <v>60</v>
      </c>
      <c r="AE50" s="583">
        <f t="shared" si="65"/>
        <v>60</v>
      </c>
      <c r="AF50" s="583">
        <f t="shared" si="65"/>
        <v>60</v>
      </c>
      <c r="AG50" s="583">
        <f t="shared" si="65"/>
        <v>60</v>
      </c>
      <c r="AH50" s="583">
        <f t="shared" si="65"/>
        <v>60</v>
      </c>
      <c r="AI50" s="583">
        <f t="shared" si="65"/>
        <v>60</v>
      </c>
      <c r="AJ50" s="583">
        <f t="shared" si="65"/>
        <v>60</v>
      </c>
      <c r="AK50" s="583">
        <f t="shared" si="65"/>
        <v>60</v>
      </c>
      <c r="AL50" s="583">
        <f t="shared" si="65"/>
        <v>60</v>
      </c>
      <c r="AM50" s="583">
        <f t="shared" si="65"/>
        <v>60</v>
      </c>
      <c r="AN50" s="583">
        <f t="shared" si="65"/>
        <v>60</v>
      </c>
      <c r="AO50" s="583">
        <f t="shared" si="65"/>
        <v>60</v>
      </c>
      <c r="AP50" s="583">
        <f t="shared" si="65"/>
        <v>60</v>
      </c>
      <c r="AQ50" s="583">
        <f t="shared" si="65"/>
        <v>60</v>
      </c>
      <c r="AR50" s="583">
        <f t="shared" si="65"/>
        <v>60</v>
      </c>
      <c r="AS50" s="583">
        <f t="shared" si="65"/>
        <v>60</v>
      </c>
      <c r="AT50" s="583">
        <f t="shared" si="65"/>
        <v>60</v>
      </c>
      <c r="AU50" s="583">
        <f t="shared" si="65"/>
        <v>60</v>
      </c>
      <c r="AV50" s="583">
        <f t="shared" si="65"/>
        <v>60</v>
      </c>
      <c r="AW50" s="583">
        <f t="shared" si="65"/>
        <v>60</v>
      </c>
      <c r="AX50" s="583">
        <f t="shared" si="65"/>
        <v>60</v>
      </c>
      <c r="AY50" s="583">
        <f t="shared" si="65"/>
        <v>60</v>
      </c>
      <c r="AZ50" s="583">
        <f t="shared" si="65"/>
        <v>60</v>
      </c>
      <c r="BA50" s="583">
        <f t="shared" si="65"/>
        <v>60</v>
      </c>
      <c r="BB50" s="583">
        <f t="shared" si="65"/>
        <v>60</v>
      </c>
      <c r="BC50" s="583">
        <f t="shared" si="65"/>
        <v>60</v>
      </c>
      <c r="BD50" s="583">
        <f t="shared" si="65"/>
        <v>60</v>
      </c>
      <c r="BE50" s="583">
        <f t="shared" si="65"/>
        <v>60</v>
      </c>
      <c r="BF50" s="583">
        <f t="shared" si="65"/>
        <v>60</v>
      </c>
      <c r="BG50" s="583">
        <f t="shared" si="65"/>
        <v>60</v>
      </c>
      <c r="BH50" s="583">
        <f t="shared" si="65"/>
        <v>60</v>
      </c>
      <c r="BI50" s="583">
        <f t="shared" si="65"/>
        <v>60</v>
      </c>
      <c r="BJ50" s="583">
        <f t="shared" si="65"/>
        <v>60</v>
      </c>
      <c r="BK50" s="583">
        <f t="shared" si="65"/>
        <v>60</v>
      </c>
      <c r="BL50" s="583">
        <f t="shared" si="65"/>
        <v>60</v>
      </c>
      <c r="BM50" s="583">
        <f t="shared" si="65"/>
        <v>60</v>
      </c>
      <c r="BN50" s="583">
        <f t="shared" si="65"/>
        <v>60</v>
      </c>
      <c r="BO50" s="583">
        <f t="shared" si="65"/>
        <v>60</v>
      </c>
      <c r="BP50" s="583">
        <f t="shared" si="65"/>
        <v>60</v>
      </c>
      <c r="BQ50" s="583">
        <f t="shared" si="65"/>
        <v>60</v>
      </c>
      <c r="BR50" s="583">
        <f t="shared" si="65"/>
        <v>60</v>
      </c>
      <c r="BS50" s="583">
        <f t="shared" si="65"/>
        <v>60</v>
      </c>
      <c r="BT50" s="583">
        <f t="shared" si="65"/>
        <v>60</v>
      </c>
      <c r="BU50" s="583">
        <f t="shared" si="65"/>
        <v>60</v>
      </c>
      <c r="BV50" s="583">
        <f t="shared" si="65"/>
        <v>60</v>
      </c>
      <c r="BW50" s="583">
        <f t="shared" si="65"/>
        <v>60</v>
      </c>
      <c r="BX50" s="583">
        <f t="shared" si="65"/>
        <v>60</v>
      </c>
      <c r="BY50" s="583">
        <f t="shared" si="65"/>
        <v>60</v>
      </c>
      <c r="BZ50" s="583">
        <f t="shared" si="65"/>
        <v>60</v>
      </c>
      <c r="CA50" s="583">
        <f t="shared" si="65"/>
        <v>60</v>
      </c>
      <c r="CB50" s="583">
        <f t="shared" si="65"/>
        <v>60</v>
      </c>
      <c r="CC50" s="583">
        <f t="shared" si="65"/>
        <v>60</v>
      </c>
      <c r="CD50" s="583">
        <f t="shared" si="65"/>
        <v>60</v>
      </c>
      <c r="CE50" s="583">
        <f t="shared" si="65"/>
        <v>60</v>
      </c>
      <c r="CF50" s="583">
        <f t="shared" si="65"/>
        <v>60</v>
      </c>
      <c r="CG50" s="583">
        <f t="shared" si="65"/>
        <v>60</v>
      </c>
    </row>
    <row r="51" spans="2:85" x14ac:dyDescent="0.2">
      <c r="S51" t="s">
        <v>2138</v>
      </c>
      <c r="T51" s="584">
        <f t="shared" ref="T51:AY51" ca="1" si="66">T9*T29+T10*T30+T11*T31+T12*T32</f>
        <v>0</v>
      </c>
      <c r="U51" s="584">
        <f t="shared" ca="1" si="66"/>
        <v>0</v>
      </c>
      <c r="V51" s="584">
        <f t="shared" ca="1" si="66"/>
        <v>0</v>
      </c>
      <c r="W51" s="584">
        <f t="shared" ca="1" si="66"/>
        <v>0</v>
      </c>
      <c r="X51" s="584">
        <f t="shared" ca="1" si="66"/>
        <v>0</v>
      </c>
      <c r="Y51" s="584">
        <f t="shared" ca="1" si="66"/>
        <v>0</v>
      </c>
      <c r="Z51" s="584">
        <f t="shared" ca="1" si="66"/>
        <v>0</v>
      </c>
      <c r="AA51" s="584">
        <f t="shared" ca="1" si="66"/>
        <v>0</v>
      </c>
      <c r="AB51" s="584">
        <f t="shared" ca="1" si="66"/>
        <v>0</v>
      </c>
      <c r="AC51" s="584">
        <f t="shared" ca="1" si="66"/>
        <v>0</v>
      </c>
      <c r="AD51" s="584">
        <f t="shared" ca="1" si="66"/>
        <v>0</v>
      </c>
      <c r="AE51" s="584">
        <f t="shared" ca="1" si="66"/>
        <v>0</v>
      </c>
      <c r="AF51" s="584">
        <f t="shared" ca="1" si="66"/>
        <v>0</v>
      </c>
      <c r="AG51" s="584">
        <f t="shared" ca="1" si="66"/>
        <v>0</v>
      </c>
      <c r="AH51" s="584">
        <f t="shared" ca="1" si="66"/>
        <v>0</v>
      </c>
      <c r="AI51" s="584">
        <f t="shared" ca="1" si="66"/>
        <v>0</v>
      </c>
      <c r="AJ51" s="584">
        <f t="shared" ca="1" si="66"/>
        <v>0</v>
      </c>
      <c r="AK51" s="584">
        <f t="shared" ca="1" si="66"/>
        <v>0</v>
      </c>
      <c r="AL51" s="584">
        <f t="shared" ca="1" si="66"/>
        <v>0</v>
      </c>
      <c r="AM51" s="584">
        <f t="shared" ca="1" si="66"/>
        <v>0</v>
      </c>
      <c r="AN51" s="584">
        <f t="shared" ca="1" si="66"/>
        <v>0</v>
      </c>
      <c r="AO51" s="584">
        <f t="shared" ca="1" si="66"/>
        <v>0</v>
      </c>
      <c r="AP51" s="584">
        <f t="shared" ca="1" si="66"/>
        <v>0</v>
      </c>
      <c r="AQ51" s="584">
        <f t="shared" ca="1" si="66"/>
        <v>0</v>
      </c>
      <c r="AR51" s="584">
        <f t="shared" ca="1" si="66"/>
        <v>0</v>
      </c>
      <c r="AS51" s="584">
        <f t="shared" ca="1" si="66"/>
        <v>0</v>
      </c>
      <c r="AT51" s="584">
        <f t="shared" ca="1" si="66"/>
        <v>0</v>
      </c>
      <c r="AU51" s="584">
        <f t="shared" ca="1" si="66"/>
        <v>0</v>
      </c>
      <c r="AV51" s="584">
        <f t="shared" ca="1" si="66"/>
        <v>0</v>
      </c>
      <c r="AW51" s="584">
        <f t="shared" ca="1" si="66"/>
        <v>0</v>
      </c>
      <c r="AX51" s="584">
        <f t="shared" ca="1" si="66"/>
        <v>0</v>
      </c>
      <c r="AY51" s="584">
        <f t="shared" ca="1" si="66"/>
        <v>0</v>
      </c>
      <c r="AZ51" s="584">
        <f t="shared" ref="AZ51:CG51" ca="1" si="67">AZ9*AZ29+AZ10*AZ30+AZ11*AZ31+AZ12*AZ32</f>
        <v>0</v>
      </c>
      <c r="BA51" s="584">
        <f t="shared" ca="1" si="67"/>
        <v>0</v>
      </c>
      <c r="BB51" s="584">
        <f t="shared" ca="1" si="67"/>
        <v>0</v>
      </c>
      <c r="BC51" s="584">
        <f t="shared" ca="1" si="67"/>
        <v>0</v>
      </c>
      <c r="BD51" s="584">
        <f t="shared" ca="1" si="67"/>
        <v>0</v>
      </c>
      <c r="BE51" s="584">
        <f t="shared" ca="1" si="67"/>
        <v>0</v>
      </c>
      <c r="BF51" s="584">
        <f t="shared" ca="1" si="67"/>
        <v>0</v>
      </c>
      <c r="BG51" s="584">
        <f t="shared" ca="1" si="67"/>
        <v>0</v>
      </c>
      <c r="BH51" s="584">
        <f t="shared" ca="1" si="67"/>
        <v>0</v>
      </c>
      <c r="BI51" s="584">
        <f t="shared" ca="1" si="67"/>
        <v>0</v>
      </c>
      <c r="BJ51" s="584">
        <f t="shared" ca="1" si="67"/>
        <v>0</v>
      </c>
      <c r="BK51" s="584">
        <f t="shared" ca="1" si="67"/>
        <v>0</v>
      </c>
      <c r="BL51" s="584">
        <f t="shared" ca="1" si="67"/>
        <v>0</v>
      </c>
      <c r="BM51" s="584">
        <f t="shared" ca="1" si="67"/>
        <v>0</v>
      </c>
      <c r="BN51" s="584">
        <f t="shared" ca="1" si="67"/>
        <v>0</v>
      </c>
      <c r="BO51" s="584">
        <f t="shared" ca="1" si="67"/>
        <v>0</v>
      </c>
      <c r="BP51" s="584">
        <f t="shared" ca="1" si="67"/>
        <v>0</v>
      </c>
      <c r="BQ51" s="584">
        <f t="shared" ca="1" si="67"/>
        <v>0</v>
      </c>
      <c r="BR51" s="584">
        <f t="shared" ca="1" si="67"/>
        <v>0</v>
      </c>
      <c r="BS51" s="584">
        <f t="shared" ca="1" si="67"/>
        <v>0</v>
      </c>
      <c r="BT51" s="584">
        <f t="shared" ca="1" si="67"/>
        <v>0</v>
      </c>
      <c r="BU51" s="584">
        <f t="shared" ca="1" si="67"/>
        <v>0</v>
      </c>
      <c r="BV51" s="584">
        <f t="shared" ca="1" si="67"/>
        <v>0</v>
      </c>
      <c r="BW51" s="584">
        <f t="shared" ca="1" si="67"/>
        <v>0</v>
      </c>
      <c r="BX51" s="584">
        <f t="shared" ca="1" si="67"/>
        <v>0</v>
      </c>
      <c r="BY51" s="584">
        <f t="shared" ca="1" si="67"/>
        <v>0</v>
      </c>
      <c r="BZ51" s="584">
        <f t="shared" ca="1" si="67"/>
        <v>0</v>
      </c>
      <c r="CA51" s="584">
        <f t="shared" ca="1" si="67"/>
        <v>0</v>
      </c>
      <c r="CB51" s="584">
        <f t="shared" ca="1" si="67"/>
        <v>0</v>
      </c>
      <c r="CC51" s="584">
        <f t="shared" ca="1" si="67"/>
        <v>0</v>
      </c>
      <c r="CD51" s="584">
        <f t="shared" ca="1" si="67"/>
        <v>0</v>
      </c>
      <c r="CE51" s="584">
        <f t="shared" ca="1" si="67"/>
        <v>0</v>
      </c>
      <c r="CF51" s="584">
        <f t="shared" ca="1" si="67"/>
        <v>0</v>
      </c>
      <c r="CG51" s="584">
        <f t="shared" ca="1" si="67"/>
        <v>0</v>
      </c>
    </row>
    <row r="52" spans="2:85" x14ac:dyDescent="0.2">
      <c r="S52" s="641" t="s">
        <v>88</v>
      </c>
      <c r="T52">
        <f t="shared" ref="T52:AY52" ca="1" si="68">T19+((T20-T19)/(T7-T5))*(T50-T5)</f>
        <v>0</v>
      </c>
      <c r="U52">
        <f t="shared" ca="1" si="68"/>
        <v>0</v>
      </c>
      <c r="V52">
        <f t="shared" ca="1" si="68"/>
        <v>0</v>
      </c>
      <c r="W52">
        <f t="shared" ca="1" si="68"/>
        <v>0</v>
      </c>
      <c r="X52">
        <f t="shared" ca="1" si="68"/>
        <v>0</v>
      </c>
      <c r="Y52">
        <f t="shared" ca="1" si="68"/>
        <v>0</v>
      </c>
      <c r="Z52">
        <f t="shared" ca="1" si="68"/>
        <v>0</v>
      </c>
      <c r="AA52">
        <f t="shared" ca="1" si="68"/>
        <v>0</v>
      </c>
      <c r="AB52">
        <f t="shared" ca="1" si="68"/>
        <v>0</v>
      </c>
      <c r="AC52">
        <f t="shared" ca="1" si="68"/>
        <v>0</v>
      </c>
      <c r="AD52">
        <f t="shared" ca="1" si="68"/>
        <v>0</v>
      </c>
      <c r="AE52">
        <f t="shared" ca="1" si="68"/>
        <v>0</v>
      </c>
      <c r="AF52">
        <f t="shared" ca="1" si="68"/>
        <v>0</v>
      </c>
      <c r="AG52">
        <f t="shared" ca="1" si="68"/>
        <v>0</v>
      </c>
      <c r="AH52">
        <f t="shared" ca="1" si="68"/>
        <v>0</v>
      </c>
      <c r="AI52">
        <f t="shared" ca="1" si="68"/>
        <v>0</v>
      </c>
      <c r="AJ52">
        <f t="shared" ca="1" si="68"/>
        <v>0</v>
      </c>
      <c r="AK52">
        <f t="shared" ca="1" si="68"/>
        <v>0</v>
      </c>
      <c r="AL52">
        <f t="shared" ca="1" si="68"/>
        <v>0</v>
      </c>
      <c r="AM52">
        <f t="shared" ca="1" si="68"/>
        <v>0</v>
      </c>
      <c r="AN52">
        <f t="shared" ca="1" si="68"/>
        <v>0</v>
      </c>
      <c r="AO52">
        <f t="shared" ca="1" si="68"/>
        <v>0</v>
      </c>
      <c r="AP52">
        <f t="shared" ca="1" si="68"/>
        <v>0</v>
      </c>
      <c r="AQ52">
        <f t="shared" ca="1" si="68"/>
        <v>0</v>
      </c>
      <c r="AR52">
        <f t="shared" ca="1" si="68"/>
        <v>0</v>
      </c>
      <c r="AS52">
        <f t="shared" ca="1" si="68"/>
        <v>0</v>
      </c>
      <c r="AT52">
        <f t="shared" ca="1" si="68"/>
        <v>0</v>
      </c>
      <c r="AU52">
        <f t="shared" ca="1" si="68"/>
        <v>0</v>
      </c>
      <c r="AV52">
        <f t="shared" ca="1" si="68"/>
        <v>0</v>
      </c>
      <c r="AW52">
        <f t="shared" ca="1" si="68"/>
        <v>0</v>
      </c>
      <c r="AX52">
        <f t="shared" ca="1" si="68"/>
        <v>0</v>
      </c>
      <c r="AY52">
        <f t="shared" ca="1" si="68"/>
        <v>0</v>
      </c>
      <c r="AZ52">
        <f t="shared" ref="AZ52:CG52" ca="1" si="69">AZ19+((AZ20-AZ19)/(AZ7-AZ5))*(AZ50-AZ5)</f>
        <v>0</v>
      </c>
      <c r="BA52">
        <f t="shared" ca="1" si="69"/>
        <v>0</v>
      </c>
      <c r="BB52">
        <f t="shared" ca="1" si="69"/>
        <v>0</v>
      </c>
      <c r="BC52">
        <f t="shared" ca="1" si="69"/>
        <v>0</v>
      </c>
      <c r="BD52">
        <f t="shared" ca="1" si="69"/>
        <v>0</v>
      </c>
      <c r="BE52">
        <f t="shared" ca="1" si="69"/>
        <v>0</v>
      </c>
      <c r="BF52">
        <f t="shared" ca="1" si="69"/>
        <v>0</v>
      </c>
      <c r="BG52">
        <f t="shared" ca="1" si="69"/>
        <v>0</v>
      </c>
      <c r="BH52">
        <f t="shared" ca="1" si="69"/>
        <v>0</v>
      </c>
      <c r="BI52">
        <f t="shared" ca="1" si="69"/>
        <v>0</v>
      </c>
      <c r="BJ52">
        <f t="shared" ca="1" si="69"/>
        <v>0</v>
      </c>
      <c r="BK52">
        <f t="shared" ca="1" si="69"/>
        <v>0</v>
      </c>
      <c r="BL52">
        <f t="shared" ca="1" si="69"/>
        <v>0</v>
      </c>
      <c r="BM52">
        <f t="shared" ca="1" si="69"/>
        <v>0</v>
      </c>
      <c r="BN52">
        <f t="shared" ca="1" si="69"/>
        <v>0</v>
      </c>
      <c r="BO52">
        <f t="shared" ca="1" si="69"/>
        <v>0</v>
      </c>
      <c r="BP52">
        <f t="shared" ca="1" si="69"/>
        <v>0</v>
      </c>
      <c r="BQ52">
        <f t="shared" ca="1" si="69"/>
        <v>0</v>
      </c>
      <c r="BR52">
        <f t="shared" ca="1" si="69"/>
        <v>0</v>
      </c>
      <c r="BS52">
        <f t="shared" ca="1" si="69"/>
        <v>0</v>
      </c>
      <c r="BT52">
        <f t="shared" ca="1" si="69"/>
        <v>0</v>
      </c>
      <c r="BU52">
        <f t="shared" ca="1" si="69"/>
        <v>0</v>
      </c>
      <c r="BV52">
        <f t="shared" ca="1" si="69"/>
        <v>0</v>
      </c>
      <c r="BW52">
        <f t="shared" ca="1" si="69"/>
        <v>0</v>
      </c>
      <c r="BX52">
        <f t="shared" ca="1" si="69"/>
        <v>0</v>
      </c>
      <c r="BY52">
        <f t="shared" ca="1" si="69"/>
        <v>0</v>
      </c>
      <c r="BZ52">
        <f t="shared" ca="1" si="69"/>
        <v>0</v>
      </c>
      <c r="CA52">
        <f t="shared" ca="1" si="69"/>
        <v>0</v>
      </c>
      <c r="CB52">
        <f t="shared" ca="1" si="69"/>
        <v>0</v>
      </c>
      <c r="CC52">
        <f t="shared" ca="1" si="69"/>
        <v>0</v>
      </c>
      <c r="CD52">
        <f t="shared" ca="1" si="69"/>
        <v>0</v>
      </c>
      <c r="CE52">
        <f t="shared" ca="1" si="69"/>
        <v>0</v>
      </c>
      <c r="CF52">
        <f t="shared" ca="1" si="69"/>
        <v>0</v>
      </c>
      <c r="CG52">
        <f t="shared" ca="1" si="69"/>
        <v>0</v>
      </c>
    </row>
    <row r="53" spans="2:85" x14ac:dyDescent="0.2">
      <c r="S53" s="552" t="s">
        <v>1386</v>
      </c>
      <c r="T53">
        <f>(T50+273.15)/MAX((T50-T39-T40),10)</f>
        <v>3.9194117647058819</v>
      </c>
      <c r="U53">
        <f>(U50+273.15)/MAX((U50-U39-U40),10)</f>
        <v>3.9660714285714285</v>
      </c>
      <c r="V53">
        <f t="shared" ref="V53:CG53" si="70">(V50+273.15)/MAX((V50-V39-V40),10)</f>
        <v>4.0138554216867464</v>
      </c>
      <c r="W53">
        <f t="shared" si="70"/>
        <v>4.0628048780487802</v>
      </c>
      <c r="X53">
        <f t="shared" si="70"/>
        <v>4.1129629629629623</v>
      </c>
      <c r="Y53">
        <f t="shared" si="70"/>
        <v>4.1643749999999997</v>
      </c>
      <c r="Z53">
        <f t="shared" si="70"/>
        <v>4.2170886075949365</v>
      </c>
      <c r="AA53">
        <f t="shared" si="70"/>
        <v>4.2711538461538456</v>
      </c>
      <c r="AB53">
        <f t="shared" si="70"/>
        <v>4.3266233766233766</v>
      </c>
      <c r="AC53">
        <f t="shared" si="70"/>
        <v>4.3835526315789473</v>
      </c>
      <c r="AD53">
        <f t="shared" si="70"/>
        <v>4.4419999999999993</v>
      </c>
      <c r="AE53">
        <f t="shared" si="70"/>
        <v>4.5020270270270268</v>
      </c>
      <c r="AF53">
        <f t="shared" si="70"/>
        <v>4.5636986301369857</v>
      </c>
      <c r="AG53">
        <f t="shared" si="70"/>
        <v>4.6270833333333332</v>
      </c>
      <c r="AH53">
        <f t="shared" si="70"/>
        <v>4.6922535211267604</v>
      </c>
      <c r="AI53">
        <f t="shared" si="70"/>
        <v>4.7592857142857143</v>
      </c>
      <c r="AJ53">
        <f t="shared" si="70"/>
        <v>4.8282608695652174</v>
      </c>
      <c r="AK53">
        <f t="shared" si="70"/>
        <v>4.8992647058823522</v>
      </c>
      <c r="AL53">
        <f t="shared" si="70"/>
        <v>4.9723880597014922</v>
      </c>
      <c r="AM53">
        <f t="shared" si="70"/>
        <v>5.047727272727272</v>
      </c>
      <c r="AN53">
        <f t="shared" si="70"/>
        <v>5.1253846153846148</v>
      </c>
      <c r="AO53">
        <f t="shared" si="70"/>
        <v>5.2054687499999996</v>
      </c>
      <c r="AP53">
        <f t="shared" si="70"/>
        <v>5.288095238095238</v>
      </c>
      <c r="AQ53">
        <f t="shared" si="70"/>
        <v>5.3733870967741932</v>
      </c>
      <c r="AR53">
        <f t="shared" si="70"/>
        <v>5.4614754098360656</v>
      </c>
      <c r="AS53">
        <f t="shared" si="70"/>
        <v>5.5524999999999993</v>
      </c>
      <c r="AT53">
        <f t="shared" si="70"/>
        <v>5.6466101694915247</v>
      </c>
      <c r="AU53">
        <f t="shared" si="70"/>
        <v>5.7439655172413788</v>
      </c>
      <c r="AV53">
        <f t="shared" si="70"/>
        <v>5.844736842105263</v>
      </c>
      <c r="AW53">
        <f t="shared" si="70"/>
        <v>5.9491071428571427</v>
      </c>
      <c r="AX53">
        <f t="shared" si="70"/>
        <v>6.0572727272727267</v>
      </c>
      <c r="AY53">
        <f t="shared" si="70"/>
        <v>6.1694444444444443</v>
      </c>
      <c r="AZ53">
        <f t="shared" si="70"/>
        <v>6.285849056603773</v>
      </c>
      <c r="BA53">
        <f t="shared" si="70"/>
        <v>6.4067307692307685</v>
      </c>
      <c r="BB53">
        <f t="shared" si="70"/>
        <v>6.5323529411764705</v>
      </c>
      <c r="BC53">
        <f t="shared" si="70"/>
        <v>6.6629999999999994</v>
      </c>
      <c r="BD53">
        <f t="shared" si="70"/>
        <v>6.7989795918367344</v>
      </c>
      <c r="BE53">
        <f t="shared" si="70"/>
        <v>6.9406249999999998</v>
      </c>
      <c r="BF53">
        <f t="shared" si="70"/>
        <v>7.0882978723404246</v>
      </c>
      <c r="BG53">
        <f t="shared" si="70"/>
        <v>7.2423913043478256</v>
      </c>
      <c r="BH53">
        <f t="shared" si="70"/>
        <v>7.4033333333333324</v>
      </c>
      <c r="BI53">
        <f t="shared" si="70"/>
        <v>7.5715909090909088</v>
      </c>
      <c r="BJ53">
        <f t="shared" si="70"/>
        <v>7.7476744186046504</v>
      </c>
      <c r="BK53">
        <f t="shared" si="70"/>
        <v>7.9321428571428569</v>
      </c>
      <c r="BL53">
        <f t="shared" si="70"/>
        <v>8.1256097560975604</v>
      </c>
      <c r="BM53">
        <f t="shared" si="70"/>
        <v>8.3287499999999994</v>
      </c>
      <c r="BN53">
        <f t="shared" si="70"/>
        <v>8.3287499999999994</v>
      </c>
      <c r="BO53">
        <f t="shared" si="70"/>
        <v>8.3287499999999994</v>
      </c>
      <c r="BP53">
        <f t="shared" si="70"/>
        <v>8.3287499999999994</v>
      </c>
      <c r="BQ53">
        <f t="shared" si="70"/>
        <v>8.3287499999999994</v>
      </c>
      <c r="BR53">
        <f t="shared" si="70"/>
        <v>8.3287499999999994</v>
      </c>
      <c r="BS53">
        <f t="shared" si="70"/>
        <v>8.3287499999999994</v>
      </c>
      <c r="BT53">
        <f t="shared" si="70"/>
        <v>8.3287499999999994</v>
      </c>
      <c r="BU53">
        <f t="shared" si="70"/>
        <v>8.3287499999999994</v>
      </c>
      <c r="BV53">
        <f t="shared" si="70"/>
        <v>8.3287499999999994</v>
      </c>
      <c r="BW53">
        <f t="shared" si="70"/>
        <v>8.3287499999999994</v>
      </c>
      <c r="BX53">
        <f t="shared" si="70"/>
        <v>8.3287499999999994</v>
      </c>
      <c r="BY53">
        <f t="shared" si="70"/>
        <v>8.3287499999999994</v>
      </c>
      <c r="BZ53">
        <f t="shared" si="70"/>
        <v>8.3287499999999994</v>
      </c>
      <c r="CA53">
        <f t="shared" si="70"/>
        <v>8.3287499999999994</v>
      </c>
      <c r="CB53">
        <f t="shared" si="70"/>
        <v>8.3287499999999994</v>
      </c>
      <c r="CC53">
        <f t="shared" si="70"/>
        <v>8.3287499999999994</v>
      </c>
      <c r="CD53">
        <f t="shared" si="70"/>
        <v>8.3287499999999994</v>
      </c>
      <c r="CE53">
        <f t="shared" si="70"/>
        <v>8.3287499999999994</v>
      </c>
      <c r="CF53">
        <f t="shared" si="70"/>
        <v>8.3287499999999994</v>
      </c>
      <c r="CG53">
        <f t="shared" si="70"/>
        <v>8.3287499999999994</v>
      </c>
    </row>
    <row r="54" spans="2:85" x14ac:dyDescent="0.2">
      <c r="S54" s="643" t="s">
        <v>1387</v>
      </c>
      <c r="T54" s="645">
        <f t="shared" ref="T54:AY54" ca="1" si="71">T53*T52</f>
        <v>0</v>
      </c>
      <c r="U54" s="645">
        <f t="shared" ca="1" si="71"/>
        <v>0</v>
      </c>
      <c r="V54" s="645">
        <f t="shared" ca="1" si="71"/>
        <v>0</v>
      </c>
      <c r="W54" s="645">
        <f t="shared" ca="1" si="71"/>
        <v>0</v>
      </c>
      <c r="X54" s="645">
        <f t="shared" ca="1" si="71"/>
        <v>0</v>
      </c>
      <c r="Y54" s="645">
        <f t="shared" ca="1" si="71"/>
        <v>0</v>
      </c>
      <c r="Z54" s="645">
        <f t="shared" ca="1" si="71"/>
        <v>0</v>
      </c>
      <c r="AA54" s="645">
        <f t="shared" ca="1" si="71"/>
        <v>0</v>
      </c>
      <c r="AB54" s="645">
        <f t="shared" ca="1" si="71"/>
        <v>0</v>
      </c>
      <c r="AC54" s="645">
        <f t="shared" ca="1" si="71"/>
        <v>0</v>
      </c>
      <c r="AD54" s="645">
        <f t="shared" ca="1" si="71"/>
        <v>0</v>
      </c>
      <c r="AE54" s="645">
        <f t="shared" ca="1" si="71"/>
        <v>0</v>
      </c>
      <c r="AF54" s="645">
        <f t="shared" ca="1" si="71"/>
        <v>0</v>
      </c>
      <c r="AG54" s="645">
        <f t="shared" ca="1" si="71"/>
        <v>0</v>
      </c>
      <c r="AH54" s="645">
        <f t="shared" ca="1" si="71"/>
        <v>0</v>
      </c>
      <c r="AI54" s="645">
        <f t="shared" ca="1" si="71"/>
        <v>0</v>
      </c>
      <c r="AJ54" s="645">
        <f t="shared" ca="1" si="71"/>
        <v>0</v>
      </c>
      <c r="AK54" s="645">
        <f t="shared" ca="1" si="71"/>
        <v>0</v>
      </c>
      <c r="AL54" s="645">
        <f t="shared" ca="1" si="71"/>
        <v>0</v>
      </c>
      <c r="AM54" s="645">
        <f t="shared" ca="1" si="71"/>
        <v>0</v>
      </c>
      <c r="AN54" s="645">
        <f t="shared" ca="1" si="71"/>
        <v>0</v>
      </c>
      <c r="AO54" s="645">
        <f t="shared" ca="1" si="71"/>
        <v>0</v>
      </c>
      <c r="AP54" s="645">
        <f t="shared" ca="1" si="71"/>
        <v>0</v>
      </c>
      <c r="AQ54" s="645">
        <f t="shared" ca="1" si="71"/>
        <v>0</v>
      </c>
      <c r="AR54" s="645">
        <f t="shared" ca="1" si="71"/>
        <v>0</v>
      </c>
      <c r="AS54" s="645">
        <f t="shared" ca="1" si="71"/>
        <v>0</v>
      </c>
      <c r="AT54" s="645">
        <f t="shared" ca="1" si="71"/>
        <v>0</v>
      </c>
      <c r="AU54" s="645">
        <f t="shared" ca="1" si="71"/>
        <v>0</v>
      </c>
      <c r="AV54" s="645">
        <f t="shared" ca="1" si="71"/>
        <v>0</v>
      </c>
      <c r="AW54" s="645">
        <f t="shared" ca="1" si="71"/>
        <v>0</v>
      </c>
      <c r="AX54" s="645">
        <f t="shared" ca="1" si="71"/>
        <v>0</v>
      </c>
      <c r="AY54" s="645">
        <f t="shared" ca="1" si="71"/>
        <v>0</v>
      </c>
      <c r="AZ54" s="645">
        <f t="shared" ref="AZ54:CE54" ca="1" si="72">AZ53*AZ52</f>
        <v>0</v>
      </c>
      <c r="BA54" s="645">
        <f t="shared" ca="1" si="72"/>
        <v>0</v>
      </c>
      <c r="BB54" s="645">
        <f t="shared" ca="1" si="72"/>
        <v>0</v>
      </c>
      <c r="BC54" s="645">
        <f t="shared" ca="1" si="72"/>
        <v>0</v>
      </c>
      <c r="BD54" s="645">
        <f t="shared" ca="1" si="72"/>
        <v>0</v>
      </c>
      <c r="BE54" s="645">
        <f t="shared" ca="1" si="72"/>
        <v>0</v>
      </c>
      <c r="BF54" s="645">
        <f t="shared" ca="1" si="72"/>
        <v>0</v>
      </c>
      <c r="BG54" s="645">
        <f t="shared" ca="1" si="72"/>
        <v>0</v>
      </c>
      <c r="BH54" s="645">
        <f t="shared" ca="1" si="72"/>
        <v>0</v>
      </c>
      <c r="BI54" s="645">
        <f t="shared" ca="1" si="72"/>
        <v>0</v>
      </c>
      <c r="BJ54" s="645">
        <f t="shared" ca="1" si="72"/>
        <v>0</v>
      </c>
      <c r="BK54" s="645">
        <f t="shared" ca="1" si="72"/>
        <v>0</v>
      </c>
      <c r="BL54" s="645">
        <f t="shared" ca="1" si="72"/>
        <v>0</v>
      </c>
      <c r="BM54" s="645">
        <f t="shared" ca="1" si="72"/>
        <v>0</v>
      </c>
      <c r="BN54" s="645">
        <f t="shared" ca="1" si="72"/>
        <v>0</v>
      </c>
      <c r="BO54" s="645">
        <f t="shared" ca="1" si="72"/>
        <v>0</v>
      </c>
      <c r="BP54" s="645">
        <f t="shared" ca="1" si="72"/>
        <v>0</v>
      </c>
      <c r="BQ54" s="645">
        <f t="shared" ca="1" si="72"/>
        <v>0</v>
      </c>
      <c r="BR54" s="645">
        <f t="shared" ca="1" si="72"/>
        <v>0</v>
      </c>
      <c r="BS54" s="645">
        <f t="shared" ca="1" si="72"/>
        <v>0</v>
      </c>
      <c r="BT54" s="645">
        <f t="shared" ca="1" si="72"/>
        <v>0</v>
      </c>
      <c r="BU54" s="645">
        <f t="shared" ca="1" si="72"/>
        <v>0</v>
      </c>
      <c r="BV54" s="645">
        <f t="shared" ca="1" si="72"/>
        <v>0</v>
      </c>
      <c r="BW54" s="645">
        <f t="shared" ca="1" si="72"/>
        <v>0</v>
      </c>
      <c r="BX54" s="645">
        <f t="shared" ca="1" si="72"/>
        <v>0</v>
      </c>
      <c r="BY54" s="645">
        <f t="shared" ca="1" si="72"/>
        <v>0</v>
      </c>
      <c r="BZ54" s="645">
        <f t="shared" ca="1" si="72"/>
        <v>0</v>
      </c>
      <c r="CA54" s="645">
        <f t="shared" ca="1" si="72"/>
        <v>0</v>
      </c>
      <c r="CB54" s="645">
        <f t="shared" ca="1" si="72"/>
        <v>0</v>
      </c>
      <c r="CC54" s="645">
        <f t="shared" ca="1" si="72"/>
        <v>0</v>
      </c>
      <c r="CD54" s="645">
        <f t="shared" ca="1" si="72"/>
        <v>0</v>
      </c>
      <c r="CE54" s="645">
        <f t="shared" ca="1" si="72"/>
        <v>0</v>
      </c>
      <c r="CF54" s="645">
        <f ca="1">CF53*CF52</f>
        <v>0</v>
      </c>
      <c r="CG54" s="645">
        <f ca="1">CG53*CG52</f>
        <v>0</v>
      </c>
    </row>
    <row r="57" spans="2:85" x14ac:dyDescent="0.2">
      <c r="S57" s="521" t="s">
        <v>2547</v>
      </c>
    </row>
    <row r="59" spans="2:85" x14ac:dyDescent="0.2">
      <c r="S59" s="521" t="str">
        <f>S35</f>
        <v>Bin Temperatur</v>
      </c>
      <c r="T59">
        <f>T35</f>
        <v>-25</v>
      </c>
      <c r="U59">
        <f t="shared" ref="U59:CF59" si="73">U35</f>
        <v>-24</v>
      </c>
      <c r="V59">
        <f t="shared" si="73"/>
        <v>-23</v>
      </c>
      <c r="W59">
        <f t="shared" si="73"/>
        <v>-22</v>
      </c>
      <c r="X59">
        <f t="shared" si="73"/>
        <v>-21</v>
      </c>
      <c r="Y59">
        <f t="shared" si="73"/>
        <v>-20</v>
      </c>
      <c r="Z59">
        <f t="shared" si="73"/>
        <v>-19</v>
      </c>
      <c r="AA59">
        <f t="shared" si="73"/>
        <v>-18</v>
      </c>
      <c r="AB59">
        <f t="shared" si="73"/>
        <v>-17</v>
      </c>
      <c r="AC59">
        <f t="shared" si="73"/>
        <v>-16</v>
      </c>
      <c r="AD59">
        <f t="shared" si="73"/>
        <v>-15</v>
      </c>
      <c r="AE59">
        <f t="shared" si="73"/>
        <v>-14</v>
      </c>
      <c r="AF59">
        <f t="shared" si="73"/>
        <v>-13</v>
      </c>
      <c r="AG59">
        <f t="shared" si="73"/>
        <v>-12</v>
      </c>
      <c r="AH59">
        <f t="shared" si="73"/>
        <v>-11</v>
      </c>
      <c r="AI59">
        <f t="shared" si="73"/>
        <v>-10</v>
      </c>
      <c r="AJ59">
        <f t="shared" si="73"/>
        <v>-9</v>
      </c>
      <c r="AK59">
        <f t="shared" si="73"/>
        <v>-8</v>
      </c>
      <c r="AL59">
        <f t="shared" si="73"/>
        <v>-7</v>
      </c>
      <c r="AM59">
        <f t="shared" si="73"/>
        <v>-6</v>
      </c>
      <c r="AN59">
        <f t="shared" si="73"/>
        <v>-5</v>
      </c>
      <c r="AO59">
        <f t="shared" si="73"/>
        <v>-4</v>
      </c>
      <c r="AP59">
        <f t="shared" si="73"/>
        <v>-3</v>
      </c>
      <c r="AQ59">
        <f t="shared" si="73"/>
        <v>-2</v>
      </c>
      <c r="AR59">
        <f t="shared" si="73"/>
        <v>-1</v>
      </c>
      <c r="AS59">
        <f t="shared" si="73"/>
        <v>0</v>
      </c>
      <c r="AT59">
        <f t="shared" si="73"/>
        <v>1</v>
      </c>
      <c r="AU59">
        <f t="shared" si="73"/>
        <v>2</v>
      </c>
      <c r="AV59">
        <f t="shared" si="73"/>
        <v>3</v>
      </c>
      <c r="AW59">
        <f t="shared" si="73"/>
        <v>4</v>
      </c>
      <c r="AX59">
        <f t="shared" si="73"/>
        <v>5</v>
      </c>
      <c r="AY59">
        <f t="shared" si="73"/>
        <v>6</v>
      </c>
      <c r="AZ59">
        <f t="shared" si="73"/>
        <v>7</v>
      </c>
      <c r="BA59">
        <f t="shared" si="73"/>
        <v>8</v>
      </c>
      <c r="BB59">
        <f t="shared" si="73"/>
        <v>9</v>
      </c>
      <c r="BC59">
        <f t="shared" si="73"/>
        <v>10</v>
      </c>
      <c r="BD59">
        <f t="shared" si="73"/>
        <v>11</v>
      </c>
      <c r="BE59">
        <f t="shared" si="73"/>
        <v>12</v>
      </c>
      <c r="BF59">
        <f t="shared" si="73"/>
        <v>13</v>
      </c>
      <c r="BG59">
        <f t="shared" si="73"/>
        <v>14</v>
      </c>
      <c r="BH59">
        <f t="shared" si="73"/>
        <v>15</v>
      </c>
      <c r="BI59">
        <f t="shared" si="73"/>
        <v>16</v>
      </c>
      <c r="BJ59">
        <f t="shared" si="73"/>
        <v>17</v>
      </c>
      <c r="BK59">
        <f t="shared" si="73"/>
        <v>18</v>
      </c>
      <c r="BL59">
        <f t="shared" si="73"/>
        <v>19</v>
      </c>
      <c r="BM59">
        <f t="shared" si="73"/>
        <v>20</v>
      </c>
      <c r="BN59">
        <f t="shared" si="73"/>
        <v>21</v>
      </c>
      <c r="BO59">
        <f t="shared" si="73"/>
        <v>22</v>
      </c>
      <c r="BP59">
        <f t="shared" si="73"/>
        <v>23</v>
      </c>
      <c r="BQ59">
        <f t="shared" si="73"/>
        <v>24</v>
      </c>
      <c r="BR59">
        <f t="shared" si="73"/>
        <v>25</v>
      </c>
      <c r="BS59">
        <f t="shared" si="73"/>
        <v>26</v>
      </c>
      <c r="BT59">
        <f t="shared" si="73"/>
        <v>27</v>
      </c>
      <c r="BU59">
        <f t="shared" si="73"/>
        <v>28</v>
      </c>
      <c r="BV59">
        <f t="shared" si="73"/>
        <v>29</v>
      </c>
      <c r="BW59">
        <f t="shared" si="73"/>
        <v>30</v>
      </c>
      <c r="BX59">
        <f t="shared" si="73"/>
        <v>31</v>
      </c>
      <c r="BY59">
        <f t="shared" si="73"/>
        <v>32</v>
      </c>
      <c r="BZ59">
        <f t="shared" si="73"/>
        <v>33</v>
      </c>
      <c r="CA59">
        <f t="shared" si="73"/>
        <v>34</v>
      </c>
      <c r="CB59">
        <f t="shared" si="73"/>
        <v>35</v>
      </c>
      <c r="CC59">
        <f t="shared" si="73"/>
        <v>36</v>
      </c>
      <c r="CD59">
        <f t="shared" si="73"/>
        <v>37</v>
      </c>
      <c r="CE59">
        <f t="shared" si="73"/>
        <v>38</v>
      </c>
      <c r="CF59">
        <f t="shared" si="73"/>
        <v>39</v>
      </c>
      <c r="CG59">
        <f>CG35</f>
        <v>40</v>
      </c>
    </row>
    <row r="60" spans="2:85" ht="15.75" x14ac:dyDescent="0.3">
      <c r="S60" t="s">
        <v>101</v>
      </c>
      <c r="T60">
        <f>G68</f>
        <v>10</v>
      </c>
      <c r="U60">
        <f t="shared" ref="U60:AZ60" si="74">T60</f>
        <v>10</v>
      </c>
      <c r="V60">
        <f t="shared" si="74"/>
        <v>10</v>
      </c>
      <c r="W60">
        <f t="shared" si="74"/>
        <v>10</v>
      </c>
      <c r="X60">
        <f t="shared" si="74"/>
        <v>10</v>
      </c>
      <c r="Y60">
        <f t="shared" si="74"/>
        <v>10</v>
      </c>
      <c r="Z60">
        <f t="shared" si="74"/>
        <v>10</v>
      </c>
      <c r="AA60">
        <f t="shared" si="74"/>
        <v>10</v>
      </c>
      <c r="AB60">
        <f t="shared" si="74"/>
        <v>10</v>
      </c>
      <c r="AC60">
        <f t="shared" si="74"/>
        <v>10</v>
      </c>
      <c r="AD60">
        <f t="shared" si="74"/>
        <v>10</v>
      </c>
      <c r="AE60">
        <f t="shared" si="74"/>
        <v>10</v>
      </c>
      <c r="AF60">
        <f t="shared" si="74"/>
        <v>10</v>
      </c>
      <c r="AG60">
        <f t="shared" si="74"/>
        <v>10</v>
      </c>
      <c r="AH60">
        <f t="shared" si="74"/>
        <v>10</v>
      </c>
      <c r="AI60">
        <f t="shared" si="74"/>
        <v>10</v>
      </c>
      <c r="AJ60">
        <f t="shared" si="74"/>
        <v>10</v>
      </c>
      <c r="AK60">
        <f t="shared" si="74"/>
        <v>10</v>
      </c>
      <c r="AL60">
        <f t="shared" si="74"/>
        <v>10</v>
      </c>
      <c r="AM60">
        <f t="shared" si="74"/>
        <v>10</v>
      </c>
      <c r="AN60">
        <f t="shared" si="74"/>
        <v>10</v>
      </c>
      <c r="AO60">
        <f t="shared" si="74"/>
        <v>10</v>
      </c>
      <c r="AP60">
        <f t="shared" si="74"/>
        <v>10</v>
      </c>
      <c r="AQ60">
        <f t="shared" si="74"/>
        <v>10</v>
      </c>
      <c r="AR60">
        <f t="shared" si="74"/>
        <v>10</v>
      </c>
      <c r="AS60">
        <f t="shared" si="74"/>
        <v>10</v>
      </c>
      <c r="AT60">
        <f t="shared" si="74"/>
        <v>10</v>
      </c>
      <c r="AU60">
        <f t="shared" si="74"/>
        <v>10</v>
      </c>
      <c r="AV60">
        <f t="shared" si="74"/>
        <v>10</v>
      </c>
      <c r="AW60">
        <f t="shared" si="74"/>
        <v>10</v>
      </c>
      <c r="AX60">
        <f t="shared" si="74"/>
        <v>10</v>
      </c>
      <c r="AY60">
        <f t="shared" si="74"/>
        <v>10</v>
      </c>
      <c r="AZ60">
        <f t="shared" si="74"/>
        <v>10</v>
      </c>
      <c r="BA60">
        <f t="shared" ref="BA60:CG60" si="75">AZ60</f>
        <v>10</v>
      </c>
      <c r="BB60">
        <f t="shared" si="75"/>
        <v>10</v>
      </c>
      <c r="BC60">
        <f t="shared" si="75"/>
        <v>10</v>
      </c>
      <c r="BD60">
        <f t="shared" si="75"/>
        <v>10</v>
      </c>
      <c r="BE60">
        <f t="shared" si="75"/>
        <v>10</v>
      </c>
      <c r="BF60">
        <f t="shared" si="75"/>
        <v>10</v>
      </c>
      <c r="BG60">
        <f t="shared" si="75"/>
        <v>10</v>
      </c>
      <c r="BH60">
        <f t="shared" si="75"/>
        <v>10</v>
      </c>
      <c r="BI60">
        <f t="shared" si="75"/>
        <v>10</v>
      </c>
      <c r="BJ60">
        <f t="shared" si="75"/>
        <v>10</v>
      </c>
      <c r="BK60">
        <f t="shared" si="75"/>
        <v>10</v>
      </c>
      <c r="BL60">
        <f t="shared" si="75"/>
        <v>10</v>
      </c>
      <c r="BM60">
        <f t="shared" si="75"/>
        <v>10</v>
      </c>
      <c r="BN60">
        <f t="shared" si="75"/>
        <v>10</v>
      </c>
      <c r="BO60">
        <f t="shared" si="75"/>
        <v>10</v>
      </c>
      <c r="BP60">
        <f t="shared" si="75"/>
        <v>10</v>
      </c>
      <c r="BQ60">
        <f t="shared" si="75"/>
        <v>10</v>
      </c>
      <c r="BR60">
        <f t="shared" si="75"/>
        <v>10</v>
      </c>
      <c r="BS60">
        <f t="shared" si="75"/>
        <v>10</v>
      </c>
      <c r="BT60">
        <f t="shared" si="75"/>
        <v>10</v>
      </c>
      <c r="BU60">
        <f t="shared" si="75"/>
        <v>10</v>
      </c>
      <c r="BV60">
        <f t="shared" si="75"/>
        <v>10</v>
      </c>
      <c r="BW60">
        <f t="shared" si="75"/>
        <v>10</v>
      </c>
      <c r="BX60">
        <f t="shared" si="75"/>
        <v>10</v>
      </c>
      <c r="BY60">
        <f t="shared" si="75"/>
        <v>10</v>
      </c>
      <c r="BZ60">
        <f t="shared" si="75"/>
        <v>10</v>
      </c>
      <c r="CA60">
        <f t="shared" si="75"/>
        <v>10</v>
      </c>
      <c r="CB60">
        <f t="shared" si="75"/>
        <v>10</v>
      </c>
      <c r="CC60">
        <f t="shared" si="75"/>
        <v>10</v>
      </c>
      <c r="CD60">
        <f t="shared" si="75"/>
        <v>10</v>
      </c>
      <c r="CE60">
        <f t="shared" si="75"/>
        <v>10</v>
      </c>
      <c r="CF60">
        <f t="shared" si="75"/>
        <v>10</v>
      </c>
      <c r="CG60">
        <f t="shared" si="75"/>
        <v>10</v>
      </c>
    </row>
    <row r="61" spans="2:85" x14ac:dyDescent="0.2">
      <c r="S61" s="661" t="s">
        <v>752</v>
      </c>
    </row>
    <row r="62" spans="2:85" x14ac:dyDescent="0.2">
      <c r="S62" s="552" t="s">
        <v>102</v>
      </c>
      <c r="T62" s="583" t="e">
        <f>T77</f>
        <v>#DIV/0!</v>
      </c>
      <c r="U62" s="583" t="e">
        <f t="shared" ref="U62:CF62" si="76">U77</f>
        <v>#DIV/0!</v>
      </c>
      <c r="V62" s="583" t="e">
        <f t="shared" si="76"/>
        <v>#DIV/0!</v>
      </c>
      <c r="W62" s="583" t="e">
        <f t="shared" si="76"/>
        <v>#DIV/0!</v>
      </c>
      <c r="X62" s="583" t="e">
        <f t="shared" si="76"/>
        <v>#DIV/0!</v>
      </c>
      <c r="Y62" s="583" t="e">
        <f t="shared" si="76"/>
        <v>#DIV/0!</v>
      </c>
      <c r="Z62" s="583" t="e">
        <f t="shared" si="76"/>
        <v>#DIV/0!</v>
      </c>
      <c r="AA62" s="583" t="e">
        <f t="shared" si="76"/>
        <v>#DIV/0!</v>
      </c>
      <c r="AB62" s="583" t="e">
        <f t="shared" si="76"/>
        <v>#DIV/0!</v>
      </c>
      <c r="AC62" s="583" t="e">
        <f t="shared" si="76"/>
        <v>#DIV/0!</v>
      </c>
      <c r="AD62" s="583" t="e">
        <f t="shared" si="76"/>
        <v>#DIV/0!</v>
      </c>
      <c r="AE62" s="583" t="e">
        <f t="shared" si="76"/>
        <v>#DIV/0!</v>
      </c>
      <c r="AF62" s="583" t="e">
        <f t="shared" si="76"/>
        <v>#DIV/0!</v>
      </c>
      <c r="AG62" s="583" t="e">
        <f t="shared" si="76"/>
        <v>#DIV/0!</v>
      </c>
      <c r="AH62" s="583" t="e">
        <f t="shared" si="76"/>
        <v>#DIV/0!</v>
      </c>
      <c r="AI62" s="583" t="e">
        <f t="shared" si="76"/>
        <v>#DIV/0!</v>
      </c>
      <c r="AJ62" s="583" t="e">
        <f t="shared" si="76"/>
        <v>#DIV/0!</v>
      </c>
      <c r="AK62" s="583">
        <f t="shared" si="76"/>
        <v>33</v>
      </c>
      <c r="AL62" s="583" t="e">
        <f t="shared" si="76"/>
        <v>#DIV/0!</v>
      </c>
      <c r="AM62" s="583" t="e">
        <f t="shared" si="76"/>
        <v>#DIV/0!</v>
      </c>
      <c r="AN62" s="583" t="e">
        <f t="shared" si="76"/>
        <v>#DIV/0!</v>
      </c>
      <c r="AO62" s="583" t="e">
        <f t="shared" si="76"/>
        <v>#DIV/0!</v>
      </c>
      <c r="AP62" s="583" t="e">
        <f t="shared" si="76"/>
        <v>#DIV/0!</v>
      </c>
      <c r="AQ62" s="583" t="e">
        <f t="shared" si="76"/>
        <v>#DIV/0!</v>
      </c>
      <c r="AR62" s="583" t="e">
        <f t="shared" si="76"/>
        <v>#DIV/0!</v>
      </c>
      <c r="AS62" s="583" t="e">
        <f t="shared" si="76"/>
        <v>#DIV/0!</v>
      </c>
      <c r="AT62" s="583" t="e">
        <f t="shared" si="76"/>
        <v>#DIV/0!</v>
      </c>
      <c r="AU62" s="583" t="e">
        <f t="shared" si="76"/>
        <v>#DIV/0!</v>
      </c>
      <c r="AV62" s="583" t="e">
        <f t="shared" si="76"/>
        <v>#DIV/0!</v>
      </c>
      <c r="AW62" s="583" t="e">
        <f t="shared" si="76"/>
        <v>#DIV/0!</v>
      </c>
      <c r="AX62" s="583" t="e">
        <f t="shared" si="76"/>
        <v>#DIV/0!</v>
      </c>
      <c r="AY62" s="583" t="e">
        <f t="shared" si="76"/>
        <v>#DIV/0!</v>
      </c>
      <c r="AZ62" s="583" t="e">
        <f t="shared" si="76"/>
        <v>#DIV/0!</v>
      </c>
      <c r="BA62" s="583" t="e">
        <f t="shared" si="76"/>
        <v>#DIV/0!</v>
      </c>
      <c r="BB62" s="583" t="e">
        <f t="shared" si="76"/>
        <v>#DIV/0!</v>
      </c>
      <c r="BC62" s="583" t="e">
        <f t="shared" si="76"/>
        <v>#DIV/0!</v>
      </c>
      <c r="BD62" s="583" t="e">
        <f t="shared" si="76"/>
        <v>#DIV/0!</v>
      </c>
      <c r="BE62" s="583" t="e">
        <f t="shared" si="76"/>
        <v>#DIV/0!</v>
      </c>
      <c r="BF62" s="583" t="e">
        <f t="shared" si="76"/>
        <v>#DIV/0!</v>
      </c>
      <c r="BG62" s="583" t="e">
        <f t="shared" si="76"/>
        <v>#DIV/0!</v>
      </c>
      <c r="BH62" s="583" t="e">
        <f t="shared" si="76"/>
        <v>#DIV/0!</v>
      </c>
      <c r="BI62" s="583" t="e">
        <f t="shared" si="76"/>
        <v>#DIV/0!</v>
      </c>
      <c r="BJ62" s="583" t="e">
        <f t="shared" si="76"/>
        <v>#DIV/0!</v>
      </c>
      <c r="BK62" s="583" t="e">
        <f t="shared" si="76"/>
        <v>#DIV/0!</v>
      </c>
      <c r="BL62" s="583" t="e">
        <f t="shared" si="76"/>
        <v>#DIV/0!</v>
      </c>
      <c r="BM62" s="583" t="e">
        <f t="shared" si="76"/>
        <v>#DIV/0!</v>
      </c>
      <c r="BN62" s="583" t="e">
        <f t="shared" si="76"/>
        <v>#DIV/0!</v>
      </c>
      <c r="BO62" s="583" t="e">
        <f t="shared" si="76"/>
        <v>#DIV/0!</v>
      </c>
      <c r="BP62" s="583" t="e">
        <f t="shared" si="76"/>
        <v>#DIV/0!</v>
      </c>
      <c r="BQ62" s="583" t="e">
        <f t="shared" si="76"/>
        <v>#DIV/0!</v>
      </c>
      <c r="BR62" s="583" t="e">
        <f t="shared" si="76"/>
        <v>#DIV/0!</v>
      </c>
      <c r="BS62" s="583" t="e">
        <f t="shared" si="76"/>
        <v>#DIV/0!</v>
      </c>
      <c r="BT62" s="583" t="e">
        <f t="shared" si="76"/>
        <v>#DIV/0!</v>
      </c>
      <c r="BU62" s="583" t="e">
        <f t="shared" si="76"/>
        <v>#DIV/0!</v>
      </c>
      <c r="BV62" s="583" t="e">
        <f t="shared" si="76"/>
        <v>#DIV/0!</v>
      </c>
      <c r="BW62" s="583" t="e">
        <f t="shared" si="76"/>
        <v>#DIV/0!</v>
      </c>
      <c r="BX62" s="583" t="e">
        <f t="shared" si="76"/>
        <v>#DIV/0!</v>
      </c>
      <c r="BY62" s="583" t="e">
        <f t="shared" si="76"/>
        <v>#DIV/0!</v>
      </c>
      <c r="BZ62" s="583" t="e">
        <f t="shared" si="76"/>
        <v>#DIV/0!</v>
      </c>
      <c r="CA62" s="583" t="e">
        <f t="shared" si="76"/>
        <v>#DIV/0!</v>
      </c>
      <c r="CB62" s="583" t="e">
        <f t="shared" si="76"/>
        <v>#DIV/0!</v>
      </c>
      <c r="CC62" s="583" t="e">
        <f t="shared" si="76"/>
        <v>#DIV/0!</v>
      </c>
      <c r="CD62" s="583" t="e">
        <f t="shared" si="76"/>
        <v>#DIV/0!</v>
      </c>
      <c r="CE62" s="583" t="e">
        <f t="shared" si="76"/>
        <v>#DIV/0!</v>
      </c>
      <c r="CF62" s="583" t="e">
        <f t="shared" si="76"/>
        <v>#DIV/0!</v>
      </c>
      <c r="CG62" s="583" t="e">
        <f>CG77</f>
        <v>#DIV/0!</v>
      </c>
    </row>
    <row r="63" spans="2:85" x14ac:dyDescent="0.2">
      <c r="B63" s="521" t="s">
        <v>1388</v>
      </c>
      <c r="S63" t="s">
        <v>2135</v>
      </c>
      <c r="T63" s="596">
        <f>G70</f>
        <v>0</v>
      </c>
      <c r="U63" s="596">
        <f>T63</f>
        <v>0</v>
      </c>
      <c r="V63" s="596">
        <f>U63</f>
        <v>0</v>
      </c>
      <c r="W63" s="596">
        <f t="shared" ref="W63:CG63" si="77">V63</f>
        <v>0</v>
      </c>
      <c r="X63" s="596">
        <f t="shared" si="77"/>
        <v>0</v>
      </c>
      <c r="Y63" s="596">
        <f t="shared" si="77"/>
        <v>0</v>
      </c>
      <c r="Z63" s="596">
        <f t="shared" si="77"/>
        <v>0</v>
      </c>
      <c r="AA63" s="596">
        <f t="shared" si="77"/>
        <v>0</v>
      </c>
      <c r="AB63" s="596">
        <f t="shared" si="77"/>
        <v>0</v>
      </c>
      <c r="AC63" s="596">
        <f t="shared" si="77"/>
        <v>0</v>
      </c>
      <c r="AD63" s="596">
        <f t="shared" si="77"/>
        <v>0</v>
      </c>
      <c r="AE63" s="596">
        <f t="shared" si="77"/>
        <v>0</v>
      </c>
      <c r="AF63" s="596">
        <f t="shared" si="77"/>
        <v>0</v>
      </c>
      <c r="AG63" s="596">
        <f t="shared" si="77"/>
        <v>0</v>
      </c>
      <c r="AH63" s="596">
        <f t="shared" si="77"/>
        <v>0</v>
      </c>
      <c r="AI63" s="596">
        <f t="shared" si="77"/>
        <v>0</v>
      </c>
      <c r="AJ63" s="596">
        <f t="shared" si="77"/>
        <v>0</v>
      </c>
      <c r="AK63" s="596">
        <f t="shared" si="77"/>
        <v>0</v>
      </c>
      <c r="AL63" s="596">
        <f t="shared" si="77"/>
        <v>0</v>
      </c>
      <c r="AM63" s="596">
        <f t="shared" si="77"/>
        <v>0</v>
      </c>
      <c r="AN63" s="596">
        <f t="shared" si="77"/>
        <v>0</v>
      </c>
      <c r="AO63" s="596">
        <f t="shared" si="77"/>
        <v>0</v>
      </c>
      <c r="AP63" s="596">
        <f t="shared" si="77"/>
        <v>0</v>
      </c>
      <c r="AQ63" s="596">
        <f t="shared" si="77"/>
        <v>0</v>
      </c>
      <c r="AR63" s="596">
        <f t="shared" si="77"/>
        <v>0</v>
      </c>
      <c r="AS63" s="596">
        <f t="shared" si="77"/>
        <v>0</v>
      </c>
      <c r="AT63" s="596">
        <f t="shared" si="77"/>
        <v>0</v>
      </c>
      <c r="AU63" s="596">
        <f t="shared" si="77"/>
        <v>0</v>
      </c>
      <c r="AV63" s="596">
        <f t="shared" si="77"/>
        <v>0</v>
      </c>
      <c r="AW63" s="596">
        <f t="shared" si="77"/>
        <v>0</v>
      </c>
      <c r="AX63" s="596">
        <f t="shared" si="77"/>
        <v>0</v>
      </c>
      <c r="AY63" s="596">
        <f t="shared" si="77"/>
        <v>0</v>
      </c>
      <c r="AZ63" s="596">
        <f t="shared" si="77"/>
        <v>0</v>
      </c>
      <c r="BA63" s="596">
        <f t="shared" si="77"/>
        <v>0</v>
      </c>
      <c r="BB63" s="596">
        <f t="shared" si="77"/>
        <v>0</v>
      </c>
      <c r="BC63" s="596">
        <f t="shared" si="77"/>
        <v>0</v>
      </c>
      <c r="BD63" s="596">
        <f t="shared" si="77"/>
        <v>0</v>
      </c>
      <c r="BE63" s="596">
        <f t="shared" si="77"/>
        <v>0</v>
      </c>
      <c r="BF63" s="596">
        <f t="shared" si="77"/>
        <v>0</v>
      </c>
      <c r="BG63" s="596">
        <f t="shared" si="77"/>
        <v>0</v>
      </c>
      <c r="BH63" s="596">
        <f t="shared" si="77"/>
        <v>0</v>
      </c>
      <c r="BI63" s="596">
        <f t="shared" si="77"/>
        <v>0</v>
      </c>
      <c r="BJ63" s="596">
        <f t="shared" si="77"/>
        <v>0</v>
      </c>
      <c r="BK63" s="596">
        <f t="shared" si="77"/>
        <v>0</v>
      </c>
      <c r="BL63" s="596">
        <f t="shared" si="77"/>
        <v>0</v>
      </c>
      <c r="BM63" s="596">
        <f t="shared" si="77"/>
        <v>0</v>
      </c>
      <c r="BN63" s="596">
        <f t="shared" si="77"/>
        <v>0</v>
      </c>
      <c r="BO63" s="596">
        <f t="shared" si="77"/>
        <v>0</v>
      </c>
      <c r="BP63" s="596">
        <f t="shared" si="77"/>
        <v>0</v>
      </c>
      <c r="BQ63" s="596">
        <f t="shared" si="77"/>
        <v>0</v>
      </c>
      <c r="BR63" s="596">
        <f t="shared" si="77"/>
        <v>0</v>
      </c>
      <c r="BS63" s="596">
        <f t="shared" si="77"/>
        <v>0</v>
      </c>
      <c r="BT63" s="596">
        <f t="shared" si="77"/>
        <v>0</v>
      </c>
      <c r="BU63" s="596">
        <f t="shared" si="77"/>
        <v>0</v>
      </c>
      <c r="BV63" s="596">
        <f t="shared" si="77"/>
        <v>0</v>
      </c>
      <c r="BW63" s="596">
        <f t="shared" si="77"/>
        <v>0</v>
      </c>
      <c r="BX63" s="596">
        <f t="shared" si="77"/>
        <v>0</v>
      </c>
      <c r="BY63" s="596">
        <f t="shared" si="77"/>
        <v>0</v>
      </c>
      <c r="BZ63" s="596">
        <f t="shared" si="77"/>
        <v>0</v>
      </c>
      <c r="CA63" s="596">
        <f t="shared" si="77"/>
        <v>0</v>
      </c>
      <c r="CB63" s="596">
        <f t="shared" si="77"/>
        <v>0</v>
      </c>
      <c r="CC63" s="596">
        <f t="shared" si="77"/>
        <v>0</v>
      </c>
      <c r="CD63" s="596">
        <f t="shared" si="77"/>
        <v>0</v>
      </c>
      <c r="CE63" s="596">
        <f t="shared" si="77"/>
        <v>0</v>
      </c>
      <c r="CF63" s="596">
        <f t="shared" si="77"/>
        <v>0</v>
      </c>
      <c r="CG63" s="596">
        <f t="shared" si="77"/>
        <v>0</v>
      </c>
    </row>
    <row r="64" spans="2:85" x14ac:dyDescent="0.2">
      <c r="S64" s="251" t="s">
        <v>1711</v>
      </c>
      <c r="T64" s="647" t="e">
        <f>T63/T67</f>
        <v>#DIV/0!</v>
      </c>
      <c r="U64" s="647" t="e">
        <f t="shared" ref="U64:CF64" si="78">U63/U67</f>
        <v>#DIV/0!</v>
      </c>
      <c r="V64" s="647" t="e">
        <f t="shared" si="78"/>
        <v>#DIV/0!</v>
      </c>
      <c r="W64" s="647" t="e">
        <f t="shared" si="78"/>
        <v>#DIV/0!</v>
      </c>
      <c r="X64" s="647" t="e">
        <f t="shared" si="78"/>
        <v>#DIV/0!</v>
      </c>
      <c r="Y64" s="647" t="e">
        <f t="shared" si="78"/>
        <v>#DIV/0!</v>
      </c>
      <c r="Z64" s="647" t="e">
        <f t="shared" si="78"/>
        <v>#DIV/0!</v>
      </c>
      <c r="AA64" s="647" t="e">
        <f t="shared" si="78"/>
        <v>#DIV/0!</v>
      </c>
      <c r="AB64" s="647" t="e">
        <f t="shared" si="78"/>
        <v>#DIV/0!</v>
      </c>
      <c r="AC64" s="647" t="e">
        <f t="shared" si="78"/>
        <v>#DIV/0!</v>
      </c>
      <c r="AD64" s="647" t="e">
        <f t="shared" si="78"/>
        <v>#DIV/0!</v>
      </c>
      <c r="AE64" s="647" t="e">
        <f t="shared" si="78"/>
        <v>#DIV/0!</v>
      </c>
      <c r="AF64" s="647" t="e">
        <f t="shared" si="78"/>
        <v>#DIV/0!</v>
      </c>
      <c r="AG64" s="647" t="e">
        <f t="shared" si="78"/>
        <v>#DIV/0!</v>
      </c>
      <c r="AH64" s="647" t="e">
        <f t="shared" si="78"/>
        <v>#DIV/0!</v>
      </c>
      <c r="AI64" s="647" t="e">
        <f t="shared" si="78"/>
        <v>#DIV/0!</v>
      </c>
      <c r="AJ64" s="647" t="e">
        <f t="shared" si="78"/>
        <v>#DIV/0!</v>
      </c>
      <c r="AK64" s="647" t="e">
        <f t="shared" si="78"/>
        <v>#DIV/0!</v>
      </c>
      <c r="AL64" s="647" t="e">
        <f t="shared" si="78"/>
        <v>#DIV/0!</v>
      </c>
      <c r="AM64" s="647" t="e">
        <f t="shared" si="78"/>
        <v>#DIV/0!</v>
      </c>
      <c r="AN64" s="647" t="e">
        <f t="shared" si="78"/>
        <v>#DIV/0!</v>
      </c>
      <c r="AO64" s="647" t="e">
        <f t="shared" si="78"/>
        <v>#DIV/0!</v>
      </c>
      <c r="AP64" s="647" t="e">
        <f t="shared" si="78"/>
        <v>#DIV/0!</v>
      </c>
      <c r="AQ64" s="647" t="e">
        <f t="shared" si="78"/>
        <v>#DIV/0!</v>
      </c>
      <c r="AR64" s="647" t="e">
        <f t="shared" si="78"/>
        <v>#DIV/0!</v>
      </c>
      <c r="AS64" s="647" t="e">
        <f t="shared" si="78"/>
        <v>#DIV/0!</v>
      </c>
      <c r="AT64" s="647" t="e">
        <f t="shared" si="78"/>
        <v>#DIV/0!</v>
      </c>
      <c r="AU64" s="647" t="e">
        <f t="shared" si="78"/>
        <v>#DIV/0!</v>
      </c>
      <c r="AV64" s="647" t="e">
        <f t="shared" si="78"/>
        <v>#DIV/0!</v>
      </c>
      <c r="AW64" s="647" t="e">
        <f t="shared" si="78"/>
        <v>#DIV/0!</v>
      </c>
      <c r="AX64" s="647" t="e">
        <f t="shared" si="78"/>
        <v>#DIV/0!</v>
      </c>
      <c r="AY64" s="647" t="e">
        <f t="shared" si="78"/>
        <v>#DIV/0!</v>
      </c>
      <c r="AZ64" s="647" t="e">
        <f t="shared" si="78"/>
        <v>#DIV/0!</v>
      </c>
      <c r="BA64" s="647" t="e">
        <f t="shared" si="78"/>
        <v>#DIV/0!</v>
      </c>
      <c r="BB64" s="647" t="e">
        <f t="shared" si="78"/>
        <v>#DIV/0!</v>
      </c>
      <c r="BC64" s="647" t="e">
        <f t="shared" si="78"/>
        <v>#DIV/0!</v>
      </c>
      <c r="BD64" s="647" t="e">
        <f t="shared" si="78"/>
        <v>#DIV/0!</v>
      </c>
      <c r="BE64" s="647" t="e">
        <f t="shared" si="78"/>
        <v>#DIV/0!</v>
      </c>
      <c r="BF64" s="647" t="e">
        <f t="shared" si="78"/>
        <v>#DIV/0!</v>
      </c>
      <c r="BG64" s="647" t="e">
        <f t="shared" si="78"/>
        <v>#DIV/0!</v>
      </c>
      <c r="BH64" s="647" t="e">
        <f t="shared" si="78"/>
        <v>#DIV/0!</v>
      </c>
      <c r="BI64" s="647" t="e">
        <f t="shared" si="78"/>
        <v>#DIV/0!</v>
      </c>
      <c r="BJ64" s="647" t="e">
        <f t="shared" si="78"/>
        <v>#DIV/0!</v>
      </c>
      <c r="BK64" s="647" t="e">
        <f t="shared" si="78"/>
        <v>#DIV/0!</v>
      </c>
      <c r="BL64" s="647" t="e">
        <f t="shared" si="78"/>
        <v>#DIV/0!</v>
      </c>
      <c r="BM64" s="647" t="e">
        <f t="shared" si="78"/>
        <v>#DIV/0!</v>
      </c>
      <c r="BN64" s="647" t="e">
        <f t="shared" si="78"/>
        <v>#DIV/0!</v>
      </c>
      <c r="BO64" s="647" t="e">
        <f t="shared" si="78"/>
        <v>#DIV/0!</v>
      </c>
      <c r="BP64" s="647" t="e">
        <f t="shared" si="78"/>
        <v>#DIV/0!</v>
      </c>
      <c r="BQ64" s="647" t="e">
        <f t="shared" si="78"/>
        <v>#DIV/0!</v>
      </c>
      <c r="BR64" s="647" t="e">
        <f t="shared" si="78"/>
        <v>#DIV/0!</v>
      </c>
      <c r="BS64" s="647" t="e">
        <f t="shared" si="78"/>
        <v>#DIV/0!</v>
      </c>
      <c r="BT64" s="647" t="e">
        <f t="shared" si="78"/>
        <v>#DIV/0!</v>
      </c>
      <c r="BU64" s="647" t="e">
        <f t="shared" si="78"/>
        <v>#DIV/0!</v>
      </c>
      <c r="BV64" s="647" t="e">
        <f t="shared" si="78"/>
        <v>#DIV/0!</v>
      </c>
      <c r="BW64" s="647" t="e">
        <f t="shared" si="78"/>
        <v>#DIV/0!</v>
      </c>
      <c r="BX64" s="647" t="e">
        <f t="shared" si="78"/>
        <v>#DIV/0!</v>
      </c>
      <c r="BY64" s="647" t="e">
        <f t="shared" si="78"/>
        <v>#DIV/0!</v>
      </c>
      <c r="BZ64" s="647" t="e">
        <f t="shared" si="78"/>
        <v>#DIV/0!</v>
      </c>
      <c r="CA64" s="647" t="e">
        <f t="shared" si="78"/>
        <v>#DIV/0!</v>
      </c>
      <c r="CB64" s="647" t="e">
        <f t="shared" si="78"/>
        <v>#DIV/0!</v>
      </c>
      <c r="CC64" s="647" t="e">
        <f t="shared" si="78"/>
        <v>#DIV/0!</v>
      </c>
      <c r="CD64" s="647" t="e">
        <f t="shared" si="78"/>
        <v>#DIV/0!</v>
      </c>
      <c r="CE64" s="647" t="e">
        <f t="shared" si="78"/>
        <v>#DIV/0!</v>
      </c>
      <c r="CF64" s="647" t="e">
        <f t="shared" si="78"/>
        <v>#DIV/0!</v>
      </c>
      <c r="CG64" s="647" t="e">
        <f>CG63/CG67</f>
        <v>#DIV/0!</v>
      </c>
    </row>
    <row r="65" spans="2:85" x14ac:dyDescent="0.2">
      <c r="B65" t="str">
        <f>IF(OR(WPArt=3,WPArt=5),"Betriebspunkt aus Blatt WP und Umrechnung auf Mittlerre Erdsondenteperatur (+2K der Auslegungstemperatur)","Messpunkg aus Blatt WP und Umrechnung auf Quellentemperatur")</f>
        <v>Messpunkg aus Blatt WP und Umrechnung auf Quellentemperatur</v>
      </c>
      <c r="S65" s="552" t="s">
        <v>103</v>
      </c>
      <c r="T65">
        <f>G73</f>
        <v>0</v>
      </c>
      <c r="U65">
        <f>T65</f>
        <v>0</v>
      </c>
      <c r="V65">
        <f t="shared" ref="V65:CG65" si="79">U65</f>
        <v>0</v>
      </c>
      <c r="W65">
        <f t="shared" si="79"/>
        <v>0</v>
      </c>
      <c r="X65">
        <f t="shared" si="79"/>
        <v>0</v>
      </c>
      <c r="Y65">
        <f t="shared" si="79"/>
        <v>0</v>
      </c>
      <c r="Z65">
        <f t="shared" si="79"/>
        <v>0</v>
      </c>
      <c r="AA65">
        <f t="shared" si="79"/>
        <v>0</v>
      </c>
      <c r="AB65">
        <f t="shared" si="79"/>
        <v>0</v>
      </c>
      <c r="AC65">
        <f t="shared" si="79"/>
        <v>0</v>
      </c>
      <c r="AD65">
        <f t="shared" si="79"/>
        <v>0</v>
      </c>
      <c r="AE65">
        <f t="shared" si="79"/>
        <v>0</v>
      </c>
      <c r="AF65">
        <f t="shared" si="79"/>
        <v>0</v>
      </c>
      <c r="AG65">
        <f t="shared" si="79"/>
        <v>0</v>
      </c>
      <c r="AH65">
        <f t="shared" si="79"/>
        <v>0</v>
      </c>
      <c r="AI65">
        <f t="shared" si="79"/>
        <v>0</v>
      </c>
      <c r="AJ65">
        <f t="shared" si="79"/>
        <v>0</v>
      </c>
      <c r="AK65">
        <f t="shared" si="79"/>
        <v>0</v>
      </c>
      <c r="AL65">
        <f t="shared" si="79"/>
        <v>0</v>
      </c>
      <c r="AM65">
        <f t="shared" si="79"/>
        <v>0</v>
      </c>
      <c r="AN65">
        <f t="shared" si="79"/>
        <v>0</v>
      </c>
      <c r="AO65">
        <f t="shared" si="79"/>
        <v>0</v>
      </c>
      <c r="AP65">
        <f t="shared" si="79"/>
        <v>0</v>
      </c>
      <c r="AQ65">
        <f t="shared" si="79"/>
        <v>0</v>
      </c>
      <c r="AR65">
        <f t="shared" si="79"/>
        <v>0</v>
      </c>
      <c r="AS65">
        <f t="shared" si="79"/>
        <v>0</v>
      </c>
      <c r="AT65">
        <f t="shared" si="79"/>
        <v>0</v>
      </c>
      <c r="AU65">
        <f t="shared" si="79"/>
        <v>0</v>
      </c>
      <c r="AV65">
        <f t="shared" si="79"/>
        <v>0</v>
      </c>
      <c r="AW65">
        <f t="shared" si="79"/>
        <v>0</v>
      </c>
      <c r="AX65">
        <f t="shared" si="79"/>
        <v>0</v>
      </c>
      <c r="AY65">
        <f t="shared" si="79"/>
        <v>0</v>
      </c>
      <c r="AZ65">
        <f t="shared" si="79"/>
        <v>0</v>
      </c>
      <c r="BA65">
        <f t="shared" si="79"/>
        <v>0</v>
      </c>
      <c r="BB65">
        <f t="shared" si="79"/>
        <v>0</v>
      </c>
      <c r="BC65">
        <f t="shared" si="79"/>
        <v>0</v>
      </c>
      <c r="BD65">
        <f t="shared" si="79"/>
        <v>0</v>
      </c>
      <c r="BE65">
        <f t="shared" si="79"/>
        <v>0</v>
      </c>
      <c r="BF65">
        <f t="shared" si="79"/>
        <v>0</v>
      </c>
      <c r="BG65">
        <f t="shared" si="79"/>
        <v>0</v>
      </c>
      <c r="BH65">
        <f t="shared" si="79"/>
        <v>0</v>
      </c>
      <c r="BI65">
        <f t="shared" si="79"/>
        <v>0</v>
      </c>
      <c r="BJ65">
        <f t="shared" si="79"/>
        <v>0</v>
      </c>
      <c r="BK65">
        <f t="shared" si="79"/>
        <v>0</v>
      </c>
      <c r="BL65">
        <f t="shared" si="79"/>
        <v>0</v>
      </c>
      <c r="BM65">
        <f t="shared" si="79"/>
        <v>0</v>
      </c>
      <c r="BN65">
        <f t="shared" si="79"/>
        <v>0</v>
      </c>
      <c r="BO65">
        <f t="shared" si="79"/>
        <v>0</v>
      </c>
      <c r="BP65">
        <f t="shared" si="79"/>
        <v>0</v>
      </c>
      <c r="BQ65">
        <f t="shared" si="79"/>
        <v>0</v>
      </c>
      <c r="BR65">
        <f t="shared" si="79"/>
        <v>0</v>
      </c>
      <c r="BS65">
        <f t="shared" si="79"/>
        <v>0</v>
      </c>
      <c r="BT65">
        <f t="shared" si="79"/>
        <v>0</v>
      </c>
      <c r="BU65">
        <f t="shared" si="79"/>
        <v>0</v>
      </c>
      <c r="BV65">
        <f t="shared" si="79"/>
        <v>0</v>
      </c>
      <c r="BW65">
        <f t="shared" si="79"/>
        <v>0</v>
      </c>
      <c r="BX65">
        <f t="shared" si="79"/>
        <v>0</v>
      </c>
      <c r="BY65">
        <f t="shared" si="79"/>
        <v>0</v>
      </c>
      <c r="BZ65">
        <f t="shared" si="79"/>
        <v>0</v>
      </c>
      <c r="CA65">
        <f t="shared" si="79"/>
        <v>0</v>
      </c>
      <c r="CB65">
        <f t="shared" si="79"/>
        <v>0</v>
      </c>
      <c r="CC65">
        <f t="shared" si="79"/>
        <v>0</v>
      </c>
      <c r="CD65">
        <f t="shared" si="79"/>
        <v>0</v>
      </c>
      <c r="CE65">
        <f t="shared" si="79"/>
        <v>0</v>
      </c>
      <c r="CF65">
        <f t="shared" si="79"/>
        <v>0</v>
      </c>
      <c r="CG65">
        <f t="shared" si="79"/>
        <v>0</v>
      </c>
    </row>
    <row r="66" spans="2:85" x14ac:dyDescent="0.2">
      <c r="S66" s="552" t="s">
        <v>1386</v>
      </c>
      <c r="T66" t="e">
        <f>(T62+273.15)/(T62-T60)</f>
        <v>#DIV/0!</v>
      </c>
      <c r="U66" t="e">
        <f t="shared" ref="U66:CF66" si="80">(U62+273.15)/(U62-U60)</f>
        <v>#DIV/0!</v>
      </c>
      <c r="V66" t="e">
        <f t="shared" si="80"/>
        <v>#DIV/0!</v>
      </c>
      <c r="W66" t="e">
        <f t="shared" si="80"/>
        <v>#DIV/0!</v>
      </c>
      <c r="X66" t="e">
        <f t="shared" si="80"/>
        <v>#DIV/0!</v>
      </c>
      <c r="Y66" t="e">
        <f t="shared" si="80"/>
        <v>#DIV/0!</v>
      </c>
      <c r="Z66" t="e">
        <f t="shared" si="80"/>
        <v>#DIV/0!</v>
      </c>
      <c r="AA66" t="e">
        <f t="shared" si="80"/>
        <v>#DIV/0!</v>
      </c>
      <c r="AB66" t="e">
        <f t="shared" si="80"/>
        <v>#DIV/0!</v>
      </c>
      <c r="AC66" t="e">
        <f t="shared" si="80"/>
        <v>#DIV/0!</v>
      </c>
      <c r="AD66" t="e">
        <f t="shared" si="80"/>
        <v>#DIV/0!</v>
      </c>
      <c r="AE66" t="e">
        <f t="shared" si="80"/>
        <v>#DIV/0!</v>
      </c>
      <c r="AF66" t="e">
        <f t="shared" si="80"/>
        <v>#DIV/0!</v>
      </c>
      <c r="AG66" t="e">
        <f t="shared" si="80"/>
        <v>#DIV/0!</v>
      </c>
      <c r="AH66" t="e">
        <f t="shared" si="80"/>
        <v>#DIV/0!</v>
      </c>
      <c r="AI66" t="e">
        <f t="shared" si="80"/>
        <v>#DIV/0!</v>
      </c>
      <c r="AJ66" t="e">
        <f t="shared" si="80"/>
        <v>#DIV/0!</v>
      </c>
      <c r="AK66">
        <f t="shared" si="80"/>
        <v>13.31086956521739</v>
      </c>
      <c r="AL66" t="e">
        <f t="shared" si="80"/>
        <v>#DIV/0!</v>
      </c>
      <c r="AM66" t="e">
        <f t="shared" si="80"/>
        <v>#DIV/0!</v>
      </c>
      <c r="AN66" t="e">
        <f t="shared" si="80"/>
        <v>#DIV/0!</v>
      </c>
      <c r="AO66" t="e">
        <f t="shared" si="80"/>
        <v>#DIV/0!</v>
      </c>
      <c r="AP66" t="e">
        <f t="shared" si="80"/>
        <v>#DIV/0!</v>
      </c>
      <c r="AQ66" t="e">
        <f t="shared" si="80"/>
        <v>#DIV/0!</v>
      </c>
      <c r="AR66" t="e">
        <f t="shared" si="80"/>
        <v>#DIV/0!</v>
      </c>
      <c r="AS66" t="e">
        <f t="shared" si="80"/>
        <v>#DIV/0!</v>
      </c>
      <c r="AT66" t="e">
        <f t="shared" si="80"/>
        <v>#DIV/0!</v>
      </c>
      <c r="AU66" t="e">
        <f t="shared" si="80"/>
        <v>#DIV/0!</v>
      </c>
      <c r="AV66" t="e">
        <f t="shared" si="80"/>
        <v>#DIV/0!</v>
      </c>
      <c r="AW66" t="e">
        <f t="shared" si="80"/>
        <v>#DIV/0!</v>
      </c>
      <c r="AX66" t="e">
        <f t="shared" si="80"/>
        <v>#DIV/0!</v>
      </c>
      <c r="AY66" t="e">
        <f t="shared" si="80"/>
        <v>#DIV/0!</v>
      </c>
      <c r="AZ66" t="e">
        <f t="shared" si="80"/>
        <v>#DIV/0!</v>
      </c>
      <c r="BA66" t="e">
        <f t="shared" si="80"/>
        <v>#DIV/0!</v>
      </c>
      <c r="BB66" t="e">
        <f t="shared" si="80"/>
        <v>#DIV/0!</v>
      </c>
      <c r="BC66" t="e">
        <f t="shared" si="80"/>
        <v>#DIV/0!</v>
      </c>
      <c r="BD66" t="e">
        <f t="shared" si="80"/>
        <v>#DIV/0!</v>
      </c>
      <c r="BE66" t="e">
        <f t="shared" si="80"/>
        <v>#DIV/0!</v>
      </c>
      <c r="BF66" t="e">
        <f t="shared" si="80"/>
        <v>#DIV/0!</v>
      </c>
      <c r="BG66" t="e">
        <f t="shared" si="80"/>
        <v>#DIV/0!</v>
      </c>
      <c r="BH66" t="e">
        <f t="shared" si="80"/>
        <v>#DIV/0!</v>
      </c>
      <c r="BI66" t="e">
        <f t="shared" si="80"/>
        <v>#DIV/0!</v>
      </c>
      <c r="BJ66" t="e">
        <f t="shared" si="80"/>
        <v>#DIV/0!</v>
      </c>
      <c r="BK66" t="e">
        <f t="shared" si="80"/>
        <v>#DIV/0!</v>
      </c>
      <c r="BL66" t="e">
        <f t="shared" si="80"/>
        <v>#DIV/0!</v>
      </c>
      <c r="BM66" t="e">
        <f t="shared" si="80"/>
        <v>#DIV/0!</v>
      </c>
      <c r="BN66" t="e">
        <f t="shared" si="80"/>
        <v>#DIV/0!</v>
      </c>
      <c r="BO66" t="e">
        <f t="shared" si="80"/>
        <v>#DIV/0!</v>
      </c>
      <c r="BP66" t="e">
        <f t="shared" si="80"/>
        <v>#DIV/0!</v>
      </c>
      <c r="BQ66" t="e">
        <f t="shared" si="80"/>
        <v>#DIV/0!</v>
      </c>
      <c r="BR66" t="e">
        <f t="shared" si="80"/>
        <v>#DIV/0!</v>
      </c>
      <c r="BS66" t="e">
        <f t="shared" si="80"/>
        <v>#DIV/0!</v>
      </c>
      <c r="BT66" t="e">
        <f t="shared" si="80"/>
        <v>#DIV/0!</v>
      </c>
      <c r="BU66" t="e">
        <f t="shared" si="80"/>
        <v>#DIV/0!</v>
      </c>
      <c r="BV66" t="e">
        <f t="shared" si="80"/>
        <v>#DIV/0!</v>
      </c>
      <c r="BW66" t="e">
        <f t="shared" si="80"/>
        <v>#DIV/0!</v>
      </c>
      <c r="BX66" t="e">
        <f t="shared" si="80"/>
        <v>#DIV/0!</v>
      </c>
      <c r="BY66" t="e">
        <f t="shared" si="80"/>
        <v>#DIV/0!</v>
      </c>
      <c r="BZ66" t="e">
        <f t="shared" si="80"/>
        <v>#DIV/0!</v>
      </c>
      <c r="CA66" t="e">
        <f t="shared" si="80"/>
        <v>#DIV/0!</v>
      </c>
      <c r="CB66" t="e">
        <f t="shared" si="80"/>
        <v>#DIV/0!</v>
      </c>
      <c r="CC66" t="e">
        <f t="shared" si="80"/>
        <v>#DIV/0!</v>
      </c>
      <c r="CD66" t="e">
        <f t="shared" si="80"/>
        <v>#DIV/0!</v>
      </c>
      <c r="CE66" t="e">
        <f t="shared" si="80"/>
        <v>#DIV/0!</v>
      </c>
      <c r="CF66" t="e">
        <f t="shared" si="80"/>
        <v>#DIV/0!</v>
      </c>
      <c r="CG66" t="e">
        <f>(CG62+273.15)/(CG62-CG60)</f>
        <v>#DIV/0!</v>
      </c>
    </row>
    <row r="67" spans="2:85" x14ac:dyDescent="0.2">
      <c r="B67" t="s">
        <v>752</v>
      </c>
      <c r="E67" s="581" t="str">
        <f>IF(OR(WPArt=3,WPArt=5),"Auslegung","Messpunkt")</f>
        <v>Messpunkt</v>
      </c>
      <c r="F67" s="592"/>
      <c r="G67" s="599" t="s">
        <v>3871</v>
      </c>
      <c r="H67" s="592"/>
      <c r="K67" t="s">
        <v>3484</v>
      </c>
      <c r="M67" s="581" t="s">
        <v>105</v>
      </c>
      <c r="N67" s="592"/>
      <c r="O67" s="581" t="str">
        <f>G67</f>
        <v>Umr auf Mittl.Quellent.</v>
      </c>
      <c r="P67" s="592"/>
      <c r="S67" s="552" t="s">
        <v>104</v>
      </c>
      <c r="T67" s="584" t="e">
        <f>T65*T66</f>
        <v>#DIV/0!</v>
      </c>
      <c r="U67" s="584" t="e">
        <f t="shared" ref="U67:CF67" si="81">U65*U66</f>
        <v>#DIV/0!</v>
      </c>
      <c r="V67" s="584" t="e">
        <f t="shared" si="81"/>
        <v>#DIV/0!</v>
      </c>
      <c r="W67" s="584" t="e">
        <f t="shared" si="81"/>
        <v>#DIV/0!</v>
      </c>
      <c r="X67" s="584" t="e">
        <f t="shared" si="81"/>
        <v>#DIV/0!</v>
      </c>
      <c r="Y67" s="584" t="e">
        <f t="shared" si="81"/>
        <v>#DIV/0!</v>
      </c>
      <c r="Z67" s="584" t="e">
        <f t="shared" si="81"/>
        <v>#DIV/0!</v>
      </c>
      <c r="AA67" s="584" t="e">
        <f t="shared" si="81"/>
        <v>#DIV/0!</v>
      </c>
      <c r="AB67" s="584" t="e">
        <f t="shared" si="81"/>
        <v>#DIV/0!</v>
      </c>
      <c r="AC67" s="584" t="e">
        <f t="shared" si="81"/>
        <v>#DIV/0!</v>
      </c>
      <c r="AD67" s="584" t="e">
        <f t="shared" si="81"/>
        <v>#DIV/0!</v>
      </c>
      <c r="AE67" s="584" t="e">
        <f t="shared" si="81"/>
        <v>#DIV/0!</v>
      </c>
      <c r="AF67" s="584" t="e">
        <f t="shared" si="81"/>
        <v>#DIV/0!</v>
      </c>
      <c r="AG67" s="584" t="e">
        <f t="shared" si="81"/>
        <v>#DIV/0!</v>
      </c>
      <c r="AH67" s="584" t="e">
        <f t="shared" si="81"/>
        <v>#DIV/0!</v>
      </c>
      <c r="AI67" s="584" t="e">
        <f t="shared" si="81"/>
        <v>#DIV/0!</v>
      </c>
      <c r="AJ67" s="584" t="e">
        <f t="shared" si="81"/>
        <v>#DIV/0!</v>
      </c>
      <c r="AK67" s="584">
        <f t="shared" si="81"/>
        <v>0</v>
      </c>
      <c r="AL67" s="584" t="e">
        <f t="shared" si="81"/>
        <v>#DIV/0!</v>
      </c>
      <c r="AM67" s="584" t="e">
        <f t="shared" si="81"/>
        <v>#DIV/0!</v>
      </c>
      <c r="AN67" s="584" t="e">
        <f t="shared" si="81"/>
        <v>#DIV/0!</v>
      </c>
      <c r="AO67" s="584" t="e">
        <f t="shared" si="81"/>
        <v>#DIV/0!</v>
      </c>
      <c r="AP67" s="584" t="e">
        <f t="shared" si="81"/>
        <v>#DIV/0!</v>
      </c>
      <c r="AQ67" s="584" t="e">
        <f t="shared" si="81"/>
        <v>#DIV/0!</v>
      </c>
      <c r="AR67" s="584" t="e">
        <f t="shared" si="81"/>
        <v>#DIV/0!</v>
      </c>
      <c r="AS67" s="584" t="e">
        <f t="shared" si="81"/>
        <v>#DIV/0!</v>
      </c>
      <c r="AT67" s="584" t="e">
        <f t="shared" si="81"/>
        <v>#DIV/0!</v>
      </c>
      <c r="AU67" s="584" t="e">
        <f t="shared" si="81"/>
        <v>#DIV/0!</v>
      </c>
      <c r="AV67" s="584" t="e">
        <f t="shared" si="81"/>
        <v>#DIV/0!</v>
      </c>
      <c r="AW67" s="584" t="e">
        <f t="shared" si="81"/>
        <v>#DIV/0!</v>
      </c>
      <c r="AX67" s="584" t="e">
        <f t="shared" si="81"/>
        <v>#DIV/0!</v>
      </c>
      <c r="AY67" s="584" t="e">
        <f t="shared" si="81"/>
        <v>#DIV/0!</v>
      </c>
      <c r="AZ67" s="584" t="e">
        <f t="shared" si="81"/>
        <v>#DIV/0!</v>
      </c>
      <c r="BA67" s="584" t="e">
        <f t="shared" si="81"/>
        <v>#DIV/0!</v>
      </c>
      <c r="BB67" s="584" t="e">
        <f t="shared" si="81"/>
        <v>#DIV/0!</v>
      </c>
      <c r="BC67" s="584" t="e">
        <f t="shared" si="81"/>
        <v>#DIV/0!</v>
      </c>
      <c r="BD67" s="584" t="e">
        <f t="shared" si="81"/>
        <v>#DIV/0!</v>
      </c>
      <c r="BE67" s="584" t="e">
        <f t="shared" si="81"/>
        <v>#DIV/0!</v>
      </c>
      <c r="BF67" s="584" t="e">
        <f t="shared" si="81"/>
        <v>#DIV/0!</v>
      </c>
      <c r="BG67" s="584" t="e">
        <f t="shared" si="81"/>
        <v>#DIV/0!</v>
      </c>
      <c r="BH67" s="584" t="e">
        <f t="shared" si="81"/>
        <v>#DIV/0!</v>
      </c>
      <c r="BI67" s="584" t="e">
        <f t="shared" si="81"/>
        <v>#DIV/0!</v>
      </c>
      <c r="BJ67" s="584" t="e">
        <f t="shared" si="81"/>
        <v>#DIV/0!</v>
      </c>
      <c r="BK67" s="584" t="e">
        <f t="shared" si="81"/>
        <v>#DIV/0!</v>
      </c>
      <c r="BL67" s="584" t="e">
        <f t="shared" si="81"/>
        <v>#DIV/0!</v>
      </c>
      <c r="BM67" s="584" t="e">
        <f t="shared" si="81"/>
        <v>#DIV/0!</v>
      </c>
      <c r="BN67" s="584" t="e">
        <f t="shared" si="81"/>
        <v>#DIV/0!</v>
      </c>
      <c r="BO67" s="584" t="e">
        <f t="shared" si="81"/>
        <v>#DIV/0!</v>
      </c>
      <c r="BP67" s="584" t="e">
        <f t="shared" si="81"/>
        <v>#DIV/0!</v>
      </c>
      <c r="BQ67" s="584" t="e">
        <f t="shared" si="81"/>
        <v>#DIV/0!</v>
      </c>
      <c r="BR67" s="584" t="e">
        <f t="shared" si="81"/>
        <v>#DIV/0!</v>
      </c>
      <c r="BS67" s="584" t="e">
        <f t="shared" si="81"/>
        <v>#DIV/0!</v>
      </c>
      <c r="BT67" s="584" t="e">
        <f t="shared" si="81"/>
        <v>#DIV/0!</v>
      </c>
      <c r="BU67" s="584" t="e">
        <f t="shared" si="81"/>
        <v>#DIV/0!</v>
      </c>
      <c r="BV67" s="584" t="e">
        <f t="shared" si="81"/>
        <v>#DIV/0!</v>
      </c>
      <c r="BW67" s="584" t="e">
        <f t="shared" si="81"/>
        <v>#DIV/0!</v>
      </c>
      <c r="BX67" s="584" t="e">
        <f t="shared" si="81"/>
        <v>#DIV/0!</v>
      </c>
      <c r="BY67" s="584" t="e">
        <f t="shared" si="81"/>
        <v>#DIV/0!</v>
      </c>
      <c r="BZ67" s="584" t="e">
        <f t="shared" si="81"/>
        <v>#DIV/0!</v>
      </c>
      <c r="CA67" s="584" t="e">
        <f t="shared" si="81"/>
        <v>#DIV/0!</v>
      </c>
      <c r="CB67" s="584" t="e">
        <f t="shared" si="81"/>
        <v>#DIV/0!</v>
      </c>
      <c r="CC67" s="584" t="e">
        <f t="shared" si="81"/>
        <v>#DIV/0!</v>
      </c>
      <c r="CD67" s="584" t="e">
        <f t="shared" si="81"/>
        <v>#DIV/0!</v>
      </c>
      <c r="CE67" s="584" t="e">
        <f t="shared" si="81"/>
        <v>#DIV/0!</v>
      </c>
      <c r="CF67" s="584" t="e">
        <f t="shared" si="81"/>
        <v>#DIV/0!</v>
      </c>
      <c r="CG67" s="584" t="e">
        <f>CG65*CG66</f>
        <v>#DIV/0!</v>
      </c>
    </row>
    <row r="68" spans="2:85" x14ac:dyDescent="0.2">
      <c r="B68" s="581" t="s">
        <v>89</v>
      </c>
      <c r="C68" s="591"/>
      <c r="D68" s="591"/>
      <c r="E68" s="581">
        <f>IF(OR(WPArt=3,WPArt=5),'WP1'!F33,'WP1'!H25)</f>
        <v>20</v>
      </c>
      <c r="F68" s="592" t="s">
        <v>2948</v>
      </c>
      <c r="G68" s="581">
        <f>IF(OR(WPArt=3,WPArt=5),E68+2,IF(ISNUMBER('WP1'!H33),'WP1'!H33,10))</f>
        <v>10</v>
      </c>
      <c r="H68" s="592" t="s">
        <v>2948</v>
      </c>
      <c r="K68" s="581" t="s">
        <v>89</v>
      </c>
      <c r="L68" s="591"/>
      <c r="M68" s="670">
        <f>'WP1'!H25</f>
        <v>20</v>
      </c>
      <c r="N68" s="592" t="s">
        <v>2948</v>
      </c>
      <c r="O68" s="581">
        <f>G68</f>
        <v>10</v>
      </c>
      <c r="P68" s="592" t="s">
        <v>2948</v>
      </c>
      <c r="S68" s="661" t="s">
        <v>3484</v>
      </c>
    </row>
    <row r="69" spans="2:85" x14ac:dyDescent="0.2">
      <c r="B69" s="581" t="s">
        <v>90</v>
      </c>
      <c r="C69" s="591"/>
      <c r="D69" s="591"/>
      <c r="E69" s="581">
        <v>35</v>
      </c>
      <c r="F69" s="592" t="s">
        <v>2948</v>
      </c>
      <c r="G69" s="581">
        <f>E69</f>
        <v>35</v>
      </c>
      <c r="H69" s="592" t="s">
        <v>2948</v>
      </c>
      <c r="K69" s="581" t="s">
        <v>90</v>
      </c>
      <c r="L69" s="591"/>
      <c r="M69" s="581">
        <v>55</v>
      </c>
      <c r="N69" s="592" t="s">
        <v>2948</v>
      </c>
      <c r="O69" s="581">
        <f>M69</f>
        <v>55</v>
      </c>
      <c r="P69" s="592" t="s">
        <v>2948</v>
      </c>
      <c r="S69" s="552" t="s">
        <v>2698</v>
      </c>
      <c r="T69" s="583">
        <f>IF(_Tww1&gt;0,_Tww1,60)</f>
        <v>60</v>
      </c>
      <c r="U69" s="583">
        <f>T69</f>
        <v>60</v>
      </c>
      <c r="V69" s="583">
        <f t="shared" ref="V69:CG69" si="82">U69</f>
        <v>60</v>
      </c>
      <c r="W69" s="583">
        <f t="shared" si="82"/>
        <v>60</v>
      </c>
      <c r="X69" s="583">
        <f t="shared" si="82"/>
        <v>60</v>
      </c>
      <c r="Y69" s="583">
        <f t="shared" si="82"/>
        <v>60</v>
      </c>
      <c r="Z69" s="583">
        <f t="shared" si="82"/>
        <v>60</v>
      </c>
      <c r="AA69" s="583">
        <f t="shared" si="82"/>
        <v>60</v>
      </c>
      <c r="AB69" s="583">
        <f t="shared" si="82"/>
        <v>60</v>
      </c>
      <c r="AC69" s="583">
        <f t="shared" si="82"/>
        <v>60</v>
      </c>
      <c r="AD69" s="583">
        <f t="shared" si="82"/>
        <v>60</v>
      </c>
      <c r="AE69" s="583">
        <f t="shared" si="82"/>
        <v>60</v>
      </c>
      <c r="AF69" s="583">
        <f t="shared" si="82"/>
        <v>60</v>
      </c>
      <c r="AG69" s="583">
        <f t="shared" si="82"/>
        <v>60</v>
      </c>
      <c r="AH69" s="583">
        <f t="shared" si="82"/>
        <v>60</v>
      </c>
      <c r="AI69" s="583">
        <f t="shared" si="82"/>
        <v>60</v>
      </c>
      <c r="AJ69" s="583">
        <f t="shared" si="82"/>
        <v>60</v>
      </c>
      <c r="AK69" s="583">
        <f t="shared" si="82"/>
        <v>60</v>
      </c>
      <c r="AL69" s="583">
        <f t="shared" si="82"/>
        <v>60</v>
      </c>
      <c r="AM69" s="583">
        <f t="shared" si="82"/>
        <v>60</v>
      </c>
      <c r="AN69" s="583">
        <f t="shared" si="82"/>
        <v>60</v>
      </c>
      <c r="AO69" s="583">
        <f t="shared" si="82"/>
        <v>60</v>
      </c>
      <c r="AP69" s="583">
        <f t="shared" si="82"/>
        <v>60</v>
      </c>
      <c r="AQ69" s="583">
        <f t="shared" si="82"/>
        <v>60</v>
      </c>
      <c r="AR69" s="583">
        <f t="shared" si="82"/>
        <v>60</v>
      </c>
      <c r="AS69" s="583">
        <f t="shared" si="82"/>
        <v>60</v>
      </c>
      <c r="AT69" s="583">
        <f t="shared" si="82"/>
        <v>60</v>
      </c>
      <c r="AU69" s="583">
        <f t="shared" si="82"/>
        <v>60</v>
      </c>
      <c r="AV69" s="583">
        <f t="shared" si="82"/>
        <v>60</v>
      </c>
      <c r="AW69" s="583">
        <f t="shared" si="82"/>
        <v>60</v>
      </c>
      <c r="AX69" s="583">
        <f t="shared" si="82"/>
        <v>60</v>
      </c>
      <c r="AY69" s="583">
        <f t="shared" si="82"/>
        <v>60</v>
      </c>
      <c r="AZ69" s="583">
        <f t="shared" si="82"/>
        <v>60</v>
      </c>
      <c r="BA69" s="583">
        <f t="shared" si="82"/>
        <v>60</v>
      </c>
      <c r="BB69" s="583">
        <f t="shared" si="82"/>
        <v>60</v>
      </c>
      <c r="BC69" s="583">
        <f t="shared" si="82"/>
        <v>60</v>
      </c>
      <c r="BD69" s="583">
        <f t="shared" si="82"/>
        <v>60</v>
      </c>
      <c r="BE69" s="583">
        <f t="shared" si="82"/>
        <v>60</v>
      </c>
      <c r="BF69" s="583">
        <f t="shared" si="82"/>
        <v>60</v>
      </c>
      <c r="BG69" s="583">
        <f t="shared" si="82"/>
        <v>60</v>
      </c>
      <c r="BH69" s="583">
        <f t="shared" si="82"/>
        <v>60</v>
      </c>
      <c r="BI69" s="583">
        <f t="shared" si="82"/>
        <v>60</v>
      </c>
      <c r="BJ69" s="583">
        <f t="shared" si="82"/>
        <v>60</v>
      </c>
      <c r="BK69" s="583">
        <f t="shared" si="82"/>
        <v>60</v>
      </c>
      <c r="BL69" s="583">
        <f t="shared" si="82"/>
        <v>60</v>
      </c>
      <c r="BM69" s="583">
        <f t="shared" si="82"/>
        <v>60</v>
      </c>
      <c r="BN69" s="583">
        <f t="shared" si="82"/>
        <v>60</v>
      </c>
      <c r="BO69" s="583">
        <f t="shared" si="82"/>
        <v>60</v>
      </c>
      <c r="BP69" s="583">
        <f t="shared" si="82"/>
        <v>60</v>
      </c>
      <c r="BQ69" s="583">
        <f t="shared" si="82"/>
        <v>60</v>
      </c>
      <c r="BR69" s="583">
        <f t="shared" si="82"/>
        <v>60</v>
      </c>
      <c r="BS69" s="583">
        <f t="shared" si="82"/>
        <v>60</v>
      </c>
      <c r="BT69" s="583">
        <f t="shared" si="82"/>
        <v>60</v>
      </c>
      <c r="BU69" s="583">
        <f t="shared" si="82"/>
        <v>60</v>
      </c>
      <c r="BV69" s="583">
        <f t="shared" si="82"/>
        <v>60</v>
      </c>
      <c r="BW69" s="583">
        <f t="shared" si="82"/>
        <v>60</v>
      </c>
      <c r="BX69" s="583">
        <f t="shared" si="82"/>
        <v>60</v>
      </c>
      <c r="BY69" s="583">
        <f t="shared" si="82"/>
        <v>60</v>
      </c>
      <c r="BZ69" s="583">
        <f t="shared" si="82"/>
        <v>60</v>
      </c>
      <c r="CA69" s="583">
        <f t="shared" si="82"/>
        <v>60</v>
      </c>
      <c r="CB69" s="583">
        <f t="shared" si="82"/>
        <v>60</v>
      </c>
      <c r="CC69" s="583">
        <f t="shared" si="82"/>
        <v>60</v>
      </c>
      <c r="CD69" s="583">
        <f t="shared" si="82"/>
        <v>60</v>
      </c>
      <c r="CE69" s="583">
        <f t="shared" si="82"/>
        <v>60</v>
      </c>
      <c r="CF69" s="583">
        <f t="shared" si="82"/>
        <v>60</v>
      </c>
      <c r="CG69" s="583">
        <f t="shared" si="82"/>
        <v>60</v>
      </c>
    </row>
    <row r="70" spans="2:85" x14ac:dyDescent="0.2">
      <c r="B70" s="581" t="s">
        <v>1369</v>
      </c>
      <c r="C70" s="591"/>
      <c r="D70" s="591"/>
      <c r="E70" s="593">
        <f>IF(OR(WPArt=3,WPArt=5),'WP1'!M41,'WP1'!W52)</f>
        <v>0</v>
      </c>
      <c r="F70" s="592" t="s">
        <v>3650</v>
      </c>
      <c r="G70" s="593">
        <f>E70</f>
        <v>0</v>
      </c>
      <c r="H70" s="592" t="s">
        <v>3650</v>
      </c>
      <c r="K70" s="581" t="s">
        <v>1369</v>
      </c>
      <c r="L70" s="591"/>
      <c r="M70" s="593">
        <f>'WP1'!W53</f>
        <v>0</v>
      </c>
      <c r="N70" s="592" t="s">
        <v>3650</v>
      </c>
      <c r="O70" s="593">
        <f>M70</f>
        <v>0</v>
      </c>
      <c r="P70" s="592" t="s">
        <v>3650</v>
      </c>
      <c r="S70" t="s">
        <v>2135</v>
      </c>
      <c r="T70" s="596">
        <f>O70</f>
        <v>0</v>
      </c>
      <c r="U70" s="596">
        <f>T70</f>
        <v>0</v>
      </c>
      <c r="V70" s="596">
        <f t="shared" ref="V70:CG70" si="83">U70</f>
        <v>0</v>
      </c>
      <c r="W70" s="596">
        <f t="shared" si="83"/>
        <v>0</v>
      </c>
      <c r="X70" s="596">
        <f t="shared" si="83"/>
        <v>0</v>
      </c>
      <c r="Y70" s="596">
        <f t="shared" si="83"/>
        <v>0</v>
      </c>
      <c r="Z70" s="596">
        <f t="shared" si="83"/>
        <v>0</v>
      </c>
      <c r="AA70" s="596">
        <f t="shared" si="83"/>
        <v>0</v>
      </c>
      <c r="AB70" s="596">
        <f t="shared" si="83"/>
        <v>0</v>
      </c>
      <c r="AC70" s="596">
        <f t="shared" si="83"/>
        <v>0</v>
      </c>
      <c r="AD70" s="596">
        <f t="shared" si="83"/>
        <v>0</v>
      </c>
      <c r="AE70" s="596">
        <f t="shared" si="83"/>
        <v>0</v>
      </c>
      <c r="AF70" s="596">
        <f t="shared" si="83"/>
        <v>0</v>
      </c>
      <c r="AG70" s="596">
        <f t="shared" si="83"/>
        <v>0</v>
      </c>
      <c r="AH70" s="596">
        <f t="shared" si="83"/>
        <v>0</v>
      </c>
      <c r="AI70" s="596">
        <f t="shared" si="83"/>
        <v>0</v>
      </c>
      <c r="AJ70" s="596">
        <f t="shared" si="83"/>
        <v>0</v>
      </c>
      <c r="AK70" s="596">
        <f t="shared" si="83"/>
        <v>0</v>
      </c>
      <c r="AL70" s="596">
        <f t="shared" si="83"/>
        <v>0</v>
      </c>
      <c r="AM70" s="596">
        <f t="shared" si="83"/>
        <v>0</v>
      </c>
      <c r="AN70" s="596">
        <f t="shared" si="83"/>
        <v>0</v>
      </c>
      <c r="AO70" s="596">
        <f t="shared" si="83"/>
        <v>0</v>
      </c>
      <c r="AP70" s="596">
        <f t="shared" si="83"/>
        <v>0</v>
      </c>
      <c r="AQ70" s="596">
        <f t="shared" si="83"/>
        <v>0</v>
      </c>
      <c r="AR70" s="596">
        <f t="shared" si="83"/>
        <v>0</v>
      </c>
      <c r="AS70" s="596">
        <f t="shared" si="83"/>
        <v>0</v>
      </c>
      <c r="AT70" s="596">
        <f t="shared" si="83"/>
        <v>0</v>
      </c>
      <c r="AU70" s="596">
        <f t="shared" si="83"/>
        <v>0</v>
      </c>
      <c r="AV70" s="596">
        <f t="shared" si="83"/>
        <v>0</v>
      </c>
      <c r="AW70" s="596">
        <f t="shared" si="83"/>
        <v>0</v>
      </c>
      <c r="AX70" s="596">
        <f t="shared" si="83"/>
        <v>0</v>
      </c>
      <c r="AY70" s="596">
        <f t="shared" si="83"/>
        <v>0</v>
      </c>
      <c r="AZ70" s="596">
        <f t="shared" si="83"/>
        <v>0</v>
      </c>
      <c r="BA70" s="596">
        <f t="shared" si="83"/>
        <v>0</v>
      </c>
      <c r="BB70" s="596">
        <f t="shared" si="83"/>
        <v>0</v>
      </c>
      <c r="BC70" s="596">
        <f t="shared" si="83"/>
        <v>0</v>
      </c>
      <c r="BD70" s="596">
        <f t="shared" si="83"/>
        <v>0</v>
      </c>
      <c r="BE70" s="596">
        <f t="shared" si="83"/>
        <v>0</v>
      </c>
      <c r="BF70" s="596">
        <f t="shared" si="83"/>
        <v>0</v>
      </c>
      <c r="BG70" s="596">
        <f t="shared" si="83"/>
        <v>0</v>
      </c>
      <c r="BH70" s="596">
        <f t="shared" si="83"/>
        <v>0</v>
      </c>
      <c r="BI70" s="596">
        <f t="shared" si="83"/>
        <v>0</v>
      </c>
      <c r="BJ70" s="596">
        <f t="shared" si="83"/>
        <v>0</v>
      </c>
      <c r="BK70" s="596">
        <f t="shared" si="83"/>
        <v>0</v>
      </c>
      <c r="BL70" s="596">
        <f t="shared" si="83"/>
        <v>0</v>
      </c>
      <c r="BM70" s="596">
        <f t="shared" si="83"/>
        <v>0</v>
      </c>
      <c r="BN70" s="596">
        <f t="shared" si="83"/>
        <v>0</v>
      </c>
      <c r="BO70" s="596">
        <f t="shared" si="83"/>
        <v>0</v>
      </c>
      <c r="BP70" s="596">
        <f t="shared" si="83"/>
        <v>0</v>
      </c>
      <c r="BQ70" s="596">
        <f t="shared" si="83"/>
        <v>0</v>
      </c>
      <c r="BR70" s="596">
        <f t="shared" si="83"/>
        <v>0</v>
      </c>
      <c r="BS70" s="596">
        <f t="shared" si="83"/>
        <v>0</v>
      </c>
      <c r="BT70" s="596">
        <f t="shared" si="83"/>
        <v>0</v>
      </c>
      <c r="BU70" s="596">
        <f t="shared" si="83"/>
        <v>0</v>
      </c>
      <c r="BV70" s="596">
        <f t="shared" si="83"/>
        <v>0</v>
      </c>
      <c r="BW70" s="596">
        <f t="shared" si="83"/>
        <v>0</v>
      </c>
      <c r="BX70" s="596">
        <f t="shared" si="83"/>
        <v>0</v>
      </c>
      <c r="BY70" s="596">
        <f t="shared" si="83"/>
        <v>0</v>
      </c>
      <c r="BZ70" s="596">
        <f t="shared" si="83"/>
        <v>0</v>
      </c>
      <c r="CA70" s="596">
        <f t="shared" si="83"/>
        <v>0</v>
      </c>
      <c r="CB70" s="596">
        <f t="shared" si="83"/>
        <v>0</v>
      </c>
      <c r="CC70" s="596">
        <f t="shared" si="83"/>
        <v>0</v>
      </c>
      <c r="CD70" s="596">
        <f t="shared" si="83"/>
        <v>0</v>
      </c>
      <c r="CE70" s="596">
        <f t="shared" si="83"/>
        <v>0</v>
      </c>
      <c r="CF70" s="596">
        <f t="shared" si="83"/>
        <v>0</v>
      </c>
      <c r="CG70" s="596">
        <f t="shared" si="83"/>
        <v>0</v>
      </c>
    </row>
    <row r="71" spans="2:85" x14ac:dyDescent="0.2">
      <c r="B71" s="581" t="s">
        <v>774</v>
      </c>
      <c r="C71" s="591"/>
      <c r="D71" s="591"/>
      <c r="E71" s="593">
        <f>IF(OR(WPArt=3,WPArt=5),'WP1'!M42,'WP1'!W50)</f>
        <v>0</v>
      </c>
      <c r="F71" s="594" t="s">
        <v>92</v>
      </c>
      <c r="G71" s="581">
        <f>G72*G73</f>
        <v>0</v>
      </c>
      <c r="H71" s="594" t="s">
        <v>92</v>
      </c>
      <c r="K71" s="581" t="s">
        <v>2700</v>
      </c>
      <c r="L71" s="591"/>
      <c r="M71" s="593">
        <f>IF(SpezWP,CH85,'WP1'!W51)</f>
        <v>0</v>
      </c>
      <c r="N71" s="594" t="s">
        <v>92</v>
      </c>
      <c r="O71" s="593">
        <f>O72*O73</f>
        <v>0</v>
      </c>
      <c r="P71" s="594" t="s">
        <v>92</v>
      </c>
      <c r="S71" s="552" t="s">
        <v>103</v>
      </c>
      <c r="T71" s="573">
        <f>O73</f>
        <v>0</v>
      </c>
      <c r="U71">
        <f>T71</f>
        <v>0</v>
      </c>
      <c r="V71">
        <f t="shared" ref="V71:CG71" si="84">U71</f>
        <v>0</v>
      </c>
      <c r="W71">
        <f t="shared" si="84"/>
        <v>0</v>
      </c>
      <c r="X71">
        <f t="shared" si="84"/>
        <v>0</v>
      </c>
      <c r="Y71">
        <f t="shared" si="84"/>
        <v>0</v>
      </c>
      <c r="Z71">
        <f t="shared" si="84"/>
        <v>0</v>
      </c>
      <c r="AA71">
        <f t="shared" si="84"/>
        <v>0</v>
      </c>
      <c r="AB71">
        <f t="shared" si="84"/>
        <v>0</v>
      </c>
      <c r="AC71">
        <f t="shared" si="84"/>
        <v>0</v>
      </c>
      <c r="AD71">
        <f t="shared" si="84"/>
        <v>0</v>
      </c>
      <c r="AE71">
        <f t="shared" si="84"/>
        <v>0</v>
      </c>
      <c r="AF71">
        <f t="shared" si="84"/>
        <v>0</v>
      </c>
      <c r="AG71">
        <f t="shared" si="84"/>
        <v>0</v>
      </c>
      <c r="AH71">
        <f t="shared" si="84"/>
        <v>0</v>
      </c>
      <c r="AI71">
        <f t="shared" si="84"/>
        <v>0</v>
      </c>
      <c r="AJ71">
        <f t="shared" si="84"/>
        <v>0</v>
      </c>
      <c r="AK71">
        <f t="shared" si="84"/>
        <v>0</v>
      </c>
      <c r="AL71">
        <f t="shared" si="84"/>
        <v>0</v>
      </c>
      <c r="AM71">
        <f t="shared" si="84"/>
        <v>0</v>
      </c>
      <c r="AN71">
        <f t="shared" si="84"/>
        <v>0</v>
      </c>
      <c r="AO71">
        <f t="shared" si="84"/>
        <v>0</v>
      </c>
      <c r="AP71">
        <f t="shared" si="84"/>
        <v>0</v>
      </c>
      <c r="AQ71">
        <f t="shared" si="84"/>
        <v>0</v>
      </c>
      <c r="AR71">
        <f t="shared" si="84"/>
        <v>0</v>
      </c>
      <c r="AS71">
        <f t="shared" si="84"/>
        <v>0</v>
      </c>
      <c r="AT71">
        <f t="shared" si="84"/>
        <v>0</v>
      </c>
      <c r="AU71">
        <f t="shared" si="84"/>
        <v>0</v>
      </c>
      <c r="AV71">
        <f t="shared" si="84"/>
        <v>0</v>
      </c>
      <c r="AW71">
        <f t="shared" si="84"/>
        <v>0</v>
      </c>
      <c r="AX71">
        <f t="shared" si="84"/>
        <v>0</v>
      </c>
      <c r="AY71">
        <f t="shared" si="84"/>
        <v>0</v>
      </c>
      <c r="AZ71">
        <f t="shared" si="84"/>
        <v>0</v>
      </c>
      <c r="BA71">
        <f t="shared" si="84"/>
        <v>0</v>
      </c>
      <c r="BB71">
        <f t="shared" si="84"/>
        <v>0</v>
      </c>
      <c r="BC71">
        <f t="shared" si="84"/>
        <v>0</v>
      </c>
      <c r="BD71">
        <f t="shared" si="84"/>
        <v>0</v>
      </c>
      <c r="BE71">
        <f t="shared" si="84"/>
        <v>0</v>
      </c>
      <c r="BF71">
        <f t="shared" si="84"/>
        <v>0</v>
      </c>
      <c r="BG71">
        <f t="shared" si="84"/>
        <v>0</v>
      </c>
      <c r="BH71">
        <f t="shared" si="84"/>
        <v>0</v>
      </c>
      <c r="BI71">
        <f t="shared" si="84"/>
        <v>0</v>
      </c>
      <c r="BJ71">
        <f t="shared" si="84"/>
        <v>0</v>
      </c>
      <c r="BK71">
        <f t="shared" si="84"/>
        <v>0</v>
      </c>
      <c r="BL71">
        <f t="shared" si="84"/>
        <v>0</v>
      </c>
      <c r="BM71">
        <f t="shared" si="84"/>
        <v>0</v>
      </c>
      <c r="BN71">
        <f t="shared" si="84"/>
        <v>0</v>
      </c>
      <c r="BO71">
        <f t="shared" si="84"/>
        <v>0</v>
      </c>
      <c r="BP71">
        <f t="shared" si="84"/>
        <v>0</v>
      </c>
      <c r="BQ71">
        <f t="shared" si="84"/>
        <v>0</v>
      </c>
      <c r="BR71">
        <f t="shared" si="84"/>
        <v>0</v>
      </c>
      <c r="BS71">
        <f t="shared" si="84"/>
        <v>0</v>
      </c>
      <c r="BT71">
        <f t="shared" si="84"/>
        <v>0</v>
      </c>
      <c r="BU71">
        <f t="shared" si="84"/>
        <v>0</v>
      </c>
      <c r="BV71">
        <f t="shared" si="84"/>
        <v>0</v>
      </c>
      <c r="BW71">
        <f t="shared" si="84"/>
        <v>0</v>
      </c>
      <c r="BX71">
        <f t="shared" si="84"/>
        <v>0</v>
      </c>
      <c r="BY71">
        <f t="shared" si="84"/>
        <v>0</v>
      </c>
      <c r="BZ71">
        <f t="shared" si="84"/>
        <v>0</v>
      </c>
      <c r="CA71">
        <f t="shared" si="84"/>
        <v>0</v>
      </c>
      <c r="CB71">
        <f t="shared" si="84"/>
        <v>0</v>
      </c>
      <c r="CC71">
        <f t="shared" si="84"/>
        <v>0</v>
      </c>
      <c r="CD71">
        <f t="shared" si="84"/>
        <v>0</v>
      </c>
      <c r="CE71">
        <f t="shared" si="84"/>
        <v>0</v>
      </c>
      <c r="CF71">
        <f t="shared" si="84"/>
        <v>0</v>
      </c>
      <c r="CG71">
        <f t="shared" si="84"/>
        <v>0</v>
      </c>
    </row>
    <row r="72" spans="2:85" x14ac:dyDescent="0.2">
      <c r="B72" s="581" t="s">
        <v>91</v>
      </c>
      <c r="C72" s="591"/>
      <c r="D72" s="591"/>
      <c r="E72" s="581">
        <f>(E69+273.15)/(E69-E68)</f>
        <v>20.543333333333333</v>
      </c>
      <c r="F72" s="594" t="s">
        <v>92</v>
      </c>
      <c r="G72" s="581">
        <f>(G69+273.15)/(G69-G68)</f>
        <v>12.325999999999999</v>
      </c>
      <c r="H72" s="594" t="s">
        <v>92</v>
      </c>
      <c r="K72" s="581" t="s">
        <v>91</v>
      </c>
      <c r="L72" s="591"/>
      <c r="M72" s="593">
        <f>(M69+273.15)/(M69-M68)</f>
        <v>9.3757142857142846</v>
      </c>
      <c r="N72" s="594" t="s">
        <v>92</v>
      </c>
      <c r="O72" s="593">
        <f>(O69+273.15)/(O69-O68)</f>
        <v>7.2922222222222217</v>
      </c>
      <c r="P72" s="594" t="s">
        <v>92</v>
      </c>
      <c r="S72" s="552" t="s">
        <v>1386</v>
      </c>
      <c r="T72">
        <f t="shared" ref="T72:CE72" si="85">(T69+273.15)/(T69-T60)</f>
        <v>6.6629999999999994</v>
      </c>
      <c r="U72">
        <f t="shared" si="85"/>
        <v>6.6629999999999994</v>
      </c>
      <c r="V72">
        <f t="shared" si="85"/>
        <v>6.6629999999999994</v>
      </c>
      <c r="W72">
        <f t="shared" si="85"/>
        <v>6.6629999999999994</v>
      </c>
      <c r="X72">
        <f t="shared" si="85"/>
        <v>6.6629999999999994</v>
      </c>
      <c r="Y72">
        <f t="shared" si="85"/>
        <v>6.6629999999999994</v>
      </c>
      <c r="Z72">
        <f t="shared" si="85"/>
        <v>6.6629999999999994</v>
      </c>
      <c r="AA72">
        <f t="shared" si="85"/>
        <v>6.6629999999999994</v>
      </c>
      <c r="AB72">
        <f t="shared" si="85"/>
        <v>6.6629999999999994</v>
      </c>
      <c r="AC72">
        <f t="shared" si="85"/>
        <v>6.6629999999999994</v>
      </c>
      <c r="AD72">
        <f t="shared" si="85"/>
        <v>6.6629999999999994</v>
      </c>
      <c r="AE72">
        <f t="shared" si="85"/>
        <v>6.6629999999999994</v>
      </c>
      <c r="AF72">
        <f t="shared" si="85"/>
        <v>6.6629999999999994</v>
      </c>
      <c r="AG72">
        <f t="shared" si="85"/>
        <v>6.6629999999999994</v>
      </c>
      <c r="AH72">
        <f t="shared" si="85"/>
        <v>6.6629999999999994</v>
      </c>
      <c r="AI72">
        <f t="shared" si="85"/>
        <v>6.6629999999999994</v>
      </c>
      <c r="AJ72">
        <f t="shared" si="85"/>
        <v>6.6629999999999994</v>
      </c>
      <c r="AK72">
        <f t="shared" si="85"/>
        <v>6.6629999999999994</v>
      </c>
      <c r="AL72">
        <f t="shared" si="85"/>
        <v>6.6629999999999994</v>
      </c>
      <c r="AM72">
        <f t="shared" si="85"/>
        <v>6.6629999999999994</v>
      </c>
      <c r="AN72">
        <f t="shared" si="85"/>
        <v>6.6629999999999994</v>
      </c>
      <c r="AO72">
        <f t="shared" si="85"/>
        <v>6.6629999999999994</v>
      </c>
      <c r="AP72">
        <f t="shared" si="85"/>
        <v>6.6629999999999994</v>
      </c>
      <c r="AQ72">
        <f t="shared" si="85"/>
        <v>6.6629999999999994</v>
      </c>
      <c r="AR72">
        <f t="shared" si="85"/>
        <v>6.6629999999999994</v>
      </c>
      <c r="AS72">
        <f t="shared" si="85"/>
        <v>6.6629999999999994</v>
      </c>
      <c r="AT72">
        <f t="shared" si="85"/>
        <v>6.6629999999999994</v>
      </c>
      <c r="AU72">
        <f t="shared" si="85"/>
        <v>6.6629999999999994</v>
      </c>
      <c r="AV72">
        <f t="shared" si="85"/>
        <v>6.6629999999999994</v>
      </c>
      <c r="AW72">
        <f t="shared" si="85"/>
        <v>6.6629999999999994</v>
      </c>
      <c r="AX72">
        <f t="shared" si="85"/>
        <v>6.6629999999999994</v>
      </c>
      <c r="AY72">
        <f t="shared" si="85"/>
        <v>6.6629999999999994</v>
      </c>
      <c r="AZ72">
        <f t="shared" si="85"/>
        <v>6.6629999999999994</v>
      </c>
      <c r="BA72">
        <f t="shared" si="85"/>
        <v>6.6629999999999994</v>
      </c>
      <c r="BB72">
        <f t="shared" si="85"/>
        <v>6.6629999999999994</v>
      </c>
      <c r="BC72">
        <f t="shared" si="85"/>
        <v>6.6629999999999994</v>
      </c>
      <c r="BD72">
        <f t="shared" si="85"/>
        <v>6.6629999999999994</v>
      </c>
      <c r="BE72">
        <f t="shared" si="85"/>
        <v>6.6629999999999994</v>
      </c>
      <c r="BF72">
        <f t="shared" si="85"/>
        <v>6.6629999999999994</v>
      </c>
      <c r="BG72">
        <f t="shared" si="85"/>
        <v>6.6629999999999994</v>
      </c>
      <c r="BH72">
        <f t="shared" si="85"/>
        <v>6.6629999999999994</v>
      </c>
      <c r="BI72">
        <f t="shared" si="85"/>
        <v>6.6629999999999994</v>
      </c>
      <c r="BJ72">
        <f t="shared" si="85"/>
        <v>6.6629999999999994</v>
      </c>
      <c r="BK72">
        <f t="shared" si="85"/>
        <v>6.6629999999999994</v>
      </c>
      <c r="BL72">
        <f t="shared" si="85"/>
        <v>6.6629999999999994</v>
      </c>
      <c r="BM72">
        <f t="shared" si="85"/>
        <v>6.6629999999999994</v>
      </c>
      <c r="BN72">
        <f t="shared" si="85"/>
        <v>6.6629999999999994</v>
      </c>
      <c r="BO72">
        <f t="shared" si="85"/>
        <v>6.6629999999999994</v>
      </c>
      <c r="BP72">
        <f t="shared" si="85"/>
        <v>6.6629999999999994</v>
      </c>
      <c r="BQ72">
        <f t="shared" si="85"/>
        <v>6.6629999999999994</v>
      </c>
      <c r="BR72">
        <f t="shared" si="85"/>
        <v>6.6629999999999994</v>
      </c>
      <c r="BS72">
        <f t="shared" si="85"/>
        <v>6.6629999999999994</v>
      </c>
      <c r="BT72">
        <f t="shared" si="85"/>
        <v>6.6629999999999994</v>
      </c>
      <c r="BU72">
        <f t="shared" si="85"/>
        <v>6.6629999999999994</v>
      </c>
      <c r="BV72">
        <f t="shared" si="85"/>
        <v>6.6629999999999994</v>
      </c>
      <c r="BW72">
        <f t="shared" si="85"/>
        <v>6.6629999999999994</v>
      </c>
      <c r="BX72">
        <f t="shared" si="85"/>
        <v>6.6629999999999994</v>
      </c>
      <c r="BY72">
        <f t="shared" si="85"/>
        <v>6.6629999999999994</v>
      </c>
      <c r="BZ72">
        <f t="shared" si="85"/>
        <v>6.6629999999999994</v>
      </c>
      <c r="CA72">
        <f t="shared" si="85"/>
        <v>6.6629999999999994</v>
      </c>
      <c r="CB72">
        <f t="shared" si="85"/>
        <v>6.6629999999999994</v>
      </c>
      <c r="CC72">
        <f t="shared" si="85"/>
        <v>6.6629999999999994</v>
      </c>
      <c r="CD72">
        <f t="shared" si="85"/>
        <v>6.6629999999999994</v>
      </c>
      <c r="CE72">
        <f t="shared" si="85"/>
        <v>6.6629999999999994</v>
      </c>
      <c r="CF72">
        <f>(CF69+273.15)/(CF69-CF60)</f>
        <v>6.6629999999999994</v>
      </c>
      <c r="CG72">
        <f>(CG69+273.15)/(CG69-CG60)</f>
        <v>6.6629999999999994</v>
      </c>
    </row>
    <row r="73" spans="2:85" x14ac:dyDescent="0.2">
      <c r="B73" s="581" t="s">
        <v>775</v>
      </c>
      <c r="C73" s="591"/>
      <c r="D73" s="591"/>
      <c r="E73" s="581">
        <f>E71/E72</f>
        <v>0</v>
      </c>
      <c r="F73" s="594" t="s">
        <v>92</v>
      </c>
      <c r="G73" s="581">
        <f>E73</f>
        <v>0</v>
      </c>
      <c r="H73" s="594" t="s">
        <v>92</v>
      </c>
      <c r="K73" s="581" t="s">
        <v>775</v>
      </c>
      <c r="L73" s="591"/>
      <c r="M73" s="593">
        <f>M71/M72</f>
        <v>0</v>
      </c>
      <c r="N73" s="594" t="s">
        <v>92</v>
      </c>
      <c r="O73" s="593">
        <f>M73</f>
        <v>0</v>
      </c>
      <c r="P73" s="594" t="s">
        <v>92</v>
      </c>
      <c r="S73" s="552" t="s">
        <v>104</v>
      </c>
      <c r="T73" s="584">
        <f>T71*T72</f>
        <v>0</v>
      </c>
      <c r="U73" s="584">
        <f t="shared" ref="U73:CF73" si="86">U71*U72</f>
        <v>0</v>
      </c>
      <c r="V73" s="584">
        <f t="shared" si="86"/>
        <v>0</v>
      </c>
      <c r="W73" s="584">
        <f t="shared" si="86"/>
        <v>0</v>
      </c>
      <c r="X73" s="584">
        <f t="shared" si="86"/>
        <v>0</v>
      </c>
      <c r="Y73" s="584">
        <f t="shared" si="86"/>
        <v>0</v>
      </c>
      <c r="Z73" s="584">
        <f t="shared" si="86"/>
        <v>0</v>
      </c>
      <c r="AA73" s="584">
        <f t="shared" si="86"/>
        <v>0</v>
      </c>
      <c r="AB73" s="584">
        <f t="shared" si="86"/>
        <v>0</v>
      </c>
      <c r="AC73" s="584">
        <f t="shared" si="86"/>
        <v>0</v>
      </c>
      <c r="AD73" s="584">
        <f t="shared" si="86"/>
        <v>0</v>
      </c>
      <c r="AE73" s="584">
        <f t="shared" si="86"/>
        <v>0</v>
      </c>
      <c r="AF73" s="584">
        <f t="shared" si="86"/>
        <v>0</v>
      </c>
      <c r="AG73" s="584">
        <f t="shared" si="86"/>
        <v>0</v>
      </c>
      <c r="AH73" s="584">
        <f t="shared" si="86"/>
        <v>0</v>
      </c>
      <c r="AI73" s="584">
        <f t="shared" si="86"/>
        <v>0</v>
      </c>
      <c r="AJ73" s="584">
        <f t="shared" si="86"/>
        <v>0</v>
      </c>
      <c r="AK73" s="584">
        <f t="shared" si="86"/>
        <v>0</v>
      </c>
      <c r="AL73" s="584">
        <f t="shared" si="86"/>
        <v>0</v>
      </c>
      <c r="AM73" s="584">
        <f t="shared" si="86"/>
        <v>0</v>
      </c>
      <c r="AN73" s="584">
        <f t="shared" si="86"/>
        <v>0</v>
      </c>
      <c r="AO73" s="584">
        <f t="shared" si="86"/>
        <v>0</v>
      </c>
      <c r="AP73" s="584">
        <f t="shared" si="86"/>
        <v>0</v>
      </c>
      <c r="AQ73" s="584">
        <f t="shared" si="86"/>
        <v>0</v>
      </c>
      <c r="AR73" s="584">
        <f t="shared" si="86"/>
        <v>0</v>
      </c>
      <c r="AS73" s="584">
        <f t="shared" si="86"/>
        <v>0</v>
      </c>
      <c r="AT73" s="584">
        <f t="shared" si="86"/>
        <v>0</v>
      </c>
      <c r="AU73" s="584">
        <f t="shared" si="86"/>
        <v>0</v>
      </c>
      <c r="AV73" s="584">
        <f t="shared" si="86"/>
        <v>0</v>
      </c>
      <c r="AW73" s="584">
        <f t="shared" si="86"/>
        <v>0</v>
      </c>
      <c r="AX73" s="584">
        <f t="shared" si="86"/>
        <v>0</v>
      </c>
      <c r="AY73" s="584">
        <f t="shared" si="86"/>
        <v>0</v>
      </c>
      <c r="AZ73" s="584">
        <f t="shared" si="86"/>
        <v>0</v>
      </c>
      <c r="BA73" s="584">
        <f t="shared" si="86"/>
        <v>0</v>
      </c>
      <c r="BB73" s="584">
        <f t="shared" si="86"/>
        <v>0</v>
      </c>
      <c r="BC73" s="584">
        <f t="shared" si="86"/>
        <v>0</v>
      </c>
      <c r="BD73" s="584">
        <f t="shared" si="86"/>
        <v>0</v>
      </c>
      <c r="BE73" s="584">
        <f t="shared" si="86"/>
        <v>0</v>
      </c>
      <c r="BF73" s="584">
        <f t="shared" si="86"/>
        <v>0</v>
      </c>
      <c r="BG73" s="584">
        <f t="shared" si="86"/>
        <v>0</v>
      </c>
      <c r="BH73" s="584">
        <f t="shared" si="86"/>
        <v>0</v>
      </c>
      <c r="BI73" s="584">
        <f t="shared" si="86"/>
        <v>0</v>
      </c>
      <c r="BJ73" s="584">
        <f t="shared" si="86"/>
        <v>0</v>
      </c>
      <c r="BK73" s="584">
        <f t="shared" si="86"/>
        <v>0</v>
      </c>
      <c r="BL73" s="584">
        <f t="shared" si="86"/>
        <v>0</v>
      </c>
      <c r="BM73" s="584">
        <f t="shared" si="86"/>
        <v>0</v>
      </c>
      <c r="BN73" s="584">
        <f t="shared" si="86"/>
        <v>0</v>
      </c>
      <c r="BO73" s="584">
        <f t="shared" si="86"/>
        <v>0</v>
      </c>
      <c r="BP73" s="584">
        <f t="shared" si="86"/>
        <v>0</v>
      </c>
      <c r="BQ73" s="584">
        <f t="shared" si="86"/>
        <v>0</v>
      </c>
      <c r="BR73" s="584">
        <f t="shared" si="86"/>
        <v>0</v>
      </c>
      <c r="BS73" s="584">
        <f t="shared" si="86"/>
        <v>0</v>
      </c>
      <c r="BT73" s="584">
        <f t="shared" si="86"/>
        <v>0</v>
      </c>
      <c r="BU73" s="584">
        <f t="shared" si="86"/>
        <v>0</v>
      </c>
      <c r="BV73" s="584">
        <f t="shared" si="86"/>
        <v>0</v>
      </c>
      <c r="BW73" s="584">
        <f t="shared" si="86"/>
        <v>0</v>
      </c>
      <c r="BX73" s="584">
        <f t="shared" si="86"/>
        <v>0</v>
      </c>
      <c r="BY73" s="584">
        <f t="shared" si="86"/>
        <v>0</v>
      </c>
      <c r="BZ73" s="584">
        <f t="shared" si="86"/>
        <v>0</v>
      </c>
      <c r="CA73" s="584">
        <f t="shared" si="86"/>
        <v>0</v>
      </c>
      <c r="CB73" s="584">
        <f t="shared" si="86"/>
        <v>0</v>
      </c>
      <c r="CC73" s="584">
        <f t="shared" si="86"/>
        <v>0</v>
      </c>
      <c r="CD73" s="584">
        <f t="shared" si="86"/>
        <v>0</v>
      </c>
      <c r="CE73" s="584">
        <f t="shared" si="86"/>
        <v>0</v>
      </c>
      <c r="CF73" s="584">
        <f t="shared" si="86"/>
        <v>0</v>
      </c>
      <c r="CG73" s="584">
        <f>CG71*CG72</f>
        <v>0</v>
      </c>
    </row>
    <row r="75" spans="2:85" x14ac:dyDescent="0.2">
      <c r="S75" s="825" t="s">
        <v>2563</v>
      </c>
      <c r="T75" s="668">
        <v>1</v>
      </c>
      <c r="U75" s="668">
        <v>2</v>
      </c>
      <c r="V75" s="668">
        <v>3</v>
      </c>
      <c r="W75" s="668">
        <v>4</v>
      </c>
      <c r="X75" s="668">
        <v>5</v>
      </c>
      <c r="Y75" s="668">
        <v>6</v>
      </c>
      <c r="Z75" s="668">
        <v>7</v>
      </c>
      <c r="AA75" s="668">
        <v>8</v>
      </c>
      <c r="AB75" s="668">
        <v>9</v>
      </c>
      <c r="AC75" s="668">
        <v>10</v>
      </c>
      <c r="AD75" s="668">
        <v>11</v>
      </c>
      <c r="AE75" s="668">
        <v>12</v>
      </c>
      <c r="AF75" s="668">
        <v>13</v>
      </c>
      <c r="AG75" s="668">
        <v>14</v>
      </c>
      <c r="AH75" s="668">
        <v>15</v>
      </c>
      <c r="AI75" s="668">
        <v>16</v>
      </c>
      <c r="AJ75" s="668">
        <v>17</v>
      </c>
      <c r="AK75" s="668">
        <v>18</v>
      </c>
      <c r="AL75" s="668">
        <v>19</v>
      </c>
      <c r="AM75" s="668">
        <v>20</v>
      </c>
      <c r="AN75" s="668">
        <v>21</v>
      </c>
      <c r="AO75" s="668">
        <v>22</v>
      </c>
      <c r="AP75" s="668">
        <v>23</v>
      </c>
      <c r="AQ75" s="668">
        <v>24</v>
      </c>
      <c r="AR75" s="668">
        <v>25</v>
      </c>
      <c r="AS75" s="668">
        <v>26</v>
      </c>
      <c r="AT75" s="668">
        <v>27</v>
      </c>
      <c r="AU75" s="668">
        <v>28</v>
      </c>
      <c r="AV75" s="668">
        <v>29</v>
      </c>
      <c r="AW75" s="668">
        <v>30</v>
      </c>
      <c r="AX75" s="668">
        <v>31</v>
      </c>
      <c r="AY75" s="668">
        <v>32</v>
      </c>
      <c r="AZ75" s="668">
        <v>33</v>
      </c>
      <c r="BA75" s="668">
        <v>34</v>
      </c>
      <c r="BB75" s="668">
        <v>35</v>
      </c>
      <c r="BC75" s="668">
        <v>36</v>
      </c>
      <c r="BD75" s="668">
        <v>37</v>
      </c>
      <c r="BE75" s="668">
        <v>38</v>
      </c>
      <c r="BF75" s="668">
        <v>39</v>
      </c>
      <c r="BG75" s="668">
        <v>40</v>
      </c>
      <c r="BH75" s="668">
        <v>41</v>
      </c>
      <c r="BI75" s="668">
        <v>42</v>
      </c>
      <c r="BJ75" s="668">
        <v>43</v>
      </c>
      <c r="BK75" s="668">
        <v>44</v>
      </c>
      <c r="BL75" s="668">
        <v>45</v>
      </c>
      <c r="BM75" s="668">
        <v>46</v>
      </c>
      <c r="BN75" s="668">
        <v>47</v>
      </c>
      <c r="BO75" s="668">
        <v>48</v>
      </c>
      <c r="BP75" s="668">
        <v>49</v>
      </c>
      <c r="BQ75" s="668">
        <v>50</v>
      </c>
      <c r="BR75" s="668">
        <v>51</v>
      </c>
      <c r="BS75" s="668">
        <v>52</v>
      </c>
      <c r="BT75" s="668">
        <v>53</v>
      </c>
      <c r="BU75" s="668">
        <v>54</v>
      </c>
      <c r="BV75" s="668">
        <v>55</v>
      </c>
      <c r="BW75" s="668">
        <v>56</v>
      </c>
      <c r="BX75" s="668">
        <v>57</v>
      </c>
      <c r="BY75" s="668">
        <v>58</v>
      </c>
      <c r="BZ75" s="668">
        <v>59</v>
      </c>
      <c r="CA75" s="668">
        <v>60</v>
      </c>
      <c r="CB75" s="668">
        <v>61</v>
      </c>
      <c r="CC75" s="668">
        <v>62</v>
      </c>
      <c r="CD75" s="668">
        <v>63</v>
      </c>
      <c r="CE75" s="668">
        <v>64</v>
      </c>
      <c r="CF75" s="668">
        <v>65</v>
      </c>
      <c r="CG75" s="668">
        <v>66</v>
      </c>
    </row>
    <row r="76" spans="2:85" x14ac:dyDescent="0.2">
      <c r="S76" s="815" t="s">
        <v>2137</v>
      </c>
      <c r="T76" s="816">
        <f>T59</f>
        <v>-25</v>
      </c>
      <c r="U76" s="816">
        <f t="shared" ref="U76:CF76" si="87">U59</f>
        <v>-24</v>
      </c>
      <c r="V76" s="816">
        <f t="shared" si="87"/>
        <v>-23</v>
      </c>
      <c r="W76" s="816">
        <f t="shared" si="87"/>
        <v>-22</v>
      </c>
      <c r="X76" s="816">
        <f t="shared" si="87"/>
        <v>-21</v>
      </c>
      <c r="Y76" s="816">
        <f t="shared" si="87"/>
        <v>-20</v>
      </c>
      <c r="Z76" s="816">
        <f t="shared" si="87"/>
        <v>-19</v>
      </c>
      <c r="AA76" s="816">
        <f t="shared" si="87"/>
        <v>-18</v>
      </c>
      <c r="AB76" s="816">
        <f t="shared" si="87"/>
        <v>-17</v>
      </c>
      <c r="AC76" s="816">
        <f t="shared" si="87"/>
        <v>-16</v>
      </c>
      <c r="AD76" s="816">
        <f t="shared" si="87"/>
        <v>-15</v>
      </c>
      <c r="AE76" s="816">
        <f t="shared" si="87"/>
        <v>-14</v>
      </c>
      <c r="AF76" s="816">
        <f t="shared" si="87"/>
        <v>-13</v>
      </c>
      <c r="AG76" s="816">
        <f t="shared" si="87"/>
        <v>-12</v>
      </c>
      <c r="AH76" s="816">
        <f t="shared" si="87"/>
        <v>-11</v>
      </c>
      <c r="AI76" s="816">
        <f t="shared" si="87"/>
        <v>-10</v>
      </c>
      <c r="AJ76" s="816">
        <f t="shared" si="87"/>
        <v>-9</v>
      </c>
      <c r="AK76" s="816">
        <f t="shared" si="87"/>
        <v>-8</v>
      </c>
      <c r="AL76" s="816">
        <f t="shared" si="87"/>
        <v>-7</v>
      </c>
      <c r="AM76" s="816">
        <f t="shared" si="87"/>
        <v>-6</v>
      </c>
      <c r="AN76" s="816">
        <f t="shared" si="87"/>
        <v>-5</v>
      </c>
      <c r="AO76" s="816">
        <f t="shared" si="87"/>
        <v>-4</v>
      </c>
      <c r="AP76" s="816">
        <f t="shared" si="87"/>
        <v>-3</v>
      </c>
      <c r="AQ76" s="816">
        <f t="shared" si="87"/>
        <v>-2</v>
      </c>
      <c r="AR76" s="816">
        <f t="shared" si="87"/>
        <v>-1</v>
      </c>
      <c r="AS76" s="816">
        <f t="shared" si="87"/>
        <v>0</v>
      </c>
      <c r="AT76" s="816">
        <f t="shared" si="87"/>
        <v>1</v>
      </c>
      <c r="AU76" s="816">
        <f t="shared" si="87"/>
        <v>2</v>
      </c>
      <c r="AV76" s="816">
        <f t="shared" si="87"/>
        <v>3</v>
      </c>
      <c r="AW76" s="816">
        <f t="shared" si="87"/>
        <v>4</v>
      </c>
      <c r="AX76" s="816">
        <f t="shared" si="87"/>
        <v>5</v>
      </c>
      <c r="AY76" s="816">
        <f t="shared" si="87"/>
        <v>6</v>
      </c>
      <c r="AZ76" s="816">
        <f t="shared" si="87"/>
        <v>7</v>
      </c>
      <c r="BA76" s="816">
        <f t="shared" si="87"/>
        <v>8</v>
      </c>
      <c r="BB76" s="816">
        <f t="shared" si="87"/>
        <v>9</v>
      </c>
      <c r="BC76" s="816">
        <f t="shared" si="87"/>
        <v>10</v>
      </c>
      <c r="BD76" s="816">
        <f t="shared" si="87"/>
        <v>11</v>
      </c>
      <c r="BE76" s="816">
        <f t="shared" si="87"/>
        <v>12</v>
      </c>
      <c r="BF76" s="816">
        <f t="shared" si="87"/>
        <v>13</v>
      </c>
      <c r="BG76" s="816">
        <f t="shared" si="87"/>
        <v>14</v>
      </c>
      <c r="BH76" s="816">
        <f t="shared" si="87"/>
        <v>15</v>
      </c>
      <c r="BI76" s="816">
        <f t="shared" si="87"/>
        <v>16</v>
      </c>
      <c r="BJ76" s="816">
        <f t="shared" si="87"/>
        <v>17</v>
      </c>
      <c r="BK76" s="816">
        <f t="shared" si="87"/>
        <v>18</v>
      </c>
      <c r="BL76" s="816">
        <f t="shared" si="87"/>
        <v>19</v>
      </c>
      <c r="BM76" s="816">
        <f t="shared" si="87"/>
        <v>20</v>
      </c>
      <c r="BN76" s="816">
        <f t="shared" si="87"/>
        <v>21</v>
      </c>
      <c r="BO76" s="816">
        <f t="shared" si="87"/>
        <v>22</v>
      </c>
      <c r="BP76" s="816">
        <f t="shared" si="87"/>
        <v>23</v>
      </c>
      <c r="BQ76" s="816">
        <f t="shared" si="87"/>
        <v>24</v>
      </c>
      <c r="BR76" s="816">
        <f t="shared" si="87"/>
        <v>25</v>
      </c>
      <c r="BS76" s="816">
        <f t="shared" si="87"/>
        <v>26</v>
      </c>
      <c r="BT76" s="816">
        <f t="shared" si="87"/>
        <v>27</v>
      </c>
      <c r="BU76" s="816">
        <f t="shared" si="87"/>
        <v>28</v>
      </c>
      <c r="BV76" s="816">
        <f t="shared" si="87"/>
        <v>29</v>
      </c>
      <c r="BW76" s="816">
        <f t="shared" si="87"/>
        <v>30</v>
      </c>
      <c r="BX76" s="816">
        <f t="shared" si="87"/>
        <v>31</v>
      </c>
      <c r="BY76" s="816">
        <f t="shared" si="87"/>
        <v>32</v>
      </c>
      <c r="BZ76" s="816">
        <f t="shared" si="87"/>
        <v>33</v>
      </c>
      <c r="CA76" s="816">
        <f t="shared" si="87"/>
        <v>34</v>
      </c>
      <c r="CB76" s="816">
        <f t="shared" si="87"/>
        <v>35</v>
      </c>
      <c r="CC76" s="816">
        <f t="shared" si="87"/>
        <v>36</v>
      </c>
      <c r="CD76" s="816">
        <f t="shared" si="87"/>
        <v>37</v>
      </c>
      <c r="CE76" s="816">
        <f t="shared" si="87"/>
        <v>38</v>
      </c>
      <c r="CF76" s="816">
        <f t="shared" si="87"/>
        <v>39</v>
      </c>
      <c r="CG76" s="817">
        <f>CG59</f>
        <v>40</v>
      </c>
    </row>
    <row r="77" spans="2:85" x14ac:dyDescent="0.2">
      <c r="S77" s="818" t="s">
        <v>1741</v>
      </c>
      <c r="T77" s="819" t="e">
        <f>MAX(U77+($AK$77-$AK$78)/28,T78+($AK$77-$AK$78)/$AK$81*T81)</f>
        <v>#DIV/0!</v>
      </c>
      <c r="U77" s="819" t="e">
        <f t="shared" ref="U77:AJ77" si="88">MAX(V77+($AK$77-$AK$78)/28,U78+($AK$77-$AK$78)/$AK$81*U81)</f>
        <v>#DIV/0!</v>
      </c>
      <c r="V77" s="819" t="e">
        <f t="shared" si="88"/>
        <v>#DIV/0!</v>
      </c>
      <c r="W77" s="819" t="e">
        <f t="shared" si="88"/>
        <v>#DIV/0!</v>
      </c>
      <c r="X77" s="819" t="e">
        <f t="shared" si="88"/>
        <v>#DIV/0!</v>
      </c>
      <c r="Y77" s="819" t="e">
        <f t="shared" si="88"/>
        <v>#DIV/0!</v>
      </c>
      <c r="Z77" s="819" t="e">
        <f t="shared" si="88"/>
        <v>#DIV/0!</v>
      </c>
      <c r="AA77" s="819" t="e">
        <f t="shared" si="88"/>
        <v>#DIV/0!</v>
      </c>
      <c r="AB77" s="819" t="e">
        <f t="shared" si="88"/>
        <v>#DIV/0!</v>
      </c>
      <c r="AC77" s="819" t="e">
        <f t="shared" si="88"/>
        <v>#DIV/0!</v>
      </c>
      <c r="AD77" s="819" t="e">
        <f t="shared" si="88"/>
        <v>#DIV/0!</v>
      </c>
      <c r="AE77" s="819" t="e">
        <f t="shared" si="88"/>
        <v>#DIV/0!</v>
      </c>
      <c r="AF77" s="819" t="e">
        <f t="shared" si="88"/>
        <v>#DIV/0!</v>
      </c>
      <c r="AG77" s="819" t="e">
        <f t="shared" si="88"/>
        <v>#DIV/0!</v>
      </c>
      <c r="AH77" s="819" t="e">
        <f t="shared" si="88"/>
        <v>#DIV/0!</v>
      </c>
      <c r="AI77" s="819" t="e">
        <f t="shared" si="88"/>
        <v>#DIV/0!</v>
      </c>
      <c r="AJ77" s="819" t="e">
        <f t="shared" si="88"/>
        <v>#DIV/0!</v>
      </c>
      <c r="AK77" s="820">
        <f>MAX(_TVL1,AK78+dTNutzer,AK78+(TVL-TRL))</f>
        <v>33</v>
      </c>
      <c r="AL77" s="819" t="e">
        <f>MAX(AK77-($AK$77-$AK$78)/28,AL78+($AK$77-$AK$78)/$AK$81*AL81)</f>
        <v>#DIV/0!</v>
      </c>
      <c r="AM77" s="819" t="e">
        <f t="shared" ref="AM77:CG77" si="89">MAX(AL77-($AK$77-$AK$78)/28,AM78+($AK$77-$AK$78)/$AK$81*AM81)</f>
        <v>#DIV/0!</v>
      </c>
      <c r="AN77" s="819" t="e">
        <f t="shared" si="89"/>
        <v>#DIV/0!</v>
      </c>
      <c r="AO77" s="819" t="e">
        <f t="shared" si="89"/>
        <v>#DIV/0!</v>
      </c>
      <c r="AP77" s="819" t="e">
        <f t="shared" si="89"/>
        <v>#DIV/0!</v>
      </c>
      <c r="AQ77" s="819" t="e">
        <f t="shared" si="89"/>
        <v>#DIV/0!</v>
      </c>
      <c r="AR77" s="819" t="e">
        <f t="shared" si="89"/>
        <v>#DIV/0!</v>
      </c>
      <c r="AS77" s="819" t="e">
        <f t="shared" si="89"/>
        <v>#DIV/0!</v>
      </c>
      <c r="AT77" s="819" t="e">
        <f t="shared" si="89"/>
        <v>#DIV/0!</v>
      </c>
      <c r="AU77" s="819" t="e">
        <f t="shared" si="89"/>
        <v>#DIV/0!</v>
      </c>
      <c r="AV77" s="819" t="e">
        <f t="shared" si="89"/>
        <v>#DIV/0!</v>
      </c>
      <c r="AW77" s="819" t="e">
        <f t="shared" si="89"/>
        <v>#DIV/0!</v>
      </c>
      <c r="AX77" s="819" t="e">
        <f t="shared" si="89"/>
        <v>#DIV/0!</v>
      </c>
      <c r="AY77" s="819" t="e">
        <f t="shared" si="89"/>
        <v>#DIV/0!</v>
      </c>
      <c r="AZ77" s="819" t="e">
        <f t="shared" si="89"/>
        <v>#DIV/0!</v>
      </c>
      <c r="BA77" s="819" t="e">
        <f t="shared" si="89"/>
        <v>#DIV/0!</v>
      </c>
      <c r="BB77" s="819" t="e">
        <f t="shared" si="89"/>
        <v>#DIV/0!</v>
      </c>
      <c r="BC77" s="819" t="e">
        <f t="shared" si="89"/>
        <v>#DIV/0!</v>
      </c>
      <c r="BD77" s="819" t="e">
        <f t="shared" si="89"/>
        <v>#DIV/0!</v>
      </c>
      <c r="BE77" s="819" t="e">
        <f t="shared" si="89"/>
        <v>#DIV/0!</v>
      </c>
      <c r="BF77" s="819" t="e">
        <f t="shared" si="89"/>
        <v>#DIV/0!</v>
      </c>
      <c r="BG77" s="819" t="e">
        <f t="shared" si="89"/>
        <v>#DIV/0!</v>
      </c>
      <c r="BH77" s="819" t="e">
        <f t="shared" si="89"/>
        <v>#DIV/0!</v>
      </c>
      <c r="BI77" s="819" t="e">
        <f t="shared" si="89"/>
        <v>#DIV/0!</v>
      </c>
      <c r="BJ77" s="819" t="e">
        <f t="shared" si="89"/>
        <v>#DIV/0!</v>
      </c>
      <c r="BK77" s="819" t="e">
        <f t="shared" si="89"/>
        <v>#DIV/0!</v>
      </c>
      <c r="BL77" s="819" t="e">
        <f t="shared" si="89"/>
        <v>#DIV/0!</v>
      </c>
      <c r="BM77" s="819" t="e">
        <f t="shared" si="89"/>
        <v>#DIV/0!</v>
      </c>
      <c r="BN77" s="819" t="e">
        <f t="shared" si="89"/>
        <v>#DIV/0!</v>
      </c>
      <c r="BO77" s="819" t="e">
        <f t="shared" si="89"/>
        <v>#DIV/0!</v>
      </c>
      <c r="BP77" s="819" t="e">
        <f t="shared" si="89"/>
        <v>#DIV/0!</v>
      </c>
      <c r="BQ77" s="819" t="e">
        <f t="shared" si="89"/>
        <v>#DIV/0!</v>
      </c>
      <c r="BR77" s="819" t="e">
        <f t="shared" si="89"/>
        <v>#DIV/0!</v>
      </c>
      <c r="BS77" s="819" t="e">
        <f t="shared" si="89"/>
        <v>#DIV/0!</v>
      </c>
      <c r="BT77" s="819" t="e">
        <f t="shared" si="89"/>
        <v>#DIV/0!</v>
      </c>
      <c r="BU77" s="819" t="e">
        <f t="shared" si="89"/>
        <v>#DIV/0!</v>
      </c>
      <c r="BV77" s="819" t="e">
        <f t="shared" si="89"/>
        <v>#DIV/0!</v>
      </c>
      <c r="BW77" s="819" t="e">
        <f t="shared" si="89"/>
        <v>#DIV/0!</v>
      </c>
      <c r="BX77" s="819" t="e">
        <f t="shared" si="89"/>
        <v>#DIV/0!</v>
      </c>
      <c r="BY77" s="819" t="e">
        <f t="shared" si="89"/>
        <v>#DIV/0!</v>
      </c>
      <c r="BZ77" s="819" t="e">
        <f t="shared" si="89"/>
        <v>#DIV/0!</v>
      </c>
      <c r="CA77" s="819" t="e">
        <f t="shared" si="89"/>
        <v>#DIV/0!</v>
      </c>
      <c r="CB77" s="819" t="e">
        <f t="shared" si="89"/>
        <v>#DIV/0!</v>
      </c>
      <c r="CC77" s="819" t="e">
        <f t="shared" si="89"/>
        <v>#DIV/0!</v>
      </c>
      <c r="CD77" s="819" t="e">
        <f t="shared" si="89"/>
        <v>#DIV/0!</v>
      </c>
      <c r="CE77" s="819" t="e">
        <f t="shared" si="89"/>
        <v>#DIV/0!</v>
      </c>
      <c r="CF77" s="819" t="e">
        <f t="shared" si="89"/>
        <v>#DIV/0!</v>
      </c>
      <c r="CG77" s="821" t="e">
        <f t="shared" si="89"/>
        <v>#DIV/0!</v>
      </c>
    </row>
    <row r="78" spans="2:85" x14ac:dyDescent="0.2">
      <c r="Q78" s="556"/>
      <c r="S78" s="818" t="s">
        <v>1742</v>
      </c>
      <c r="T78" s="819">
        <f t="shared" ref="T78:AI78" si="90">U78+($AK$78-$BM$78)/28</f>
        <v>29.21428571428574</v>
      </c>
      <c r="U78" s="819">
        <f t="shared" si="90"/>
        <v>29.142857142857167</v>
      </c>
      <c r="V78" s="819">
        <f t="shared" si="90"/>
        <v>29.071428571428594</v>
      </c>
      <c r="W78" s="819">
        <f t="shared" si="90"/>
        <v>29.000000000000021</v>
      </c>
      <c r="X78" s="819">
        <f t="shared" si="90"/>
        <v>28.928571428571448</v>
      </c>
      <c r="Y78" s="819">
        <f t="shared" si="90"/>
        <v>28.857142857142875</v>
      </c>
      <c r="Z78" s="819">
        <f t="shared" si="90"/>
        <v>28.785714285714302</v>
      </c>
      <c r="AA78" s="819">
        <f t="shared" si="90"/>
        <v>28.71428571428573</v>
      </c>
      <c r="AB78" s="819">
        <f t="shared" si="90"/>
        <v>28.642857142857157</v>
      </c>
      <c r="AC78" s="819">
        <f t="shared" si="90"/>
        <v>28.571428571428584</v>
      </c>
      <c r="AD78" s="819">
        <f t="shared" si="90"/>
        <v>28.500000000000011</v>
      </c>
      <c r="AE78" s="819">
        <f t="shared" si="90"/>
        <v>28.428571428571438</v>
      </c>
      <c r="AF78" s="819">
        <f t="shared" si="90"/>
        <v>28.357142857142865</v>
      </c>
      <c r="AG78" s="819">
        <f t="shared" si="90"/>
        <v>28.285714285714292</v>
      </c>
      <c r="AH78" s="819">
        <f t="shared" si="90"/>
        <v>28.214285714285719</v>
      </c>
      <c r="AI78" s="819">
        <f t="shared" si="90"/>
        <v>28.142857142857146</v>
      </c>
      <c r="AJ78" s="819">
        <f>AK78+($AK$78-$BM$78)/28</f>
        <v>28.071428571428573</v>
      </c>
      <c r="AK78" s="820">
        <f>'WP1'!M25</f>
        <v>28</v>
      </c>
      <c r="AL78" s="819">
        <f t="shared" ref="AL78:BK78" si="91">AM78+($AK$78-$BM$78)/28</f>
        <v>27.92857142857147</v>
      </c>
      <c r="AM78" s="819">
        <f t="shared" si="91"/>
        <v>27.857142857142897</v>
      </c>
      <c r="AN78" s="819">
        <f t="shared" si="91"/>
        <v>27.785714285714324</v>
      </c>
      <c r="AO78" s="819">
        <f t="shared" si="91"/>
        <v>27.714285714285751</v>
      </c>
      <c r="AP78" s="819">
        <f t="shared" si="91"/>
        <v>27.642857142857178</v>
      </c>
      <c r="AQ78" s="819">
        <f t="shared" si="91"/>
        <v>27.571428571428605</v>
      </c>
      <c r="AR78" s="819">
        <f t="shared" si="91"/>
        <v>27.500000000000032</v>
      </c>
      <c r="AS78" s="819">
        <f t="shared" si="91"/>
        <v>27.428571428571459</v>
      </c>
      <c r="AT78" s="819">
        <f t="shared" si="91"/>
        <v>27.357142857142886</v>
      </c>
      <c r="AU78" s="819">
        <f t="shared" si="91"/>
        <v>27.285714285714313</v>
      </c>
      <c r="AV78" s="819">
        <f t="shared" si="91"/>
        <v>27.21428571428574</v>
      </c>
      <c r="AW78" s="819">
        <f t="shared" si="91"/>
        <v>27.142857142857167</v>
      </c>
      <c r="AX78" s="819">
        <f t="shared" si="91"/>
        <v>27.071428571428594</v>
      </c>
      <c r="AY78" s="819">
        <f t="shared" si="91"/>
        <v>27.000000000000021</v>
      </c>
      <c r="AZ78" s="819">
        <f t="shared" si="91"/>
        <v>26.928571428571448</v>
      </c>
      <c r="BA78" s="819">
        <f t="shared" si="91"/>
        <v>26.857142857142875</v>
      </c>
      <c r="BB78" s="819">
        <f t="shared" si="91"/>
        <v>26.785714285714302</v>
      </c>
      <c r="BC78" s="819">
        <f t="shared" si="91"/>
        <v>26.71428571428573</v>
      </c>
      <c r="BD78" s="819">
        <f t="shared" si="91"/>
        <v>26.642857142857157</v>
      </c>
      <c r="BE78" s="819">
        <f t="shared" si="91"/>
        <v>26.571428571428584</v>
      </c>
      <c r="BF78" s="819">
        <f t="shared" si="91"/>
        <v>26.500000000000011</v>
      </c>
      <c r="BG78" s="819">
        <f t="shared" si="91"/>
        <v>26.428571428571438</v>
      </c>
      <c r="BH78" s="819">
        <f t="shared" si="91"/>
        <v>26.357142857142865</v>
      </c>
      <c r="BI78" s="819">
        <f t="shared" si="91"/>
        <v>26.285714285714292</v>
      </c>
      <c r="BJ78" s="819">
        <f t="shared" si="91"/>
        <v>26.214285714285719</v>
      </c>
      <c r="BK78" s="819">
        <f t="shared" si="91"/>
        <v>26.142857142857146</v>
      </c>
      <c r="BL78" s="819">
        <f>BM78+($AK$78-$BM$78)/28</f>
        <v>26.071428571428573</v>
      </c>
      <c r="BM78" s="820">
        <f>'WP1'!R34</f>
        <v>26</v>
      </c>
      <c r="BN78" s="819">
        <f>BM78</f>
        <v>26</v>
      </c>
      <c r="BO78" s="819">
        <f t="shared" ref="BO78:CG78" si="92">BN78</f>
        <v>26</v>
      </c>
      <c r="BP78" s="819">
        <f t="shared" si="92"/>
        <v>26</v>
      </c>
      <c r="BQ78" s="819">
        <f t="shared" si="92"/>
        <v>26</v>
      </c>
      <c r="BR78" s="819">
        <f t="shared" si="92"/>
        <v>26</v>
      </c>
      <c r="BS78" s="819">
        <f t="shared" si="92"/>
        <v>26</v>
      </c>
      <c r="BT78" s="819">
        <f t="shared" si="92"/>
        <v>26</v>
      </c>
      <c r="BU78" s="819">
        <f t="shared" si="92"/>
        <v>26</v>
      </c>
      <c r="BV78" s="819">
        <f t="shared" si="92"/>
        <v>26</v>
      </c>
      <c r="BW78" s="819">
        <f t="shared" si="92"/>
        <v>26</v>
      </c>
      <c r="BX78" s="819">
        <f t="shared" si="92"/>
        <v>26</v>
      </c>
      <c r="BY78" s="819">
        <f t="shared" si="92"/>
        <v>26</v>
      </c>
      <c r="BZ78" s="819">
        <f t="shared" si="92"/>
        <v>26</v>
      </c>
      <c r="CA78" s="819">
        <f t="shared" si="92"/>
        <v>26</v>
      </c>
      <c r="CB78" s="819">
        <f t="shared" si="92"/>
        <v>26</v>
      </c>
      <c r="CC78" s="819">
        <f t="shared" si="92"/>
        <v>26</v>
      </c>
      <c r="CD78" s="819">
        <f t="shared" si="92"/>
        <v>26</v>
      </c>
      <c r="CE78" s="819">
        <f t="shared" si="92"/>
        <v>26</v>
      </c>
      <c r="CF78" s="819">
        <f t="shared" si="92"/>
        <v>26</v>
      </c>
      <c r="CG78" s="822">
        <f t="shared" si="92"/>
        <v>26</v>
      </c>
    </row>
    <row r="79" spans="2:85" x14ac:dyDescent="0.2">
      <c r="S79" s="335" t="s">
        <v>2136</v>
      </c>
      <c r="T79" s="286">
        <f>IF(OR(WPArt=3,WPArt=5,WPArt=4,WPArt=6),T63,IF(OR(WPArt=2),T44,))</f>
        <v>0</v>
      </c>
      <c r="U79" s="286">
        <f t="shared" ref="U79:CF79" si="93">IF(OR(WPArt=3,WPArt=5,WPArt=4,WPArt=6),U63,IF(OR(WPArt=2),U44,))</f>
        <v>0</v>
      </c>
      <c r="V79" s="286">
        <f t="shared" si="93"/>
        <v>0</v>
      </c>
      <c r="W79" s="286">
        <f t="shared" si="93"/>
        <v>0</v>
      </c>
      <c r="X79" s="286">
        <f t="shared" si="93"/>
        <v>0</v>
      </c>
      <c r="Y79" s="286">
        <f t="shared" si="93"/>
        <v>0</v>
      </c>
      <c r="Z79" s="286">
        <f t="shared" si="93"/>
        <v>0</v>
      </c>
      <c r="AA79" s="286">
        <f t="shared" si="93"/>
        <v>0</v>
      </c>
      <c r="AB79" s="286">
        <f t="shared" si="93"/>
        <v>0</v>
      </c>
      <c r="AC79" s="286">
        <f t="shared" si="93"/>
        <v>0</v>
      </c>
      <c r="AD79" s="286">
        <f t="shared" si="93"/>
        <v>0</v>
      </c>
      <c r="AE79" s="286">
        <f t="shared" si="93"/>
        <v>0</v>
      </c>
      <c r="AF79" s="286">
        <f t="shared" si="93"/>
        <v>0</v>
      </c>
      <c r="AG79" s="286">
        <f t="shared" si="93"/>
        <v>0</v>
      </c>
      <c r="AH79" s="286">
        <f t="shared" si="93"/>
        <v>0</v>
      </c>
      <c r="AI79" s="286">
        <f t="shared" si="93"/>
        <v>0</v>
      </c>
      <c r="AJ79" s="286">
        <f t="shared" si="93"/>
        <v>0</v>
      </c>
      <c r="AK79" s="286">
        <f t="shared" si="93"/>
        <v>0</v>
      </c>
      <c r="AL79" s="286">
        <f t="shared" si="93"/>
        <v>0</v>
      </c>
      <c r="AM79" s="286">
        <f t="shared" si="93"/>
        <v>0</v>
      </c>
      <c r="AN79" s="286">
        <f t="shared" si="93"/>
        <v>0</v>
      </c>
      <c r="AO79" s="286">
        <f t="shared" si="93"/>
        <v>0</v>
      </c>
      <c r="AP79" s="286">
        <f t="shared" si="93"/>
        <v>0</v>
      </c>
      <c r="AQ79" s="286">
        <f t="shared" si="93"/>
        <v>0</v>
      </c>
      <c r="AR79" s="286">
        <f t="shared" si="93"/>
        <v>0</v>
      </c>
      <c r="AS79" s="286">
        <f t="shared" si="93"/>
        <v>0</v>
      </c>
      <c r="AT79" s="286">
        <f t="shared" si="93"/>
        <v>0</v>
      </c>
      <c r="AU79" s="286">
        <f t="shared" si="93"/>
        <v>0</v>
      </c>
      <c r="AV79" s="286">
        <f t="shared" si="93"/>
        <v>0</v>
      </c>
      <c r="AW79" s="286">
        <f t="shared" si="93"/>
        <v>0</v>
      </c>
      <c r="AX79" s="286">
        <f t="shared" si="93"/>
        <v>0</v>
      </c>
      <c r="AY79" s="286">
        <f t="shared" si="93"/>
        <v>0</v>
      </c>
      <c r="AZ79" s="286">
        <f t="shared" si="93"/>
        <v>0</v>
      </c>
      <c r="BA79" s="286">
        <f t="shared" si="93"/>
        <v>0</v>
      </c>
      <c r="BB79" s="286">
        <f t="shared" si="93"/>
        <v>0</v>
      </c>
      <c r="BC79" s="286">
        <f t="shared" si="93"/>
        <v>0</v>
      </c>
      <c r="BD79" s="286">
        <f t="shared" si="93"/>
        <v>0</v>
      </c>
      <c r="BE79" s="286">
        <f t="shared" si="93"/>
        <v>0</v>
      </c>
      <c r="BF79" s="286">
        <f t="shared" si="93"/>
        <v>0</v>
      </c>
      <c r="BG79" s="286">
        <f t="shared" si="93"/>
        <v>0</v>
      </c>
      <c r="BH79" s="286">
        <f t="shared" si="93"/>
        <v>0</v>
      </c>
      <c r="BI79" s="286">
        <f t="shared" si="93"/>
        <v>0</v>
      </c>
      <c r="BJ79" s="286">
        <f t="shared" si="93"/>
        <v>0</v>
      </c>
      <c r="BK79" s="286">
        <f t="shared" si="93"/>
        <v>0</v>
      </c>
      <c r="BL79" s="286">
        <f t="shared" si="93"/>
        <v>0</v>
      </c>
      <c r="BM79" s="286">
        <f t="shared" si="93"/>
        <v>0</v>
      </c>
      <c r="BN79" s="286">
        <f t="shared" si="93"/>
        <v>0</v>
      </c>
      <c r="BO79" s="286">
        <f t="shared" si="93"/>
        <v>0</v>
      </c>
      <c r="BP79" s="286">
        <f t="shared" si="93"/>
        <v>0</v>
      </c>
      <c r="BQ79" s="286">
        <f t="shared" si="93"/>
        <v>0</v>
      </c>
      <c r="BR79" s="286">
        <f t="shared" si="93"/>
        <v>0</v>
      </c>
      <c r="BS79" s="286">
        <f t="shared" si="93"/>
        <v>0</v>
      </c>
      <c r="BT79" s="286">
        <f t="shared" si="93"/>
        <v>0</v>
      </c>
      <c r="BU79" s="286">
        <f t="shared" si="93"/>
        <v>0</v>
      </c>
      <c r="BV79" s="286">
        <f t="shared" si="93"/>
        <v>0</v>
      </c>
      <c r="BW79" s="286">
        <f t="shared" si="93"/>
        <v>0</v>
      </c>
      <c r="BX79" s="286">
        <f t="shared" si="93"/>
        <v>0</v>
      </c>
      <c r="BY79" s="286">
        <f t="shared" si="93"/>
        <v>0</v>
      </c>
      <c r="BZ79" s="286">
        <f t="shared" si="93"/>
        <v>0</v>
      </c>
      <c r="CA79" s="286">
        <f t="shared" si="93"/>
        <v>0</v>
      </c>
      <c r="CB79" s="286">
        <f t="shared" si="93"/>
        <v>0</v>
      </c>
      <c r="CC79" s="286">
        <f t="shared" si="93"/>
        <v>0</v>
      </c>
      <c r="CD79" s="286">
        <f t="shared" si="93"/>
        <v>0</v>
      </c>
      <c r="CE79" s="286">
        <f t="shared" si="93"/>
        <v>0</v>
      </c>
      <c r="CF79" s="286">
        <f t="shared" si="93"/>
        <v>0</v>
      </c>
      <c r="CG79" s="309">
        <f>IF(OR(WPArt=3,WPArt=5,WPArt=4,WPArt=6),CG63,IF(OR(WPArt=2),CG44,))</f>
        <v>0</v>
      </c>
    </row>
    <row r="80" spans="2:85" x14ac:dyDescent="0.2">
      <c r="S80" s="335" t="s">
        <v>3272</v>
      </c>
      <c r="T80" s="286">
        <f>T79*(Etah*wh+Etaw*www)*(24-IF(Sperrzeit&lt;&gt;"",Sperrzeit,0))/24</f>
        <v>0</v>
      </c>
      <c r="U80" s="286">
        <f t="shared" ref="U80:CF80" si="94">U79*(Etah*wh+Etaw*www)*(24-IF(Sperrzeit&lt;&gt;"",Sperrzeit,0))/24</f>
        <v>0</v>
      </c>
      <c r="V80" s="286">
        <f t="shared" si="94"/>
        <v>0</v>
      </c>
      <c r="W80" s="286">
        <f t="shared" si="94"/>
        <v>0</v>
      </c>
      <c r="X80" s="286">
        <f t="shared" si="94"/>
        <v>0</v>
      </c>
      <c r="Y80" s="286">
        <f t="shared" si="94"/>
        <v>0</v>
      </c>
      <c r="Z80" s="286">
        <f t="shared" si="94"/>
        <v>0</v>
      </c>
      <c r="AA80" s="286">
        <f t="shared" si="94"/>
        <v>0</v>
      </c>
      <c r="AB80" s="286">
        <f t="shared" si="94"/>
        <v>0</v>
      </c>
      <c r="AC80" s="286">
        <f t="shared" si="94"/>
        <v>0</v>
      </c>
      <c r="AD80" s="286">
        <f t="shared" si="94"/>
        <v>0</v>
      </c>
      <c r="AE80" s="286">
        <f t="shared" si="94"/>
        <v>0</v>
      </c>
      <c r="AF80" s="286">
        <f t="shared" si="94"/>
        <v>0</v>
      </c>
      <c r="AG80" s="286">
        <f t="shared" si="94"/>
        <v>0</v>
      </c>
      <c r="AH80" s="286">
        <f t="shared" si="94"/>
        <v>0</v>
      </c>
      <c r="AI80" s="286">
        <f t="shared" si="94"/>
        <v>0</v>
      </c>
      <c r="AJ80" s="286">
        <f t="shared" si="94"/>
        <v>0</v>
      </c>
      <c r="AK80" s="286">
        <f t="shared" si="94"/>
        <v>0</v>
      </c>
      <c r="AL80" s="286">
        <f t="shared" si="94"/>
        <v>0</v>
      </c>
      <c r="AM80" s="286">
        <f t="shared" si="94"/>
        <v>0</v>
      </c>
      <c r="AN80" s="286">
        <f t="shared" si="94"/>
        <v>0</v>
      </c>
      <c r="AO80" s="286">
        <f t="shared" si="94"/>
        <v>0</v>
      </c>
      <c r="AP80" s="286">
        <f t="shared" si="94"/>
        <v>0</v>
      </c>
      <c r="AQ80" s="286">
        <f t="shared" si="94"/>
        <v>0</v>
      </c>
      <c r="AR80" s="286">
        <f t="shared" si="94"/>
        <v>0</v>
      </c>
      <c r="AS80" s="286">
        <f t="shared" si="94"/>
        <v>0</v>
      </c>
      <c r="AT80" s="286">
        <f t="shared" si="94"/>
        <v>0</v>
      </c>
      <c r="AU80" s="286">
        <f t="shared" si="94"/>
        <v>0</v>
      </c>
      <c r="AV80" s="286">
        <f t="shared" si="94"/>
        <v>0</v>
      </c>
      <c r="AW80" s="286">
        <f t="shared" si="94"/>
        <v>0</v>
      </c>
      <c r="AX80" s="286">
        <f t="shared" si="94"/>
        <v>0</v>
      </c>
      <c r="AY80" s="286">
        <f t="shared" si="94"/>
        <v>0</v>
      </c>
      <c r="AZ80" s="286">
        <f t="shared" si="94"/>
        <v>0</v>
      </c>
      <c r="BA80" s="286">
        <f t="shared" si="94"/>
        <v>0</v>
      </c>
      <c r="BB80" s="286">
        <f t="shared" si="94"/>
        <v>0</v>
      </c>
      <c r="BC80" s="286">
        <f t="shared" si="94"/>
        <v>0</v>
      </c>
      <c r="BD80" s="286">
        <f t="shared" si="94"/>
        <v>0</v>
      </c>
      <c r="BE80" s="286">
        <f t="shared" si="94"/>
        <v>0</v>
      </c>
      <c r="BF80" s="286">
        <f t="shared" si="94"/>
        <v>0</v>
      </c>
      <c r="BG80" s="286">
        <f t="shared" si="94"/>
        <v>0</v>
      </c>
      <c r="BH80" s="286">
        <f t="shared" si="94"/>
        <v>0</v>
      </c>
      <c r="BI80" s="286">
        <f t="shared" si="94"/>
        <v>0</v>
      </c>
      <c r="BJ80" s="286">
        <f t="shared" si="94"/>
        <v>0</v>
      </c>
      <c r="BK80" s="286">
        <f t="shared" si="94"/>
        <v>0</v>
      </c>
      <c r="BL80" s="286">
        <f t="shared" si="94"/>
        <v>0</v>
      </c>
      <c r="BM80" s="286">
        <f t="shared" si="94"/>
        <v>0</v>
      </c>
      <c r="BN80" s="286">
        <f t="shared" si="94"/>
        <v>0</v>
      </c>
      <c r="BO80" s="286">
        <f t="shared" si="94"/>
        <v>0</v>
      </c>
      <c r="BP80" s="286">
        <f t="shared" si="94"/>
        <v>0</v>
      </c>
      <c r="BQ80" s="286">
        <f t="shared" si="94"/>
        <v>0</v>
      </c>
      <c r="BR80" s="286">
        <f t="shared" si="94"/>
        <v>0</v>
      </c>
      <c r="BS80" s="286">
        <f t="shared" si="94"/>
        <v>0</v>
      </c>
      <c r="BT80" s="286">
        <f t="shared" si="94"/>
        <v>0</v>
      </c>
      <c r="BU80" s="286">
        <f t="shared" si="94"/>
        <v>0</v>
      </c>
      <c r="BV80" s="286">
        <f t="shared" si="94"/>
        <v>0</v>
      </c>
      <c r="BW80" s="286">
        <f t="shared" si="94"/>
        <v>0</v>
      </c>
      <c r="BX80" s="286">
        <f t="shared" si="94"/>
        <v>0</v>
      </c>
      <c r="BY80" s="286">
        <f t="shared" si="94"/>
        <v>0</v>
      </c>
      <c r="BZ80" s="286">
        <f t="shared" si="94"/>
        <v>0</v>
      </c>
      <c r="CA80" s="286">
        <f t="shared" si="94"/>
        <v>0</v>
      </c>
      <c r="CB80" s="286">
        <f t="shared" si="94"/>
        <v>0</v>
      </c>
      <c r="CC80" s="286">
        <f t="shared" si="94"/>
        <v>0</v>
      </c>
      <c r="CD80" s="286">
        <f t="shared" si="94"/>
        <v>0</v>
      </c>
      <c r="CE80" s="286">
        <f t="shared" si="94"/>
        <v>0</v>
      </c>
      <c r="CF80" s="286">
        <f t="shared" si="94"/>
        <v>0</v>
      </c>
      <c r="CG80" s="309">
        <f>CG79*(Etah*wh+Etaw*www)*(24-IF(Sperrzeit&lt;&gt;"",Sperrzeit,0))/24</f>
        <v>0</v>
      </c>
    </row>
    <row r="81" spans="19:86" x14ac:dyDescent="0.2">
      <c r="S81" s="335" t="str">
        <f>"Qheiz Schätzung "&amp;B31&amp;"°C"</f>
        <v>Qheiz Schätzung 35°C</v>
      </c>
      <c r="T81" s="286">
        <f t="shared" ref="T81:AY81" si="95">IF(OR(WPArt=2,WPArt=6),IF(T$76&lt;=$D$30,$D$31,IF(T$76&lt;=$E$30,$D$31+($E$31-$D$31)/($E$30-$D$30)*(T$76-$D$30),IF(T$76&lt;=$F$30,$E$31+($F$31-$E$31)/($F$30-$E$30)*(T$76-$E$30),IF(T$76&lt;=$G$30,$F$31+($G$31-$F$31)/($G$30-$F$30)*(T$76-$F$30),IF(T$76&lt;=$H$30,$G$31+($H$31-$G$31)/($H$30-$G$30)*(T$76-$G$30),IF(T$76&lt;=$I$30,$H$31+($I$31-$H$31)/($I$30-$H$30)*(T$76-$H$30),IF(T$76&lt;=$J$30,$I$31+($J$31-$I$31)/($J$30-$I$30)*(T$76-$I$30),$J$31))))))),$G$70)</f>
        <v>0</v>
      </c>
      <c r="U81" s="286">
        <f t="shared" si="95"/>
        <v>0</v>
      </c>
      <c r="V81" s="286">
        <f t="shared" si="95"/>
        <v>0</v>
      </c>
      <c r="W81" s="286">
        <f t="shared" si="95"/>
        <v>0</v>
      </c>
      <c r="X81" s="286">
        <f t="shared" si="95"/>
        <v>0</v>
      </c>
      <c r="Y81" s="286">
        <f t="shared" si="95"/>
        <v>0</v>
      </c>
      <c r="Z81" s="286">
        <f t="shared" si="95"/>
        <v>0</v>
      </c>
      <c r="AA81" s="286">
        <f t="shared" si="95"/>
        <v>0</v>
      </c>
      <c r="AB81" s="286">
        <f t="shared" si="95"/>
        <v>0</v>
      </c>
      <c r="AC81" s="286">
        <f t="shared" si="95"/>
        <v>0</v>
      </c>
      <c r="AD81" s="286">
        <f t="shared" si="95"/>
        <v>0</v>
      </c>
      <c r="AE81" s="286">
        <f t="shared" si="95"/>
        <v>0</v>
      </c>
      <c r="AF81" s="286">
        <f t="shared" si="95"/>
        <v>0</v>
      </c>
      <c r="AG81" s="286">
        <f t="shared" si="95"/>
        <v>0</v>
      </c>
      <c r="AH81" s="286">
        <f t="shared" si="95"/>
        <v>0</v>
      </c>
      <c r="AI81" s="286">
        <f t="shared" si="95"/>
        <v>0</v>
      </c>
      <c r="AJ81" s="286">
        <f t="shared" si="95"/>
        <v>0</v>
      </c>
      <c r="AK81" s="286">
        <f t="shared" si="95"/>
        <v>0</v>
      </c>
      <c r="AL81" s="286">
        <f t="shared" si="95"/>
        <v>0</v>
      </c>
      <c r="AM81" s="286">
        <f t="shared" si="95"/>
        <v>0</v>
      </c>
      <c r="AN81" s="286">
        <f t="shared" si="95"/>
        <v>0</v>
      </c>
      <c r="AO81" s="286">
        <f t="shared" si="95"/>
        <v>0</v>
      </c>
      <c r="AP81" s="286">
        <f t="shared" si="95"/>
        <v>0</v>
      </c>
      <c r="AQ81" s="286">
        <f t="shared" si="95"/>
        <v>0</v>
      </c>
      <c r="AR81" s="286">
        <f t="shared" si="95"/>
        <v>0</v>
      </c>
      <c r="AS81" s="286">
        <f t="shared" si="95"/>
        <v>0</v>
      </c>
      <c r="AT81" s="286">
        <f t="shared" si="95"/>
        <v>0</v>
      </c>
      <c r="AU81" s="286">
        <f t="shared" si="95"/>
        <v>0</v>
      </c>
      <c r="AV81" s="286">
        <f t="shared" si="95"/>
        <v>0</v>
      </c>
      <c r="AW81" s="286">
        <f t="shared" si="95"/>
        <v>0</v>
      </c>
      <c r="AX81" s="286">
        <f t="shared" si="95"/>
        <v>0</v>
      </c>
      <c r="AY81" s="286">
        <f t="shared" si="95"/>
        <v>0</v>
      </c>
      <c r="AZ81" s="286">
        <f t="shared" ref="AZ81:CG81" si="96">IF(OR(WPArt=2,WPArt=6),IF(AZ$76&lt;=$D$30,$D$31,IF(AZ$76&lt;=$E$30,$D$31+($E$31-$D$31)/($E$30-$D$30)*(AZ$76-$D$30),IF(AZ$76&lt;=$F$30,$E$31+($F$31-$E$31)/($F$30-$E$30)*(AZ$76-$E$30),IF(AZ$76&lt;=$G$30,$F$31+($G$31-$F$31)/($G$30-$F$30)*(AZ$76-$F$30),IF(AZ$76&lt;=$H$30,$G$31+($H$31-$G$31)/($H$30-$G$30)*(AZ$76-$G$30),IF(AZ$76&lt;=$I$30,$H$31+($I$31-$H$31)/($I$30-$H$30)*(AZ$76-$H$30),IF(AZ$76&lt;=$J$30,$I$31+($J$31-$I$31)/($J$30-$I$30)*(AZ$76-$I$30),$J$31))))))),$G$70)</f>
        <v>0</v>
      </c>
      <c r="BA81" s="286">
        <f t="shared" si="96"/>
        <v>0</v>
      </c>
      <c r="BB81" s="286">
        <f t="shared" si="96"/>
        <v>0</v>
      </c>
      <c r="BC81" s="286">
        <f t="shared" si="96"/>
        <v>0</v>
      </c>
      <c r="BD81" s="286">
        <f t="shared" si="96"/>
        <v>0</v>
      </c>
      <c r="BE81" s="286">
        <f t="shared" si="96"/>
        <v>0</v>
      </c>
      <c r="BF81" s="286">
        <f t="shared" si="96"/>
        <v>0</v>
      </c>
      <c r="BG81" s="286">
        <f t="shared" si="96"/>
        <v>0</v>
      </c>
      <c r="BH81" s="286">
        <f t="shared" si="96"/>
        <v>0</v>
      </c>
      <c r="BI81" s="286">
        <f t="shared" si="96"/>
        <v>0</v>
      </c>
      <c r="BJ81" s="286">
        <f t="shared" si="96"/>
        <v>0</v>
      </c>
      <c r="BK81" s="286">
        <f t="shared" si="96"/>
        <v>0</v>
      </c>
      <c r="BL81" s="286">
        <f t="shared" si="96"/>
        <v>0</v>
      </c>
      <c r="BM81" s="286">
        <f t="shared" si="96"/>
        <v>0</v>
      </c>
      <c r="BN81" s="286">
        <f t="shared" si="96"/>
        <v>0</v>
      </c>
      <c r="BO81" s="286">
        <f t="shared" si="96"/>
        <v>0</v>
      </c>
      <c r="BP81" s="286">
        <f t="shared" si="96"/>
        <v>0</v>
      </c>
      <c r="BQ81" s="286">
        <f t="shared" si="96"/>
        <v>0</v>
      </c>
      <c r="BR81" s="286">
        <f t="shared" si="96"/>
        <v>0</v>
      </c>
      <c r="BS81" s="286">
        <f t="shared" si="96"/>
        <v>0</v>
      </c>
      <c r="BT81" s="286">
        <f t="shared" si="96"/>
        <v>0</v>
      </c>
      <c r="BU81" s="286">
        <f t="shared" si="96"/>
        <v>0</v>
      </c>
      <c r="BV81" s="286">
        <f t="shared" si="96"/>
        <v>0</v>
      </c>
      <c r="BW81" s="286">
        <f t="shared" si="96"/>
        <v>0</v>
      </c>
      <c r="BX81" s="286">
        <f t="shared" si="96"/>
        <v>0</v>
      </c>
      <c r="BY81" s="286">
        <f t="shared" si="96"/>
        <v>0</v>
      </c>
      <c r="BZ81" s="286">
        <f t="shared" si="96"/>
        <v>0</v>
      </c>
      <c r="CA81" s="286">
        <f t="shared" si="96"/>
        <v>0</v>
      </c>
      <c r="CB81" s="286">
        <f t="shared" si="96"/>
        <v>0</v>
      </c>
      <c r="CC81" s="286">
        <f t="shared" si="96"/>
        <v>0</v>
      </c>
      <c r="CD81" s="286">
        <f t="shared" si="96"/>
        <v>0</v>
      </c>
      <c r="CE81" s="286">
        <f t="shared" si="96"/>
        <v>0</v>
      </c>
      <c r="CF81" s="286">
        <f t="shared" si="96"/>
        <v>0</v>
      </c>
      <c r="CG81" s="309">
        <f t="shared" si="96"/>
        <v>0</v>
      </c>
    </row>
    <row r="82" spans="19:86" x14ac:dyDescent="0.2">
      <c r="S82" s="335" t="str">
        <f>"COP "&amp;B31&amp;"°C"</f>
        <v>COP 35°C</v>
      </c>
      <c r="T82" s="286">
        <f ca="1">IF(T$76&lt;=$D$30,$D$32,IF(T$76&lt;=$E$30,$D$32+($E$32-$D$32)/($E$30-$D$30)*(T$76-$D$30),IF(T$76&lt;=$F$30,$E$32+($F$32-$E$32)/($F$30-$E$30)*(T$76-$E$30),IF(T$76&lt;=$G$30,$F$32+($G$32-$F$32)/($G$30-$F$30)*(T$76-$F$30),IF(T$76&lt;=$H$30,$G$32+($H$32-$G$32)/($H$30-$G$30)*(T$76-$G$30),IF(T$76&lt;=$I$30,$H$32+($I$32-$H$32)/($I$30-$H$30)*(T$76-$H$30),IF(T$76&lt;=$J$30,$I$32+($J$32-$I$32)/($J$30-$I$30)*(T$76-$I$30),$J$32)))))))</f>
        <v>0</v>
      </c>
      <c r="U82" s="286">
        <f t="shared" ref="U82:CF82" ca="1" si="97">IF(U$76&lt;=$D$30,$D$32,IF(U$76&lt;=$E$30,$D$32+($E$32-$D$32)/($E$30-$D$30)*(U$76-$D$30),IF(U$76&lt;=$F$30,$E$32+($F$32-$E$32)/($F$30-$E$30)*(U$76-$E$30),IF(U$76&lt;=$G$30,$F$32+($G$32-$F$32)/($G$30-$F$30)*(U$76-$F$30),IF(U$76&lt;=$H$30,$G$32+($H$32-$G$32)/($H$30-$G$30)*(U$76-$G$30),IF(U$76&lt;=$I$30,$H$32+($I$32-$H$32)/($I$30-$H$30)*(U$76-$H$30),IF(U$76&lt;=$J$30,$I$32+($J$32-$I$32)/($J$30-$I$30)*(U$76-$I$30),$J$32)))))))</f>
        <v>0</v>
      </c>
      <c r="V82" s="286">
        <f t="shared" ca="1" si="97"/>
        <v>0</v>
      </c>
      <c r="W82" s="286">
        <f t="shared" ca="1" si="97"/>
        <v>0</v>
      </c>
      <c r="X82" s="286">
        <f t="shared" ca="1" si="97"/>
        <v>0</v>
      </c>
      <c r="Y82" s="286">
        <f t="shared" ca="1" si="97"/>
        <v>0</v>
      </c>
      <c r="Z82" s="286">
        <f t="shared" ca="1" si="97"/>
        <v>0</v>
      </c>
      <c r="AA82" s="286">
        <f t="shared" ca="1" si="97"/>
        <v>0</v>
      </c>
      <c r="AB82" s="286">
        <f t="shared" ca="1" si="97"/>
        <v>0</v>
      </c>
      <c r="AC82" s="286">
        <f t="shared" ca="1" si="97"/>
        <v>0</v>
      </c>
      <c r="AD82" s="286">
        <f t="shared" ca="1" si="97"/>
        <v>0</v>
      </c>
      <c r="AE82" s="286">
        <f t="shared" ca="1" si="97"/>
        <v>0</v>
      </c>
      <c r="AF82" s="286">
        <f t="shared" ca="1" si="97"/>
        <v>0</v>
      </c>
      <c r="AG82" s="286">
        <f t="shared" ca="1" si="97"/>
        <v>0</v>
      </c>
      <c r="AH82" s="286">
        <f t="shared" ca="1" si="97"/>
        <v>0</v>
      </c>
      <c r="AI82" s="286">
        <f t="shared" ca="1" si="97"/>
        <v>0</v>
      </c>
      <c r="AJ82" s="286">
        <f t="shared" ca="1" si="97"/>
        <v>0</v>
      </c>
      <c r="AK82" s="286">
        <f t="shared" ca="1" si="97"/>
        <v>0</v>
      </c>
      <c r="AL82" s="286">
        <f t="shared" ca="1" si="97"/>
        <v>0</v>
      </c>
      <c r="AM82" s="286">
        <f t="shared" ca="1" si="97"/>
        <v>0</v>
      </c>
      <c r="AN82" s="286">
        <f t="shared" ca="1" si="97"/>
        <v>0</v>
      </c>
      <c r="AO82" s="286">
        <f t="shared" ca="1" si="97"/>
        <v>0</v>
      </c>
      <c r="AP82" s="286">
        <f t="shared" ca="1" si="97"/>
        <v>0</v>
      </c>
      <c r="AQ82" s="286">
        <f t="shared" ca="1" si="97"/>
        <v>0</v>
      </c>
      <c r="AR82" s="286">
        <f t="shared" ca="1" si="97"/>
        <v>0</v>
      </c>
      <c r="AS82" s="286">
        <f t="shared" ca="1" si="97"/>
        <v>0</v>
      </c>
      <c r="AT82" s="286">
        <f t="shared" ca="1" si="97"/>
        <v>0</v>
      </c>
      <c r="AU82" s="286">
        <f t="shared" ca="1" si="97"/>
        <v>0</v>
      </c>
      <c r="AV82" s="286">
        <f t="shared" ca="1" si="97"/>
        <v>0</v>
      </c>
      <c r="AW82" s="286">
        <f t="shared" ca="1" si="97"/>
        <v>0</v>
      </c>
      <c r="AX82" s="286">
        <f t="shared" ca="1" si="97"/>
        <v>0</v>
      </c>
      <c r="AY82" s="286">
        <f t="shared" ca="1" si="97"/>
        <v>0</v>
      </c>
      <c r="AZ82" s="286">
        <f t="shared" ca="1" si="97"/>
        <v>0</v>
      </c>
      <c r="BA82" s="286">
        <f t="shared" ca="1" si="97"/>
        <v>0</v>
      </c>
      <c r="BB82" s="286">
        <f t="shared" ca="1" si="97"/>
        <v>0</v>
      </c>
      <c r="BC82" s="286">
        <f t="shared" ca="1" si="97"/>
        <v>0</v>
      </c>
      <c r="BD82" s="286">
        <f t="shared" ca="1" si="97"/>
        <v>0</v>
      </c>
      <c r="BE82" s="286">
        <f t="shared" ca="1" si="97"/>
        <v>0</v>
      </c>
      <c r="BF82" s="286">
        <f t="shared" ca="1" si="97"/>
        <v>0</v>
      </c>
      <c r="BG82" s="286">
        <f t="shared" ca="1" si="97"/>
        <v>0</v>
      </c>
      <c r="BH82" s="286">
        <f t="shared" ca="1" si="97"/>
        <v>0</v>
      </c>
      <c r="BI82" s="286">
        <f t="shared" ca="1" si="97"/>
        <v>0</v>
      </c>
      <c r="BJ82" s="286">
        <f t="shared" ca="1" si="97"/>
        <v>0</v>
      </c>
      <c r="BK82" s="286">
        <f t="shared" ca="1" si="97"/>
        <v>0</v>
      </c>
      <c r="BL82" s="286">
        <f t="shared" ca="1" si="97"/>
        <v>0</v>
      </c>
      <c r="BM82" s="286">
        <f t="shared" ca="1" si="97"/>
        <v>0</v>
      </c>
      <c r="BN82" s="286">
        <f t="shared" ca="1" si="97"/>
        <v>0</v>
      </c>
      <c r="BO82" s="286">
        <f t="shared" ca="1" si="97"/>
        <v>0</v>
      </c>
      <c r="BP82" s="286">
        <f t="shared" ca="1" si="97"/>
        <v>0</v>
      </c>
      <c r="BQ82" s="286">
        <f t="shared" ca="1" si="97"/>
        <v>0</v>
      </c>
      <c r="BR82" s="286">
        <f t="shared" ca="1" si="97"/>
        <v>0</v>
      </c>
      <c r="BS82" s="286">
        <f t="shared" ca="1" si="97"/>
        <v>0</v>
      </c>
      <c r="BT82" s="286">
        <f t="shared" ca="1" si="97"/>
        <v>0</v>
      </c>
      <c r="BU82" s="286">
        <f t="shared" ca="1" si="97"/>
        <v>0</v>
      </c>
      <c r="BV82" s="286">
        <f t="shared" ca="1" si="97"/>
        <v>0</v>
      </c>
      <c r="BW82" s="286">
        <f t="shared" ca="1" si="97"/>
        <v>0</v>
      </c>
      <c r="BX82" s="286">
        <f t="shared" ca="1" si="97"/>
        <v>0</v>
      </c>
      <c r="BY82" s="286">
        <f t="shared" ca="1" si="97"/>
        <v>0</v>
      </c>
      <c r="BZ82" s="286">
        <f t="shared" ca="1" si="97"/>
        <v>0</v>
      </c>
      <c r="CA82" s="286">
        <f t="shared" ca="1" si="97"/>
        <v>0</v>
      </c>
      <c r="CB82" s="286">
        <f t="shared" ca="1" si="97"/>
        <v>0</v>
      </c>
      <c r="CC82" s="286">
        <f t="shared" ca="1" si="97"/>
        <v>0</v>
      </c>
      <c r="CD82" s="286">
        <f t="shared" ca="1" si="97"/>
        <v>0</v>
      </c>
      <c r="CE82" s="286">
        <f t="shared" ca="1" si="97"/>
        <v>0</v>
      </c>
      <c r="CF82" s="286">
        <f t="shared" ca="1" si="97"/>
        <v>0</v>
      </c>
      <c r="CG82" s="309">
        <f ca="1">IF(CG$76&lt;=$D$30,$D$32,IF(CG$76&lt;=$E$30,$D$32+($E$32-$D$32)/($E$30-$D$30)*(CG$76-$D$30),IF(CG$76&lt;=$F$30,$E$32+($F$32-$E$32)/($F$30-$E$30)*(CG$76-$E$30),IF(CG$76&lt;=$G$30,$F$32+($G$32-$F$32)/($G$30-$F$30)*(CG$76-$F$30),IF(CG$76&lt;=$H$30,$G$32+($H$32-$G$32)/($H$30-$G$30)*(CG$76-$G$30),IF(CG$76&lt;=$I$30,$H$32+($I$32-$H$32)/($I$30-$H$30)*(CG$76-$H$30),IF(CG$76&lt;=$J$30,$I$32+($J$32-$I$32)/($J$30-$I$30)*(CG$76-$I$30),$J$32)))))))</f>
        <v>0</v>
      </c>
    </row>
    <row r="83" spans="19:86" x14ac:dyDescent="0.2">
      <c r="S83" s="315" t="s">
        <v>1468</v>
      </c>
      <c r="T83" s="823">
        <f ca="1">T82*T36</f>
        <v>0</v>
      </c>
      <c r="U83" s="823">
        <f t="shared" ref="U83:CF83" ca="1" si="98">U82*U36</f>
        <v>0</v>
      </c>
      <c r="V83" s="823">
        <f t="shared" ca="1" si="98"/>
        <v>0</v>
      </c>
      <c r="W83" s="823">
        <f t="shared" ca="1" si="98"/>
        <v>0</v>
      </c>
      <c r="X83" s="823">
        <f t="shared" ca="1" si="98"/>
        <v>0</v>
      </c>
      <c r="Y83" s="823">
        <f t="shared" ca="1" si="98"/>
        <v>0</v>
      </c>
      <c r="Z83" s="823">
        <f t="shared" ca="1" si="98"/>
        <v>0</v>
      </c>
      <c r="AA83" s="823">
        <f t="shared" ca="1" si="98"/>
        <v>0</v>
      </c>
      <c r="AB83" s="823">
        <f t="shared" ca="1" si="98"/>
        <v>0</v>
      </c>
      <c r="AC83" s="823">
        <f t="shared" ca="1" si="98"/>
        <v>0</v>
      </c>
      <c r="AD83" s="823">
        <f t="shared" ca="1" si="98"/>
        <v>0</v>
      </c>
      <c r="AE83" s="823">
        <f t="shared" ca="1" si="98"/>
        <v>0</v>
      </c>
      <c r="AF83" s="823">
        <f t="shared" ca="1" si="98"/>
        <v>0</v>
      </c>
      <c r="AG83" s="823">
        <f t="shared" ca="1" si="98"/>
        <v>0</v>
      </c>
      <c r="AH83" s="823">
        <f t="shared" ca="1" si="98"/>
        <v>0</v>
      </c>
      <c r="AI83" s="823">
        <f t="shared" ca="1" si="98"/>
        <v>0</v>
      </c>
      <c r="AJ83" s="823">
        <f t="shared" ca="1" si="98"/>
        <v>0</v>
      </c>
      <c r="AK83" s="823" t="e">
        <f t="shared" ca="1" si="98"/>
        <v>#VALUE!</v>
      </c>
      <c r="AL83" s="823" t="e">
        <f t="shared" ca="1" si="98"/>
        <v>#VALUE!</v>
      </c>
      <c r="AM83" s="823" t="e">
        <f t="shared" ca="1" si="98"/>
        <v>#VALUE!</v>
      </c>
      <c r="AN83" s="823" t="e">
        <f t="shared" ca="1" si="98"/>
        <v>#VALUE!</v>
      </c>
      <c r="AO83" s="823" t="e">
        <f t="shared" ca="1" si="98"/>
        <v>#VALUE!</v>
      </c>
      <c r="AP83" s="823" t="e">
        <f t="shared" ca="1" si="98"/>
        <v>#VALUE!</v>
      </c>
      <c r="AQ83" s="823" t="e">
        <f t="shared" ca="1" si="98"/>
        <v>#VALUE!</v>
      </c>
      <c r="AR83" s="823" t="e">
        <f t="shared" ca="1" si="98"/>
        <v>#VALUE!</v>
      </c>
      <c r="AS83" s="823" t="e">
        <f t="shared" ca="1" si="98"/>
        <v>#VALUE!</v>
      </c>
      <c r="AT83" s="823" t="e">
        <f t="shared" ca="1" si="98"/>
        <v>#VALUE!</v>
      </c>
      <c r="AU83" s="823" t="e">
        <f t="shared" ca="1" si="98"/>
        <v>#VALUE!</v>
      </c>
      <c r="AV83" s="823" t="e">
        <f t="shared" ca="1" si="98"/>
        <v>#VALUE!</v>
      </c>
      <c r="AW83" s="823" t="e">
        <f t="shared" ca="1" si="98"/>
        <v>#VALUE!</v>
      </c>
      <c r="AX83" s="823" t="e">
        <f t="shared" ca="1" si="98"/>
        <v>#VALUE!</v>
      </c>
      <c r="AY83" s="823" t="e">
        <f t="shared" ca="1" si="98"/>
        <v>#VALUE!</v>
      </c>
      <c r="AZ83" s="823" t="e">
        <f t="shared" ca="1" si="98"/>
        <v>#VALUE!</v>
      </c>
      <c r="BA83" s="823">
        <f t="shared" ca="1" si="98"/>
        <v>0</v>
      </c>
      <c r="BB83" s="823">
        <f t="shared" ca="1" si="98"/>
        <v>0</v>
      </c>
      <c r="BC83" s="823">
        <f t="shared" ca="1" si="98"/>
        <v>0</v>
      </c>
      <c r="BD83" s="823">
        <f t="shared" ca="1" si="98"/>
        <v>0</v>
      </c>
      <c r="BE83" s="823">
        <f t="shared" ca="1" si="98"/>
        <v>0</v>
      </c>
      <c r="BF83" s="823">
        <f t="shared" ca="1" si="98"/>
        <v>0</v>
      </c>
      <c r="BG83" s="823">
        <f t="shared" ca="1" si="98"/>
        <v>0</v>
      </c>
      <c r="BH83" s="823">
        <f t="shared" ca="1" si="98"/>
        <v>0</v>
      </c>
      <c r="BI83" s="823">
        <f t="shared" ca="1" si="98"/>
        <v>0</v>
      </c>
      <c r="BJ83" s="823">
        <f t="shared" ca="1" si="98"/>
        <v>0</v>
      </c>
      <c r="BK83" s="823">
        <f t="shared" ca="1" si="98"/>
        <v>0</v>
      </c>
      <c r="BL83" s="823">
        <f t="shared" ca="1" si="98"/>
        <v>0</v>
      </c>
      <c r="BM83" s="823">
        <f t="shared" ca="1" si="98"/>
        <v>0</v>
      </c>
      <c r="BN83" s="823">
        <f t="shared" ca="1" si="98"/>
        <v>0</v>
      </c>
      <c r="BO83" s="823">
        <f t="shared" ca="1" si="98"/>
        <v>0</v>
      </c>
      <c r="BP83" s="823">
        <f t="shared" ca="1" si="98"/>
        <v>0</v>
      </c>
      <c r="BQ83" s="823">
        <f t="shared" ca="1" si="98"/>
        <v>0</v>
      </c>
      <c r="BR83" s="823">
        <f t="shared" ca="1" si="98"/>
        <v>0</v>
      </c>
      <c r="BS83" s="823">
        <f t="shared" ca="1" si="98"/>
        <v>0</v>
      </c>
      <c r="BT83" s="823">
        <f t="shared" ca="1" si="98"/>
        <v>0</v>
      </c>
      <c r="BU83" s="823">
        <f t="shared" ca="1" si="98"/>
        <v>0</v>
      </c>
      <c r="BV83" s="823">
        <f t="shared" ca="1" si="98"/>
        <v>0</v>
      </c>
      <c r="BW83" s="823">
        <f t="shared" ca="1" si="98"/>
        <v>0</v>
      </c>
      <c r="BX83" s="823">
        <f t="shared" ca="1" si="98"/>
        <v>0</v>
      </c>
      <c r="BY83" s="823">
        <f t="shared" ca="1" si="98"/>
        <v>0</v>
      </c>
      <c r="BZ83" s="823">
        <f t="shared" ca="1" si="98"/>
        <v>0</v>
      </c>
      <c r="CA83" s="823">
        <f t="shared" ca="1" si="98"/>
        <v>0</v>
      </c>
      <c r="CB83" s="823">
        <f t="shared" ca="1" si="98"/>
        <v>0</v>
      </c>
      <c r="CC83" s="823">
        <f t="shared" ca="1" si="98"/>
        <v>0</v>
      </c>
      <c r="CD83" s="823">
        <f t="shared" ca="1" si="98"/>
        <v>0</v>
      </c>
      <c r="CE83" s="823">
        <f t="shared" ca="1" si="98"/>
        <v>0</v>
      </c>
      <c r="CF83" s="823">
        <f t="shared" ca="1" si="98"/>
        <v>0</v>
      </c>
      <c r="CG83" s="824">
        <f ca="1">CG82*CG36</f>
        <v>0</v>
      </c>
    </row>
    <row r="84" spans="19:86" x14ac:dyDescent="0.2">
      <c r="S84" s="335" t="str">
        <f>"COP "&amp;B34&amp;"°C"</f>
        <v>COP 55°C</v>
      </c>
      <c r="T84" s="286">
        <f t="shared" ref="T84:AY84" ca="1" si="99">IF(T$76&lt;=$D$30,$D$35,IF(T$76&lt;=$E$30,$D$35+($E$35-$D$35)/($E$30-$D$30)*(T$76-$D$30),IF(T$76&lt;=$F$30,$E$35+($F$35-$E$35)/($F$30-$E$30)*(T$76-$E$30),IF(T$76&lt;=$G$30,$F$35+($G$35-$F$35)/($G$30-$F$30)*(T$76-$F$30),IF(T$76&lt;=$H$30,$G$35+($H$35-$G$35)/($H$30-$G$30)*(T$76-$G$30),IF(T$76&lt;=$I$30,$H$35+($I$35-$H$35)/($I$30-$H$30)*(T$76-$H$30),IF(T$76&lt;=$J$30,$I$35+($J$35-$I$35)/($J$30-$I$30)*(T$76-$I$30),$J$35)))))))</f>
        <v>0</v>
      </c>
      <c r="U84" s="286">
        <f t="shared" ca="1" si="99"/>
        <v>0</v>
      </c>
      <c r="V84" s="286">
        <f t="shared" ca="1" si="99"/>
        <v>0</v>
      </c>
      <c r="W84" s="286">
        <f t="shared" ca="1" si="99"/>
        <v>0</v>
      </c>
      <c r="X84" s="286">
        <f t="shared" ca="1" si="99"/>
        <v>0</v>
      </c>
      <c r="Y84" s="286">
        <f t="shared" ca="1" si="99"/>
        <v>0</v>
      </c>
      <c r="Z84" s="286">
        <f t="shared" ca="1" si="99"/>
        <v>0</v>
      </c>
      <c r="AA84" s="286">
        <f t="shared" ca="1" si="99"/>
        <v>0</v>
      </c>
      <c r="AB84" s="286">
        <f t="shared" ca="1" si="99"/>
        <v>0</v>
      </c>
      <c r="AC84" s="286">
        <f t="shared" ca="1" si="99"/>
        <v>0</v>
      </c>
      <c r="AD84" s="286">
        <f t="shared" ca="1" si="99"/>
        <v>0</v>
      </c>
      <c r="AE84" s="286">
        <f t="shared" ca="1" si="99"/>
        <v>0</v>
      </c>
      <c r="AF84" s="286">
        <f t="shared" ca="1" si="99"/>
        <v>0</v>
      </c>
      <c r="AG84" s="286">
        <f t="shared" ca="1" si="99"/>
        <v>0</v>
      </c>
      <c r="AH84" s="286">
        <f t="shared" ca="1" si="99"/>
        <v>0</v>
      </c>
      <c r="AI84" s="286">
        <f t="shared" ca="1" si="99"/>
        <v>0</v>
      </c>
      <c r="AJ84" s="286">
        <f t="shared" ca="1" si="99"/>
        <v>0</v>
      </c>
      <c r="AK84" s="286">
        <f t="shared" ca="1" si="99"/>
        <v>0</v>
      </c>
      <c r="AL84" s="286">
        <f t="shared" ca="1" si="99"/>
        <v>0</v>
      </c>
      <c r="AM84" s="286">
        <f t="shared" ca="1" si="99"/>
        <v>0</v>
      </c>
      <c r="AN84" s="286">
        <f t="shared" ca="1" si="99"/>
        <v>0</v>
      </c>
      <c r="AO84" s="286">
        <f t="shared" ca="1" si="99"/>
        <v>0</v>
      </c>
      <c r="AP84" s="286">
        <f t="shared" ca="1" si="99"/>
        <v>0</v>
      </c>
      <c r="AQ84" s="286">
        <f t="shared" ca="1" si="99"/>
        <v>0</v>
      </c>
      <c r="AR84" s="286">
        <f t="shared" ca="1" si="99"/>
        <v>0</v>
      </c>
      <c r="AS84" s="286">
        <f t="shared" ca="1" si="99"/>
        <v>0</v>
      </c>
      <c r="AT84" s="286">
        <f t="shared" ca="1" si="99"/>
        <v>0</v>
      </c>
      <c r="AU84" s="286">
        <f t="shared" ca="1" si="99"/>
        <v>0</v>
      </c>
      <c r="AV84" s="286">
        <f t="shared" ca="1" si="99"/>
        <v>0</v>
      </c>
      <c r="AW84" s="286">
        <f t="shared" ca="1" si="99"/>
        <v>0</v>
      </c>
      <c r="AX84" s="286">
        <f t="shared" ca="1" si="99"/>
        <v>0</v>
      </c>
      <c r="AY84" s="286">
        <f t="shared" ca="1" si="99"/>
        <v>0</v>
      </c>
      <c r="AZ84" s="286">
        <f t="shared" ref="AZ84:CG84" ca="1" si="100">IF(AZ$76&lt;=$D$30,$D$35,IF(AZ$76&lt;=$E$30,$D$35+($E$35-$D$35)/($E$30-$D$30)*(AZ$76-$D$30),IF(AZ$76&lt;=$F$30,$E$35+($F$35-$E$35)/($F$30-$E$30)*(AZ$76-$E$30),IF(AZ$76&lt;=$G$30,$F$35+($G$35-$F$35)/($G$30-$F$30)*(AZ$76-$F$30),IF(AZ$76&lt;=$H$30,$G$35+($H$35-$G$35)/($H$30-$G$30)*(AZ$76-$G$30),IF(AZ$76&lt;=$I$30,$H$35+($I$35-$H$35)/($I$30-$H$30)*(AZ$76-$H$30),IF(AZ$76&lt;=$J$30,$I$35+($J$35-$I$35)/($J$30-$I$30)*(AZ$76-$I$30),$J$35)))))))</f>
        <v>0</v>
      </c>
      <c r="BA84" s="286">
        <f t="shared" ca="1" si="100"/>
        <v>0</v>
      </c>
      <c r="BB84" s="286">
        <f t="shared" ca="1" si="100"/>
        <v>0</v>
      </c>
      <c r="BC84" s="286">
        <f t="shared" ca="1" si="100"/>
        <v>0</v>
      </c>
      <c r="BD84" s="286">
        <f t="shared" ca="1" si="100"/>
        <v>0</v>
      </c>
      <c r="BE84" s="286">
        <f t="shared" ca="1" si="100"/>
        <v>0</v>
      </c>
      <c r="BF84" s="286">
        <f t="shared" ca="1" si="100"/>
        <v>0</v>
      </c>
      <c r="BG84" s="286">
        <f t="shared" ca="1" si="100"/>
        <v>0</v>
      </c>
      <c r="BH84" s="286">
        <f t="shared" ca="1" si="100"/>
        <v>0</v>
      </c>
      <c r="BI84" s="286">
        <f t="shared" ca="1" si="100"/>
        <v>0</v>
      </c>
      <c r="BJ84" s="286">
        <f t="shared" ca="1" si="100"/>
        <v>0</v>
      </c>
      <c r="BK84" s="286">
        <f t="shared" ca="1" si="100"/>
        <v>0</v>
      </c>
      <c r="BL84" s="286">
        <f t="shared" ca="1" si="100"/>
        <v>0</v>
      </c>
      <c r="BM84" s="286">
        <f t="shared" ca="1" si="100"/>
        <v>0</v>
      </c>
      <c r="BN84" s="286">
        <f t="shared" ca="1" si="100"/>
        <v>0</v>
      </c>
      <c r="BO84" s="286">
        <f t="shared" ca="1" si="100"/>
        <v>0</v>
      </c>
      <c r="BP84" s="286">
        <f t="shared" ca="1" si="100"/>
        <v>0</v>
      </c>
      <c r="BQ84" s="286">
        <f t="shared" ca="1" si="100"/>
        <v>0</v>
      </c>
      <c r="BR84" s="286">
        <f t="shared" ca="1" si="100"/>
        <v>0</v>
      </c>
      <c r="BS84" s="286">
        <f t="shared" ca="1" si="100"/>
        <v>0</v>
      </c>
      <c r="BT84" s="286">
        <f t="shared" ca="1" si="100"/>
        <v>0</v>
      </c>
      <c r="BU84" s="286">
        <f t="shared" ca="1" si="100"/>
        <v>0</v>
      </c>
      <c r="BV84" s="286">
        <f t="shared" ca="1" si="100"/>
        <v>0</v>
      </c>
      <c r="BW84" s="286">
        <f t="shared" ca="1" si="100"/>
        <v>0</v>
      </c>
      <c r="BX84" s="286">
        <f t="shared" ca="1" si="100"/>
        <v>0</v>
      </c>
      <c r="BY84" s="286">
        <f t="shared" ca="1" si="100"/>
        <v>0</v>
      </c>
      <c r="BZ84" s="286">
        <f t="shared" ca="1" si="100"/>
        <v>0</v>
      </c>
      <c r="CA84" s="286">
        <f t="shared" ca="1" si="100"/>
        <v>0</v>
      </c>
      <c r="CB84" s="286">
        <f t="shared" ca="1" si="100"/>
        <v>0</v>
      </c>
      <c r="CC84" s="286">
        <f t="shared" ca="1" si="100"/>
        <v>0</v>
      </c>
      <c r="CD84" s="286">
        <f t="shared" ca="1" si="100"/>
        <v>0</v>
      </c>
      <c r="CE84" s="286">
        <f t="shared" ca="1" si="100"/>
        <v>0</v>
      </c>
      <c r="CF84" s="286">
        <f t="shared" ca="1" si="100"/>
        <v>0</v>
      </c>
      <c r="CG84" s="309">
        <f t="shared" ca="1" si="100"/>
        <v>0</v>
      </c>
    </row>
    <row r="85" spans="19:86" x14ac:dyDescent="0.2">
      <c r="S85" s="315" t="s">
        <v>1468</v>
      </c>
      <c r="T85" s="823">
        <f t="shared" ref="T85:AY85" ca="1" si="101">T84*T36</f>
        <v>0</v>
      </c>
      <c r="U85" s="823">
        <f t="shared" ca="1" si="101"/>
        <v>0</v>
      </c>
      <c r="V85" s="823">
        <f t="shared" ca="1" si="101"/>
        <v>0</v>
      </c>
      <c r="W85" s="823">
        <f t="shared" ca="1" si="101"/>
        <v>0</v>
      </c>
      <c r="X85" s="823">
        <f t="shared" ca="1" si="101"/>
        <v>0</v>
      </c>
      <c r="Y85" s="823">
        <f t="shared" ca="1" si="101"/>
        <v>0</v>
      </c>
      <c r="Z85" s="823">
        <f t="shared" ca="1" si="101"/>
        <v>0</v>
      </c>
      <c r="AA85" s="823">
        <f t="shared" ca="1" si="101"/>
        <v>0</v>
      </c>
      <c r="AB85" s="823">
        <f t="shared" ca="1" si="101"/>
        <v>0</v>
      </c>
      <c r="AC85" s="823">
        <f t="shared" ca="1" si="101"/>
        <v>0</v>
      </c>
      <c r="AD85" s="823">
        <f t="shared" ca="1" si="101"/>
        <v>0</v>
      </c>
      <c r="AE85" s="823">
        <f t="shared" ca="1" si="101"/>
        <v>0</v>
      </c>
      <c r="AF85" s="823">
        <f t="shared" ca="1" si="101"/>
        <v>0</v>
      </c>
      <c r="AG85" s="823">
        <f t="shared" ca="1" si="101"/>
        <v>0</v>
      </c>
      <c r="AH85" s="823">
        <f t="shared" ca="1" si="101"/>
        <v>0</v>
      </c>
      <c r="AI85" s="823">
        <f t="shared" ca="1" si="101"/>
        <v>0</v>
      </c>
      <c r="AJ85" s="823">
        <f t="shared" ca="1" si="101"/>
        <v>0</v>
      </c>
      <c r="AK85" s="823" t="e">
        <f t="shared" ca="1" si="101"/>
        <v>#VALUE!</v>
      </c>
      <c r="AL85" s="823" t="e">
        <f t="shared" ca="1" si="101"/>
        <v>#VALUE!</v>
      </c>
      <c r="AM85" s="823" t="e">
        <f t="shared" ca="1" si="101"/>
        <v>#VALUE!</v>
      </c>
      <c r="AN85" s="823" t="e">
        <f t="shared" ca="1" si="101"/>
        <v>#VALUE!</v>
      </c>
      <c r="AO85" s="823" t="e">
        <f t="shared" ca="1" si="101"/>
        <v>#VALUE!</v>
      </c>
      <c r="AP85" s="823" t="e">
        <f t="shared" ca="1" si="101"/>
        <v>#VALUE!</v>
      </c>
      <c r="AQ85" s="823" t="e">
        <f t="shared" ca="1" si="101"/>
        <v>#VALUE!</v>
      </c>
      <c r="AR85" s="823" t="e">
        <f t="shared" ca="1" si="101"/>
        <v>#VALUE!</v>
      </c>
      <c r="AS85" s="823" t="e">
        <f t="shared" ca="1" si="101"/>
        <v>#VALUE!</v>
      </c>
      <c r="AT85" s="823" t="e">
        <f t="shared" ca="1" si="101"/>
        <v>#VALUE!</v>
      </c>
      <c r="AU85" s="823" t="e">
        <f t="shared" ca="1" si="101"/>
        <v>#VALUE!</v>
      </c>
      <c r="AV85" s="823" t="e">
        <f t="shared" ca="1" si="101"/>
        <v>#VALUE!</v>
      </c>
      <c r="AW85" s="823" t="e">
        <f t="shared" ca="1" si="101"/>
        <v>#VALUE!</v>
      </c>
      <c r="AX85" s="823" t="e">
        <f t="shared" ca="1" si="101"/>
        <v>#VALUE!</v>
      </c>
      <c r="AY85" s="823" t="e">
        <f t="shared" ca="1" si="101"/>
        <v>#VALUE!</v>
      </c>
      <c r="AZ85" s="823" t="e">
        <f t="shared" ref="AZ85:CE85" ca="1" si="102">AZ84*AZ36</f>
        <v>#VALUE!</v>
      </c>
      <c r="BA85" s="823">
        <f t="shared" ca="1" si="102"/>
        <v>0</v>
      </c>
      <c r="BB85" s="823">
        <f t="shared" ca="1" si="102"/>
        <v>0</v>
      </c>
      <c r="BC85" s="823">
        <f t="shared" ca="1" si="102"/>
        <v>0</v>
      </c>
      <c r="BD85" s="823">
        <f t="shared" ca="1" si="102"/>
        <v>0</v>
      </c>
      <c r="BE85" s="823">
        <f t="shared" ca="1" si="102"/>
        <v>0</v>
      </c>
      <c r="BF85" s="823">
        <f t="shared" ca="1" si="102"/>
        <v>0</v>
      </c>
      <c r="BG85" s="823">
        <f t="shared" ca="1" si="102"/>
        <v>0</v>
      </c>
      <c r="BH85" s="823">
        <f t="shared" ca="1" si="102"/>
        <v>0</v>
      </c>
      <c r="BI85" s="823">
        <f t="shared" ca="1" si="102"/>
        <v>0</v>
      </c>
      <c r="BJ85" s="823">
        <f t="shared" ca="1" si="102"/>
        <v>0</v>
      </c>
      <c r="BK85" s="823">
        <f t="shared" ca="1" si="102"/>
        <v>0</v>
      </c>
      <c r="BL85" s="823">
        <f t="shared" ca="1" si="102"/>
        <v>0</v>
      </c>
      <c r="BM85" s="823">
        <f t="shared" ca="1" si="102"/>
        <v>0</v>
      </c>
      <c r="BN85" s="823">
        <f t="shared" ca="1" si="102"/>
        <v>0</v>
      </c>
      <c r="BO85" s="823">
        <f t="shared" ca="1" si="102"/>
        <v>0</v>
      </c>
      <c r="BP85" s="823">
        <f t="shared" ca="1" si="102"/>
        <v>0</v>
      </c>
      <c r="BQ85" s="823">
        <f t="shared" ca="1" si="102"/>
        <v>0</v>
      </c>
      <c r="BR85" s="823">
        <f t="shared" ca="1" si="102"/>
        <v>0</v>
      </c>
      <c r="BS85" s="823">
        <f t="shared" ca="1" si="102"/>
        <v>0</v>
      </c>
      <c r="BT85" s="823">
        <f t="shared" ca="1" si="102"/>
        <v>0</v>
      </c>
      <c r="BU85" s="823">
        <f t="shared" ca="1" si="102"/>
        <v>0</v>
      </c>
      <c r="BV85" s="823">
        <f t="shared" ca="1" si="102"/>
        <v>0</v>
      </c>
      <c r="BW85" s="823">
        <f t="shared" ca="1" si="102"/>
        <v>0</v>
      </c>
      <c r="BX85" s="823">
        <f t="shared" ca="1" si="102"/>
        <v>0</v>
      </c>
      <c r="BY85" s="823">
        <f t="shared" ca="1" si="102"/>
        <v>0</v>
      </c>
      <c r="BZ85" s="823">
        <f t="shared" ca="1" si="102"/>
        <v>0</v>
      </c>
      <c r="CA85" s="823">
        <f t="shared" ca="1" si="102"/>
        <v>0</v>
      </c>
      <c r="CB85" s="823">
        <f t="shared" ca="1" si="102"/>
        <v>0</v>
      </c>
      <c r="CC85" s="823">
        <f t="shared" ca="1" si="102"/>
        <v>0</v>
      </c>
      <c r="CD85" s="823">
        <f t="shared" ca="1" si="102"/>
        <v>0</v>
      </c>
      <c r="CE85" s="823">
        <f t="shared" ca="1" si="102"/>
        <v>0</v>
      </c>
      <c r="CF85" s="823">
        <f ca="1">CF84*CF36</f>
        <v>0</v>
      </c>
      <c r="CG85" s="824">
        <f ca="1">CG84*CG36</f>
        <v>0</v>
      </c>
      <c r="CH85" s="814" t="e">
        <f ca="1">SUM(T85:CG85)/CH36</f>
        <v>#VALUE!</v>
      </c>
    </row>
    <row r="86" spans="19:86" x14ac:dyDescent="0.2">
      <c r="S86" s="335" t="s">
        <v>3896</v>
      </c>
      <c r="T86" s="830">
        <f>IF(OR(WPArt=3,WPArt=5,WPArt=4,WPArt=6),T70,IF(OR(WPArt=2),T51,))</f>
        <v>0</v>
      </c>
      <c r="U86" s="830">
        <f t="shared" ref="U86:CF86" si="103">IF(OR(WPArt=3,WPArt=5,WPArt=4,WPArt=6),U70,IF(OR(WPArt=2),U51,))</f>
        <v>0</v>
      </c>
      <c r="V86" s="830">
        <f t="shared" si="103"/>
        <v>0</v>
      </c>
      <c r="W86" s="830">
        <f t="shared" si="103"/>
        <v>0</v>
      </c>
      <c r="X86" s="830">
        <f t="shared" si="103"/>
        <v>0</v>
      </c>
      <c r="Y86" s="830">
        <f t="shared" si="103"/>
        <v>0</v>
      </c>
      <c r="Z86" s="830">
        <f t="shared" si="103"/>
        <v>0</v>
      </c>
      <c r="AA86" s="830">
        <f t="shared" si="103"/>
        <v>0</v>
      </c>
      <c r="AB86" s="830">
        <f t="shared" si="103"/>
        <v>0</v>
      </c>
      <c r="AC86" s="830">
        <f t="shared" si="103"/>
        <v>0</v>
      </c>
      <c r="AD86" s="830">
        <f t="shared" si="103"/>
        <v>0</v>
      </c>
      <c r="AE86" s="830">
        <f t="shared" si="103"/>
        <v>0</v>
      </c>
      <c r="AF86" s="830">
        <f t="shared" si="103"/>
        <v>0</v>
      </c>
      <c r="AG86" s="830">
        <f t="shared" si="103"/>
        <v>0</v>
      </c>
      <c r="AH86" s="830">
        <f t="shared" si="103"/>
        <v>0</v>
      </c>
      <c r="AI86" s="830">
        <f t="shared" si="103"/>
        <v>0</v>
      </c>
      <c r="AJ86" s="830">
        <f t="shared" si="103"/>
        <v>0</v>
      </c>
      <c r="AK86" s="830">
        <f t="shared" si="103"/>
        <v>0</v>
      </c>
      <c r="AL86" s="830">
        <f t="shared" si="103"/>
        <v>0</v>
      </c>
      <c r="AM86" s="830">
        <f t="shared" si="103"/>
        <v>0</v>
      </c>
      <c r="AN86" s="830">
        <f t="shared" si="103"/>
        <v>0</v>
      </c>
      <c r="AO86" s="830">
        <f t="shared" si="103"/>
        <v>0</v>
      </c>
      <c r="AP86" s="830">
        <f t="shared" si="103"/>
        <v>0</v>
      </c>
      <c r="AQ86" s="830">
        <f t="shared" si="103"/>
        <v>0</v>
      </c>
      <c r="AR86" s="830">
        <f t="shared" si="103"/>
        <v>0</v>
      </c>
      <c r="AS86" s="830">
        <f t="shared" si="103"/>
        <v>0</v>
      </c>
      <c r="AT86" s="830">
        <f t="shared" si="103"/>
        <v>0</v>
      </c>
      <c r="AU86" s="830">
        <f t="shared" si="103"/>
        <v>0</v>
      </c>
      <c r="AV86" s="830">
        <f t="shared" si="103"/>
        <v>0</v>
      </c>
      <c r="AW86" s="830">
        <f t="shared" si="103"/>
        <v>0</v>
      </c>
      <c r="AX86" s="830">
        <f t="shared" si="103"/>
        <v>0</v>
      </c>
      <c r="AY86" s="830">
        <f t="shared" si="103"/>
        <v>0</v>
      </c>
      <c r="AZ86" s="830">
        <f t="shared" si="103"/>
        <v>0</v>
      </c>
      <c r="BA86" s="830">
        <f t="shared" si="103"/>
        <v>0</v>
      </c>
      <c r="BB86" s="830">
        <f t="shared" si="103"/>
        <v>0</v>
      </c>
      <c r="BC86" s="830">
        <f t="shared" si="103"/>
        <v>0</v>
      </c>
      <c r="BD86" s="830">
        <f t="shared" si="103"/>
        <v>0</v>
      </c>
      <c r="BE86" s="830">
        <f t="shared" si="103"/>
        <v>0</v>
      </c>
      <c r="BF86" s="830">
        <f t="shared" si="103"/>
        <v>0</v>
      </c>
      <c r="BG86" s="830">
        <f t="shared" si="103"/>
        <v>0</v>
      </c>
      <c r="BH86" s="830">
        <f t="shared" si="103"/>
        <v>0</v>
      </c>
      <c r="BI86" s="830">
        <f t="shared" si="103"/>
        <v>0</v>
      </c>
      <c r="BJ86" s="830">
        <f t="shared" si="103"/>
        <v>0</v>
      </c>
      <c r="BK86" s="830">
        <f t="shared" si="103"/>
        <v>0</v>
      </c>
      <c r="BL86" s="830">
        <f t="shared" si="103"/>
        <v>0</v>
      </c>
      <c r="BM86" s="830">
        <f t="shared" si="103"/>
        <v>0</v>
      </c>
      <c r="BN86" s="830">
        <f t="shared" si="103"/>
        <v>0</v>
      </c>
      <c r="BO86" s="830">
        <f t="shared" si="103"/>
        <v>0</v>
      </c>
      <c r="BP86" s="830">
        <f t="shared" si="103"/>
        <v>0</v>
      </c>
      <c r="BQ86" s="830">
        <f t="shared" si="103"/>
        <v>0</v>
      </c>
      <c r="BR86" s="830">
        <f t="shared" si="103"/>
        <v>0</v>
      </c>
      <c r="BS86" s="830">
        <f t="shared" si="103"/>
        <v>0</v>
      </c>
      <c r="BT86" s="830">
        <f t="shared" si="103"/>
        <v>0</v>
      </c>
      <c r="BU86" s="830">
        <f t="shared" si="103"/>
        <v>0</v>
      </c>
      <c r="BV86" s="830">
        <f t="shared" si="103"/>
        <v>0</v>
      </c>
      <c r="BW86" s="830">
        <f t="shared" si="103"/>
        <v>0</v>
      </c>
      <c r="BX86" s="830">
        <f t="shared" si="103"/>
        <v>0</v>
      </c>
      <c r="BY86" s="830">
        <f t="shared" si="103"/>
        <v>0</v>
      </c>
      <c r="BZ86" s="830">
        <f t="shared" si="103"/>
        <v>0</v>
      </c>
      <c r="CA86" s="830">
        <f t="shared" si="103"/>
        <v>0</v>
      </c>
      <c r="CB86" s="830">
        <f t="shared" si="103"/>
        <v>0</v>
      </c>
      <c r="CC86" s="830">
        <f t="shared" si="103"/>
        <v>0</v>
      </c>
      <c r="CD86" s="830">
        <f t="shared" si="103"/>
        <v>0</v>
      </c>
      <c r="CE86" s="830">
        <f t="shared" si="103"/>
        <v>0</v>
      </c>
      <c r="CF86" s="830">
        <f t="shared" si="103"/>
        <v>0</v>
      </c>
      <c r="CG86" s="830">
        <f>IF(OR(WPArt=3,WPArt=5,WPArt=4,WPArt=6),CG70,IF(OR(WPArt=2),CG51,))</f>
        <v>0</v>
      </c>
    </row>
  </sheetData>
  <sheetProtection password="CABA" sheet="1" objects="1" scenarios="1"/>
  <phoneticPr fontId="0" type="noConversion"/>
  <pageMargins left="0.78740157480314965" right="0.78740157480314965" top="0.98425196850393704" bottom="0.98425196850393704" header="0.51181102362204722" footer="0.51181102362204722"/>
  <pageSetup paperSize="9" orientation="portrait" horizontalDpi="4294967292" verticalDpi="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pageSetUpPr fitToPage="1"/>
  </sheetPr>
  <dimension ref="B1:AF126"/>
  <sheetViews>
    <sheetView zoomScaleNormal="100" workbookViewId="0">
      <selection activeCell="R6" sqref="R6"/>
    </sheetView>
  </sheetViews>
  <sheetFormatPr baseColWidth="10" defaultColWidth="11.5703125" defaultRowHeight="12.75" x14ac:dyDescent="0.2"/>
  <cols>
    <col min="1" max="1" width="1.140625" style="251" customWidth="1"/>
    <col min="2" max="2" width="20.7109375" style="251" customWidth="1"/>
    <col min="3" max="4" width="11.5703125" style="251"/>
    <col min="5" max="5" width="20.7109375" style="258" customWidth="1"/>
    <col min="6" max="6" width="11.42578125" style="251" customWidth="1"/>
    <col min="7" max="7" width="11.5703125" style="251"/>
    <col min="8" max="9" width="12.7109375" style="251" customWidth="1"/>
    <col min="10" max="10" width="11.5703125" style="251" hidden="1" customWidth="1"/>
    <col min="11" max="11" width="12.7109375" style="251" customWidth="1"/>
    <col min="12" max="12" width="7.140625" style="843" customWidth="1"/>
    <col min="13" max="16" width="11.7109375" style="843" customWidth="1"/>
    <col min="17" max="17" width="11.7109375" style="251" customWidth="1"/>
    <col min="18" max="20" width="11.5703125" style="251"/>
    <col min="21" max="21" width="13.7109375" style="251" customWidth="1"/>
    <col min="22" max="22" width="11.5703125" style="251"/>
    <col min="23" max="23" width="13" style="251" customWidth="1"/>
    <col min="24" max="16384" width="11.5703125" style="251"/>
  </cols>
  <sheetData>
    <row r="1" spans="2:32" x14ac:dyDescent="0.2">
      <c r="M1" s="875" t="s">
        <v>3908</v>
      </c>
      <c r="N1" s="874" t="b">
        <v>1</v>
      </c>
      <c r="O1" s="875"/>
      <c r="P1" s="874"/>
      <c r="Q1" s="843"/>
      <c r="R1" s="843"/>
      <c r="S1" s="843"/>
      <c r="T1" s="843"/>
      <c r="U1" s="843"/>
      <c r="V1" s="843"/>
      <c r="W1" s="843"/>
      <c r="X1" s="843"/>
      <c r="Y1" s="843"/>
      <c r="Z1" s="843"/>
      <c r="AA1" s="843"/>
      <c r="AB1" s="843"/>
      <c r="AC1" s="843"/>
      <c r="AD1" s="843"/>
      <c r="AE1" s="843"/>
      <c r="AF1" s="843"/>
    </row>
    <row r="2" spans="2:32" ht="24" customHeight="1" x14ac:dyDescent="0.25">
      <c r="B2" s="252" t="str">
        <f>Sprache!B211</f>
        <v>Calcul de la courbe de charge</v>
      </c>
      <c r="C2" s="252"/>
      <c r="E2" s="251"/>
      <c r="H2" s="1307" t="str">
        <f>Sprache!B8</f>
        <v>WPesti / V 8.3.40 / 29.06.2026                valable jusqu'à 31.12.2027</v>
      </c>
      <c r="I2" s="1307"/>
      <c r="J2" s="1308"/>
      <c r="K2" s="1308"/>
      <c r="L2" s="354"/>
      <c r="Q2" s="843"/>
      <c r="R2" s="843"/>
      <c r="S2" s="843"/>
      <c r="T2" s="843"/>
      <c r="U2" s="843"/>
      <c r="V2" s="843"/>
      <c r="W2" s="843"/>
      <c r="X2" s="843"/>
      <c r="Y2" s="843"/>
      <c r="Z2" s="843"/>
      <c r="AA2" s="843"/>
      <c r="AB2" s="843"/>
      <c r="AC2" s="843"/>
      <c r="AD2" s="843"/>
      <c r="AE2" s="843"/>
      <c r="AF2" s="843"/>
    </row>
    <row r="3" spans="2:32" ht="7.9" customHeight="1" x14ac:dyDescent="0.25">
      <c r="B3" s="252"/>
      <c r="C3" s="252"/>
      <c r="D3" s="254"/>
      <c r="E3" s="254"/>
      <c r="F3" s="254"/>
      <c r="G3" s="254"/>
      <c r="H3" s="253"/>
      <c r="I3" s="253"/>
      <c r="K3" s="253"/>
      <c r="L3" s="253"/>
      <c r="Q3" s="843"/>
      <c r="R3" s="843"/>
      <c r="S3" s="843"/>
      <c r="T3" s="843"/>
      <c r="U3" s="843"/>
      <c r="V3" s="843"/>
      <c r="W3" s="843"/>
      <c r="X3" s="843"/>
      <c r="Y3" s="843"/>
      <c r="Z3" s="843"/>
      <c r="AA3" s="843"/>
      <c r="AB3" s="843"/>
      <c r="AC3" s="843"/>
      <c r="AD3" s="843"/>
      <c r="AE3" s="843"/>
      <c r="AF3" s="843"/>
    </row>
    <row r="4" spans="2:32" ht="15.6" customHeight="1" x14ac:dyDescent="0.2">
      <c r="B4" s="1310" t="str">
        <f>IF('WP1'!B3&lt;&gt;"",'WP1'!B3,"")</f>
        <v/>
      </c>
      <c r="C4" s="1310"/>
      <c r="D4" s="1310"/>
      <c r="E4" s="1310"/>
      <c r="F4" s="255"/>
      <c r="G4" s="255"/>
      <c r="H4" s="256"/>
      <c r="I4" s="256"/>
      <c r="J4" s="257"/>
      <c r="K4" s="256"/>
      <c r="L4" s="253"/>
      <c r="Q4" s="843"/>
      <c r="R4" s="843"/>
      <c r="S4" s="843"/>
      <c r="T4" s="843"/>
      <c r="U4" s="843"/>
      <c r="V4" s="843"/>
      <c r="W4" s="843"/>
      <c r="X4" s="843"/>
      <c r="Y4" s="843"/>
      <c r="Z4" s="843"/>
      <c r="AA4" s="843"/>
      <c r="AB4" s="843"/>
      <c r="AC4" s="843"/>
      <c r="AD4" s="843"/>
      <c r="AE4" s="843"/>
      <c r="AF4" s="843"/>
    </row>
    <row r="5" spans="2:32" ht="15.6" customHeight="1" x14ac:dyDescent="0.2">
      <c r="B5" s="1311"/>
      <c r="C5" s="1311"/>
      <c r="D5" s="1311"/>
      <c r="E5" s="1311"/>
      <c r="F5" s="1014"/>
      <c r="G5" s="1014"/>
      <c r="H5" s="1015"/>
      <c r="I5" s="1015"/>
      <c r="J5" s="1016"/>
      <c r="K5" s="1015"/>
      <c r="L5" s="253"/>
      <c r="Q5" s="843"/>
      <c r="R5" s="843"/>
      <c r="S5" s="843"/>
      <c r="T5" s="843"/>
      <c r="U5" s="843"/>
      <c r="V5" s="843"/>
      <c r="W5" s="843"/>
      <c r="X5" s="843"/>
      <c r="Y5" s="843"/>
      <c r="Z5" s="843"/>
      <c r="AA5" s="843"/>
      <c r="AB5" s="843"/>
      <c r="AC5" s="843"/>
      <c r="AD5" s="843"/>
      <c r="AE5" s="843"/>
      <c r="AF5" s="843"/>
    </row>
    <row r="6" spans="2:32" ht="16.899999999999999" customHeight="1" x14ac:dyDescent="0.2">
      <c r="B6" s="296" t="str">
        <f>Sprache!B212</f>
        <v>Climat et profil de charge:</v>
      </c>
      <c r="E6" s="259" t="str">
        <f>Sprache!B223</f>
        <v>Besoin d'énergie:</v>
      </c>
      <c r="F6" s="260"/>
      <c r="G6" s="259"/>
      <c r="H6" s="296" t="str">
        <f>Sprache!B233</f>
        <v>Couverture des besoins et COP's:</v>
      </c>
      <c r="I6" s="261"/>
      <c r="L6" s="253"/>
      <c r="Q6" s="843"/>
      <c r="R6" s="843"/>
      <c r="S6" s="843"/>
      <c r="T6" s="843"/>
      <c r="U6" s="843"/>
      <c r="V6" s="843"/>
      <c r="W6" s="843"/>
      <c r="X6" s="843"/>
      <c r="Y6" s="843"/>
      <c r="Z6" s="843"/>
      <c r="AA6" s="843"/>
      <c r="AB6" s="843"/>
      <c r="AC6" s="843"/>
      <c r="AD6" s="843"/>
      <c r="AE6" s="843"/>
      <c r="AF6" s="843"/>
    </row>
    <row r="7" spans="2:32" ht="16.899999999999999" customHeight="1" x14ac:dyDescent="0.2">
      <c r="B7" s="5" t="str">
        <f>Sprache!B213</f>
        <v>Station climatique</v>
      </c>
      <c r="C7" s="19" t="str">
        <f>Wetterstation</f>
        <v/>
      </c>
      <c r="D7" s="5"/>
      <c r="E7" s="5" t="str">
        <f>Sprache!B224</f>
        <v>Besoins de chaleur</v>
      </c>
      <c r="F7" s="214">
        <f>IF('WP1'!BH57=3,0,IF(AND(Qh&gt;0,EBF&gt;0),EBF*'WP1'!H9/3.6,))</f>
        <v>0</v>
      </c>
      <c r="G7" s="5" t="s">
        <v>3665</v>
      </c>
      <c r="H7" s="287" t="str">
        <f>Sprache!B234</f>
        <v>Taux couverture solaire (chauf.)</v>
      </c>
      <c r="I7" s="5"/>
      <c r="J7" s="5"/>
      <c r="K7" s="263">
        <f>IF(Kategorie&gt;1,Kollektor,0)</f>
        <v>0</v>
      </c>
      <c r="Q7" s="843"/>
      <c r="R7" s="843"/>
      <c r="S7" s="843"/>
      <c r="T7" s="843"/>
      <c r="U7" s="843"/>
      <c r="V7" s="843"/>
      <c r="W7" s="843"/>
      <c r="X7" s="843"/>
      <c r="Y7" s="843"/>
      <c r="Z7" s="843"/>
      <c r="AA7" s="843"/>
      <c r="AB7" s="843"/>
      <c r="AC7" s="843"/>
      <c r="AD7" s="843"/>
      <c r="AE7" s="843"/>
      <c r="AF7" s="843"/>
    </row>
    <row r="8" spans="2:32" ht="16.899999999999999" customHeight="1" x14ac:dyDescent="0.2">
      <c r="B8" s="5" t="str">
        <f>Sprache!B216</f>
        <v xml:space="preserve">Besoins de chaleur </v>
      </c>
      <c r="C8" s="214">
        <f>IF('WP1'!J21&lt;&gt;3,EBF*'WP1'!H9/3.6,0)</f>
        <v>0</v>
      </c>
      <c r="D8" s="5" t="s">
        <v>3665</v>
      </c>
      <c r="E8" s="5" t="str">
        <f>Sprache!B225</f>
        <v>Distribution chauffage</v>
      </c>
      <c r="F8" s="214">
        <f>IF('WP1'!BH57=3,0,IF(AND(Qh&gt;0,EBF&gt;0),Verteilverluste*'WP1'!H9*EBF/3.6,))</f>
        <v>0</v>
      </c>
      <c r="G8" s="5" t="s">
        <v>3665</v>
      </c>
      <c r="H8" s="287" t="str">
        <f>Sprache!B235</f>
        <v>Taux couverture solaire (ECS)</v>
      </c>
      <c r="I8" s="5"/>
      <c r="J8" s="5"/>
      <c r="K8" s="263">
        <f>KollektorWW</f>
        <v>0</v>
      </c>
      <c r="M8" s="1061"/>
      <c r="Q8" s="843"/>
      <c r="R8" s="843"/>
      <c r="S8" s="843"/>
      <c r="T8" s="843"/>
      <c r="U8" s="843"/>
      <c r="V8" s="843"/>
      <c r="W8" s="843"/>
      <c r="X8" s="843"/>
      <c r="Y8" s="843"/>
      <c r="Z8" s="843"/>
      <c r="AA8" s="843"/>
      <c r="AB8" s="843"/>
      <c r="AC8" s="843"/>
      <c r="AD8" s="843"/>
      <c r="AE8" s="843"/>
      <c r="AF8" s="843"/>
    </row>
    <row r="9" spans="2:32" s="5" customFormat="1" ht="16.899999999999999" customHeight="1" x14ac:dyDescent="0.2">
      <c r="B9" s="5" t="str">
        <f>Sprache!B217</f>
        <v>Gains de chaleur</v>
      </c>
      <c r="C9" s="214">
        <f>IF(Solarant&lt;&gt;1,C8/(1-Solarant)*Solarant,)</f>
        <v>0</v>
      </c>
      <c r="D9" s="5" t="s">
        <v>3665</v>
      </c>
      <c r="E9" s="5" t="str">
        <f>Sprache!B226</f>
        <v>Besoins chaleur ECS</v>
      </c>
      <c r="F9" s="214">
        <f>IF(AND(Qww&gt;0,EBF&gt;0,Kategorie&gt;1),Qww/(1+EtaWW)*EBF/3.6,)</f>
        <v>0</v>
      </c>
      <c r="G9" s="5" t="s">
        <v>3665</v>
      </c>
      <c r="H9" s="287" t="str">
        <f>Sprache!B236</f>
        <v>Taux couverture PAC (chauf)</v>
      </c>
      <c r="K9" s="263">
        <f>IF(Kategorie&gt;1,IF('WP1'!F62="",0,'WP1'!F62),0)</f>
        <v>0</v>
      </c>
      <c r="M9" s="887"/>
    </row>
    <row r="10" spans="2:32" s="5" customFormat="1" ht="16.899999999999999" customHeight="1" x14ac:dyDescent="0.2">
      <c r="B10" s="5" t="str">
        <f>Sprache!B218</f>
        <v>"Part solaire:"</v>
      </c>
      <c r="C10" s="295">
        <f>IF(Heizung,1-'WP1'!T130,0)</f>
        <v>0</v>
      </c>
      <c r="E10" s="5" t="str">
        <f>Sprache!B227</f>
        <v>Distribution ECS</v>
      </c>
      <c r="F10" s="262">
        <f>IF(AND(Qww&gt;0,EBF&gt;0),Qww/(1+EtaWW)*EBF*EtaWW/3.6,)</f>
        <v>0</v>
      </c>
      <c r="G10" s="5" t="s">
        <v>3665</v>
      </c>
      <c r="H10" s="287" t="str">
        <f>Sprache!B237</f>
        <v>Taux couverture PAC (ECS)</v>
      </c>
      <c r="I10" s="251"/>
      <c r="J10" s="251"/>
      <c r="K10" s="263">
        <f>IF('WP1'!F63&lt;&gt;"",'WP1'!F63,0)</f>
        <v>0</v>
      </c>
    </row>
    <row r="11" spans="2:32" s="5" customFormat="1" ht="16.899999999999999" customHeight="1" x14ac:dyDescent="0.2">
      <c r="B11" s="5" t="str">
        <f>Sprache!B219</f>
        <v>P nécessaire ECS</v>
      </c>
      <c r="C11" s="217">
        <f>IF(WW,IF(AND(Qww&gt;0,EBF&gt;0),Qww/3.6*EBF/8760,0),0)</f>
        <v>0</v>
      </c>
      <c r="D11" s="5" t="s">
        <v>3650</v>
      </c>
      <c r="E11" s="264" t="str">
        <f>Sprache!B228</f>
        <v>Besoins totaux:</v>
      </c>
      <c r="F11" s="265">
        <f>IF(OR(Qh&lt;&gt;"",Qww&lt;&gt;""),SUM(F7:F10),)</f>
        <v>0</v>
      </c>
      <c r="G11" s="264" t="s">
        <v>3665</v>
      </c>
      <c r="H11" s="287" t="str">
        <f>Sprache!B238</f>
        <v>COPA PAC (chauffage)</v>
      </c>
      <c r="I11" s="251"/>
      <c r="J11" s="251"/>
      <c r="K11" s="217">
        <f ca="1">IF(JAZcalc,jazsh,jazh)</f>
        <v>0</v>
      </c>
    </row>
    <row r="12" spans="2:32" s="5" customFormat="1" ht="16.899999999999999" customHeight="1" x14ac:dyDescent="0.2">
      <c r="B12" s="5" t="str">
        <f>Sprache!B221</f>
        <v>Durée marche PAC</v>
      </c>
      <c r="C12" s="214">
        <f>IF(Kategorie&gt;1,'WP1'!AI128*(24-Sperrzeit)/24,)</f>
        <v>0</v>
      </c>
      <c r="D12" s="5" t="s">
        <v>3481</v>
      </c>
      <c r="H12" s="287" t="str">
        <f>Sprache!B239</f>
        <v>COPA PAC (ECS)</v>
      </c>
      <c r="K12" s="217">
        <f>IF(JAZcalc,jazsww,jazww)</f>
        <v>0</v>
      </c>
      <c r="M12" s="125"/>
      <c r="N12" s="125"/>
    </row>
    <row r="13" spans="2:32" s="5" customFormat="1" ht="16.899999999999999" customHeight="1" x14ac:dyDescent="0.2">
      <c r="B13" s="5" t="str">
        <f>Sprache!B222</f>
        <v>Besoin d'électricité PAC</v>
      </c>
      <c r="C13" s="214">
        <f>IF(EBF&gt;0,IF(K11&gt;0,(F7+F8)*K9/K11,0)+IF(K12&gt;0,(F9+F10)*K10/K12,0),0)</f>
        <v>0</v>
      </c>
      <c r="D13" s="5" t="s">
        <v>3665</v>
      </c>
      <c r="H13" s="287" t="str">
        <f>IF(JAZcalc,"JAZ total (inkl. Elektrozusatz)","")</f>
        <v/>
      </c>
      <c r="K13" s="217" t="str">
        <f>IF(JAZcalc,JAZcalc!I64,"")</f>
        <v/>
      </c>
      <c r="M13" s="125"/>
      <c r="N13" s="848"/>
    </row>
    <row r="14" spans="2:32" s="5" customFormat="1" ht="16.899999999999999" customHeight="1" x14ac:dyDescent="0.2">
      <c r="E14" s="264" t="str">
        <f>Sprache!B229</f>
        <v>Besoin de puissance de chauffage (sans ECS)</v>
      </c>
      <c r="H14" s="362" t="str">
        <f>Sprache!B240</f>
        <v>PAC pour chauffage:</v>
      </c>
      <c r="I14" s="297"/>
      <c r="J14" s="297"/>
      <c r="K14" s="298">
        <f>IF(Kategorie&gt;1,'WP1'!AK128,0)</f>
        <v>0</v>
      </c>
      <c r="M14" s="125"/>
      <c r="N14" s="125"/>
      <c r="O14" s="214"/>
    </row>
    <row r="15" spans="2:32" s="5" customFormat="1" ht="16.899999999999999" customHeight="1" x14ac:dyDescent="0.2">
      <c r="B15" s="264" t="str">
        <f>IF(JAZcalc,"Energiekosten:","")</f>
        <v/>
      </c>
      <c r="E15" s="5" t="str">
        <f>IF(JAZcalc,"Vorschlag bei "&amp;TaMinVorarlberg&amp;" °C",Sprache!B230)</f>
        <v>Proposition à °C</v>
      </c>
      <c r="F15" s="266">
        <f>IF(JAZcalc,'WP1'!M31/(20-TaMin)*(20-TaMinVorarlberg),'WP1'!M31)</f>
        <v>0</v>
      </c>
      <c r="G15" s="5" t="s">
        <v>3650</v>
      </c>
      <c r="H15" s="362" t="str">
        <f>Sprache!B241</f>
        <v>PAC pour ECS:</v>
      </c>
      <c r="I15" s="297"/>
      <c r="J15" s="297"/>
      <c r="K15" s="298">
        <f>IF(WW,IF(OR(Qww&lt;&gt;0),'WP1'!AG128,),0)*K10</f>
        <v>0</v>
      </c>
      <c r="M15" s="125"/>
      <c r="O15" s="214"/>
    </row>
    <row r="16" spans="2:32" s="5" customFormat="1" ht="16.899999999999999" customHeight="1" x14ac:dyDescent="0.2">
      <c r="B16" s="5" t="str">
        <f>IF(JAZcalc,"Wärmepumpe","")</f>
        <v/>
      </c>
      <c r="C16" s="214" t="str">
        <f>IF(JAZcalc,IF(EBF&gt;0,IF(jazsh&gt;0,(F7+F8)*K9/K11,0)*Kosten!C9+IF(jazsww&gt;0,(F9+F10)*K10/K12,0)*Kosten!C9,0),"")</f>
        <v/>
      </c>
      <c r="D16" s="5" t="str">
        <f>IF(JAZcalc,"Euro","")</f>
        <v/>
      </c>
      <c r="E16" s="5" t="str">
        <f>IF(JAZcalc,"Rechenwert bei "&amp;TaMinVorarlberg&amp;" °C",Sprache!B231)</f>
        <v>P calculée à °C</v>
      </c>
      <c r="F16" s="266">
        <f>IF(Kategorie&gt;1,IF(OR(Qh&lt;&gt;"",Qww&lt;&gt;""),IF(JAZcalc,'WP1'!M32/28*(20-TaMinVorarlberg),'WP1'!M32/28*(20-TaMin)),0),)</f>
        <v>0</v>
      </c>
      <c r="G16" s="5" t="s">
        <v>3650</v>
      </c>
      <c r="H16" s="362" t="str">
        <f>Sprache!B242</f>
        <v>Chauffage d'appoint ECS:</v>
      </c>
      <c r="I16" s="297"/>
      <c r="J16" s="297"/>
      <c r="K16" s="298">
        <f>IF(WW,IF(OR(Qww&lt;&gt;0),'WP1'!AG128,),0)*(1-K10)</f>
        <v>0</v>
      </c>
      <c r="L16" s="297" t="s">
        <v>3665</v>
      </c>
      <c r="M16" s="125"/>
    </row>
    <row r="17" spans="2:32" s="5" customFormat="1" ht="16.899999999999999" customHeight="1" x14ac:dyDescent="0.2">
      <c r="B17" s="5" t="str">
        <f>IF(JAZcalc,"Heizstab WW","")</f>
        <v/>
      </c>
      <c r="C17" s="214" t="str">
        <f>IF(JAZcalc,IF(elWW,(F9+F10)*(1-K10-K8)*Kosten!C9,0),"")</f>
        <v/>
      </c>
      <c r="D17" s="5" t="str">
        <f>IF(JAZcalc,"Euro","")</f>
        <v/>
      </c>
      <c r="E17" s="377" t="str">
        <f>Sprache!B232</f>
        <v xml:space="preserve">P calculée à -8°C </v>
      </c>
      <c r="F17" s="266">
        <f>IF(Kategorie&gt;1,IF(Heizung,'WP1'!M32,0),)</f>
        <v>0</v>
      </c>
      <c r="G17" s="251" t="s">
        <v>3650</v>
      </c>
      <c r="H17" s="363" t="str">
        <f>Sprache!B243</f>
        <v>Appoint au chauffage:</v>
      </c>
      <c r="I17" s="297"/>
      <c r="J17" s="297"/>
      <c r="K17" s="298">
        <f>IF(Heizung,IF(Kategorie&gt;1,IF(OR(Qh&lt;&gt;"",Qww&lt;&gt;""),Max_Zusatzheizung-K16,),0),0)</f>
        <v>0</v>
      </c>
      <c r="L17" s="297" t="s">
        <v>3665</v>
      </c>
      <c r="M17" s="843"/>
      <c r="N17" s="843"/>
    </row>
    <row r="18" spans="2:32" s="5" customFormat="1" ht="16.899999999999999" customHeight="1" x14ac:dyDescent="0.2">
      <c r="B18" s="5" t="str">
        <f>IF(JAZcalc,"Zusatzheizung","")</f>
        <v/>
      </c>
      <c r="C18" s="262" t="str">
        <f>IF(JAZcalc,(F7+F8)*(1-K9-K7)*IF('WP1'!J23=4,Kosten!C14,Kosten!C9),"")</f>
        <v/>
      </c>
      <c r="D18" s="5" t="str">
        <f>IF(JAZcalc,"Euro","")</f>
        <v/>
      </c>
      <c r="H18" s="363" t="str">
        <f>Sprache!B244</f>
        <v>Pertes:</v>
      </c>
      <c r="I18" s="297"/>
      <c r="J18" s="297"/>
      <c r="K18" s="298">
        <f>IF(Kategorie&gt;1,-IF(OR(Qh&lt;&gt;"",Qww&lt;&gt;""),IF('WP1'!AD139&gt;2,K14+K15+K16+K17-F11-Max_Zusatzheizung+Zusatzheizung_total,),),0)</f>
        <v>0</v>
      </c>
      <c r="L18" s="297" t="s">
        <v>3665</v>
      </c>
      <c r="M18" s="843"/>
      <c r="N18" s="843"/>
    </row>
    <row r="19" spans="2:32" s="5" customFormat="1" ht="16.899999999999999" customHeight="1" x14ac:dyDescent="0.2">
      <c r="B19" s="5" t="str">
        <f>IF(JAZcalc,"Energie total","")</f>
        <v/>
      </c>
      <c r="C19" s="1017" t="str">
        <f>IF(JAZcalc,IF(EBF&gt;0,C16+C17+C18,0),"")</f>
        <v/>
      </c>
      <c r="D19" s="234" t="str">
        <f>IF(JAZcalc,"Euro","")</f>
        <v/>
      </c>
      <c r="H19" s="299" t="str">
        <f>Sprache!B245</f>
        <v>Couverture des besoins:</v>
      </c>
      <c r="I19" s="297"/>
      <c r="J19" s="297"/>
      <c r="K19" s="300">
        <f>IF(OR(Qh&lt;&gt;"",Qww&lt;&gt;""),K14+K15+K16+K17+K18,)</f>
        <v>0</v>
      </c>
      <c r="L19" s="297" t="s">
        <v>3665</v>
      </c>
      <c r="M19" s="843"/>
      <c r="N19" s="843"/>
    </row>
    <row r="20" spans="2:32" ht="16.899999999999999" customHeight="1" x14ac:dyDescent="0.2">
      <c r="H20" s="5"/>
      <c r="I20" s="5"/>
      <c r="J20" s="5"/>
      <c r="K20" s="5"/>
      <c r="L20" s="299"/>
      <c r="M20" s="849"/>
      <c r="N20" s="849"/>
      <c r="O20" s="849"/>
      <c r="P20" s="849"/>
      <c r="Q20" s="843"/>
      <c r="R20" s="5"/>
      <c r="S20" s="843"/>
      <c r="T20" s="843"/>
      <c r="U20" s="843"/>
      <c r="V20" s="843"/>
      <c r="W20" s="843"/>
      <c r="X20" s="843"/>
      <c r="Y20" s="843"/>
      <c r="Z20" s="843"/>
      <c r="AA20" s="843"/>
      <c r="AB20" s="843"/>
      <c r="AC20" s="843"/>
      <c r="AD20" s="843"/>
      <c r="AE20" s="843"/>
      <c r="AF20" s="843"/>
    </row>
    <row r="21" spans="2:32" s="353" customFormat="1" ht="39.6" customHeight="1" x14ac:dyDescent="0.2">
      <c r="H21" s="352"/>
      <c r="N21" s="348" t="str">
        <f>Sprache!B246</f>
        <v>Temp extérieure
Ta</v>
      </c>
      <c r="O21" s="348" t="str">
        <f>Sprache!B247</f>
        <v>Puissance
nécessaire</v>
      </c>
      <c r="P21" s="349" t="str">
        <f>Sprache!B248</f>
        <v>Distribution
BIN</v>
      </c>
      <c r="Q21" s="348" t="str">
        <f>Sprache!B249</f>
        <v>Courbe de charge
sans gains de chaleur</v>
      </c>
      <c r="R21" s="350" t="str">
        <f>Sprache!B250</f>
        <v>Fréquence
cumulée</v>
      </c>
      <c r="S21" s="348" t="str">
        <f>Sprache!B251</f>
        <v>Courbe de charge
avec gains chaleur</v>
      </c>
      <c r="T21" s="351" t="str">
        <f>Sprache!B250</f>
        <v>Fréquence
cumulée</v>
      </c>
      <c r="U21" s="349" t="str">
        <f>Sprache!B252</f>
        <v>Apport chaleur
PAC</v>
      </c>
      <c r="V21" s="349" t="s">
        <v>2330</v>
      </c>
      <c r="W21" s="349" t="str">
        <f>Sprache!B253</f>
        <v>PAC + chauffage d'appoint</v>
      </c>
      <c r="X21" s="348" t="s">
        <v>1200</v>
      </c>
      <c r="Y21" s="350" t="s">
        <v>2329</v>
      </c>
      <c r="Z21" s="351" t="s">
        <v>3905</v>
      </c>
      <c r="AA21" s="349" t="s">
        <v>3906</v>
      </c>
      <c r="AB21" s="349" t="s">
        <v>3907</v>
      </c>
      <c r="AC21" s="349" t="s">
        <v>1743</v>
      </c>
      <c r="AD21" s="349" t="s">
        <v>1741</v>
      </c>
      <c r="AE21" s="349" t="s">
        <v>1742</v>
      </c>
      <c r="AF21" s="5"/>
    </row>
    <row r="22" spans="2:32" s="5" customFormat="1" ht="12" x14ac:dyDescent="0.2">
      <c r="N22" s="267"/>
      <c r="O22" s="267"/>
      <c r="P22" s="131"/>
      <c r="Q22" s="267"/>
      <c r="R22" s="11"/>
      <c r="S22" s="267"/>
      <c r="T22" s="268"/>
      <c r="U22" s="131"/>
      <c r="V22" s="131"/>
      <c r="W22" s="269"/>
      <c r="X22" s="267" t="s">
        <v>1201</v>
      </c>
      <c r="Y22" s="11" t="s">
        <v>2331</v>
      </c>
      <c r="Z22" s="866"/>
      <c r="AA22" s="131" t="s">
        <v>119</v>
      </c>
      <c r="AB22" s="269" t="s">
        <v>2332</v>
      </c>
      <c r="AC22" s="131"/>
      <c r="AD22" s="269"/>
      <c r="AE22" s="269"/>
    </row>
    <row r="23" spans="2:32" s="19" customFormat="1" ht="13.15" customHeight="1" x14ac:dyDescent="0.2">
      <c r="N23" s="267" t="s">
        <v>2333</v>
      </c>
      <c r="O23" s="267" t="s">
        <v>2334</v>
      </c>
      <c r="P23" s="131" t="s">
        <v>2335</v>
      </c>
      <c r="Q23" s="267" t="s">
        <v>2336</v>
      </c>
      <c r="R23" s="11" t="s">
        <v>2336</v>
      </c>
      <c r="S23" s="267" t="s">
        <v>2336</v>
      </c>
      <c r="T23" s="268" t="s">
        <v>2336</v>
      </c>
      <c r="U23" s="131" t="s">
        <v>2334</v>
      </c>
      <c r="V23" s="131" t="s">
        <v>2334</v>
      </c>
      <c r="W23" s="131" t="s">
        <v>2334</v>
      </c>
      <c r="X23" s="267" t="s">
        <v>2336</v>
      </c>
      <c r="Y23" s="11" t="s">
        <v>2336</v>
      </c>
      <c r="Z23" s="268" t="s">
        <v>2334</v>
      </c>
      <c r="AA23" s="131" t="s">
        <v>2334</v>
      </c>
      <c r="AB23" s="131" t="s">
        <v>2334</v>
      </c>
      <c r="AC23" s="131" t="s">
        <v>2333</v>
      </c>
      <c r="AD23" s="131" t="s">
        <v>2333</v>
      </c>
      <c r="AE23" s="131" t="s">
        <v>2333</v>
      </c>
      <c r="AF23" s="5"/>
    </row>
    <row r="24" spans="2:32" s="5" customFormat="1" x14ac:dyDescent="0.2">
      <c r="N24" s="306"/>
      <c r="O24" s="314">
        <f>IF(Heizung,MAX(Leistung,IF(Leistung&gt;0,F15*0.9,F15))/(20-TaMin)*28,0)</f>
        <v>0</v>
      </c>
      <c r="P24" s="135"/>
      <c r="Q24" s="270"/>
      <c r="R24" s="271"/>
      <c r="S24" s="270"/>
      <c r="T24" s="268"/>
      <c r="U24" s="135">
        <v>0</v>
      </c>
      <c r="V24" s="135"/>
      <c r="W24" s="272" t="str">
        <f>IF(Nutzungsgrad&lt;&gt;1,"Energiebedarf Zusatzheizung","")</f>
        <v/>
      </c>
      <c r="X24" s="856"/>
      <c r="Y24" s="857"/>
      <c r="Z24" s="678"/>
      <c r="AA24" s="870"/>
      <c r="AB24" s="135" t="str">
        <f>W24</f>
        <v/>
      </c>
      <c r="AC24" s="870"/>
      <c r="AD24" s="135"/>
      <c r="AE24" s="135"/>
    </row>
    <row r="25" spans="2:32" x14ac:dyDescent="0.2">
      <c r="N25" s="273"/>
      <c r="O25" s="316"/>
      <c r="P25" s="313"/>
      <c r="Q25" s="274">
        <v>0</v>
      </c>
      <c r="R25" s="852"/>
      <c r="S25" s="310">
        <v>0</v>
      </c>
      <c r="T25" s="854"/>
      <c r="U25" s="865"/>
      <c r="V25" s="275"/>
      <c r="W25" s="278"/>
      <c r="X25" s="862">
        <f>Q25*(1-Solarant)</f>
        <v>0</v>
      </c>
      <c r="Y25" s="842"/>
      <c r="Z25" s="329"/>
      <c r="AA25" s="871"/>
      <c r="AB25" s="822"/>
      <c r="AC25" s="317"/>
      <c r="AD25" s="822"/>
      <c r="AE25" s="317"/>
      <c r="AF25" s="819"/>
    </row>
    <row r="26" spans="2:32" x14ac:dyDescent="0.2">
      <c r="N26" s="276">
        <v>-25</v>
      </c>
      <c r="O26" s="1113">
        <f>IF(Qh&gt;0,IF(P26&gt;0,IF(Heizung,'WP1'!Z60,0)+IF(WW,Qww*EBF/3.6/8760,0),0),)</f>
        <v>0</v>
      </c>
      <c r="P26" s="1114">
        <f>'WP1'!W60/8760</f>
        <v>0</v>
      </c>
      <c r="Q26" s="277">
        <f>P26*8760</f>
        <v>0</v>
      </c>
      <c r="R26" s="853">
        <f>R25+Q26</f>
        <v>0</v>
      </c>
      <c r="S26" s="311" t="e">
        <f ca="1">'WP1'!Y60</f>
        <v>#REF!</v>
      </c>
      <c r="T26" s="855" t="e">
        <f ca="1">T25+S26</f>
        <v>#REF!</v>
      </c>
      <c r="U26" s="861">
        <f>IF(Bivalenzpunkt&lt;N26,IF('WP1'!AB60&lt;O26,'WP1'!AB60,O26),0)</f>
        <v>0</v>
      </c>
      <c r="V26" s="278" t="e">
        <f ca="1">MIN(Kesselleistung,IF(Laufzeit_Zusatzheizung&gt;=T26,(O26-U26)/Nutzungsgrad+Kesselleistung*'WP1'!$H$45,0))</f>
        <v>#REF!</v>
      </c>
      <c r="W26" s="278">
        <f>IF(Kategorie&gt;1,IF(V26&gt;0,U26+V26,IF(Laufzeit_Zusatzheizung&gt;=T26,O26,U26)),0)</f>
        <v>0</v>
      </c>
      <c r="X26" s="1115" t="e">
        <f ca="1">'WP1'!Y60/(1-Kollektor)</f>
        <v>#REF!</v>
      </c>
      <c r="Y26" s="867" t="e">
        <f ca="1">X25+X26</f>
        <v>#REF!</v>
      </c>
      <c r="Z26" s="876">
        <f>IF(Qh&gt;0,IF(P26&gt;0,IF(Heizung,'WP1'!Z60,0),0)+IF(WW,Qww*EBF/3.6/8760,0),)</f>
        <v>0</v>
      </c>
      <c r="AA26" s="871" t="str">
        <f t="shared" ref="AA26:AA57" si="0">IF(P26&gt;0,O26,"")</f>
        <v/>
      </c>
      <c r="AB26" s="877">
        <f>IF('WP1'!$J$23&gt;2,IF(P26&gt;0,W26,""),0)</f>
        <v>0</v>
      </c>
      <c r="AC26" s="317">
        <f>INDEX('WP1'!$AW$60:$AW$125,AF26,1)</f>
        <v>-25</v>
      </c>
      <c r="AD26" s="879">
        <f>IF(WPArt&gt;1,INDEX('WP1'!$AY$60:$AY$125,AF26,1),0)</f>
        <v>0</v>
      </c>
      <c r="AE26" s="881">
        <f>IF(WPArt&gt;1,INDEX('WP1'!$AX$60:$AX$125,AF26,1),0)</f>
        <v>0</v>
      </c>
      <c r="AF26" s="884">
        <v>1</v>
      </c>
    </row>
    <row r="27" spans="2:32" x14ac:dyDescent="0.2">
      <c r="N27" s="276">
        <v>-24</v>
      </c>
      <c r="O27" s="1113">
        <f>IF(Qh&gt;0,IF(P27&gt;0,IF(Heizung,'WP1'!Z61,0)+IF(WW,Qww*EBF/3.6/8760,0),0),)</f>
        <v>0</v>
      </c>
      <c r="P27" s="1114">
        <f>'WP1'!W61/8760</f>
        <v>0</v>
      </c>
      <c r="Q27" s="277">
        <f t="shared" ref="Q27:Q90" si="1">P27*8760</f>
        <v>0</v>
      </c>
      <c r="R27" s="853">
        <f>R26+Q27</f>
        <v>0</v>
      </c>
      <c r="S27" s="311" t="e">
        <f ca="1">'WP1'!Y61</f>
        <v>#REF!</v>
      </c>
      <c r="T27" s="855" t="e">
        <f ca="1">T26+S27</f>
        <v>#REF!</v>
      </c>
      <c r="U27" s="861">
        <f>IF(Bivalenzpunkt&lt;N27,IF('WP1'!AB61&lt;O27,'WP1'!AB61,O27),0)</f>
        <v>0</v>
      </c>
      <c r="V27" s="278" t="e">
        <f ca="1">MIN(Kesselleistung,IF(Laufzeit_Zusatzheizung&gt;=T27,(O27-U27)/Nutzungsgrad+Kesselleistung*'WP1'!$H$45,0))</f>
        <v>#REF!</v>
      </c>
      <c r="W27" s="278">
        <f>IF(Kategorie&gt;1,IF(V27&gt;0,U27+V27,IF(Laufzeit_Zusatzheizung&gt;=T27,O27,U27)),0)</f>
        <v>0</v>
      </c>
      <c r="X27" s="1115" t="e">
        <f ca="1">'WP1'!Y61/(1-Kollektor)</f>
        <v>#REF!</v>
      </c>
      <c r="Y27" s="867" t="e">
        <f ca="1">Y26+X27</f>
        <v>#REF!</v>
      </c>
      <c r="Z27" s="876">
        <f>IF(Qh&gt;0,IF(P27&gt;0,IF(Heizung,'WP1'!Z61,0),0)+IF(WW,Qww*EBF/3.6/8760,0),)</f>
        <v>0</v>
      </c>
      <c r="AA27" s="871" t="str">
        <f t="shared" si="0"/>
        <v/>
      </c>
      <c r="AB27" s="877">
        <f>IF('WP1'!$J$23&gt;2,IF(P27&gt;0,W27,""),0)</f>
        <v>0</v>
      </c>
      <c r="AC27" s="317">
        <f>INDEX('WP1'!$AW$60:$AW$125,AF27,1)</f>
        <v>-24</v>
      </c>
      <c r="AD27" s="879">
        <f>IF(WPArt&gt;1,INDEX('WP1'!$AY$60:$AY$125,AF27,1),0)</f>
        <v>0</v>
      </c>
      <c r="AE27" s="881">
        <f>IF(WPArt&gt;1,INDEX('WP1'!$AX$60:$AX$125,AF27,1),0)</f>
        <v>0</v>
      </c>
      <c r="AF27" s="884">
        <v>2</v>
      </c>
    </row>
    <row r="28" spans="2:32" x14ac:dyDescent="0.2">
      <c r="N28" s="276">
        <v>-23</v>
      </c>
      <c r="O28" s="1113">
        <f>IF(Qh&gt;0,IF(P28&gt;0,IF(Heizung,'WP1'!Z62,0)+IF(WW,Qww*EBF/3.6/8760,0),0),)</f>
        <v>0</v>
      </c>
      <c r="P28" s="1114">
        <f>'WP1'!W62/8760</f>
        <v>0</v>
      </c>
      <c r="Q28" s="277">
        <f t="shared" si="1"/>
        <v>0</v>
      </c>
      <c r="R28" s="853">
        <f t="shared" ref="R28:R91" si="2">R27+Q28</f>
        <v>0</v>
      </c>
      <c r="S28" s="311" t="e">
        <f ca="1">'WP1'!Y62</f>
        <v>#REF!</v>
      </c>
      <c r="T28" s="855" t="e">
        <f t="shared" ref="T28:T71" ca="1" si="3">T27+S28</f>
        <v>#REF!</v>
      </c>
      <c r="U28" s="861">
        <f>IF(Bivalenzpunkt&lt;N28,IF('WP1'!AB62&lt;O28,'WP1'!AB62,O28),0)</f>
        <v>0</v>
      </c>
      <c r="V28" s="278" t="e">
        <f ca="1">MIN(Kesselleistung,IF(Laufzeit_Zusatzheizung&gt;=T28,(O28-U28)/Nutzungsgrad+Kesselleistung*'WP1'!$H$45,0))</f>
        <v>#REF!</v>
      </c>
      <c r="W28" s="278">
        <f t="shared" ref="W28:W91" si="4">IF(Kategorie&gt;1,IF(V28&gt;0,U28+V28,IF(Laufzeit_Zusatzheizung&gt;=T28,O28,U28)),0)</f>
        <v>0</v>
      </c>
      <c r="X28" s="1115" t="e">
        <f ca="1">'WP1'!Y62/(1-Kollektor)</f>
        <v>#REF!</v>
      </c>
      <c r="Y28" s="867" t="e">
        <f t="shared" ref="Y28:Y91" ca="1" si="5">Y27+X28</f>
        <v>#REF!</v>
      </c>
      <c r="Z28" s="876">
        <f>IF(Qh&gt;0,IF(P28&gt;0,IF(Heizung,'WP1'!Z62,0),0)+IF(WW,Qww*EBF/3.6/8760,0),)</f>
        <v>0</v>
      </c>
      <c r="AA28" s="871" t="str">
        <f t="shared" si="0"/>
        <v/>
      </c>
      <c r="AB28" s="877">
        <f>IF('WP1'!$J$23&gt;2,IF(P28&gt;0,W28,""),0)</f>
        <v>0</v>
      </c>
      <c r="AC28" s="317">
        <f>INDEX('WP1'!$AW$60:$AW$125,AF28,1)</f>
        <v>-23</v>
      </c>
      <c r="AD28" s="879">
        <f>IF(WPArt&gt;1,INDEX('WP1'!$AY$60:$AY$125,AF28,1),0)</f>
        <v>0</v>
      </c>
      <c r="AE28" s="881">
        <f>IF(WPArt&gt;1,INDEX('WP1'!$AX$60:$AX$125,AF28,1),0)</f>
        <v>0</v>
      </c>
      <c r="AF28" s="884">
        <v>3</v>
      </c>
    </row>
    <row r="29" spans="2:32" x14ac:dyDescent="0.2">
      <c r="N29" s="276">
        <v>-22</v>
      </c>
      <c r="O29" s="1113">
        <f>IF(Qh&gt;0,IF(P29&gt;0,IF(Heizung,'WP1'!Z63,0)+IF(WW,Qww*EBF/3.6/8760,0),0),)</f>
        <v>0</v>
      </c>
      <c r="P29" s="1114">
        <f>'WP1'!W63/8760</f>
        <v>0</v>
      </c>
      <c r="Q29" s="277">
        <f t="shared" si="1"/>
        <v>0</v>
      </c>
      <c r="R29" s="853">
        <f t="shared" si="2"/>
        <v>0</v>
      </c>
      <c r="S29" s="311" t="e">
        <f ca="1">'WP1'!Y63</f>
        <v>#REF!</v>
      </c>
      <c r="T29" s="855" t="e">
        <f t="shared" ca="1" si="3"/>
        <v>#REF!</v>
      </c>
      <c r="U29" s="861">
        <f>IF(Bivalenzpunkt&lt;N29,IF('WP1'!AB63&lt;O29,'WP1'!AB63,O29),0)</f>
        <v>0</v>
      </c>
      <c r="V29" s="278" t="e">
        <f ca="1">MIN(Kesselleistung,IF(Laufzeit_Zusatzheizung&gt;=T29,(O29-U29)/Nutzungsgrad+Kesselleistung*'WP1'!$H$45,0))</f>
        <v>#REF!</v>
      </c>
      <c r="W29" s="278">
        <f t="shared" si="4"/>
        <v>0</v>
      </c>
      <c r="X29" s="1115" t="e">
        <f ca="1">'WP1'!Y63/(1-Kollektor)</f>
        <v>#REF!</v>
      </c>
      <c r="Y29" s="867" t="e">
        <f t="shared" ca="1" si="5"/>
        <v>#REF!</v>
      </c>
      <c r="Z29" s="876">
        <f>IF(Qh&gt;0,IF(P29&gt;0,IF(Heizung,'WP1'!Z63,0),0)+IF(WW,Qww*EBF/3.6/8760,0),)</f>
        <v>0</v>
      </c>
      <c r="AA29" s="871" t="str">
        <f t="shared" si="0"/>
        <v/>
      </c>
      <c r="AB29" s="877">
        <f>IF('WP1'!$J$23&gt;2,IF(P29&gt;0,W29,""),0)</f>
        <v>0</v>
      </c>
      <c r="AC29" s="317">
        <f>INDEX('WP1'!$AW$60:$AW$125,AF29,1)</f>
        <v>-22</v>
      </c>
      <c r="AD29" s="879">
        <f>IF(WPArt&gt;1,INDEX('WP1'!$AY$60:$AY$125,AF29,1),0)</f>
        <v>0</v>
      </c>
      <c r="AE29" s="881">
        <f>IF(WPArt&gt;1,INDEX('WP1'!$AX$60:$AX$125,AF29,1),0)</f>
        <v>0</v>
      </c>
      <c r="AF29" s="884">
        <v>4</v>
      </c>
    </row>
    <row r="30" spans="2:32" x14ac:dyDescent="0.2">
      <c r="N30" s="276">
        <v>-21</v>
      </c>
      <c r="O30" s="1113">
        <f>IF(Qh&gt;0,IF(P30&gt;0,IF(Heizung,'WP1'!Z64,0)+IF(WW,Qww*EBF/3.6/8760,0),0),)</f>
        <v>0</v>
      </c>
      <c r="P30" s="1114">
        <f>'WP1'!W64/8760</f>
        <v>0</v>
      </c>
      <c r="Q30" s="277">
        <f t="shared" si="1"/>
        <v>0</v>
      </c>
      <c r="R30" s="853">
        <f t="shared" si="2"/>
        <v>0</v>
      </c>
      <c r="S30" s="311" t="e">
        <f ca="1">'WP1'!Y64</f>
        <v>#REF!</v>
      </c>
      <c r="T30" s="855" t="e">
        <f t="shared" ca="1" si="3"/>
        <v>#REF!</v>
      </c>
      <c r="U30" s="861">
        <f>IF(Bivalenzpunkt&lt;N30,IF('WP1'!AB64&lt;O30,'WP1'!AB64,O30),0)</f>
        <v>0</v>
      </c>
      <c r="V30" s="278" t="e">
        <f ca="1">MIN(Kesselleistung,IF(Laufzeit_Zusatzheizung&gt;=T30,(O30-U30)/Nutzungsgrad+Kesselleistung*'WP1'!$H$45,0))</f>
        <v>#REF!</v>
      </c>
      <c r="W30" s="278">
        <f t="shared" si="4"/>
        <v>0</v>
      </c>
      <c r="X30" s="1115" t="e">
        <f ca="1">'WP1'!Y64/(1-Kollektor)</f>
        <v>#REF!</v>
      </c>
      <c r="Y30" s="867" t="e">
        <f t="shared" ca="1" si="5"/>
        <v>#REF!</v>
      </c>
      <c r="Z30" s="876">
        <f>IF(Qh&gt;0,IF(P30&gt;0,IF(Heizung,'WP1'!Z64,0),0)+IF(WW,Qww*EBF/3.6/8760,0),)</f>
        <v>0</v>
      </c>
      <c r="AA30" s="871" t="str">
        <f t="shared" si="0"/>
        <v/>
      </c>
      <c r="AB30" s="877">
        <f>IF('WP1'!$J$23&gt;2,IF(P30&gt;0,W30,""),0)</f>
        <v>0</v>
      </c>
      <c r="AC30" s="317">
        <f>INDEX('WP1'!$AW$60:$AW$125,AF30,1)</f>
        <v>-21</v>
      </c>
      <c r="AD30" s="879">
        <f>IF(WPArt&gt;1,INDEX('WP1'!$AY$60:$AY$125,AF30,1),0)</f>
        <v>0</v>
      </c>
      <c r="AE30" s="881">
        <f>IF(WPArt&gt;1,INDEX('WP1'!$AX$60:$AX$125,AF30,1),0)</f>
        <v>0</v>
      </c>
      <c r="AF30" s="884">
        <v>5</v>
      </c>
    </row>
    <row r="31" spans="2:32" x14ac:dyDescent="0.2">
      <c r="N31" s="276">
        <v>-20</v>
      </c>
      <c r="O31" s="1113">
        <f>IF(Qh&gt;0,IF(P31&gt;0,IF(Heizung,'WP1'!Z65,0)+IF(WW,Qww*EBF/3.6/8760,0),0),)</f>
        <v>0</v>
      </c>
      <c r="P31" s="1114">
        <f>'WP1'!W65/8760</f>
        <v>0</v>
      </c>
      <c r="Q31" s="277">
        <f t="shared" si="1"/>
        <v>0</v>
      </c>
      <c r="R31" s="853">
        <f t="shared" si="2"/>
        <v>0</v>
      </c>
      <c r="S31" s="311" t="e">
        <f ca="1">'WP1'!Y65</f>
        <v>#REF!</v>
      </c>
      <c r="T31" s="855" t="e">
        <f t="shared" ca="1" si="3"/>
        <v>#REF!</v>
      </c>
      <c r="U31" s="861">
        <f>IF(Bivalenzpunkt&lt;N31,IF('WP1'!AB65&lt;O31,'WP1'!AB65,O31),0)</f>
        <v>0</v>
      </c>
      <c r="V31" s="278" t="e">
        <f ca="1">MIN(Kesselleistung,IF(Laufzeit_Zusatzheizung&gt;=T31,(O31-U31)/Nutzungsgrad+Kesselleistung*'WP1'!$H$45,0))</f>
        <v>#REF!</v>
      </c>
      <c r="W31" s="278">
        <f t="shared" si="4"/>
        <v>0</v>
      </c>
      <c r="X31" s="1115" t="e">
        <f ca="1">'WP1'!Y65/(1-Kollektor)</f>
        <v>#REF!</v>
      </c>
      <c r="Y31" s="867" t="e">
        <f t="shared" ca="1" si="5"/>
        <v>#REF!</v>
      </c>
      <c r="Z31" s="876">
        <f>IF(Qh&gt;0,IF(P31&gt;0,IF(Heizung,'WP1'!Z65,0),0)+IF(WW,Qww*EBF/3.6/8760,0),)</f>
        <v>0</v>
      </c>
      <c r="AA31" s="871" t="str">
        <f t="shared" si="0"/>
        <v/>
      </c>
      <c r="AB31" s="877">
        <f>IF('WP1'!$J$23&gt;2,IF(P31&gt;0,W31,""),0)</f>
        <v>0</v>
      </c>
      <c r="AC31" s="317">
        <f>INDEX('WP1'!$AW$60:$AW$125,AF31,1)</f>
        <v>-20</v>
      </c>
      <c r="AD31" s="879">
        <f>IF(WPArt&gt;1,INDEX('WP1'!$AY$60:$AY$125,AF31,1),0)</f>
        <v>0</v>
      </c>
      <c r="AE31" s="881">
        <f>IF(WPArt&gt;1,INDEX('WP1'!$AX$60:$AX$125,AF31,1),0)</f>
        <v>0</v>
      </c>
      <c r="AF31" s="884">
        <v>6</v>
      </c>
    </row>
    <row r="32" spans="2:32" x14ac:dyDescent="0.2">
      <c r="N32" s="276">
        <v>-19</v>
      </c>
      <c r="O32" s="1113">
        <f>IF(Qh&gt;0,IF(P32&gt;0,IF(Heizung,'WP1'!Z66,0)+IF(WW,Qww*EBF/3.6/8760,0),0),)</f>
        <v>0</v>
      </c>
      <c r="P32" s="1114">
        <f>'WP1'!W66/8760</f>
        <v>0</v>
      </c>
      <c r="Q32" s="277">
        <f t="shared" si="1"/>
        <v>0</v>
      </c>
      <c r="R32" s="853">
        <f t="shared" si="2"/>
        <v>0</v>
      </c>
      <c r="S32" s="311" t="e">
        <f ca="1">'WP1'!Y66</f>
        <v>#REF!</v>
      </c>
      <c r="T32" s="855" t="e">
        <f t="shared" ca="1" si="3"/>
        <v>#REF!</v>
      </c>
      <c r="U32" s="861">
        <f>IF(Bivalenzpunkt&lt;N32,IF('WP1'!AB66&lt;O32,'WP1'!AB66,O32),0)</f>
        <v>0</v>
      </c>
      <c r="V32" s="278" t="e">
        <f ca="1">MIN(Kesselleistung,IF(Laufzeit_Zusatzheizung&gt;=T32,(O32-U32)/Nutzungsgrad+Kesselleistung*'WP1'!$H$45,0))</f>
        <v>#REF!</v>
      </c>
      <c r="W32" s="278">
        <f t="shared" si="4"/>
        <v>0</v>
      </c>
      <c r="X32" s="1115" t="e">
        <f ca="1">'WP1'!Y66/(1-Kollektor)</f>
        <v>#REF!</v>
      </c>
      <c r="Y32" s="867" t="e">
        <f t="shared" ca="1" si="5"/>
        <v>#REF!</v>
      </c>
      <c r="Z32" s="876">
        <f>IF(Qh&gt;0,IF(P32&gt;0,IF(Heizung,'WP1'!Z66,0),0)+IF(WW,Qww*EBF/3.6/8760,0),)</f>
        <v>0</v>
      </c>
      <c r="AA32" s="871" t="str">
        <f t="shared" si="0"/>
        <v/>
      </c>
      <c r="AB32" s="877">
        <f>IF('WP1'!$J$23&gt;2,IF(P32&gt;0,W32,""),0)</f>
        <v>0</v>
      </c>
      <c r="AC32" s="317">
        <f>INDEX('WP1'!$AW$60:$AW$125,AF32,1)</f>
        <v>-19</v>
      </c>
      <c r="AD32" s="879">
        <f>IF(WPArt&gt;1,INDEX('WP1'!$AY$60:$AY$125,AF32,1),0)</f>
        <v>0</v>
      </c>
      <c r="AE32" s="881">
        <f>IF(WPArt&gt;1,INDEX('WP1'!$AX$60:$AX$125,AF32,1),0)</f>
        <v>0</v>
      </c>
      <c r="AF32" s="884">
        <v>7</v>
      </c>
    </row>
    <row r="33" spans="14:32" x14ac:dyDescent="0.2">
      <c r="N33" s="276">
        <v>-18</v>
      </c>
      <c r="O33" s="1113">
        <f>IF(Qh&gt;0,IF(P33&gt;0,IF(Heizung,'WP1'!Z67,0)+IF(WW,Qww*EBF/3.6/8760,0),0),)</f>
        <v>0</v>
      </c>
      <c r="P33" s="1114">
        <f>'WP1'!W67/8760</f>
        <v>0</v>
      </c>
      <c r="Q33" s="277">
        <f t="shared" si="1"/>
        <v>0</v>
      </c>
      <c r="R33" s="853">
        <f t="shared" si="2"/>
        <v>0</v>
      </c>
      <c r="S33" s="311" t="e">
        <f ca="1">'WP1'!Y67</f>
        <v>#REF!</v>
      </c>
      <c r="T33" s="855" t="e">
        <f t="shared" ca="1" si="3"/>
        <v>#REF!</v>
      </c>
      <c r="U33" s="861">
        <f>IF(Bivalenzpunkt&lt;N33,IF('WP1'!AB67&lt;O33,'WP1'!AB67,O33),0)</f>
        <v>0</v>
      </c>
      <c r="V33" s="278" t="e">
        <f ca="1">MIN(Kesselleistung,IF(Laufzeit_Zusatzheizung&gt;=T33,(O33-U33)/Nutzungsgrad+Kesselleistung*'WP1'!$H$45,0))</f>
        <v>#REF!</v>
      </c>
      <c r="W33" s="278">
        <f t="shared" si="4"/>
        <v>0</v>
      </c>
      <c r="X33" s="1115" t="e">
        <f ca="1">'WP1'!Y67/(1-Kollektor)</f>
        <v>#REF!</v>
      </c>
      <c r="Y33" s="867" t="e">
        <f t="shared" ca="1" si="5"/>
        <v>#REF!</v>
      </c>
      <c r="Z33" s="876">
        <f>IF(Qh&gt;0,IF(P33&gt;0,IF(Heizung,'WP1'!Z67,0),0)+IF(WW,Qww*EBF/3.6/8760,0),)</f>
        <v>0</v>
      </c>
      <c r="AA33" s="871" t="str">
        <f t="shared" si="0"/>
        <v/>
      </c>
      <c r="AB33" s="877">
        <f>IF('WP1'!$J$23&gt;2,IF(P33&gt;0,W33,""),0)</f>
        <v>0</v>
      </c>
      <c r="AC33" s="317">
        <f>INDEX('WP1'!$AW$60:$AW$125,AF33,1)</f>
        <v>-18</v>
      </c>
      <c r="AD33" s="879">
        <f>IF(WPArt&gt;1,INDEX('WP1'!$AY$60:$AY$125,AF33,1),0)</f>
        <v>0</v>
      </c>
      <c r="AE33" s="881">
        <f>IF(WPArt&gt;1,INDEX('WP1'!$AX$60:$AX$125,AF33,1),0)</f>
        <v>0</v>
      </c>
      <c r="AF33" s="884">
        <v>8</v>
      </c>
    </row>
    <row r="34" spans="14:32" x14ac:dyDescent="0.2">
      <c r="N34" s="276">
        <v>-17</v>
      </c>
      <c r="O34" s="1113">
        <f>IF(Qh&gt;0,IF(P34&gt;0,IF(Heizung,'WP1'!Z68,0)+IF(WW,Qww*EBF/3.6/8760,0),0),)</f>
        <v>0</v>
      </c>
      <c r="P34" s="1114">
        <f>'WP1'!W68/8760</f>
        <v>0</v>
      </c>
      <c r="Q34" s="277">
        <f t="shared" si="1"/>
        <v>0</v>
      </c>
      <c r="R34" s="853">
        <f t="shared" si="2"/>
        <v>0</v>
      </c>
      <c r="S34" s="311" t="e">
        <f ca="1">'WP1'!Y68</f>
        <v>#REF!</v>
      </c>
      <c r="T34" s="855" t="e">
        <f t="shared" ca="1" si="3"/>
        <v>#REF!</v>
      </c>
      <c r="U34" s="861">
        <f>IF(Bivalenzpunkt&lt;N34,IF('WP1'!AB68&lt;O34,'WP1'!AB68,O34),0)</f>
        <v>0</v>
      </c>
      <c r="V34" s="278" t="e">
        <f ca="1">MIN(Kesselleistung,IF(Laufzeit_Zusatzheizung&gt;=T34,(O34-U34)/Nutzungsgrad+Kesselleistung*'WP1'!$H$45,0))</f>
        <v>#REF!</v>
      </c>
      <c r="W34" s="278">
        <f t="shared" si="4"/>
        <v>0</v>
      </c>
      <c r="X34" s="1115" t="e">
        <f ca="1">'WP1'!Y68/(1-Kollektor)</f>
        <v>#REF!</v>
      </c>
      <c r="Y34" s="867" t="e">
        <f t="shared" ca="1" si="5"/>
        <v>#REF!</v>
      </c>
      <c r="Z34" s="876">
        <f>IF(Qh&gt;0,IF(P34&gt;0,IF(Heizung,'WP1'!Z68,0),0)+IF(WW,Qww*EBF/3.6/8760,0),)</f>
        <v>0</v>
      </c>
      <c r="AA34" s="871" t="str">
        <f t="shared" si="0"/>
        <v/>
      </c>
      <c r="AB34" s="877">
        <f>IF('WP1'!$J$23&gt;2,IF(P34&gt;0,W34,""),0)</f>
        <v>0</v>
      </c>
      <c r="AC34" s="317">
        <f>INDEX('WP1'!$AW$60:$AW$125,AF34,1)</f>
        <v>-17</v>
      </c>
      <c r="AD34" s="879">
        <f>IF(WPArt&gt;1,INDEX('WP1'!$AY$60:$AY$125,AF34,1),0)</f>
        <v>0</v>
      </c>
      <c r="AE34" s="881">
        <f>IF(WPArt&gt;1,INDEX('WP1'!$AX$60:$AX$125,AF34,1),0)</f>
        <v>0</v>
      </c>
      <c r="AF34" s="884">
        <v>9</v>
      </c>
    </row>
    <row r="35" spans="14:32" x14ac:dyDescent="0.2">
      <c r="N35" s="276">
        <v>-16</v>
      </c>
      <c r="O35" s="1113">
        <f>IF(Qh&gt;0,IF(P35&gt;0,IF(Heizung,'WP1'!Z69,0)+IF(WW,Qww*EBF/3.6/8760,0),0),)</f>
        <v>0</v>
      </c>
      <c r="P35" s="1114">
        <f>'WP1'!W69/8760</f>
        <v>0</v>
      </c>
      <c r="Q35" s="277">
        <f t="shared" si="1"/>
        <v>0</v>
      </c>
      <c r="R35" s="853">
        <f t="shared" si="2"/>
        <v>0</v>
      </c>
      <c r="S35" s="311" t="e">
        <f ca="1">'WP1'!Y69</f>
        <v>#REF!</v>
      </c>
      <c r="T35" s="855" t="e">
        <f t="shared" ca="1" si="3"/>
        <v>#REF!</v>
      </c>
      <c r="U35" s="861">
        <f>IF(Bivalenzpunkt&lt;N35,IF('WP1'!AB69&lt;O35,'WP1'!AB69,O35),0)</f>
        <v>0</v>
      </c>
      <c r="V35" s="278" t="e">
        <f ca="1">MIN(Kesselleistung,IF(Laufzeit_Zusatzheizung&gt;=T35,(O35-U35)/Nutzungsgrad+Kesselleistung*'WP1'!$H$45,0))</f>
        <v>#REF!</v>
      </c>
      <c r="W35" s="278">
        <f t="shared" si="4"/>
        <v>0</v>
      </c>
      <c r="X35" s="1115" t="e">
        <f ca="1">'WP1'!Y69/(1-Kollektor)</f>
        <v>#REF!</v>
      </c>
      <c r="Y35" s="867" t="e">
        <f t="shared" ca="1" si="5"/>
        <v>#REF!</v>
      </c>
      <c r="Z35" s="876">
        <f>IF(Qh&gt;0,IF(P35&gt;0,IF(Heizung,'WP1'!Z69,0),0)+IF(WW,Qww*EBF/3.6/8760,0),)</f>
        <v>0</v>
      </c>
      <c r="AA35" s="871" t="str">
        <f t="shared" si="0"/>
        <v/>
      </c>
      <c r="AB35" s="877">
        <f>IF('WP1'!$J$23&gt;2,IF(P35&gt;0,W35,""),0)</f>
        <v>0</v>
      </c>
      <c r="AC35" s="317">
        <f>INDEX('WP1'!$AW$60:$AW$125,AF35,1)</f>
        <v>-16</v>
      </c>
      <c r="AD35" s="879">
        <f>IF(WPArt&gt;1,INDEX('WP1'!$AY$60:$AY$125,AF35,1),0)</f>
        <v>0</v>
      </c>
      <c r="AE35" s="881">
        <f>IF(WPArt&gt;1,INDEX('WP1'!$AX$60:$AX$125,AF35,1),0)</f>
        <v>0</v>
      </c>
      <c r="AF35" s="884">
        <v>10</v>
      </c>
    </row>
    <row r="36" spans="14:32" x14ac:dyDescent="0.2">
      <c r="N36" s="276">
        <v>-15</v>
      </c>
      <c r="O36" s="1113">
        <f>IF(Qh&gt;0,IF(P36&gt;0,IF(Heizung,'WP1'!Z70,0)+IF(WW,Qww*EBF/3.6/8760,0),0),)</f>
        <v>0</v>
      </c>
      <c r="P36" s="1114">
        <f>'WP1'!W70/8760</f>
        <v>0</v>
      </c>
      <c r="Q36" s="277">
        <f t="shared" si="1"/>
        <v>0</v>
      </c>
      <c r="R36" s="853">
        <f t="shared" si="2"/>
        <v>0</v>
      </c>
      <c r="S36" s="311" t="e">
        <f ca="1">'WP1'!Y70</f>
        <v>#REF!</v>
      </c>
      <c r="T36" s="855" t="e">
        <f t="shared" ca="1" si="3"/>
        <v>#REF!</v>
      </c>
      <c r="U36" s="861">
        <f>IF(Bivalenzpunkt&lt;N36,IF('WP1'!AB70&lt;O36,'WP1'!AB70,O36),0)</f>
        <v>0</v>
      </c>
      <c r="V36" s="278" t="e">
        <f ca="1">MIN(Kesselleistung,IF(Laufzeit_Zusatzheizung&gt;=T36,(O36-U36)/Nutzungsgrad+Kesselleistung*'WP1'!$H$45,0))</f>
        <v>#REF!</v>
      </c>
      <c r="W36" s="278">
        <f t="shared" si="4"/>
        <v>0</v>
      </c>
      <c r="X36" s="1115" t="e">
        <f ca="1">'WP1'!Y70/(1-Kollektor)</f>
        <v>#REF!</v>
      </c>
      <c r="Y36" s="867" t="e">
        <f t="shared" ca="1" si="5"/>
        <v>#REF!</v>
      </c>
      <c r="Z36" s="876">
        <f>IF(Qh&gt;0,IF(P36&gt;0,IF(Heizung,'WP1'!Z70,0),0)+IF(WW,Qww*EBF/3.6/8760,0),)</f>
        <v>0</v>
      </c>
      <c r="AA36" s="871" t="str">
        <f t="shared" si="0"/>
        <v/>
      </c>
      <c r="AB36" s="877">
        <f>IF('WP1'!$J$23&gt;2,IF(P36&gt;0,W36,""),0)</f>
        <v>0</v>
      </c>
      <c r="AC36" s="317">
        <f>INDEX('WP1'!$AW$60:$AW$125,AF36,1)</f>
        <v>-15</v>
      </c>
      <c r="AD36" s="879">
        <f>IF(WPArt&gt;1,INDEX('WP1'!$AY$60:$AY$125,AF36,1),0)</f>
        <v>0</v>
      </c>
      <c r="AE36" s="881">
        <f>IF(WPArt&gt;1,INDEX('WP1'!$AX$60:$AX$125,AF36,1),0)</f>
        <v>0</v>
      </c>
      <c r="AF36" s="884">
        <v>11</v>
      </c>
    </row>
    <row r="37" spans="14:32" x14ac:dyDescent="0.2">
      <c r="N37" s="276">
        <v>-14</v>
      </c>
      <c r="O37" s="1113">
        <f>IF(Qh&gt;0,IF(P37&gt;0,IF(Heizung,'WP1'!Z71,0)+IF(WW,Qww*EBF/3.6/8760,0),0),)</f>
        <v>0</v>
      </c>
      <c r="P37" s="1114">
        <f>'WP1'!W71/8760</f>
        <v>0</v>
      </c>
      <c r="Q37" s="277">
        <f t="shared" si="1"/>
        <v>0</v>
      </c>
      <c r="R37" s="853">
        <f t="shared" si="2"/>
        <v>0</v>
      </c>
      <c r="S37" s="311" t="e">
        <f ca="1">'WP1'!Y71</f>
        <v>#REF!</v>
      </c>
      <c r="T37" s="855" t="e">
        <f t="shared" ca="1" si="3"/>
        <v>#REF!</v>
      </c>
      <c r="U37" s="861">
        <f>IF(Bivalenzpunkt&lt;N37,IF('WP1'!AB71&lt;O37,'WP1'!AB71,O37),0)</f>
        <v>0</v>
      </c>
      <c r="V37" s="278" t="e">
        <f ca="1">MIN(Kesselleistung,IF(Laufzeit_Zusatzheizung&gt;=T37,(O37-U37)/Nutzungsgrad+Kesselleistung*'WP1'!$H$45,0))</f>
        <v>#REF!</v>
      </c>
      <c r="W37" s="278">
        <f t="shared" si="4"/>
        <v>0</v>
      </c>
      <c r="X37" s="1115" t="e">
        <f ca="1">'WP1'!Y71/(1-Kollektor)</f>
        <v>#REF!</v>
      </c>
      <c r="Y37" s="867" t="e">
        <f t="shared" ca="1" si="5"/>
        <v>#REF!</v>
      </c>
      <c r="Z37" s="876">
        <f>IF(Qh&gt;0,IF(P37&gt;0,IF(Heizung,'WP1'!Z71,0),0)+IF(WW,Qww*EBF/3.6/8760,0),)</f>
        <v>0</v>
      </c>
      <c r="AA37" s="871" t="str">
        <f t="shared" si="0"/>
        <v/>
      </c>
      <c r="AB37" s="877">
        <f>IF('WP1'!$J$23&gt;2,IF(P37&gt;0,W37,""),0)</f>
        <v>0</v>
      </c>
      <c r="AC37" s="317">
        <f>INDEX('WP1'!$AW$60:$AW$125,AF37,1)</f>
        <v>-14</v>
      </c>
      <c r="AD37" s="879">
        <f>IF(WPArt&gt;1,INDEX('WP1'!$AY$60:$AY$125,AF37,1),0)</f>
        <v>0</v>
      </c>
      <c r="AE37" s="881">
        <f>IF(WPArt&gt;1,INDEX('WP1'!$AX$60:$AX$125,AF37,1),0)</f>
        <v>0</v>
      </c>
      <c r="AF37" s="884">
        <v>12</v>
      </c>
    </row>
    <row r="38" spans="14:32" x14ac:dyDescent="0.2">
      <c r="N38" s="276">
        <v>-13</v>
      </c>
      <c r="O38" s="1113">
        <f>IF(Qh&gt;0,IF(P38&gt;0,IF(Heizung,'WP1'!Z72,0)+IF(WW,Qww*EBF/3.6/8760,0),0),)</f>
        <v>0</v>
      </c>
      <c r="P38" s="1114">
        <f>'WP1'!W72/8760</f>
        <v>0</v>
      </c>
      <c r="Q38" s="277">
        <f t="shared" si="1"/>
        <v>0</v>
      </c>
      <c r="R38" s="853">
        <f t="shared" si="2"/>
        <v>0</v>
      </c>
      <c r="S38" s="311" t="e">
        <f ca="1">'WP1'!Y72</f>
        <v>#REF!</v>
      </c>
      <c r="T38" s="855" t="e">
        <f t="shared" ca="1" si="3"/>
        <v>#REF!</v>
      </c>
      <c r="U38" s="861">
        <f>IF(Bivalenzpunkt&lt;N38,IF('WP1'!AB72&lt;O38,'WP1'!AB72,O38),0)</f>
        <v>0</v>
      </c>
      <c r="V38" s="278" t="e">
        <f ca="1">MIN(Kesselleistung,IF(Laufzeit_Zusatzheizung&gt;=T38,(O38-U38)/Nutzungsgrad+Kesselleistung*'WP1'!$H$45,0))</f>
        <v>#REF!</v>
      </c>
      <c r="W38" s="278">
        <f t="shared" si="4"/>
        <v>0</v>
      </c>
      <c r="X38" s="1115" t="e">
        <f ca="1">'WP1'!Y72/(1-Kollektor)</f>
        <v>#REF!</v>
      </c>
      <c r="Y38" s="867" t="e">
        <f t="shared" ca="1" si="5"/>
        <v>#REF!</v>
      </c>
      <c r="Z38" s="876">
        <f>IF(Qh&gt;0,IF(P38&gt;0,IF(Heizung,'WP1'!Z72,0),0)+IF(WW,Qww*EBF/3.6/8760,0),)</f>
        <v>0</v>
      </c>
      <c r="AA38" s="871" t="str">
        <f t="shared" si="0"/>
        <v/>
      </c>
      <c r="AB38" s="877">
        <f>IF('WP1'!$J$23&gt;2,IF(P38&gt;0,W38,""),0)</f>
        <v>0</v>
      </c>
      <c r="AC38" s="317">
        <f>INDEX('WP1'!$AW$60:$AW$125,AF38,1)</f>
        <v>-13</v>
      </c>
      <c r="AD38" s="879">
        <f>IF(WPArt&gt;1,INDEX('WP1'!$AY$60:$AY$125,AF38,1),0)</f>
        <v>0</v>
      </c>
      <c r="AE38" s="881">
        <f>IF(WPArt&gt;1,INDEX('WP1'!$AX$60:$AX$125,AF38,1),0)</f>
        <v>0</v>
      </c>
      <c r="AF38" s="884">
        <v>13</v>
      </c>
    </row>
    <row r="39" spans="14:32" x14ac:dyDescent="0.2">
      <c r="N39" s="276">
        <v>-12</v>
      </c>
      <c r="O39" s="1113">
        <f>IF(Qh&gt;0,IF(P39&gt;0,IF(Heizung,'WP1'!Z73,0)+IF(WW,Qww*EBF/3.6/8760,0),0),)</f>
        <v>0</v>
      </c>
      <c r="P39" s="1114">
        <f>'WP1'!W73/8760</f>
        <v>0</v>
      </c>
      <c r="Q39" s="277">
        <f t="shared" si="1"/>
        <v>0</v>
      </c>
      <c r="R39" s="853">
        <f t="shared" si="2"/>
        <v>0</v>
      </c>
      <c r="S39" s="311" t="e">
        <f ca="1">'WP1'!Y73</f>
        <v>#REF!</v>
      </c>
      <c r="T39" s="855" t="e">
        <f t="shared" ca="1" si="3"/>
        <v>#REF!</v>
      </c>
      <c r="U39" s="861">
        <f>IF(Bivalenzpunkt&lt;N39,IF('WP1'!AB73&lt;O39,'WP1'!AB73,O39),0)</f>
        <v>0</v>
      </c>
      <c r="V39" s="278" t="e">
        <f ca="1">MIN(Kesselleistung,IF(Laufzeit_Zusatzheizung&gt;=T39,(O39-U39)/Nutzungsgrad+Kesselleistung*'WP1'!$H$45,0))</f>
        <v>#REF!</v>
      </c>
      <c r="W39" s="278">
        <f t="shared" si="4"/>
        <v>0</v>
      </c>
      <c r="X39" s="1115" t="e">
        <f ca="1">'WP1'!Y73/(1-Kollektor)</f>
        <v>#REF!</v>
      </c>
      <c r="Y39" s="867" t="e">
        <f t="shared" ca="1" si="5"/>
        <v>#REF!</v>
      </c>
      <c r="Z39" s="876">
        <f>IF(Qh&gt;0,IF(P39&gt;0,IF(Heizung,'WP1'!Z73,0),0)+IF(WW,Qww*EBF/3.6/8760,0),)</f>
        <v>0</v>
      </c>
      <c r="AA39" s="871" t="str">
        <f t="shared" si="0"/>
        <v/>
      </c>
      <c r="AB39" s="877">
        <f>IF('WP1'!$J$23&gt;2,IF(P39&gt;0,W39,""),0)</f>
        <v>0</v>
      </c>
      <c r="AC39" s="317">
        <f>INDEX('WP1'!$AW$60:$AW$125,AF39,1)</f>
        <v>-12</v>
      </c>
      <c r="AD39" s="879">
        <f>IF(WPArt&gt;1,INDEX('WP1'!$AY$60:$AY$125,AF39,1),0)</f>
        <v>0</v>
      </c>
      <c r="AE39" s="881">
        <f>IF(WPArt&gt;1,INDEX('WP1'!$AX$60:$AX$125,AF39,1),0)</f>
        <v>0</v>
      </c>
      <c r="AF39" s="884">
        <v>14</v>
      </c>
    </row>
    <row r="40" spans="14:32" x14ac:dyDescent="0.2">
      <c r="N40" s="276">
        <v>-11</v>
      </c>
      <c r="O40" s="1113">
        <f>IF(Qh&gt;0,IF(P40&gt;0,IF(Heizung,'WP1'!Z74,0)+IF(WW,Qww*EBF/3.6/8760,0),0),)</f>
        <v>0</v>
      </c>
      <c r="P40" s="1114">
        <f>'WP1'!W74/8760</f>
        <v>0</v>
      </c>
      <c r="Q40" s="277">
        <f t="shared" si="1"/>
        <v>0</v>
      </c>
      <c r="R40" s="853">
        <f t="shared" si="2"/>
        <v>0</v>
      </c>
      <c r="S40" s="311" t="e">
        <f ca="1">'WP1'!Y74</f>
        <v>#REF!</v>
      </c>
      <c r="T40" s="855" t="e">
        <f t="shared" ca="1" si="3"/>
        <v>#REF!</v>
      </c>
      <c r="U40" s="861">
        <f>IF(Bivalenzpunkt&lt;N40,IF('WP1'!AB74&lt;O40,'WP1'!AB74,O40),0)</f>
        <v>0</v>
      </c>
      <c r="V40" s="278" t="e">
        <f ca="1">MIN(Kesselleistung,IF(Laufzeit_Zusatzheizung&gt;=T40,(O40-U40)/Nutzungsgrad+Kesselleistung*'WP1'!$H$45,0))</f>
        <v>#REF!</v>
      </c>
      <c r="W40" s="278">
        <f t="shared" si="4"/>
        <v>0</v>
      </c>
      <c r="X40" s="1115" t="e">
        <f ca="1">'WP1'!Y74/(1-Kollektor)</f>
        <v>#REF!</v>
      </c>
      <c r="Y40" s="867" t="e">
        <f t="shared" ca="1" si="5"/>
        <v>#REF!</v>
      </c>
      <c r="Z40" s="876">
        <f>IF(Qh&gt;0,IF(P40&gt;0,IF(Heizung,'WP1'!Z74,0),0)+IF(WW,Qww*EBF/3.6/8760,0),)</f>
        <v>0</v>
      </c>
      <c r="AA40" s="871" t="str">
        <f t="shared" si="0"/>
        <v/>
      </c>
      <c r="AB40" s="877">
        <f>IF('WP1'!$J$23&gt;2,IF(P40&gt;0,W40,""),0)</f>
        <v>0</v>
      </c>
      <c r="AC40" s="317">
        <f>INDEX('WP1'!$AW$60:$AW$125,AF40,1)</f>
        <v>-11</v>
      </c>
      <c r="AD40" s="879">
        <f>IF(WPArt&gt;1,INDEX('WP1'!$AY$60:$AY$125,AF40,1),0)</f>
        <v>0</v>
      </c>
      <c r="AE40" s="881">
        <f>IF(WPArt&gt;1,INDEX('WP1'!$AX$60:$AX$125,AF40,1),0)</f>
        <v>0</v>
      </c>
      <c r="AF40" s="884">
        <v>15</v>
      </c>
    </row>
    <row r="41" spans="14:32" x14ac:dyDescent="0.2">
      <c r="N41" s="276">
        <v>-10</v>
      </c>
      <c r="O41" s="1113">
        <f>IF(Qh&gt;0,IF(P41&gt;0,IF(Heizung,'WP1'!Z75,0)+IF(WW,Qww*EBF/3.6/8760,0),0),)</f>
        <v>0</v>
      </c>
      <c r="P41" s="1114">
        <f>'WP1'!W75/8760</f>
        <v>0</v>
      </c>
      <c r="Q41" s="277">
        <f t="shared" si="1"/>
        <v>0</v>
      </c>
      <c r="R41" s="853">
        <f t="shared" si="2"/>
        <v>0</v>
      </c>
      <c r="S41" s="311" t="e">
        <f ca="1">'WP1'!Y75</f>
        <v>#REF!</v>
      </c>
      <c r="T41" s="855" t="e">
        <f t="shared" ca="1" si="3"/>
        <v>#REF!</v>
      </c>
      <c r="U41" s="861">
        <f>IF(Bivalenzpunkt&lt;N41,IF('WP1'!AB75&lt;O41,'WP1'!AB75,O41),0)</f>
        <v>0</v>
      </c>
      <c r="V41" s="278" t="e">
        <f ca="1">MIN(Kesselleistung,IF(Laufzeit_Zusatzheizung&gt;=T41,(O41-U41)/Nutzungsgrad+Kesselleistung*'WP1'!$H$45,0))</f>
        <v>#REF!</v>
      </c>
      <c r="W41" s="278">
        <f t="shared" si="4"/>
        <v>0</v>
      </c>
      <c r="X41" s="1115" t="e">
        <f ca="1">'WP1'!Y75/(1-Kollektor)</f>
        <v>#REF!</v>
      </c>
      <c r="Y41" s="867" t="e">
        <f t="shared" ca="1" si="5"/>
        <v>#REF!</v>
      </c>
      <c r="Z41" s="876">
        <f>IF(Qh&gt;0,IF(P41&gt;0,IF(Heizung,'WP1'!Z75,0),0)+IF(WW,Qww*EBF/3.6/8760,0),)</f>
        <v>0</v>
      </c>
      <c r="AA41" s="871" t="str">
        <f t="shared" si="0"/>
        <v/>
      </c>
      <c r="AB41" s="877">
        <f>IF('WP1'!$J$23&gt;2,IF(P41&gt;0,W41,""),0)</f>
        <v>0</v>
      </c>
      <c r="AC41" s="317">
        <f>INDEX('WP1'!$AW$60:$AW$125,AF41,1)</f>
        <v>-10</v>
      </c>
      <c r="AD41" s="879">
        <f>IF(WPArt&gt;1,INDEX('WP1'!$AY$60:$AY$125,AF41,1),0)</f>
        <v>0</v>
      </c>
      <c r="AE41" s="881">
        <f>IF(WPArt&gt;1,INDEX('WP1'!$AX$60:$AX$125,AF41,1),0)</f>
        <v>0</v>
      </c>
      <c r="AF41" s="884">
        <v>16</v>
      </c>
    </row>
    <row r="42" spans="14:32" x14ac:dyDescent="0.2">
      <c r="N42" s="276">
        <v>-9</v>
      </c>
      <c r="O42" s="1113">
        <f>IF(Qh&gt;0,IF(P42&gt;0,IF(Heizung,'WP1'!Z76,0)+IF(WW,Qww*EBF/3.6/8760,0),0),)</f>
        <v>0</v>
      </c>
      <c r="P42" s="1114">
        <f>'WP1'!W76/8760</f>
        <v>0</v>
      </c>
      <c r="Q42" s="277">
        <f t="shared" si="1"/>
        <v>0</v>
      </c>
      <c r="R42" s="853">
        <f t="shared" si="2"/>
        <v>0</v>
      </c>
      <c r="S42" s="311" t="e">
        <f ca="1">'WP1'!Y76</f>
        <v>#REF!</v>
      </c>
      <c r="T42" s="855" t="e">
        <f t="shared" ca="1" si="3"/>
        <v>#REF!</v>
      </c>
      <c r="U42" s="861">
        <f>IF(Bivalenzpunkt&lt;N42,IF('WP1'!AB76&lt;O42,'WP1'!AB76,O42),0)</f>
        <v>0</v>
      </c>
      <c r="V42" s="278" t="e">
        <f ca="1">MIN(Kesselleistung,IF(Laufzeit_Zusatzheizung&gt;=T42,(O42-U42)/Nutzungsgrad+Kesselleistung*'WP1'!$H$45,0))</f>
        <v>#REF!</v>
      </c>
      <c r="W42" s="278">
        <f t="shared" si="4"/>
        <v>0</v>
      </c>
      <c r="X42" s="1115" t="e">
        <f ca="1">'WP1'!Y76/(1-Kollektor)</f>
        <v>#REF!</v>
      </c>
      <c r="Y42" s="867" t="e">
        <f t="shared" ca="1" si="5"/>
        <v>#REF!</v>
      </c>
      <c r="Z42" s="876">
        <f>IF(Qh&gt;0,IF(P42&gt;0,IF(Heizung,'WP1'!Z76,0),0)+IF(WW,Qww*EBF/3.6/8760,0),)</f>
        <v>0</v>
      </c>
      <c r="AA42" s="871" t="str">
        <f t="shared" si="0"/>
        <v/>
      </c>
      <c r="AB42" s="877">
        <f>IF('WP1'!$J$23&gt;2,IF(P42&gt;0,W42,""),0)</f>
        <v>0</v>
      </c>
      <c r="AC42" s="317">
        <f>INDEX('WP1'!$AW$60:$AW$125,AF42,1)</f>
        <v>-9</v>
      </c>
      <c r="AD42" s="879">
        <f>IF(WPArt&gt;1,INDEX('WP1'!$AY$60:$AY$125,AF42,1),0)</f>
        <v>0</v>
      </c>
      <c r="AE42" s="881">
        <f>IF(WPArt&gt;1,INDEX('WP1'!$AX$60:$AX$125,AF42,1),0)</f>
        <v>0</v>
      </c>
      <c r="AF42" s="884">
        <v>17</v>
      </c>
    </row>
    <row r="43" spans="14:32" x14ac:dyDescent="0.2">
      <c r="N43" s="276">
        <v>-8</v>
      </c>
      <c r="O43" s="1113">
        <f>IF(Qh&gt;0,IF(P43&gt;0,IF(Heizung,'WP1'!Z77,0)+IF(WW,Qww*EBF/3.6/8760,0),0),)</f>
        <v>0</v>
      </c>
      <c r="P43" s="1114" t="e">
        <f>'WP1'!W77/8760</f>
        <v>#VALUE!</v>
      </c>
      <c r="Q43" s="277" t="e">
        <f t="shared" si="1"/>
        <v>#VALUE!</v>
      </c>
      <c r="R43" s="853" t="e">
        <f t="shared" si="2"/>
        <v>#VALUE!</v>
      </c>
      <c r="S43" s="311" t="e">
        <f ca="1">'WP1'!Y77</f>
        <v>#REF!</v>
      </c>
      <c r="T43" s="855" t="e">
        <f t="shared" ca="1" si="3"/>
        <v>#REF!</v>
      </c>
      <c r="U43" s="861">
        <f>IF(Bivalenzpunkt&lt;N43,IF('WP1'!AB77&lt;O43,'WP1'!AB77,O43),0)</f>
        <v>0</v>
      </c>
      <c r="V43" s="278" t="e">
        <f ca="1">MIN(Kesselleistung,IF(Laufzeit_Zusatzheizung&gt;=T43,(O43-U43)/Nutzungsgrad+Kesselleistung*'WP1'!$H$45,0))</f>
        <v>#REF!</v>
      </c>
      <c r="W43" s="278">
        <f t="shared" si="4"/>
        <v>0</v>
      </c>
      <c r="X43" s="1115" t="e">
        <f ca="1">'WP1'!Y77/(1-Kollektor)</f>
        <v>#REF!</v>
      </c>
      <c r="Y43" s="867" t="e">
        <f t="shared" ca="1" si="5"/>
        <v>#REF!</v>
      </c>
      <c r="Z43" s="876">
        <f>IF(Qh&gt;0,IF(P43&gt;0,IF(Heizung,'WP1'!Z77,0),0)+IF(WW,Qww*EBF/3.6/8760,0),)</f>
        <v>0</v>
      </c>
      <c r="AA43" s="871" t="e">
        <f t="shared" si="0"/>
        <v>#VALUE!</v>
      </c>
      <c r="AB43" s="877">
        <f>IF('WP1'!$J$23&gt;2,IF(P43&gt;0,W43,""),0)</f>
        <v>0</v>
      </c>
      <c r="AC43" s="317">
        <f>INDEX('WP1'!$AW$60:$AW$125,AF43,1)</f>
        <v>-8</v>
      </c>
      <c r="AD43" s="879">
        <f>IF(WPArt&gt;1,INDEX('WP1'!$AY$60:$AY$125,AF43,1),0)</f>
        <v>0</v>
      </c>
      <c r="AE43" s="881">
        <f>IF(WPArt&gt;1,INDEX('WP1'!$AX$60:$AX$125,AF43,1),0)</f>
        <v>0</v>
      </c>
      <c r="AF43" s="884">
        <v>18</v>
      </c>
    </row>
    <row r="44" spans="14:32" x14ac:dyDescent="0.2">
      <c r="N44" s="276">
        <v>-7</v>
      </c>
      <c r="O44" s="1113">
        <f>IF(Qh&gt;0,IF(P44&gt;0,IF(Heizung,'WP1'!Z78,0)+IF(WW,Qww*EBF/3.6/8760,0),0),)</f>
        <v>0</v>
      </c>
      <c r="P44" s="1114" t="e">
        <f>'WP1'!W78/8760</f>
        <v>#VALUE!</v>
      </c>
      <c r="Q44" s="277" t="e">
        <f t="shared" si="1"/>
        <v>#VALUE!</v>
      </c>
      <c r="R44" s="853" t="e">
        <f t="shared" si="2"/>
        <v>#VALUE!</v>
      </c>
      <c r="S44" s="311" t="e">
        <f ca="1">'WP1'!Y78</f>
        <v>#REF!</v>
      </c>
      <c r="T44" s="855" t="e">
        <f t="shared" ca="1" si="3"/>
        <v>#REF!</v>
      </c>
      <c r="U44" s="861">
        <f>IF(Bivalenzpunkt&lt;N44,IF('WP1'!AB78&lt;O44,'WP1'!AB78,O44),0)</f>
        <v>0</v>
      </c>
      <c r="V44" s="278" t="e">
        <f ca="1">MIN(Kesselleistung,IF(Laufzeit_Zusatzheizung&gt;=T44,(O44-U44)/Nutzungsgrad+Kesselleistung*'WP1'!$H$45,0))</f>
        <v>#REF!</v>
      </c>
      <c r="W44" s="278">
        <f t="shared" si="4"/>
        <v>0</v>
      </c>
      <c r="X44" s="1115" t="e">
        <f ca="1">'WP1'!Y78/(1-Kollektor)</f>
        <v>#REF!</v>
      </c>
      <c r="Y44" s="867" t="e">
        <f t="shared" ca="1" si="5"/>
        <v>#REF!</v>
      </c>
      <c r="Z44" s="876">
        <f>IF(Qh&gt;0,IF(P44&gt;0,IF(Heizung,'WP1'!Z78,0),0)+IF(WW,Qww*EBF/3.6/8760,0),)</f>
        <v>0</v>
      </c>
      <c r="AA44" s="871" t="e">
        <f t="shared" si="0"/>
        <v>#VALUE!</v>
      </c>
      <c r="AB44" s="877">
        <f>IF('WP1'!$J$23&gt;2,IF(P44&gt;0,W44,""),0)</f>
        <v>0</v>
      </c>
      <c r="AC44" s="317">
        <f>INDEX('WP1'!$AW$60:$AW$125,AF44,1)</f>
        <v>-7</v>
      </c>
      <c r="AD44" s="879">
        <f>IF(WPArt&gt;1,INDEX('WP1'!$AY$60:$AY$125,AF44,1),0)</f>
        <v>0</v>
      </c>
      <c r="AE44" s="881">
        <f>IF(WPArt&gt;1,INDEX('WP1'!$AX$60:$AX$125,AF44,1),0)</f>
        <v>0</v>
      </c>
      <c r="AF44" s="884">
        <v>19</v>
      </c>
    </row>
    <row r="45" spans="14:32" x14ac:dyDescent="0.2">
      <c r="N45" s="276">
        <v>-6</v>
      </c>
      <c r="O45" s="1113">
        <f>IF(Qh&gt;0,IF(P45&gt;0,IF(Heizung,'WP1'!Z79,0)+IF(WW,Qww*EBF/3.6/8760,0),0),)</f>
        <v>0</v>
      </c>
      <c r="P45" s="1114" t="e">
        <f>'WP1'!W79/8760</f>
        <v>#VALUE!</v>
      </c>
      <c r="Q45" s="277" t="e">
        <f t="shared" si="1"/>
        <v>#VALUE!</v>
      </c>
      <c r="R45" s="853" t="e">
        <f t="shared" si="2"/>
        <v>#VALUE!</v>
      </c>
      <c r="S45" s="311" t="e">
        <f ca="1">'WP1'!Y79</f>
        <v>#REF!</v>
      </c>
      <c r="T45" s="855" t="e">
        <f t="shared" ca="1" si="3"/>
        <v>#REF!</v>
      </c>
      <c r="U45" s="861">
        <f>IF(Bivalenzpunkt&lt;N45,IF('WP1'!AB79&lt;O45,'WP1'!AB79,O45),0)</f>
        <v>0</v>
      </c>
      <c r="V45" s="278" t="e">
        <f ca="1">MIN(Kesselleistung,IF(Laufzeit_Zusatzheizung&gt;=T45,(O45-U45)/Nutzungsgrad+Kesselleistung*'WP1'!$H$45,0))</f>
        <v>#REF!</v>
      </c>
      <c r="W45" s="278">
        <f t="shared" si="4"/>
        <v>0</v>
      </c>
      <c r="X45" s="1115" t="e">
        <f ca="1">'WP1'!Y79/(1-Kollektor)</f>
        <v>#REF!</v>
      </c>
      <c r="Y45" s="867" t="e">
        <f t="shared" ca="1" si="5"/>
        <v>#REF!</v>
      </c>
      <c r="Z45" s="876">
        <f>IF(Qh&gt;0,IF(P45&gt;0,IF(Heizung,'WP1'!Z79,0),0)+IF(WW,Qww*EBF/3.6/8760,0),)</f>
        <v>0</v>
      </c>
      <c r="AA45" s="871" t="e">
        <f t="shared" si="0"/>
        <v>#VALUE!</v>
      </c>
      <c r="AB45" s="877">
        <f>IF('WP1'!$J$23&gt;2,IF(P45&gt;0,W45,""),0)</f>
        <v>0</v>
      </c>
      <c r="AC45" s="317">
        <f>INDEX('WP1'!$AW$60:$AW$125,AF45,1)</f>
        <v>-6</v>
      </c>
      <c r="AD45" s="879">
        <f>IF(WPArt&gt;1,INDEX('WP1'!$AY$60:$AY$125,AF45,1),0)</f>
        <v>0</v>
      </c>
      <c r="AE45" s="881">
        <f>IF(WPArt&gt;1,INDEX('WP1'!$AX$60:$AX$125,AF45,1),0)</f>
        <v>0</v>
      </c>
      <c r="AF45" s="884">
        <v>20</v>
      </c>
    </row>
    <row r="46" spans="14:32" x14ac:dyDescent="0.2">
      <c r="N46" s="276">
        <v>-5</v>
      </c>
      <c r="O46" s="1113">
        <f>IF(Qh&gt;0,IF(P46&gt;0,IF(Heizung,'WP1'!Z80,0)+IF(WW,Qww*EBF/3.6/8760,0),0),)</f>
        <v>0</v>
      </c>
      <c r="P46" s="1114" t="e">
        <f>'WP1'!W80/8760</f>
        <v>#VALUE!</v>
      </c>
      <c r="Q46" s="277" t="e">
        <f t="shared" si="1"/>
        <v>#VALUE!</v>
      </c>
      <c r="R46" s="853" t="e">
        <f t="shared" si="2"/>
        <v>#VALUE!</v>
      </c>
      <c r="S46" s="311" t="e">
        <f ca="1">'WP1'!Y80</f>
        <v>#REF!</v>
      </c>
      <c r="T46" s="855" t="e">
        <f t="shared" ca="1" si="3"/>
        <v>#REF!</v>
      </c>
      <c r="U46" s="861">
        <f>IF(Bivalenzpunkt&lt;N46,IF('WP1'!AB80&lt;O46,'WP1'!AB80,O46),0)</f>
        <v>0</v>
      </c>
      <c r="V46" s="278" t="e">
        <f ca="1">MIN(Kesselleistung,IF(Laufzeit_Zusatzheizung&gt;=T46,(O46-U46)/Nutzungsgrad+Kesselleistung*'WP1'!$H$45,0))</f>
        <v>#REF!</v>
      </c>
      <c r="W46" s="278">
        <f t="shared" si="4"/>
        <v>0</v>
      </c>
      <c r="X46" s="1115" t="e">
        <f ca="1">'WP1'!Y80/(1-Kollektor)</f>
        <v>#REF!</v>
      </c>
      <c r="Y46" s="867" t="e">
        <f t="shared" ca="1" si="5"/>
        <v>#REF!</v>
      </c>
      <c r="Z46" s="876">
        <f>IF(Qh&gt;0,IF(P46&gt;0,IF(Heizung,'WP1'!Z80,0),0)+IF(WW,Qww*EBF/3.6/8760,0),)</f>
        <v>0</v>
      </c>
      <c r="AA46" s="871" t="e">
        <f t="shared" si="0"/>
        <v>#VALUE!</v>
      </c>
      <c r="AB46" s="877">
        <f>IF('WP1'!$J$23&gt;2,IF(P46&gt;0,W46,""),0)</f>
        <v>0</v>
      </c>
      <c r="AC46" s="317">
        <f>INDEX('WP1'!$AW$60:$AW$125,AF46,1)</f>
        <v>-5</v>
      </c>
      <c r="AD46" s="879">
        <f>IF(WPArt&gt;1,INDEX('WP1'!$AY$60:$AY$125,AF46,1),0)</f>
        <v>0</v>
      </c>
      <c r="AE46" s="881">
        <f>IF(WPArt&gt;1,INDEX('WP1'!$AX$60:$AX$125,AF46,1),0)</f>
        <v>0</v>
      </c>
      <c r="AF46" s="884">
        <v>21</v>
      </c>
    </row>
    <row r="47" spans="14:32" x14ac:dyDescent="0.2">
      <c r="N47" s="276">
        <v>-4</v>
      </c>
      <c r="O47" s="1113">
        <f>IF(Qh&gt;0,IF(P47&gt;0,IF(Heizung,'WP1'!Z81,0)+IF(WW,Qww*EBF/3.6/8760,0),0),)</f>
        <v>0</v>
      </c>
      <c r="P47" s="1114" t="e">
        <f>'WP1'!W81/8760</f>
        <v>#VALUE!</v>
      </c>
      <c r="Q47" s="277" t="e">
        <f t="shared" si="1"/>
        <v>#VALUE!</v>
      </c>
      <c r="R47" s="853" t="e">
        <f t="shared" si="2"/>
        <v>#VALUE!</v>
      </c>
      <c r="S47" s="311" t="e">
        <f ca="1">'WP1'!Y81</f>
        <v>#REF!</v>
      </c>
      <c r="T47" s="855" t="e">
        <f t="shared" ca="1" si="3"/>
        <v>#REF!</v>
      </c>
      <c r="U47" s="861">
        <f>IF(Bivalenzpunkt&lt;N47,IF('WP1'!AB81&lt;O47,'WP1'!AB81,O47),0)</f>
        <v>0</v>
      </c>
      <c r="V47" s="278" t="e">
        <f ca="1">MIN(Kesselleistung,IF(Laufzeit_Zusatzheizung&gt;=T47,(O47-U47)/Nutzungsgrad+Kesselleistung*'WP1'!$H$45,0))</f>
        <v>#REF!</v>
      </c>
      <c r="W47" s="278">
        <f t="shared" si="4"/>
        <v>0</v>
      </c>
      <c r="X47" s="1115" t="e">
        <f ca="1">'WP1'!Y81/(1-Kollektor)</f>
        <v>#REF!</v>
      </c>
      <c r="Y47" s="867" t="e">
        <f t="shared" ca="1" si="5"/>
        <v>#REF!</v>
      </c>
      <c r="Z47" s="876">
        <f>IF(Qh&gt;0,IF(P47&gt;0,IF(Heizung,'WP1'!Z81,0),0)+IF(WW,Qww*EBF/3.6/8760,0),)</f>
        <v>0</v>
      </c>
      <c r="AA47" s="871" t="e">
        <f t="shared" si="0"/>
        <v>#VALUE!</v>
      </c>
      <c r="AB47" s="877">
        <f>IF('WP1'!$J$23&gt;2,IF(P47&gt;0,W47,""),0)</f>
        <v>0</v>
      </c>
      <c r="AC47" s="317">
        <f>INDEX('WP1'!$AW$60:$AW$125,AF47,1)</f>
        <v>-4</v>
      </c>
      <c r="AD47" s="879">
        <f>IF(WPArt&gt;1,INDEX('WP1'!$AY$60:$AY$125,AF47,1),0)</f>
        <v>0</v>
      </c>
      <c r="AE47" s="881">
        <f>IF(WPArt&gt;1,INDEX('WP1'!$AX$60:$AX$125,AF47,1),0)</f>
        <v>0</v>
      </c>
      <c r="AF47" s="884">
        <v>22</v>
      </c>
    </row>
    <row r="48" spans="14:32" x14ac:dyDescent="0.2">
      <c r="N48" s="276">
        <v>-3</v>
      </c>
      <c r="O48" s="1113">
        <f>IF(Qh&gt;0,IF(P48&gt;0,IF(Heizung,'WP1'!Z82,0)+IF(WW,Qww*EBF/3.6/8760,0),0),)</f>
        <v>0</v>
      </c>
      <c r="P48" s="1114" t="e">
        <f>'WP1'!W82/8760</f>
        <v>#VALUE!</v>
      </c>
      <c r="Q48" s="277" t="e">
        <f t="shared" si="1"/>
        <v>#VALUE!</v>
      </c>
      <c r="R48" s="853" t="e">
        <f t="shared" si="2"/>
        <v>#VALUE!</v>
      </c>
      <c r="S48" s="311" t="e">
        <f ca="1">'WP1'!Y82</f>
        <v>#REF!</v>
      </c>
      <c r="T48" s="855" t="e">
        <f t="shared" ca="1" si="3"/>
        <v>#REF!</v>
      </c>
      <c r="U48" s="861">
        <f>IF(Bivalenzpunkt&lt;N48,IF('WP1'!AB82&lt;O48,'WP1'!AB82,O48),0)</f>
        <v>0</v>
      </c>
      <c r="V48" s="278" t="e">
        <f ca="1">MIN(Kesselleistung,IF(Laufzeit_Zusatzheizung&gt;=T48,(O48-U48)/Nutzungsgrad+Kesselleistung*'WP1'!$H$45,0))</f>
        <v>#REF!</v>
      </c>
      <c r="W48" s="278">
        <f t="shared" si="4"/>
        <v>0</v>
      </c>
      <c r="X48" s="1115" t="e">
        <f ca="1">'WP1'!Y82/(1-Kollektor)</f>
        <v>#REF!</v>
      </c>
      <c r="Y48" s="867" t="e">
        <f t="shared" ca="1" si="5"/>
        <v>#REF!</v>
      </c>
      <c r="Z48" s="876">
        <f>IF(Qh&gt;0,IF(P48&gt;0,IF(Heizung,'WP1'!Z82,0),0)+IF(WW,Qww*EBF/3.6/8760,0),)</f>
        <v>0</v>
      </c>
      <c r="AA48" s="871" t="e">
        <f t="shared" si="0"/>
        <v>#VALUE!</v>
      </c>
      <c r="AB48" s="877">
        <f>IF('WP1'!$J$23&gt;2,IF(P48&gt;0,W48,""),0)</f>
        <v>0</v>
      </c>
      <c r="AC48" s="317">
        <f>INDEX('WP1'!$AW$60:$AW$125,AF48,1)</f>
        <v>-3</v>
      </c>
      <c r="AD48" s="879">
        <f>IF(WPArt&gt;1,INDEX('WP1'!$AY$60:$AY$125,AF48,1),0)</f>
        <v>0</v>
      </c>
      <c r="AE48" s="881">
        <f>IF(WPArt&gt;1,INDEX('WP1'!$AX$60:$AX$125,AF48,1),0)</f>
        <v>0</v>
      </c>
      <c r="AF48" s="884">
        <v>23</v>
      </c>
    </row>
    <row r="49" spans="2:32" x14ac:dyDescent="0.2">
      <c r="N49" s="276">
        <v>-2</v>
      </c>
      <c r="O49" s="1113">
        <f>IF(Qh&gt;0,IF(P49&gt;0,IF(Heizung,'WP1'!Z83,0)+IF(WW,Qww*EBF/3.6/8760,0),0),)</f>
        <v>0</v>
      </c>
      <c r="P49" s="1114" t="e">
        <f>'WP1'!W83/8760</f>
        <v>#VALUE!</v>
      </c>
      <c r="Q49" s="277" t="e">
        <f t="shared" si="1"/>
        <v>#VALUE!</v>
      </c>
      <c r="R49" s="853" t="e">
        <f t="shared" si="2"/>
        <v>#VALUE!</v>
      </c>
      <c r="S49" s="311" t="e">
        <f ca="1">'WP1'!Y83</f>
        <v>#REF!</v>
      </c>
      <c r="T49" s="855" t="e">
        <f t="shared" ca="1" si="3"/>
        <v>#REF!</v>
      </c>
      <c r="U49" s="861">
        <f>IF(Bivalenzpunkt&lt;N49,IF('WP1'!AB83&lt;O49,'WP1'!AB83,O49),0)</f>
        <v>0</v>
      </c>
      <c r="V49" s="278" t="e">
        <f ca="1">MIN(Kesselleistung,IF(Laufzeit_Zusatzheizung&gt;=T49,(O49-U49)/Nutzungsgrad+Kesselleistung*'WP1'!$H$45,0))</f>
        <v>#REF!</v>
      </c>
      <c r="W49" s="278">
        <f t="shared" si="4"/>
        <v>0</v>
      </c>
      <c r="X49" s="1115" t="e">
        <f ca="1">'WP1'!Y83/(1-Kollektor)</f>
        <v>#REF!</v>
      </c>
      <c r="Y49" s="867" t="e">
        <f t="shared" ca="1" si="5"/>
        <v>#REF!</v>
      </c>
      <c r="Z49" s="876">
        <f>IF(Qh&gt;0,IF(P49&gt;0,IF(Heizung,'WP1'!Z83,0),0)+IF(WW,Qww*EBF/3.6/8760,0),)</f>
        <v>0</v>
      </c>
      <c r="AA49" s="871" t="e">
        <f t="shared" si="0"/>
        <v>#VALUE!</v>
      </c>
      <c r="AB49" s="877">
        <f>IF('WP1'!$J$23&gt;2,IF(P49&gt;0,W49,""),0)</f>
        <v>0</v>
      </c>
      <c r="AC49" s="317">
        <f>INDEX('WP1'!$AW$60:$AW$125,AF49,1)</f>
        <v>-2</v>
      </c>
      <c r="AD49" s="879">
        <f>IF(WPArt&gt;1,INDEX('WP1'!$AY$60:$AY$125,AF49,1),0)</f>
        <v>0</v>
      </c>
      <c r="AE49" s="881">
        <f>IF(WPArt&gt;1,INDEX('WP1'!$AX$60:$AX$125,AF49,1),0)</f>
        <v>0</v>
      </c>
      <c r="AF49" s="884">
        <v>24</v>
      </c>
    </row>
    <row r="50" spans="2:32" ht="13.15" customHeight="1" x14ac:dyDescent="0.2">
      <c r="N50" s="276">
        <v>-1</v>
      </c>
      <c r="O50" s="1113">
        <f>IF(Qh&gt;0,IF(P50&gt;0,IF(Heizung,'WP1'!Z84,0)+IF(WW,Qww*EBF/3.6/8760,0),0),)</f>
        <v>0</v>
      </c>
      <c r="P50" s="1114" t="e">
        <f>'WP1'!W84/8760</f>
        <v>#VALUE!</v>
      </c>
      <c r="Q50" s="277" t="e">
        <f t="shared" si="1"/>
        <v>#VALUE!</v>
      </c>
      <c r="R50" s="853" t="e">
        <f t="shared" si="2"/>
        <v>#VALUE!</v>
      </c>
      <c r="S50" s="311" t="e">
        <f ca="1">'WP1'!Y84</f>
        <v>#REF!</v>
      </c>
      <c r="T50" s="855" t="e">
        <f t="shared" ca="1" si="3"/>
        <v>#REF!</v>
      </c>
      <c r="U50" s="861">
        <f>IF(Bivalenzpunkt&lt;N50,IF('WP1'!AB84&lt;O50,'WP1'!AB84,O50),0)</f>
        <v>0</v>
      </c>
      <c r="V50" s="278" t="e">
        <f ca="1">MIN(Kesselleistung,IF(Laufzeit_Zusatzheizung&gt;=T50,(O50-U50)/Nutzungsgrad+Kesselleistung*'WP1'!$H$45,0))</f>
        <v>#REF!</v>
      </c>
      <c r="W50" s="278">
        <f t="shared" si="4"/>
        <v>0</v>
      </c>
      <c r="X50" s="1115" t="e">
        <f ca="1">'WP1'!Y84/(1-Kollektor)</f>
        <v>#REF!</v>
      </c>
      <c r="Y50" s="867" t="e">
        <f t="shared" ca="1" si="5"/>
        <v>#REF!</v>
      </c>
      <c r="Z50" s="876">
        <f>IF(Qh&gt;0,IF(P50&gt;0,IF(Heizung,'WP1'!Z84,0),0)+IF(WW,Qww*EBF/3.6/8760,0),)</f>
        <v>0</v>
      </c>
      <c r="AA50" s="871" t="e">
        <f t="shared" si="0"/>
        <v>#VALUE!</v>
      </c>
      <c r="AB50" s="877">
        <f>IF('WP1'!$J$23&gt;2,IF(P50&gt;0,W50,""),0)</f>
        <v>0</v>
      </c>
      <c r="AC50" s="317">
        <f>INDEX('WP1'!$AW$60:$AW$125,AF50,1)</f>
        <v>-1</v>
      </c>
      <c r="AD50" s="879">
        <f>IF(WPArt&gt;1,INDEX('WP1'!$AY$60:$AY$125,AF50,1),0)</f>
        <v>0</v>
      </c>
      <c r="AE50" s="881">
        <f>IF(WPArt&gt;1,INDEX('WP1'!$AX$60:$AX$125,AF50,1),0)</f>
        <v>0</v>
      </c>
      <c r="AF50" s="884">
        <v>25</v>
      </c>
    </row>
    <row r="51" spans="2:32" ht="13.15" customHeight="1" x14ac:dyDescent="0.2">
      <c r="N51" s="276">
        <v>0</v>
      </c>
      <c r="O51" s="1113">
        <f>IF(Qh&gt;0,IF(P51&gt;0,IF(Heizung,'WP1'!Z85,0)+IF(WW,Qww*EBF/3.6/8760,0),0),)</f>
        <v>0</v>
      </c>
      <c r="P51" s="1114" t="e">
        <f>'WP1'!W85/8760</f>
        <v>#VALUE!</v>
      </c>
      <c r="Q51" s="277" t="e">
        <f t="shared" si="1"/>
        <v>#VALUE!</v>
      </c>
      <c r="R51" s="853" t="e">
        <f t="shared" si="2"/>
        <v>#VALUE!</v>
      </c>
      <c r="S51" s="311" t="e">
        <f ca="1">'WP1'!Y85</f>
        <v>#REF!</v>
      </c>
      <c r="T51" s="855" t="e">
        <f t="shared" ca="1" si="3"/>
        <v>#REF!</v>
      </c>
      <c r="U51" s="861">
        <f>IF(Bivalenzpunkt&lt;N51,IF('WP1'!AB85&lt;O51,'WP1'!AB85,O51),0)</f>
        <v>0</v>
      </c>
      <c r="V51" s="278" t="e">
        <f ca="1">MIN(Kesselleistung,IF(Laufzeit_Zusatzheizung&gt;=T51,(O51-U51)/Nutzungsgrad+Kesselleistung*'WP1'!$H$45,0))</f>
        <v>#REF!</v>
      </c>
      <c r="W51" s="278">
        <f t="shared" si="4"/>
        <v>0</v>
      </c>
      <c r="X51" s="1115" t="e">
        <f ca="1">'WP1'!Y85/(1-Kollektor)</f>
        <v>#REF!</v>
      </c>
      <c r="Y51" s="867" t="e">
        <f t="shared" ca="1" si="5"/>
        <v>#REF!</v>
      </c>
      <c r="Z51" s="876">
        <f>IF(Qh&gt;0,IF(P51&gt;0,IF(Heizung,'WP1'!Z85,0),0)+IF(WW,Qww*EBF/3.6/8760,0),)</f>
        <v>0</v>
      </c>
      <c r="AA51" s="871" t="e">
        <f t="shared" si="0"/>
        <v>#VALUE!</v>
      </c>
      <c r="AB51" s="877">
        <f>IF('WP1'!$J$23&gt;2,IF(P51&gt;0,W51,""),0)</f>
        <v>0</v>
      </c>
      <c r="AC51" s="317">
        <f>INDEX('WP1'!$AW$60:$AW$125,AF51,1)</f>
        <v>0</v>
      </c>
      <c r="AD51" s="879">
        <f>IF(WPArt&gt;1,INDEX('WP1'!$AY$60:$AY$125,AF51,1),0)</f>
        <v>0</v>
      </c>
      <c r="AE51" s="881">
        <f>IF(WPArt&gt;1,INDEX('WP1'!$AX$60:$AX$125,AF51,1),0)</f>
        <v>0</v>
      </c>
      <c r="AF51" s="884">
        <v>26</v>
      </c>
    </row>
    <row r="52" spans="2:32" ht="24.6" customHeight="1" x14ac:dyDescent="0.2">
      <c r="B52" s="1045" t="str">
        <f>Sprache!B254</f>
        <v>Abréviations:</v>
      </c>
      <c r="C52" s="1309" t="str">
        <f>Sprache!B255</f>
        <v>PAC = pompe à chaleur; ECS = eau chaude sanitaire;  h = rendement;  COPA = coefficient de perf annuel (sans chauffage d'appoint ni résistance électrique)</v>
      </c>
      <c r="D52" s="1309"/>
      <c r="E52" s="1309"/>
      <c r="F52" s="1309"/>
      <c r="G52" s="1309"/>
      <c r="H52" s="1309"/>
      <c r="I52" s="1309"/>
      <c r="J52" s="1309"/>
      <c r="K52" s="1309"/>
      <c r="N52" s="276">
        <v>1</v>
      </c>
      <c r="O52" s="1113">
        <f>IF(Qh&gt;0,IF(P52&gt;0,IF(Heizung,'WP1'!Z86,0)+IF(WW,Qww*EBF/3.6/8760,0),0),)</f>
        <v>0</v>
      </c>
      <c r="P52" s="1114" t="e">
        <f>'WP1'!W86/8760</f>
        <v>#VALUE!</v>
      </c>
      <c r="Q52" s="277" t="e">
        <f t="shared" si="1"/>
        <v>#VALUE!</v>
      </c>
      <c r="R52" s="853" t="e">
        <f t="shared" si="2"/>
        <v>#VALUE!</v>
      </c>
      <c r="S52" s="311" t="e">
        <f ca="1">'WP1'!Y86</f>
        <v>#REF!</v>
      </c>
      <c r="T52" s="855" t="e">
        <f t="shared" ca="1" si="3"/>
        <v>#REF!</v>
      </c>
      <c r="U52" s="861">
        <f>IF(Bivalenzpunkt&lt;N52,IF('WP1'!AB86&lt;O52,'WP1'!AB86,O52),0)</f>
        <v>0</v>
      </c>
      <c r="V52" s="278" t="e">
        <f ca="1">MIN(Kesselleistung,IF(Laufzeit_Zusatzheizung&gt;=T52,(O52-U52)/Nutzungsgrad+Kesselleistung*'WP1'!$H$45,0))</f>
        <v>#REF!</v>
      </c>
      <c r="W52" s="278">
        <f t="shared" si="4"/>
        <v>0</v>
      </c>
      <c r="X52" s="1115" t="e">
        <f ca="1">'WP1'!Y86/(1-Kollektor)</f>
        <v>#REF!</v>
      </c>
      <c r="Y52" s="867" t="e">
        <f t="shared" ca="1" si="5"/>
        <v>#REF!</v>
      </c>
      <c r="Z52" s="876">
        <f>IF(Qh&gt;0,IF(P52&gt;0,IF(Heizung,'WP1'!Z86,0),0)+IF(WW,Qww*EBF/3.6/8760,0),)</f>
        <v>0</v>
      </c>
      <c r="AA52" s="871" t="e">
        <f t="shared" si="0"/>
        <v>#VALUE!</v>
      </c>
      <c r="AB52" s="877">
        <f>IF('WP1'!$J$23&gt;2,IF(P52&gt;0,W52,""),0)</f>
        <v>0</v>
      </c>
      <c r="AC52" s="317">
        <f>INDEX('WP1'!$AW$60:$AW$125,AF52,1)</f>
        <v>1</v>
      </c>
      <c r="AD52" s="879">
        <f>IF(WPArt&gt;1,INDEX('WP1'!$AY$60:$AY$125,AF52,1),0)</f>
        <v>0</v>
      </c>
      <c r="AE52" s="881">
        <f>IF(WPArt&gt;1,INDEX('WP1'!$AX$60:$AX$125,AF52,1),0)</f>
        <v>0</v>
      </c>
      <c r="AF52" s="884">
        <v>27</v>
      </c>
    </row>
    <row r="53" spans="2:32" x14ac:dyDescent="0.2">
      <c r="N53" s="276">
        <v>2</v>
      </c>
      <c r="O53" s="1113">
        <f>IF(Qh&gt;0,IF(P53&gt;0,IF(Heizung,'WP1'!Z87,0)+IF(WW,Qww*EBF/3.6/8760,0),0),)</f>
        <v>0</v>
      </c>
      <c r="P53" s="1114" t="e">
        <f>'WP1'!W87/8760</f>
        <v>#VALUE!</v>
      </c>
      <c r="Q53" s="277" t="e">
        <f t="shared" si="1"/>
        <v>#VALUE!</v>
      </c>
      <c r="R53" s="853" t="e">
        <f t="shared" si="2"/>
        <v>#VALUE!</v>
      </c>
      <c r="S53" s="311" t="e">
        <f ca="1">'WP1'!Y87</f>
        <v>#REF!</v>
      </c>
      <c r="T53" s="855" t="e">
        <f t="shared" ca="1" si="3"/>
        <v>#REF!</v>
      </c>
      <c r="U53" s="861">
        <f>IF(Bivalenzpunkt&lt;N53,IF('WP1'!AB87&lt;O53,'WP1'!AB87,O53),0)</f>
        <v>0</v>
      </c>
      <c r="V53" s="278" t="e">
        <f ca="1">MIN(Kesselleistung,IF(Laufzeit_Zusatzheizung&gt;=T53,(O53-U53)/Nutzungsgrad+Kesselleistung*'WP1'!$H$45,0))</f>
        <v>#REF!</v>
      </c>
      <c r="W53" s="278">
        <f t="shared" si="4"/>
        <v>0</v>
      </c>
      <c r="X53" s="1115" t="e">
        <f ca="1">'WP1'!Y87/(1-Kollektor)</f>
        <v>#REF!</v>
      </c>
      <c r="Y53" s="867" t="e">
        <f t="shared" ca="1" si="5"/>
        <v>#REF!</v>
      </c>
      <c r="Z53" s="876">
        <f>IF(Qh&gt;0,IF(P53&gt;0,IF(Heizung,'WP1'!Z87,0),0)+IF(WW,Qww*EBF/3.6/8760,0),)</f>
        <v>0</v>
      </c>
      <c r="AA53" s="871" t="e">
        <f t="shared" si="0"/>
        <v>#VALUE!</v>
      </c>
      <c r="AB53" s="877">
        <f>IF('WP1'!$J$23&gt;2,IF(P53&gt;0,W53,""),0)</f>
        <v>0</v>
      </c>
      <c r="AC53" s="317">
        <f>INDEX('WP1'!$AW$60:$AW$125,AF53,1)</f>
        <v>2</v>
      </c>
      <c r="AD53" s="879">
        <f>IF(WPArt&gt;1,INDEX('WP1'!$AY$60:$AY$125,AF53,1),0)</f>
        <v>0</v>
      </c>
      <c r="AE53" s="881">
        <f>IF(WPArt&gt;1,INDEX('WP1'!$AX$60:$AX$125,AF53,1),0)</f>
        <v>0</v>
      </c>
      <c r="AF53" s="884">
        <v>28</v>
      </c>
    </row>
    <row r="54" spans="2:32" x14ac:dyDescent="0.2">
      <c r="N54" s="276">
        <v>3</v>
      </c>
      <c r="O54" s="1113">
        <f>IF(Qh&gt;0,IF(P54&gt;0,IF(Heizung,'WP1'!Z88,0)+IF(WW,Qww*EBF/3.6/8760,0),0),)</f>
        <v>0</v>
      </c>
      <c r="P54" s="1114" t="e">
        <f>'WP1'!W88/8760</f>
        <v>#VALUE!</v>
      </c>
      <c r="Q54" s="277" t="e">
        <f t="shared" si="1"/>
        <v>#VALUE!</v>
      </c>
      <c r="R54" s="853" t="e">
        <f t="shared" si="2"/>
        <v>#VALUE!</v>
      </c>
      <c r="S54" s="311" t="e">
        <f ca="1">'WP1'!Y88</f>
        <v>#REF!</v>
      </c>
      <c r="T54" s="855" t="e">
        <f t="shared" ca="1" si="3"/>
        <v>#REF!</v>
      </c>
      <c r="U54" s="861">
        <f>IF(Bivalenzpunkt&lt;N54,IF('WP1'!AB88&lt;O54,'WP1'!AB88,O54),0)</f>
        <v>0</v>
      </c>
      <c r="V54" s="278" t="e">
        <f ca="1">MIN(Kesselleistung,IF(Laufzeit_Zusatzheizung&gt;=T54,(O54-U54)/Nutzungsgrad+Kesselleistung*'WP1'!$H$45,0))</f>
        <v>#REF!</v>
      </c>
      <c r="W54" s="278">
        <f t="shared" si="4"/>
        <v>0</v>
      </c>
      <c r="X54" s="1115" t="e">
        <f ca="1">'WP1'!Y88/(1-Kollektor)</f>
        <v>#REF!</v>
      </c>
      <c r="Y54" s="867" t="e">
        <f t="shared" ca="1" si="5"/>
        <v>#REF!</v>
      </c>
      <c r="Z54" s="876">
        <f>IF(Qh&gt;0,IF(P54&gt;0,IF(Heizung,'WP1'!Z88,0),0)+IF(WW,Qww*EBF/3.6/8760,0),)</f>
        <v>0</v>
      </c>
      <c r="AA54" s="871" t="e">
        <f t="shared" si="0"/>
        <v>#VALUE!</v>
      </c>
      <c r="AB54" s="877">
        <f>IF('WP1'!$J$23&gt;2,IF(P54&gt;0,W54,""),0)</f>
        <v>0</v>
      </c>
      <c r="AC54" s="317">
        <f>INDEX('WP1'!$AW$60:$AW$125,AF54,1)</f>
        <v>3</v>
      </c>
      <c r="AD54" s="879">
        <f>IF(WPArt&gt;1,INDEX('WP1'!$AY$60:$AY$125,AF54,1),0)</f>
        <v>0</v>
      </c>
      <c r="AE54" s="881">
        <f>IF(WPArt&gt;1,INDEX('WP1'!$AX$60:$AX$125,AF54,1),0)</f>
        <v>0</v>
      </c>
      <c r="AF54" s="884">
        <v>29</v>
      </c>
    </row>
    <row r="55" spans="2:32" x14ac:dyDescent="0.2">
      <c r="M55" s="873"/>
      <c r="N55" s="276">
        <v>4</v>
      </c>
      <c r="O55" s="1113">
        <f>IF(Qh&gt;0,IF(P55&gt;0,IF(Heizung,'WP1'!Z89,0)+IF(WW,Qww*EBF/3.6/8760,0),0),)</f>
        <v>0</v>
      </c>
      <c r="P55" s="1114" t="e">
        <f>'WP1'!W89/8760</f>
        <v>#VALUE!</v>
      </c>
      <c r="Q55" s="277" t="e">
        <f t="shared" si="1"/>
        <v>#VALUE!</v>
      </c>
      <c r="R55" s="853" t="e">
        <f t="shared" si="2"/>
        <v>#VALUE!</v>
      </c>
      <c r="S55" s="311" t="e">
        <f ca="1">'WP1'!Y89</f>
        <v>#REF!</v>
      </c>
      <c r="T55" s="855" t="e">
        <f t="shared" ca="1" si="3"/>
        <v>#REF!</v>
      </c>
      <c r="U55" s="861">
        <f>IF(Bivalenzpunkt&lt;N55,IF('WP1'!AB89&lt;O55,'WP1'!AB89,O55),0)</f>
        <v>0</v>
      </c>
      <c r="V55" s="278" t="e">
        <f ca="1">MIN(Kesselleistung,IF(Laufzeit_Zusatzheizung&gt;=T55,(O55-U55)/Nutzungsgrad+Kesselleistung*'WP1'!$H$45,0))</f>
        <v>#REF!</v>
      </c>
      <c r="W55" s="278">
        <f t="shared" si="4"/>
        <v>0</v>
      </c>
      <c r="X55" s="1115" t="e">
        <f ca="1">'WP1'!Y89/(1-Kollektor)</f>
        <v>#REF!</v>
      </c>
      <c r="Y55" s="867" t="e">
        <f t="shared" ca="1" si="5"/>
        <v>#REF!</v>
      </c>
      <c r="Z55" s="876">
        <f>IF(Qh&gt;0,IF(P55&gt;0,IF(Heizung,'WP1'!Z89,0),0)+IF(WW,Qww*EBF/3.6/8760,0),)</f>
        <v>0</v>
      </c>
      <c r="AA55" s="871" t="e">
        <f t="shared" si="0"/>
        <v>#VALUE!</v>
      </c>
      <c r="AB55" s="877">
        <f>IF('WP1'!$J$23&gt;2,IF(P55&gt;0,W55,""),0)</f>
        <v>0</v>
      </c>
      <c r="AC55" s="317">
        <f>INDEX('WP1'!$AW$60:$AW$125,AF55,1)</f>
        <v>4</v>
      </c>
      <c r="AD55" s="879">
        <f>IF(WPArt&gt;1,INDEX('WP1'!$AY$60:$AY$125,AF55,1),0)</f>
        <v>0</v>
      </c>
      <c r="AE55" s="881">
        <f>IF(WPArt&gt;1,INDEX('WP1'!$AX$60:$AX$125,AF55,1),0)</f>
        <v>0</v>
      </c>
      <c r="AF55" s="884">
        <v>30</v>
      </c>
    </row>
    <row r="56" spans="2:32" x14ac:dyDescent="0.2">
      <c r="N56" s="276">
        <v>5</v>
      </c>
      <c r="O56" s="1113">
        <f>IF(Qh&gt;0,IF(P56&gt;0,IF(Heizung,'WP1'!Z90,0)+IF(WW,Qww*EBF/3.6/8760,0),0),)</f>
        <v>0</v>
      </c>
      <c r="P56" s="1114" t="e">
        <f>'WP1'!W90/8760</f>
        <v>#VALUE!</v>
      </c>
      <c r="Q56" s="277" t="e">
        <f t="shared" si="1"/>
        <v>#VALUE!</v>
      </c>
      <c r="R56" s="853" t="e">
        <f t="shared" si="2"/>
        <v>#VALUE!</v>
      </c>
      <c r="S56" s="311" t="e">
        <f ca="1">'WP1'!Y90</f>
        <v>#REF!</v>
      </c>
      <c r="T56" s="855" t="e">
        <f t="shared" ca="1" si="3"/>
        <v>#REF!</v>
      </c>
      <c r="U56" s="861">
        <f>IF(Bivalenzpunkt&lt;N56,IF('WP1'!AB90&lt;O56,'WP1'!AB90,O56),0)</f>
        <v>0</v>
      </c>
      <c r="V56" s="278" t="e">
        <f ca="1">MIN(Kesselleistung,IF(Laufzeit_Zusatzheizung&gt;=T56,(O56-U56)/Nutzungsgrad+Kesselleistung*'WP1'!$H$45,0))</f>
        <v>#REF!</v>
      </c>
      <c r="W56" s="278">
        <f t="shared" si="4"/>
        <v>0</v>
      </c>
      <c r="X56" s="1115" t="e">
        <f ca="1">'WP1'!Y90/(1-Kollektor)</f>
        <v>#REF!</v>
      </c>
      <c r="Y56" s="867" t="e">
        <f t="shared" ca="1" si="5"/>
        <v>#REF!</v>
      </c>
      <c r="Z56" s="876">
        <f>IF(Qh&gt;0,IF(P56&gt;0,IF(Heizung,'WP1'!Z90,0),0)+IF(WW,Qww*EBF/3.6/8760,0),)</f>
        <v>0</v>
      </c>
      <c r="AA56" s="871" t="e">
        <f t="shared" si="0"/>
        <v>#VALUE!</v>
      </c>
      <c r="AB56" s="877">
        <f>IF('WP1'!$J$23&gt;2,IF(P56&gt;0,W56,""),0)</f>
        <v>0</v>
      </c>
      <c r="AC56" s="317">
        <f>INDEX('WP1'!$AW$60:$AW$125,AF56,1)</f>
        <v>5</v>
      </c>
      <c r="AD56" s="879">
        <f>IF(WPArt&gt;1,INDEX('WP1'!$AY$60:$AY$125,AF56,1),0)</f>
        <v>0</v>
      </c>
      <c r="AE56" s="881">
        <f>IF(WPArt&gt;1,INDEX('WP1'!$AX$60:$AX$125,AF56,1),0)</f>
        <v>0</v>
      </c>
      <c r="AF56" s="884">
        <v>31</v>
      </c>
    </row>
    <row r="57" spans="2:32" x14ac:dyDescent="0.2">
      <c r="N57" s="276">
        <v>6</v>
      </c>
      <c r="O57" s="1113">
        <f>IF(Qh&gt;0,IF(P57&gt;0,IF(Heizung,'WP1'!Z91,0)+IF(WW,Qww*EBF/3.6/8760,0),0),)</f>
        <v>0</v>
      </c>
      <c r="P57" s="1114" t="e">
        <f>'WP1'!W91/8760</f>
        <v>#VALUE!</v>
      </c>
      <c r="Q57" s="277" t="e">
        <f t="shared" si="1"/>
        <v>#VALUE!</v>
      </c>
      <c r="R57" s="853" t="e">
        <f t="shared" si="2"/>
        <v>#VALUE!</v>
      </c>
      <c r="S57" s="311" t="e">
        <f ca="1">'WP1'!Y91</f>
        <v>#REF!</v>
      </c>
      <c r="T57" s="855" t="e">
        <f t="shared" ca="1" si="3"/>
        <v>#REF!</v>
      </c>
      <c r="U57" s="861">
        <f>IF(Bivalenzpunkt&lt;N57,IF('WP1'!AB91&lt;O57,'WP1'!AB91,O57),0)</f>
        <v>0</v>
      </c>
      <c r="V57" s="278" t="e">
        <f ca="1">MIN(Kesselleistung,IF(Laufzeit_Zusatzheizung&gt;=T57,(O57-U57)/Nutzungsgrad+Kesselleistung*'WP1'!$H$45,0))</f>
        <v>#REF!</v>
      </c>
      <c r="W57" s="278">
        <f t="shared" si="4"/>
        <v>0</v>
      </c>
      <c r="X57" s="1115" t="e">
        <f ca="1">'WP1'!Y91/(1-Kollektor)</f>
        <v>#REF!</v>
      </c>
      <c r="Y57" s="867" t="e">
        <f t="shared" ca="1" si="5"/>
        <v>#REF!</v>
      </c>
      <c r="Z57" s="876">
        <f>IF(Qh&gt;0,IF(P57&gt;0,IF(Heizung,'WP1'!Z91,0),0)+IF(WW,Qww*EBF/3.6/8760,0),)</f>
        <v>0</v>
      </c>
      <c r="AA57" s="871" t="e">
        <f t="shared" si="0"/>
        <v>#VALUE!</v>
      </c>
      <c r="AB57" s="877">
        <f>IF('WP1'!$J$23&gt;2,IF(P57&gt;0,W57,""),0)</f>
        <v>0</v>
      </c>
      <c r="AC57" s="317">
        <f>INDEX('WP1'!$AW$60:$AW$125,AF57,1)</f>
        <v>6</v>
      </c>
      <c r="AD57" s="879">
        <f>IF(WPArt&gt;1,INDEX('WP1'!$AY$60:$AY$125,AF57,1),0)</f>
        <v>0</v>
      </c>
      <c r="AE57" s="881">
        <f>IF(WPArt&gt;1,INDEX('WP1'!$AX$60:$AX$125,AF57,1),0)</f>
        <v>0</v>
      </c>
      <c r="AF57" s="884">
        <v>32</v>
      </c>
    </row>
    <row r="58" spans="2:32" x14ac:dyDescent="0.2">
      <c r="N58" s="276">
        <v>7</v>
      </c>
      <c r="O58" s="1113">
        <f>IF(Qh&gt;0,IF(P58&gt;0,IF(Heizung,'WP1'!Z92,0)+IF(WW,Qww*EBF/3.6/8760,0),0),)</f>
        <v>0</v>
      </c>
      <c r="P58" s="1114" t="e">
        <f>'WP1'!W92/8760</f>
        <v>#VALUE!</v>
      </c>
      <c r="Q58" s="277" t="e">
        <f t="shared" si="1"/>
        <v>#VALUE!</v>
      </c>
      <c r="R58" s="853" t="e">
        <f t="shared" si="2"/>
        <v>#VALUE!</v>
      </c>
      <c r="S58" s="311" t="e">
        <f ca="1">'WP1'!Y92</f>
        <v>#REF!</v>
      </c>
      <c r="T58" s="855" t="e">
        <f t="shared" ca="1" si="3"/>
        <v>#REF!</v>
      </c>
      <c r="U58" s="861">
        <f>IF(Bivalenzpunkt&lt;N58,IF('WP1'!AB92&lt;O58,'WP1'!AB92,O58),0)</f>
        <v>0</v>
      </c>
      <c r="V58" s="278" t="e">
        <f ca="1">MIN(Kesselleistung,IF(Laufzeit_Zusatzheizung&gt;=T58,(O58-U58)/Nutzungsgrad+Kesselleistung*'WP1'!$H$45,0))</f>
        <v>#REF!</v>
      </c>
      <c r="W58" s="278">
        <f t="shared" si="4"/>
        <v>0</v>
      </c>
      <c r="X58" s="1115" t="e">
        <f ca="1">'WP1'!Y92/(1-Kollektor)</f>
        <v>#REF!</v>
      </c>
      <c r="Y58" s="867" t="e">
        <f t="shared" ca="1" si="5"/>
        <v>#REF!</v>
      </c>
      <c r="Z58" s="876">
        <f>IF(Qh&gt;0,IF(P58&gt;0,IF(Heizung,'WP1'!Z92,0),0)+IF(WW,Qww*EBF/3.6/8760,0),)</f>
        <v>0</v>
      </c>
      <c r="AA58" s="871" t="e">
        <f t="shared" ref="AA58:AA91" si="6">IF(P58&gt;0,O58,"")</f>
        <v>#VALUE!</v>
      </c>
      <c r="AB58" s="877">
        <f>IF('WP1'!$J$23&gt;2,IF(P58&gt;0,W58,""),0)</f>
        <v>0</v>
      </c>
      <c r="AC58" s="317">
        <f>INDEX('WP1'!$AW$60:$AW$125,AF58,1)</f>
        <v>7</v>
      </c>
      <c r="AD58" s="879">
        <f>IF(WPArt&gt;1,INDEX('WP1'!$AY$60:$AY$125,AF58,1),0)</f>
        <v>0</v>
      </c>
      <c r="AE58" s="881">
        <f>IF(WPArt&gt;1,INDEX('WP1'!$AX$60:$AX$125,AF58,1),0)</f>
        <v>0</v>
      </c>
      <c r="AF58" s="884">
        <v>33</v>
      </c>
    </row>
    <row r="59" spans="2:32" x14ac:dyDescent="0.2">
      <c r="N59" s="276">
        <v>8</v>
      </c>
      <c r="O59" s="1113">
        <f>IF(Qh&gt;0,IF(P59&gt;0,IF(Heizung,'WP1'!Z93,0)+IF(WW,Qww*EBF/3.6/8760,0),0),)</f>
        <v>0</v>
      </c>
      <c r="P59" s="1114">
        <f>'WP1'!W93/8760</f>
        <v>0</v>
      </c>
      <c r="Q59" s="277">
        <f t="shared" si="1"/>
        <v>0</v>
      </c>
      <c r="R59" s="853" t="e">
        <f t="shared" si="2"/>
        <v>#VALUE!</v>
      </c>
      <c r="S59" s="311" t="e">
        <f ca="1">'WP1'!Y93</f>
        <v>#REF!</v>
      </c>
      <c r="T59" s="855" t="e">
        <f t="shared" ca="1" si="3"/>
        <v>#REF!</v>
      </c>
      <c r="U59" s="861">
        <f>IF(Bivalenzpunkt&lt;N59,IF('WP1'!AB93&lt;O59,'WP1'!AB93,O59),0)</f>
        <v>0</v>
      </c>
      <c r="V59" s="278" t="e">
        <f ca="1">MIN(Kesselleistung,IF(Laufzeit_Zusatzheizung&gt;=T59,(O59-U59)/Nutzungsgrad+Kesselleistung*'WP1'!$H$45,0))</f>
        <v>#REF!</v>
      </c>
      <c r="W59" s="278">
        <f t="shared" si="4"/>
        <v>0</v>
      </c>
      <c r="X59" s="1115" t="e">
        <f ca="1">'WP1'!Y93/(1-Kollektor)</f>
        <v>#REF!</v>
      </c>
      <c r="Y59" s="867" t="e">
        <f t="shared" ca="1" si="5"/>
        <v>#REF!</v>
      </c>
      <c r="Z59" s="876">
        <f>IF(Qh&gt;0,IF(P59&gt;0,IF(Heizung,'WP1'!Z93,0),0)+IF(WW,Qww*EBF/3.6/8760,0),)</f>
        <v>0</v>
      </c>
      <c r="AA59" s="871" t="str">
        <f t="shared" si="6"/>
        <v/>
      </c>
      <c r="AB59" s="877">
        <f>IF('WP1'!$J$23&gt;2,IF(P59&gt;0,W59,""),0)</f>
        <v>0</v>
      </c>
      <c r="AC59" s="317">
        <f>INDEX('WP1'!$AW$60:$AW$125,AF59,1)</f>
        <v>8</v>
      </c>
      <c r="AD59" s="879">
        <f>IF(WPArt&gt;1,INDEX('WP1'!$AY$60:$AY$125,AF59,1),0)</f>
        <v>0</v>
      </c>
      <c r="AE59" s="881">
        <f>IF(WPArt&gt;1,INDEX('WP1'!$AX$60:$AX$125,AF59,1),0)</f>
        <v>0</v>
      </c>
      <c r="AF59" s="884">
        <v>34</v>
      </c>
    </row>
    <row r="60" spans="2:32" x14ac:dyDescent="0.2">
      <c r="N60" s="276">
        <v>9</v>
      </c>
      <c r="O60" s="1113">
        <f>IF(Qh&gt;0,IF(P60&gt;0,IF(Heizung,'WP1'!Z94,0)+IF(WW,Qww*EBF/3.6/8760,0),0),)</f>
        <v>0</v>
      </c>
      <c r="P60" s="1114">
        <f>'WP1'!W94/8760</f>
        <v>0</v>
      </c>
      <c r="Q60" s="277">
        <f t="shared" si="1"/>
        <v>0</v>
      </c>
      <c r="R60" s="853" t="e">
        <f t="shared" si="2"/>
        <v>#VALUE!</v>
      </c>
      <c r="S60" s="311" t="e">
        <f ca="1">'WP1'!Y94</f>
        <v>#REF!</v>
      </c>
      <c r="T60" s="855" t="e">
        <f t="shared" ca="1" si="3"/>
        <v>#REF!</v>
      </c>
      <c r="U60" s="861">
        <f>IF(Bivalenzpunkt&lt;N60,IF('WP1'!AB94&lt;O60,'WP1'!AB94,O60),0)</f>
        <v>0</v>
      </c>
      <c r="V60" s="278" t="e">
        <f ca="1">MIN(Kesselleistung,IF(Laufzeit_Zusatzheizung&gt;=T60,(O60-U60)/Nutzungsgrad+Kesselleistung*'WP1'!$H$45,0))</f>
        <v>#REF!</v>
      </c>
      <c r="W60" s="278">
        <f t="shared" si="4"/>
        <v>0</v>
      </c>
      <c r="X60" s="1115" t="e">
        <f ca="1">'WP1'!Y94/(1-Kollektor)</f>
        <v>#REF!</v>
      </c>
      <c r="Y60" s="867" t="e">
        <f t="shared" ca="1" si="5"/>
        <v>#REF!</v>
      </c>
      <c r="Z60" s="876">
        <f>IF(Qh&gt;0,IF(P60&gt;0,IF(Heizung,'WP1'!Z94,0),0)+IF(WW,Qww*EBF/3.6/8760,0),)</f>
        <v>0</v>
      </c>
      <c r="AA60" s="871" t="str">
        <f t="shared" si="6"/>
        <v/>
      </c>
      <c r="AB60" s="877">
        <f>IF('WP1'!$J$23&gt;2,IF(P60&gt;0,W60,""),0)</f>
        <v>0</v>
      </c>
      <c r="AC60" s="317">
        <f>INDEX('WP1'!$AW$60:$AW$125,AF60,1)</f>
        <v>9</v>
      </c>
      <c r="AD60" s="879">
        <f>IF(WPArt&gt;1,INDEX('WP1'!$AY$60:$AY$125,AF60,1),0)</f>
        <v>0</v>
      </c>
      <c r="AE60" s="881">
        <f>IF(WPArt&gt;1,INDEX('WP1'!$AX$60:$AX$125,AF60,1),0)</f>
        <v>0</v>
      </c>
      <c r="AF60" s="884">
        <v>35</v>
      </c>
    </row>
    <row r="61" spans="2:32" x14ac:dyDescent="0.2">
      <c r="N61" s="276">
        <v>10</v>
      </c>
      <c r="O61" s="1113">
        <f>IF(Qh&gt;0,IF(P61&gt;0,IF(Heizung,'WP1'!Z95,0)+IF(WW,Qww*EBF/3.6/8760,0),0),)</f>
        <v>0</v>
      </c>
      <c r="P61" s="1114">
        <f>'WP1'!W95/8760</f>
        <v>0</v>
      </c>
      <c r="Q61" s="277">
        <f t="shared" si="1"/>
        <v>0</v>
      </c>
      <c r="R61" s="853" t="e">
        <f t="shared" si="2"/>
        <v>#VALUE!</v>
      </c>
      <c r="S61" s="311" t="e">
        <f ca="1">'WP1'!Y95</f>
        <v>#REF!</v>
      </c>
      <c r="T61" s="855" t="e">
        <f t="shared" ca="1" si="3"/>
        <v>#REF!</v>
      </c>
      <c r="U61" s="861">
        <f>IF(Bivalenzpunkt&lt;N61,IF('WP1'!AB95&lt;O61,'WP1'!AB95,O61),0)</f>
        <v>0</v>
      </c>
      <c r="V61" s="278" t="e">
        <f ca="1">MIN(Kesselleistung,IF(Laufzeit_Zusatzheizung&gt;=T61,(O61-U61)/Nutzungsgrad+Kesselleistung*'WP1'!$H$45,0))</f>
        <v>#REF!</v>
      </c>
      <c r="W61" s="278">
        <f t="shared" si="4"/>
        <v>0</v>
      </c>
      <c r="X61" s="1115" t="e">
        <f ca="1">'WP1'!Y95/(1-Kollektor)</f>
        <v>#REF!</v>
      </c>
      <c r="Y61" s="867" t="e">
        <f t="shared" ca="1" si="5"/>
        <v>#REF!</v>
      </c>
      <c r="Z61" s="876">
        <f>IF(Qh&gt;0,IF(P61&gt;0,IF(Heizung,'WP1'!Z95,0),0)+IF(WW,Qww*EBF/3.6/8760,0),)</f>
        <v>0</v>
      </c>
      <c r="AA61" s="871" t="str">
        <f t="shared" si="6"/>
        <v/>
      </c>
      <c r="AB61" s="877">
        <f>IF('WP1'!$J$23&gt;2,IF(P61&gt;0,W61,""),0)</f>
        <v>0</v>
      </c>
      <c r="AC61" s="317">
        <f>INDEX('WP1'!$AW$60:$AW$125,AF61,1)</f>
        <v>10</v>
      </c>
      <c r="AD61" s="879">
        <f>IF(WPArt&gt;1,INDEX('WP1'!$AY$60:$AY$125,AF61,1),0)</f>
        <v>0</v>
      </c>
      <c r="AE61" s="881">
        <f>IF(WPArt&gt;1,INDEX('WP1'!$AX$60:$AX$125,AF61,1),0)</f>
        <v>0</v>
      </c>
      <c r="AF61" s="884">
        <v>36</v>
      </c>
    </row>
    <row r="62" spans="2:32" x14ac:dyDescent="0.2">
      <c r="N62" s="276">
        <v>11</v>
      </c>
      <c r="O62" s="1113">
        <f>IF(Qh&gt;0,IF(P62&gt;0,IF(Heizung,'WP1'!Z96,0)+IF(WW,Qww*EBF/3.6/8760,0),0),)</f>
        <v>0</v>
      </c>
      <c r="P62" s="1114">
        <f>'WP1'!W96/8760</f>
        <v>0</v>
      </c>
      <c r="Q62" s="277">
        <f t="shared" si="1"/>
        <v>0</v>
      </c>
      <c r="R62" s="853" t="e">
        <f t="shared" si="2"/>
        <v>#VALUE!</v>
      </c>
      <c r="S62" s="311" t="e">
        <f ca="1">'WP1'!Y96</f>
        <v>#REF!</v>
      </c>
      <c r="T62" s="855" t="e">
        <f t="shared" ca="1" si="3"/>
        <v>#REF!</v>
      </c>
      <c r="U62" s="861">
        <f>IF(Bivalenzpunkt&lt;N62,IF('WP1'!AB96&lt;O62,'WP1'!AB96,O62),0)</f>
        <v>0</v>
      </c>
      <c r="V62" s="278" t="e">
        <f ca="1">MIN(Kesselleistung,IF(Laufzeit_Zusatzheizung&gt;=T62,(O62-U62)/Nutzungsgrad+Kesselleistung*'WP1'!$H$45,0))</f>
        <v>#REF!</v>
      </c>
      <c r="W62" s="278">
        <f t="shared" si="4"/>
        <v>0</v>
      </c>
      <c r="X62" s="1115" t="e">
        <f ca="1">'WP1'!Y96/(1-Kollektor)</f>
        <v>#REF!</v>
      </c>
      <c r="Y62" s="867" t="e">
        <f t="shared" ca="1" si="5"/>
        <v>#REF!</v>
      </c>
      <c r="Z62" s="876">
        <f>IF(Qh&gt;0,IF(P62&gt;0,IF(Heizung,'WP1'!Z96,0),0)+IF(WW,Qww*EBF/3.6/8760,0),)</f>
        <v>0</v>
      </c>
      <c r="AA62" s="871" t="str">
        <f t="shared" si="6"/>
        <v/>
      </c>
      <c r="AB62" s="877">
        <f>IF('WP1'!$J$23&gt;2,IF(P62&gt;0,W62,""),0)</f>
        <v>0</v>
      </c>
      <c r="AC62" s="317">
        <f>INDEX('WP1'!$AW$60:$AW$125,AF62,1)</f>
        <v>11</v>
      </c>
      <c r="AD62" s="879">
        <f>IF(WPArt&gt;1,INDEX('WP1'!$AY$60:$AY$125,AF62,1),0)</f>
        <v>0</v>
      </c>
      <c r="AE62" s="881">
        <f>IF(WPArt&gt;1,INDEX('WP1'!$AX$60:$AX$125,AF62,1),0)</f>
        <v>0</v>
      </c>
      <c r="AF62" s="884">
        <v>37</v>
      </c>
    </row>
    <row r="63" spans="2:32" x14ac:dyDescent="0.2">
      <c r="N63" s="276">
        <v>12</v>
      </c>
      <c r="O63" s="1113">
        <f>IF(Qh&gt;0,IF(P63&gt;0,IF(Heizung,'WP1'!Z97,0)+IF(WW,Qww*EBF/3.6/8760,0),0),)</f>
        <v>0</v>
      </c>
      <c r="P63" s="1114">
        <f>'WP1'!W97/8760</f>
        <v>0</v>
      </c>
      <c r="Q63" s="277">
        <f t="shared" si="1"/>
        <v>0</v>
      </c>
      <c r="R63" s="853" t="e">
        <f t="shared" si="2"/>
        <v>#VALUE!</v>
      </c>
      <c r="S63" s="311" t="e">
        <f ca="1">'WP1'!Y97</f>
        <v>#REF!</v>
      </c>
      <c r="T63" s="855" t="e">
        <f t="shared" ca="1" si="3"/>
        <v>#REF!</v>
      </c>
      <c r="U63" s="861">
        <f>IF(Bivalenzpunkt&lt;N63,IF('WP1'!AB97&lt;O63,'WP1'!AB97,O63),0)</f>
        <v>0</v>
      </c>
      <c r="V63" s="278" t="e">
        <f ca="1">MIN(Kesselleistung,IF(Laufzeit_Zusatzheizung&gt;=T63,(O63-U63)/Nutzungsgrad+Kesselleistung*'WP1'!$H$45,0))</f>
        <v>#REF!</v>
      </c>
      <c r="W63" s="278">
        <f t="shared" si="4"/>
        <v>0</v>
      </c>
      <c r="X63" s="1115" t="e">
        <f ca="1">'WP1'!Y97/(1-Kollektor)</f>
        <v>#REF!</v>
      </c>
      <c r="Y63" s="867" t="e">
        <f t="shared" ca="1" si="5"/>
        <v>#REF!</v>
      </c>
      <c r="Z63" s="876">
        <f>IF(Qh&gt;0,IF(P63&gt;0,IF(Heizung,'WP1'!Z97,0),0)+IF(WW,Qww*EBF/3.6/8760,0),)</f>
        <v>0</v>
      </c>
      <c r="AA63" s="871" t="str">
        <f t="shared" si="6"/>
        <v/>
      </c>
      <c r="AB63" s="877">
        <f>IF('WP1'!$J$23&gt;2,IF(P63&gt;0,W63,""),0)</f>
        <v>0</v>
      </c>
      <c r="AC63" s="317">
        <f>INDEX('WP1'!$AW$60:$AW$125,AF63,1)</f>
        <v>12</v>
      </c>
      <c r="AD63" s="879">
        <f>IF(WPArt&gt;1,INDEX('WP1'!$AY$60:$AY$125,AF63,1),0)</f>
        <v>0</v>
      </c>
      <c r="AE63" s="881">
        <f>IF(WPArt&gt;1,INDEX('WP1'!$AX$60:$AX$125,AF63,1),0)</f>
        <v>0</v>
      </c>
      <c r="AF63" s="884">
        <v>38</v>
      </c>
    </row>
    <row r="64" spans="2:32" x14ac:dyDescent="0.2">
      <c r="N64" s="276">
        <v>13</v>
      </c>
      <c r="O64" s="1113">
        <f>IF(Qh&gt;0,IF(P64&gt;0,IF(Heizung,'WP1'!Z98,0)+IF(WW,Qww*EBF/3.6/8760,0),0),)</f>
        <v>0</v>
      </c>
      <c r="P64" s="1114">
        <f>'WP1'!W98/8760</f>
        <v>0</v>
      </c>
      <c r="Q64" s="277">
        <f t="shared" si="1"/>
        <v>0</v>
      </c>
      <c r="R64" s="853" t="e">
        <f t="shared" si="2"/>
        <v>#VALUE!</v>
      </c>
      <c r="S64" s="311" t="e">
        <f ca="1">'WP1'!Y98</f>
        <v>#REF!</v>
      </c>
      <c r="T64" s="855" t="e">
        <f t="shared" ca="1" si="3"/>
        <v>#REF!</v>
      </c>
      <c r="U64" s="861">
        <f>IF(Bivalenzpunkt&lt;N64,IF('WP1'!AB98&lt;O64,'WP1'!AB98,O64),0)</f>
        <v>0</v>
      </c>
      <c r="V64" s="278" t="e">
        <f ca="1">MIN(Kesselleistung,IF(Laufzeit_Zusatzheizung&gt;=T64,(O64-U64)/Nutzungsgrad+Kesselleistung*'WP1'!$H$45,0))</f>
        <v>#REF!</v>
      </c>
      <c r="W64" s="278">
        <f t="shared" si="4"/>
        <v>0</v>
      </c>
      <c r="X64" s="1115" t="e">
        <f ca="1">'WP1'!Y98/(1-Kollektor)</f>
        <v>#REF!</v>
      </c>
      <c r="Y64" s="867" t="e">
        <f t="shared" ca="1" si="5"/>
        <v>#REF!</v>
      </c>
      <c r="Z64" s="876">
        <f>IF(Qh&gt;0,IF(P64&gt;0,IF(Heizung,'WP1'!Z98,0),0)+IF(WW,Qww*EBF/3.6/8760,0),)</f>
        <v>0</v>
      </c>
      <c r="AA64" s="871" t="str">
        <f t="shared" si="6"/>
        <v/>
      </c>
      <c r="AB64" s="877">
        <f>IF('WP1'!$J$23&gt;2,IF(P64&gt;0,W64,""),0)</f>
        <v>0</v>
      </c>
      <c r="AC64" s="317">
        <f>INDEX('WP1'!$AW$60:$AW$125,AF64,1)</f>
        <v>13</v>
      </c>
      <c r="AD64" s="879">
        <f>IF(WPArt&gt;1,INDEX('WP1'!$AY$60:$AY$125,AF64,1),0)</f>
        <v>0</v>
      </c>
      <c r="AE64" s="881">
        <f>IF(WPArt&gt;1,INDEX('WP1'!$AX$60:$AX$125,AF64,1),0)</f>
        <v>0</v>
      </c>
      <c r="AF64" s="884">
        <v>39</v>
      </c>
    </row>
    <row r="65" spans="4:32" x14ac:dyDescent="0.2">
      <c r="N65" s="276">
        <v>14</v>
      </c>
      <c r="O65" s="1113">
        <f>IF(Qh&gt;0,IF(P65&gt;0,IF(Heizung,'WP1'!Z99,0)+IF(WW,Qww*EBF/3.6/8760,0),0),)</f>
        <v>0</v>
      </c>
      <c r="P65" s="1114">
        <f>'WP1'!W99/8760</f>
        <v>0</v>
      </c>
      <c r="Q65" s="277">
        <f t="shared" si="1"/>
        <v>0</v>
      </c>
      <c r="R65" s="853" t="e">
        <f t="shared" si="2"/>
        <v>#VALUE!</v>
      </c>
      <c r="S65" s="311" t="e">
        <f ca="1">'WP1'!Y99</f>
        <v>#REF!</v>
      </c>
      <c r="T65" s="855" t="e">
        <f t="shared" ca="1" si="3"/>
        <v>#REF!</v>
      </c>
      <c r="U65" s="861">
        <f>IF(Bivalenzpunkt&lt;N65,IF('WP1'!AB99&lt;O65,'WP1'!AB99,O65),0)</f>
        <v>0</v>
      </c>
      <c r="V65" s="278" t="e">
        <f ca="1">MIN(Kesselleistung,IF(Laufzeit_Zusatzheizung&gt;=T65,(O65-U65)/Nutzungsgrad+Kesselleistung*'WP1'!$H$45,0))</f>
        <v>#REF!</v>
      </c>
      <c r="W65" s="278">
        <f t="shared" si="4"/>
        <v>0</v>
      </c>
      <c r="X65" s="1115" t="e">
        <f ca="1">'WP1'!Y99/(1-Kollektor)</f>
        <v>#REF!</v>
      </c>
      <c r="Y65" s="867" t="e">
        <f t="shared" ca="1" si="5"/>
        <v>#REF!</v>
      </c>
      <c r="Z65" s="876">
        <f>IF(Qh&gt;0,IF(P65&gt;0,IF(Heizung,'WP1'!Z99,0),0)+IF(WW,Qww*EBF/3.6/8760,0),)</f>
        <v>0</v>
      </c>
      <c r="AA65" s="871" t="str">
        <f t="shared" si="6"/>
        <v/>
      </c>
      <c r="AB65" s="877">
        <f>IF('WP1'!$J$23&gt;2,IF(P65&gt;0,W65,""),0)</f>
        <v>0</v>
      </c>
      <c r="AC65" s="317">
        <f>INDEX('WP1'!$AW$60:$AW$125,AF65,1)</f>
        <v>14</v>
      </c>
      <c r="AD65" s="879">
        <f>IF(WPArt&gt;1,INDEX('WP1'!$AY$60:$AY$125,AF65,1),0)</f>
        <v>0</v>
      </c>
      <c r="AE65" s="881">
        <f>IF(WPArt&gt;1,INDEX('WP1'!$AX$60:$AX$125,AF65,1),0)</f>
        <v>0</v>
      </c>
      <c r="AF65" s="884">
        <v>40</v>
      </c>
    </row>
    <row r="66" spans="4:32" x14ac:dyDescent="0.2">
      <c r="N66" s="276">
        <v>15</v>
      </c>
      <c r="O66" s="1113">
        <f>IF(Qh&gt;0,IF(P66&gt;0,IF(Heizung,'WP1'!Z100,0)+IF(WW,Qww*EBF/3.6/8760,0),0),)</f>
        <v>0</v>
      </c>
      <c r="P66" s="1114">
        <f>'WP1'!W100/8760</f>
        <v>0</v>
      </c>
      <c r="Q66" s="277">
        <f t="shared" si="1"/>
        <v>0</v>
      </c>
      <c r="R66" s="853" t="e">
        <f t="shared" si="2"/>
        <v>#VALUE!</v>
      </c>
      <c r="S66" s="311" t="e">
        <f ca="1">'WP1'!Y100</f>
        <v>#REF!</v>
      </c>
      <c r="T66" s="855" t="e">
        <f t="shared" ca="1" si="3"/>
        <v>#REF!</v>
      </c>
      <c r="U66" s="861">
        <f>IF(Bivalenzpunkt&lt;N66,IF('WP1'!AB100&lt;O66,'WP1'!AB100,O66),0)</f>
        <v>0</v>
      </c>
      <c r="V66" s="278" t="e">
        <f ca="1">MIN(Kesselleistung,IF(Laufzeit_Zusatzheizung&gt;=T66,(O66-U66)/Nutzungsgrad+Kesselleistung*'WP1'!$H$45,0))</f>
        <v>#REF!</v>
      </c>
      <c r="W66" s="278">
        <f t="shared" si="4"/>
        <v>0</v>
      </c>
      <c r="X66" s="1115" t="e">
        <f ca="1">'WP1'!Y100/(1-Kollektor)</f>
        <v>#REF!</v>
      </c>
      <c r="Y66" s="867" t="e">
        <f t="shared" ca="1" si="5"/>
        <v>#REF!</v>
      </c>
      <c r="Z66" s="876">
        <f>IF(Qh&gt;0,IF(P66&gt;0,IF(Heizung,'WP1'!Z100,0),0)+IF(WW,Qww*EBF/3.6/8760,0),)</f>
        <v>0</v>
      </c>
      <c r="AA66" s="871" t="str">
        <f t="shared" si="6"/>
        <v/>
      </c>
      <c r="AB66" s="877">
        <f>IF('WP1'!$J$23&gt;2,IF(P66&gt;0,W66,""),0)</f>
        <v>0</v>
      </c>
      <c r="AC66" s="317">
        <f>INDEX('WP1'!$AW$60:$AW$125,AF66,1)</f>
        <v>15</v>
      </c>
      <c r="AD66" s="879">
        <f>IF(WPArt&gt;1,INDEX('WP1'!$AY$60:$AY$125,AF66,1),0)</f>
        <v>0</v>
      </c>
      <c r="AE66" s="881">
        <f>IF(WPArt&gt;1,INDEX('WP1'!$AX$60:$AX$125,AF66,1),0)</f>
        <v>0</v>
      </c>
      <c r="AF66" s="884">
        <v>41</v>
      </c>
    </row>
    <row r="67" spans="4:32" x14ac:dyDescent="0.2">
      <c r="N67" s="276">
        <v>16</v>
      </c>
      <c r="O67" s="1113">
        <f>IF(Qh&gt;0,IF(P67&gt;0,IF(Heizung,'WP1'!Z101,0)+IF(WW,Qww*EBF/3.6/8760,0),0),)</f>
        <v>0</v>
      </c>
      <c r="P67" s="1114">
        <f>'WP1'!W101/8760</f>
        <v>0</v>
      </c>
      <c r="Q67" s="277">
        <f t="shared" si="1"/>
        <v>0</v>
      </c>
      <c r="R67" s="853" t="e">
        <f t="shared" si="2"/>
        <v>#VALUE!</v>
      </c>
      <c r="S67" s="311" t="e">
        <f ca="1">'WP1'!Y101</f>
        <v>#REF!</v>
      </c>
      <c r="T67" s="855" t="e">
        <f t="shared" ca="1" si="3"/>
        <v>#REF!</v>
      </c>
      <c r="U67" s="861">
        <f>IF(Bivalenzpunkt&lt;N67,IF('WP1'!AB101&lt;O67,'WP1'!AB101,O67),0)</f>
        <v>0</v>
      </c>
      <c r="V67" s="278" t="e">
        <f ca="1">MIN(Kesselleistung,IF(Laufzeit_Zusatzheizung&gt;=T67,(O67-U67)/Nutzungsgrad+Kesselleistung*'WP1'!$H$45,0))</f>
        <v>#REF!</v>
      </c>
      <c r="W67" s="278">
        <f t="shared" si="4"/>
        <v>0</v>
      </c>
      <c r="X67" s="1115" t="e">
        <f ca="1">'WP1'!Y101/(1-Kollektor)</f>
        <v>#REF!</v>
      </c>
      <c r="Y67" s="867" t="e">
        <f t="shared" ca="1" si="5"/>
        <v>#REF!</v>
      </c>
      <c r="Z67" s="876">
        <f>IF(Qh&gt;0,IF(P67&gt;0,IF(Heizung,'WP1'!Z101,0),0)+IF(WW,Qww*EBF/3.6/8760,0),)</f>
        <v>0</v>
      </c>
      <c r="AA67" s="871" t="str">
        <f t="shared" si="6"/>
        <v/>
      </c>
      <c r="AB67" s="877">
        <f>IF('WP1'!$J$23&gt;2,IF(P67&gt;0,W67,""),0)</f>
        <v>0</v>
      </c>
      <c r="AC67" s="317">
        <f>INDEX('WP1'!$AW$60:$AW$125,AF67,1)</f>
        <v>16</v>
      </c>
      <c r="AD67" s="879">
        <f>IF(WPArt&gt;1,INDEX('WP1'!$AY$60:$AY$125,AF67,1),0)</f>
        <v>0</v>
      </c>
      <c r="AE67" s="881">
        <f>IF(WPArt&gt;1,INDEX('WP1'!$AX$60:$AX$125,AF67,1),0)</f>
        <v>0</v>
      </c>
      <c r="AF67" s="884">
        <v>42</v>
      </c>
    </row>
    <row r="68" spans="4:32" x14ac:dyDescent="0.2">
      <c r="N68" s="276">
        <v>17</v>
      </c>
      <c r="O68" s="1113">
        <f>IF(Qh&gt;0,IF(P68&gt;0,IF(Heizung,'WP1'!Z102,0)+IF(WW,Qww*EBF/3.6/8760,0),0),)</f>
        <v>0</v>
      </c>
      <c r="P68" s="1114">
        <f>'WP1'!W102/8760</f>
        <v>0</v>
      </c>
      <c r="Q68" s="277">
        <f t="shared" si="1"/>
        <v>0</v>
      </c>
      <c r="R68" s="853" t="e">
        <f t="shared" si="2"/>
        <v>#VALUE!</v>
      </c>
      <c r="S68" s="311" t="e">
        <f ca="1">'WP1'!Y102</f>
        <v>#REF!</v>
      </c>
      <c r="T68" s="855" t="e">
        <f t="shared" ca="1" si="3"/>
        <v>#REF!</v>
      </c>
      <c r="U68" s="861">
        <f>IF(Bivalenzpunkt&lt;N68,IF('WP1'!AB102&lt;O68,'WP1'!AB102,O68),0)</f>
        <v>0</v>
      </c>
      <c r="V68" s="278" t="e">
        <f ca="1">MIN(Kesselleistung,IF(Laufzeit_Zusatzheizung&gt;=T68,(O68-U68)/Nutzungsgrad+Kesselleistung*'WP1'!$H$45,0))</f>
        <v>#REF!</v>
      </c>
      <c r="W68" s="278">
        <f t="shared" si="4"/>
        <v>0</v>
      </c>
      <c r="X68" s="1115" t="e">
        <f ca="1">'WP1'!Y102/(1-Kollektor)</f>
        <v>#REF!</v>
      </c>
      <c r="Y68" s="867" t="e">
        <f t="shared" ca="1" si="5"/>
        <v>#REF!</v>
      </c>
      <c r="Z68" s="876">
        <f>IF(Qh&gt;0,IF(P68&gt;0,IF(Heizung,'WP1'!Z102,0),0)+IF(WW,Qww*EBF/3.6/8760,0),)</f>
        <v>0</v>
      </c>
      <c r="AA68" s="871" t="str">
        <f t="shared" si="6"/>
        <v/>
      </c>
      <c r="AB68" s="877">
        <f>IF('WP1'!$J$23&gt;2,IF(P68&gt;0,W68,""),0)</f>
        <v>0</v>
      </c>
      <c r="AC68" s="317">
        <f>INDEX('WP1'!$AW$60:$AW$125,AF68,1)</f>
        <v>17</v>
      </c>
      <c r="AD68" s="879">
        <f>IF(WPArt&gt;1,INDEX('WP1'!$AY$60:$AY$125,AF68,1),0)</f>
        <v>0</v>
      </c>
      <c r="AE68" s="881">
        <f>IF(WPArt&gt;1,INDEX('WP1'!$AX$60:$AX$125,AF68,1),0)</f>
        <v>0</v>
      </c>
      <c r="AF68" s="884">
        <v>43</v>
      </c>
    </row>
    <row r="69" spans="4:32" x14ac:dyDescent="0.2">
      <c r="N69" s="276">
        <v>18</v>
      </c>
      <c r="O69" s="1113">
        <f>IF(Qh&gt;0,IF(P69&gt;0,IF(Heizung,'WP1'!Z103,0)+IF(WW,Qww*EBF/3.6/8760,0),0),)</f>
        <v>0</v>
      </c>
      <c r="P69" s="1114">
        <f>'WP1'!W103/8760</f>
        <v>0</v>
      </c>
      <c r="Q69" s="277">
        <f t="shared" si="1"/>
        <v>0</v>
      </c>
      <c r="R69" s="853" t="e">
        <f t="shared" si="2"/>
        <v>#VALUE!</v>
      </c>
      <c r="S69" s="311" t="e">
        <f ca="1">'WP1'!Y103</f>
        <v>#REF!</v>
      </c>
      <c r="T69" s="855" t="e">
        <f t="shared" ca="1" si="3"/>
        <v>#REF!</v>
      </c>
      <c r="U69" s="861">
        <f>IF(Bivalenzpunkt&lt;N69,IF('WP1'!AB103&lt;O69,'WP1'!AB103,O69),0)</f>
        <v>0</v>
      </c>
      <c r="V69" s="278" t="e">
        <f ca="1">MIN(Kesselleistung,IF(Laufzeit_Zusatzheizung&gt;=T69,(O69-U69)/Nutzungsgrad+Kesselleistung*'WP1'!$H$45,0))</f>
        <v>#REF!</v>
      </c>
      <c r="W69" s="278">
        <f t="shared" si="4"/>
        <v>0</v>
      </c>
      <c r="X69" s="1115" t="e">
        <f ca="1">'WP1'!Y103/(1-Kollektor)</f>
        <v>#REF!</v>
      </c>
      <c r="Y69" s="867" t="e">
        <f t="shared" ca="1" si="5"/>
        <v>#REF!</v>
      </c>
      <c r="Z69" s="876">
        <f>IF(Qh&gt;0,IF(P69&gt;0,IF(Heizung,'WP1'!Z103,0),0)+IF(WW,Qww*EBF/3.6/8760,0),)</f>
        <v>0</v>
      </c>
      <c r="AA69" s="871" t="str">
        <f t="shared" si="6"/>
        <v/>
      </c>
      <c r="AB69" s="877">
        <f>IF('WP1'!$J$23&gt;2,IF(P69&gt;0,W69,""),0)</f>
        <v>0</v>
      </c>
      <c r="AC69" s="317">
        <f>INDEX('WP1'!$AW$60:$AW$125,AF69,1)</f>
        <v>18</v>
      </c>
      <c r="AD69" s="879">
        <f>IF(WPArt&gt;1,INDEX('WP1'!$AY$60:$AY$125,AF69,1),0)</f>
        <v>0</v>
      </c>
      <c r="AE69" s="881">
        <f>IF(WPArt&gt;1,INDEX('WP1'!$AX$60:$AX$125,AF69,1),0)</f>
        <v>0</v>
      </c>
      <c r="AF69" s="884">
        <v>44</v>
      </c>
    </row>
    <row r="70" spans="4:32" x14ac:dyDescent="0.2">
      <c r="N70" s="276">
        <v>19</v>
      </c>
      <c r="O70" s="1113">
        <f>IF(Qh&gt;0,IF(P70&gt;0,IF(Heizung,'WP1'!Z104,0)+IF(WW,Qww*EBF/3.6/8760,0),0),)</f>
        <v>0</v>
      </c>
      <c r="P70" s="1114">
        <f>'WP1'!W104/8760</f>
        <v>0</v>
      </c>
      <c r="Q70" s="277">
        <f t="shared" si="1"/>
        <v>0</v>
      </c>
      <c r="R70" s="853" t="e">
        <f t="shared" si="2"/>
        <v>#VALUE!</v>
      </c>
      <c r="S70" s="311" t="e">
        <f ca="1">'WP1'!Y104</f>
        <v>#REF!</v>
      </c>
      <c r="T70" s="855" t="e">
        <f t="shared" ca="1" si="3"/>
        <v>#REF!</v>
      </c>
      <c r="U70" s="861">
        <f>IF(Bivalenzpunkt&lt;N70,IF('WP1'!AB104&lt;O70,'WP1'!AB104,O70),0)</f>
        <v>0</v>
      </c>
      <c r="V70" s="278" t="e">
        <f ca="1">MIN(Kesselleistung,IF(Laufzeit_Zusatzheizung&gt;=T70,(O70-U70)/Nutzungsgrad+Kesselleistung*'WP1'!$H$45,0))</f>
        <v>#REF!</v>
      </c>
      <c r="W70" s="278">
        <f t="shared" si="4"/>
        <v>0</v>
      </c>
      <c r="X70" s="1115" t="e">
        <f ca="1">'WP1'!Y104/(1-Kollektor)</f>
        <v>#REF!</v>
      </c>
      <c r="Y70" s="867" t="e">
        <f t="shared" ca="1" si="5"/>
        <v>#REF!</v>
      </c>
      <c r="Z70" s="876">
        <f>IF(Qh&gt;0,IF(P70&gt;0,IF(Heizung,'WP1'!Z104,0),0)+IF(WW,Qww*EBF/3.6/8760,0),)</f>
        <v>0</v>
      </c>
      <c r="AA70" s="871" t="str">
        <f t="shared" si="6"/>
        <v/>
      </c>
      <c r="AB70" s="877">
        <f>IF('WP1'!$J$23&gt;2,IF(P70&gt;0,W70,""),0)</f>
        <v>0</v>
      </c>
      <c r="AC70" s="317">
        <f>INDEX('WP1'!$AW$60:$AW$125,AF70,1)</f>
        <v>19</v>
      </c>
      <c r="AD70" s="879">
        <f>IF(WPArt&gt;1,INDEX('WP1'!$AY$60:$AY$125,AF70,1),0)</f>
        <v>0</v>
      </c>
      <c r="AE70" s="881">
        <f>IF(WPArt&gt;1,INDEX('WP1'!$AX$60:$AX$125,AF70,1),0)</f>
        <v>0</v>
      </c>
      <c r="AF70" s="884">
        <v>45</v>
      </c>
    </row>
    <row r="71" spans="4:32" x14ac:dyDescent="0.2">
      <c r="N71" s="276">
        <v>20</v>
      </c>
      <c r="O71" s="1113">
        <f>IF(Qh&gt;0,IF(P71&gt;0,IF(Heizung,'WP1'!Z105,0)+IF(WW,Qww*EBF/3.6/8760,0),0),)</f>
        <v>0</v>
      </c>
      <c r="P71" s="1114">
        <f>'WP1'!W105/8760</f>
        <v>0</v>
      </c>
      <c r="Q71" s="277">
        <f t="shared" si="1"/>
        <v>0</v>
      </c>
      <c r="R71" s="853" t="e">
        <f t="shared" si="2"/>
        <v>#VALUE!</v>
      </c>
      <c r="S71" s="311" t="e">
        <f ca="1">'WP1'!Y105</f>
        <v>#REF!</v>
      </c>
      <c r="T71" s="855" t="e">
        <f t="shared" ca="1" si="3"/>
        <v>#REF!</v>
      </c>
      <c r="U71" s="861">
        <f>IF(Bivalenzpunkt&lt;N71,IF('WP1'!AB105&lt;O71,'WP1'!AB105,O71),0)</f>
        <v>0</v>
      </c>
      <c r="V71" s="278" t="e">
        <f ca="1">MIN(Kesselleistung,IF(Laufzeit_Zusatzheizung&gt;=T71,(O71-U71)/Nutzungsgrad+Kesselleistung*'WP1'!$H$45,0))</f>
        <v>#REF!</v>
      </c>
      <c r="W71" s="278">
        <f t="shared" si="4"/>
        <v>0</v>
      </c>
      <c r="X71" s="1115" t="e">
        <f ca="1">'WP1'!Y105/(1-Kollektor)</f>
        <v>#REF!</v>
      </c>
      <c r="Y71" s="867" t="e">
        <f t="shared" ca="1" si="5"/>
        <v>#REF!</v>
      </c>
      <c r="Z71" s="876">
        <f>IF(Qh&gt;0,IF(P71&gt;0,IF(Heizung,'WP1'!Z105,0),0)+IF(WW,Qww*EBF/3.6/8760,0),)</f>
        <v>0</v>
      </c>
      <c r="AA71" s="871" t="str">
        <f t="shared" si="6"/>
        <v/>
      </c>
      <c r="AB71" s="877">
        <f>IF('WP1'!$J$23&gt;2,IF(P71&gt;0,W71,""),0)</f>
        <v>0</v>
      </c>
      <c r="AC71" s="317">
        <f>INDEX('WP1'!$AW$60:$AW$125,AF71,1)</f>
        <v>20</v>
      </c>
      <c r="AD71" s="879">
        <f>IF(WPArt&gt;1,INDEX('WP1'!$AY$60:$AY$125,AF71,1),0)</f>
        <v>0</v>
      </c>
      <c r="AE71" s="881">
        <f>IF(WPArt&gt;1,INDEX('WP1'!$AX$60:$AX$125,AF71,1),0)</f>
        <v>0</v>
      </c>
      <c r="AF71" s="884">
        <v>46</v>
      </c>
    </row>
    <row r="72" spans="4:32" x14ac:dyDescent="0.2">
      <c r="N72" s="276">
        <v>21</v>
      </c>
      <c r="O72" s="1113">
        <f>IF(Qh&gt;0,IF(P72&gt;0,IF(Heizung,'WP1'!Z106,0)+IF(WW,Qww*EBF/3.6/8760,0),0),)</f>
        <v>0</v>
      </c>
      <c r="P72" s="1114">
        <f>'WP1'!W106/8760</f>
        <v>0</v>
      </c>
      <c r="Q72" s="277">
        <f t="shared" si="1"/>
        <v>0</v>
      </c>
      <c r="R72" s="853" t="e">
        <f t="shared" si="2"/>
        <v>#VALUE!</v>
      </c>
      <c r="S72" s="311" t="e">
        <f ca="1">'WP1'!Y106</f>
        <v>#REF!</v>
      </c>
      <c r="T72" s="855">
        <f>IF(SolWW&lt;8760,SolWW,IF(Laufzeit_Zusatzheizung&gt;Grafik!T92,MIN(8760,Laufzeit_Zusatzheizung),8760))</f>
        <v>8760</v>
      </c>
      <c r="U72" s="861">
        <f>IF(Bivalenzpunkt&lt;N72,IF('WP1'!AB106&lt;O72,'WP1'!AB106,O72),0)</f>
        <v>0</v>
      </c>
      <c r="V72" s="278">
        <f>MIN(Kesselleistung,IF(Laufzeit_Zusatzheizung&gt;=T72,(O72-U72)/Nutzungsgrad+Kesselleistung*'WP1'!$H$45,0))</f>
        <v>0</v>
      </c>
      <c r="W72" s="278">
        <f t="shared" si="4"/>
        <v>0</v>
      </c>
      <c r="X72" s="1115" t="e">
        <f ca="1">'WP1'!Y106/(1-Kollektor)</f>
        <v>#REF!</v>
      </c>
      <c r="Y72" s="867" t="e">
        <f t="shared" ca="1" si="5"/>
        <v>#REF!</v>
      </c>
      <c r="Z72" s="876">
        <f>IF(Qh&gt;0,IF(P72&gt;0,IF(Heizung,'WP1'!Z106,0),0)+IF(WW,Qww*EBF/3.6/8760,0),)</f>
        <v>0</v>
      </c>
      <c r="AA72" s="871" t="str">
        <f t="shared" si="6"/>
        <v/>
      </c>
      <c r="AB72" s="877">
        <f>IF('WP1'!$J$23&gt;2,IF(P72&gt;0,W72,""),0)</f>
        <v>0</v>
      </c>
      <c r="AC72" s="317">
        <f>INDEX('WP1'!$AW$60:$AW$125,AF72,1)</f>
        <v>21</v>
      </c>
      <c r="AD72" s="879">
        <f>IF(WPArt&gt;1,INDEX('WP1'!$AY$60:$AY$125,AF72,1),0)</f>
        <v>0</v>
      </c>
      <c r="AE72" s="881">
        <f>IF(WPArt&gt;1,INDEX('WP1'!$AX$60:$AX$125,AF72,1),0)</f>
        <v>0</v>
      </c>
      <c r="AF72" s="884">
        <v>47</v>
      </c>
    </row>
    <row r="73" spans="4:32" x14ac:dyDescent="0.2">
      <c r="N73" s="276">
        <v>22</v>
      </c>
      <c r="O73" s="1113">
        <f>IF(Qh&gt;0,IF(P73&gt;0,IF(Heizung,'WP1'!Z107,0)+IF(WW,Qww*EBF/3.6/8760,0),0),)</f>
        <v>0</v>
      </c>
      <c r="P73" s="1114">
        <f>'WP1'!W107/8760</f>
        <v>0</v>
      </c>
      <c r="Q73" s="277">
        <f t="shared" si="1"/>
        <v>0</v>
      </c>
      <c r="R73" s="853" t="e">
        <f t="shared" si="2"/>
        <v>#VALUE!</v>
      </c>
      <c r="S73" s="311" t="e">
        <f ca="1">'WP1'!Y107</f>
        <v>#REF!</v>
      </c>
      <c r="T73" s="855">
        <f>T72</f>
        <v>8760</v>
      </c>
      <c r="U73" s="861">
        <f>IF(Bivalenzpunkt&lt;N73,IF('WP1'!AB107&lt;O73,'WP1'!AB107,O73),0)</f>
        <v>0</v>
      </c>
      <c r="V73" s="278">
        <f>MIN(Kesselleistung,IF(Laufzeit_Zusatzheizung&gt;=T73,(O73-U73)/Nutzungsgrad+Kesselleistung*'WP1'!$H$45,0))</f>
        <v>0</v>
      </c>
      <c r="W73" s="278">
        <f t="shared" si="4"/>
        <v>0</v>
      </c>
      <c r="X73" s="1115" t="e">
        <f ca="1">'WP1'!Y107/(1-Kollektor)</f>
        <v>#REF!</v>
      </c>
      <c r="Y73" s="867" t="e">
        <f t="shared" ca="1" si="5"/>
        <v>#REF!</v>
      </c>
      <c r="Z73" s="876">
        <f>IF(Qh&gt;0,IF(P73&gt;0,IF(Heizung,'WP1'!Z107,0),0)+IF(WW,Qww*EBF/3.6/8760,0),)</f>
        <v>0</v>
      </c>
      <c r="AA73" s="871" t="str">
        <f t="shared" si="6"/>
        <v/>
      </c>
      <c r="AB73" s="877">
        <f>IF('WP1'!$J$23&gt;2,IF(P73&gt;0,W73,""),0)</f>
        <v>0</v>
      </c>
      <c r="AC73" s="317">
        <f>INDEX('WP1'!$AW$60:$AW$125,AF73,1)</f>
        <v>22</v>
      </c>
      <c r="AD73" s="879">
        <f>IF(WPArt&gt;1,INDEX('WP1'!$AY$60:$AY$125,AF73,1),0)</f>
        <v>0</v>
      </c>
      <c r="AE73" s="881">
        <f>IF(WPArt&gt;1,INDEX('WP1'!$AX$60:$AX$125,AF73,1),0)</f>
        <v>0</v>
      </c>
      <c r="AF73" s="884">
        <v>48</v>
      </c>
    </row>
    <row r="74" spans="4:32" x14ac:dyDescent="0.2">
      <c r="N74" s="276">
        <v>23</v>
      </c>
      <c r="O74" s="1113">
        <f>IF(Qh&gt;0,IF(P74&gt;0,IF(Heizung,'WP1'!Z108,0)+IF(WW,Qww*EBF/3.6/8760,0),0),)</f>
        <v>0</v>
      </c>
      <c r="P74" s="1114">
        <f>'WP1'!W108/8760</f>
        <v>0</v>
      </c>
      <c r="Q74" s="277">
        <f t="shared" si="1"/>
        <v>0</v>
      </c>
      <c r="R74" s="853" t="e">
        <f t="shared" si="2"/>
        <v>#VALUE!</v>
      </c>
      <c r="S74" s="311" t="e">
        <f ca="1">'WP1'!Y108</f>
        <v>#REF!</v>
      </c>
      <c r="T74" s="855">
        <f t="shared" ref="T74:T91" si="7">T73</f>
        <v>8760</v>
      </c>
      <c r="U74" s="861">
        <f>IF(Bivalenzpunkt&lt;N74,IF('WP1'!AB108&lt;O74,'WP1'!AB108,O74),0)</f>
        <v>0</v>
      </c>
      <c r="V74" s="278">
        <f>MIN(Kesselleistung,IF(Laufzeit_Zusatzheizung&gt;=T74,(O74-U74)/Nutzungsgrad+Kesselleistung*'WP1'!$H$45,0))</f>
        <v>0</v>
      </c>
      <c r="W74" s="278">
        <f t="shared" si="4"/>
        <v>0</v>
      </c>
      <c r="X74" s="1115" t="e">
        <f ca="1">'WP1'!Y108/(1-Kollektor)</f>
        <v>#REF!</v>
      </c>
      <c r="Y74" s="867" t="e">
        <f t="shared" ca="1" si="5"/>
        <v>#REF!</v>
      </c>
      <c r="Z74" s="876">
        <f>IF(Qh&gt;0,IF(P74&gt;0,IF(Heizung,'WP1'!Z108,0),0)+IF(WW,Qww*EBF/3.6/8760,0),)</f>
        <v>0</v>
      </c>
      <c r="AA74" s="871" t="str">
        <f t="shared" si="6"/>
        <v/>
      </c>
      <c r="AB74" s="877">
        <f>IF('WP1'!$J$23&gt;2,IF(P74&gt;0,W74,""),0)</f>
        <v>0</v>
      </c>
      <c r="AC74" s="317">
        <f>INDEX('WP1'!$AW$60:$AW$125,AF74,1)</f>
        <v>23</v>
      </c>
      <c r="AD74" s="879">
        <f>IF(WPArt&gt;1,INDEX('WP1'!$AY$60:$AY$125,AF74,1),0)</f>
        <v>0</v>
      </c>
      <c r="AE74" s="881">
        <f>IF(WPArt&gt;1,INDEX('WP1'!$AX$60:$AX$125,AF74,1),0)</f>
        <v>0</v>
      </c>
      <c r="AF74" s="884">
        <v>49</v>
      </c>
    </row>
    <row r="75" spans="4:32" x14ac:dyDescent="0.2">
      <c r="N75" s="276">
        <v>24</v>
      </c>
      <c r="O75" s="1113">
        <f>IF(Qh&gt;0,IF(P75&gt;0,IF(Heizung,'WP1'!Z109,0)+IF(WW,Qww*EBF/3.6/8760,0),0),)</f>
        <v>0</v>
      </c>
      <c r="P75" s="1114">
        <f>'WP1'!W109/8760</f>
        <v>0</v>
      </c>
      <c r="Q75" s="277">
        <f t="shared" si="1"/>
        <v>0</v>
      </c>
      <c r="R75" s="853" t="e">
        <f t="shared" si="2"/>
        <v>#VALUE!</v>
      </c>
      <c r="S75" s="311" t="e">
        <f ca="1">'WP1'!Y109</f>
        <v>#REF!</v>
      </c>
      <c r="T75" s="855">
        <f t="shared" si="7"/>
        <v>8760</v>
      </c>
      <c r="U75" s="861">
        <f>IF(Bivalenzpunkt&lt;N75,IF('WP1'!AB109&lt;O75,'WP1'!AB109,O75),0)</f>
        <v>0</v>
      </c>
      <c r="V75" s="278">
        <f>MIN(Kesselleistung,IF(Laufzeit_Zusatzheizung&gt;=T75,(O75-U75)/Nutzungsgrad+Kesselleistung*'WP1'!$H$45,0))</f>
        <v>0</v>
      </c>
      <c r="W75" s="278">
        <f t="shared" si="4"/>
        <v>0</v>
      </c>
      <c r="X75" s="1115" t="e">
        <f ca="1">'WP1'!Y109/(1-Kollektor)</f>
        <v>#REF!</v>
      </c>
      <c r="Y75" s="867" t="e">
        <f t="shared" ca="1" si="5"/>
        <v>#REF!</v>
      </c>
      <c r="Z75" s="876">
        <f>IF(Qh&gt;0,IF(P75&gt;0,IF(Heizung,'WP1'!Z109,0),0)+IF(WW,Qww*EBF/3.6/8760,0),)</f>
        <v>0</v>
      </c>
      <c r="AA75" s="871" t="str">
        <f t="shared" si="6"/>
        <v/>
      </c>
      <c r="AB75" s="877">
        <f>IF('WP1'!$J$23&gt;2,IF(P75&gt;0,W75,""),0)</f>
        <v>0</v>
      </c>
      <c r="AC75" s="317">
        <f>INDEX('WP1'!$AW$60:$AW$125,AF75,1)</f>
        <v>24</v>
      </c>
      <c r="AD75" s="879">
        <f>IF(WPArt&gt;1,INDEX('WP1'!$AY$60:$AY$125,AF75,1),0)</f>
        <v>0</v>
      </c>
      <c r="AE75" s="881">
        <f>IF(WPArt&gt;1,INDEX('WP1'!$AX$60:$AX$125,AF75,1),0)</f>
        <v>0</v>
      </c>
      <c r="AF75" s="884">
        <v>50</v>
      </c>
    </row>
    <row r="76" spans="4:32" x14ac:dyDescent="0.2">
      <c r="N76" s="276">
        <v>25</v>
      </c>
      <c r="O76" s="1113">
        <f>IF(Qh&gt;0,IF(P76&gt;0,IF(Heizung,'WP1'!Z110,0)+IF(WW,Qww*EBF/3.6/8760,0),0),)</f>
        <v>0</v>
      </c>
      <c r="P76" s="1114">
        <f>'WP1'!W110/8760</f>
        <v>0</v>
      </c>
      <c r="Q76" s="277">
        <f t="shared" si="1"/>
        <v>0</v>
      </c>
      <c r="R76" s="853" t="e">
        <f t="shared" si="2"/>
        <v>#VALUE!</v>
      </c>
      <c r="S76" s="311" t="e">
        <f ca="1">'WP1'!Y110</f>
        <v>#REF!</v>
      </c>
      <c r="T76" s="855">
        <f t="shared" si="7"/>
        <v>8760</v>
      </c>
      <c r="U76" s="861">
        <f>IF(Bivalenzpunkt&lt;N76,IF('WP1'!AB110&lt;O76,'WP1'!AB110,O76),0)</f>
        <v>0</v>
      </c>
      <c r="V76" s="278">
        <f>MIN(Kesselleistung,IF(Laufzeit_Zusatzheizung&gt;=T76,(O76-U76)/Nutzungsgrad+Kesselleistung*'WP1'!$H$45,0))</f>
        <v>0</v>
      </c>
      <c r="W76" s="278">
        <f t="shared" si="4"/>
        <v>0</v>
      </c>
      <c r="X76" s="1115" t="e">
        <f ca="1">'WP1'!Y110/(1-Kollektor)</f>
        <v>#REF!</v>
      </c>
      <c r="Y76" s="867" t="e">
        <f t="shared" ca="1" si="5"/>
        <v>#REF!</v>
      </c>
      <c r="Z76" s="876">
        <f>IF(Qh&gt;0,IF(P76&gt;0,IF(Heizung,'WP1'!Z110,0),0)+IF(WW,Qww*EBF/3.6/8760,0),)</f>
        <v>0</v>
      </c>
      <c r="AA76" s="871" t="str">
        <f t="shared" si="6"/>
        <v/>
      </c>
      <c r="AB76" s="877">
        <f>IF('WP1'!$J$23&gt;2,IF(P76&gt;0,W76,""),0)</f>
        <v>0</v>
      </c>
      <c r="AC76" s="317">
        <f>INDEX('WP1'!$AW$60:$AW$125,AF76,1)</f>
        <v>25</v>
      </c>
      <c r="AD76" s="879">
        <f>IF(WPArt&gt;1,INDEX('WP1'!$AY$60:$AY$125,AF76,1),0)</f>
        <v>0</v>
      </c>
      <c r="AE76" s="881">
        <f>IF(WPArt&gt;1,INDEX('WP1'!$AX$60:$AX$125,AF76,1),0)</f>
        <v>0</v>
      </c>
      <c r="AF76" s="884">
        <v>51</v>
      </c>
    </row>
    <row r="77" spans="4:32" x14ac:dyDescent="0.2">
      <c r="N77" s="276">
        <v>26</v>
      </c>
      <c r="O77" s="1113">
        <f>IF(Qh&gt;0,IF(P77&gt;0,IF(Heizung,'WP1'!Z111,0)+IF(WW,Qww*EBF/3.6/8760,0),0),)</f>
        <v>0</v>
      </c>
      <c r="P77" s="1114">
        <f>'WP1'!W111/8760</f>
        <v>0</v>
      </c>
      <c r="Q77" s="277">
        <f t="shared" si="1"/>
        <v>0</v>
      </c>
      <c r="R77" s="853" t="e">
        <f t="shared" si="2"/>
        <v>#VALUE!</v>
      </c>
      <c r="S77" s="311" t="e">
        <f ca="1">'WP1'!Y111</f>
        <v>#REF!</v>
      </c>
      <c r="T77" s="855">
        <f t="shared" si="7"/>
        <v>8760</v>
      </c>
      <c r="U77" s="861">
        <f>IF(Bivalenzpunkt&lt;N77,IF('WP1'!AB111&lt;O77,'WP1'!AB111,O77),0)</f>
        <v>0</v>
      </c>
      <c r="V77" s="278">
        <f>MIN(Kesselleistung,IF(Laufzeit_Zusatzheizung&gt;=T77,(O77-U77)/Nutzungsgrad+Kesselleistung*'WP1'!$H$45,0))</f>
        <v>0</v>
      </c>
      <c r="W77" s="278">
        <f t="shared" si="4"/>
        <v>0</v>
      </c>
      <c r="X77" s="1115" t="e">
        <f ca="1">'WP1'!Y111/(1-Kollektor)</f>
        <v>#REF!</v>
      </c>
      <c r="Y77" s="867" t="e">
        <f t="shared" ca="1" si="5"/>
        <v>#REF!</v>
      </c>
      <c r="Z77" s="876">
        <f>IF(Qh&gt;0,IF(P77&gt;0,IF(Heizung,'WP1'!Z111,0),0)+IF(WW,Qww*EBF/3.6/8760,0),)</f>
        <v>0</v>
      </c>
      <c r="AA77" s="871" t="str">
        <f t="shared" si="6"/>
        <v/>
      </c>
      <c r="AB77" s="877">
        <f>IF('WP1'!$J$23&gt;2,IF(P77&gt;0,W77,""),0)</f>
        <v>0</v>
      </c>
      <c r="AC77" s="317">
        <f>INDEX('WP1'!$AW$60:$AW$125,AF77,1)</f>
        <v>26</v>
      </c>
      <c r="AD77" s="879">
        <f>IF(WPArt&gt;1,INDEX('WP1'!$AY$60:$AY$125,AF77,1),0)</f>
        <v>0</v>
      </c>
      <c r="AE77" s="881">
        <f>IF(WPArt&gt;1,INDEX('WP1'!$AX$60:$AX$125,AF77,1),0)</f>
        <v>0</v>
      </c>
      <c r="AF77" s="884">
        <v>52</v>
      </c>
    </row>
    <row r="78" spans="4:32" x14ac:dyDescent="0.2">
      <c r="N78" s="276">
        <v>27</v>
      </c>
      <c r="O78" s="1113">
        <f>IF(Qh&gt;0,IF(P78&gt;0,IF(Heizung,'WP1'!Z112,0)+IF(WW,Qww*EBF/3.6/8760,0),0),)</f>
        <v>0</v>
      </c>
      <c r="P78" s="1114">
        <f>'WP1'!W112/8760</f>
        <v>0</v>
      </c>
      <c r="Q78" s="277">
        <f t="shared" si="1"/>
        <v>0</v>
      </c>
      <c r="R78" s="853" t="e">
        <f t="shared" si="2"/>
        <v>#VALUE!</v>
      </c>
      <c r="S78" s="311" t="e">
        <f ca="1">'WP1'!Y112</f>
        <v>#REF!</v>
      </c>
      <c r="T78" s="855">
        <f t="shared" si="7"/>
        <v>8760</v>
      </c>
      <c r="U78" s="861">
        <f>IF(Bivalenzpunkt&lt;N78,IF('WP1'!AB112&lt;O78,'WP1'!AB112,O78),0)</f>
        <v>0</v>
      </c>
      <c r="V78" s="278">
        <f>MIN(Kesselleistung,IF(Laufzeit_Zusatzheizung&gt;=T78,(O78-U78)/Nutzungsgrad+Kesselleistung*'WP1'!$H$45,0))</f>
        <v>0</v>
      </c>
      <c r="W78" s="278">
        <f t="shared" si="4"/>
        <v>0</v>
      </c>
      <c r="X78" s="1115" t="e">
        <f ca="1">'WP1'!Y112/(1-Kollektor)</f>
        <v>#REF!</v>
      </c>
      <c r="Y78" s="867" t="e">
        <f t="shared" ca="1" si="5"/>
        <v>#REF!</v>
      </c>
      <c r="Z78" s="876">
        <f>IF(Qh&gt;0,IF(P78&gt;0,IF(Heizung,'WP1'!Z112,0),0)+IF(WW,Qww*EBF/3.6/8760,0),)</f>
        <v>0</v>
      </c>
      <c r="AA78" s="871" t="str">
        <f t="shared" si="6"/>
        <v/>
      </c>
      <c r="AB78" s="877">
        <f>IF('WP1'!$J$23&gt;2,IF(P78&gt;0,W78,""),0)</f>
        <v>0</v>
      </c>
      <c r="AC78" s="317">
        <f>INDEX('WP1'!$AW$60:$AW$125,AF78,1)</f>
        <v>27</v>
      </c>
      <c r="AD78" s="879">
        <f>IF(WPArt&gt;1,INDEX('WP1'!$AY$60:$AY$125,AF78,1),0)</f>
        <v>0</v>
      </c>
      <c r="AE78" s="881">
        <f>IF(WPArt&gt;1,INDEX('WP1'!$AX$60:$AX$125,AF78,1),0)</f>
        <v>0</v>
      </c>
      <c r="AF78" s="884">
        <v>53</v>
      </c>
    </row>
    <row r="79" spans="4:32" x14ac:dyDescent="0.2">
      <c r="D79" s="5"/>
      <c r="E79" s="5"/>
      <c r="N79" s="276">
        <v>28</v>
      </c>
      <c r="O79" s="1113">
        <f>IF(Qh&gt;0,IF(P79&gt;0,IF(Heizung,'WP1'!Z113,0)+IF(WW,Qww*EBF/3.6/8760,0),0),)</f>
        <v>0</v>
      </c>
      <c r="P79" s="1114">
        <f>'WP1'!W113/8760</f>
        <v>0</v>
      </c>
      <c r="Q79" s="277">
        <f t="shared" si="1"/>
        <v>0</v>
      </c>
      <c r="R79" s="853" t="e">
        <f t="shared" si="2"/>
        <v>#VALUE!</v>
      </c>
      <c r="S79" s="311" t="e">
        <f ca="1">'WP1'!Y113</f>
        <v>#REF!</v>
      </c>
      <c r="T79" s="855">
        <f t="shared" si="7"/>
        <v>8760</v>
      </c>
      <c r="U79" s="861">
        <f>IF(Bivalenzpunkt&lt;N79,IF('WP1'!AB113&lt;O79,'WP1'!AB113,O79),0)</f>
        <v>0</v>
      </c>
      <c r="V79" s="278">
        <f>MIN(Kesselleistung,IF(Laufzeit_Zusatzheizung&gt;=T79,(O79-U79)/Nutzungsgrad+Kesselleistung*'WP1'!$H$45,0))</f>
        <v>0</v>
      </c>
      <c r="W79" s="278">
        <f t="shared" si="4"/>
        <v>0</v>
      </c>
      <c r="X79" s="1115" t="e">
        <f ca="1">'WP1'!Y113/(1-Kollektor)</f>
        <v>#REF!</v>
      </c>
      <c r="Y79" s="867" t="e">
        <f t="shared" ca="1" si="5"/>
        <v>#REF!</v>
      </c>
      <c r="Z79" s="876">
        <f>IF(Qh&gt;0,IF(P79&gt;0,IF(Heizung,'WP1'!Z113,0),0)+IF(WW,Qww*EBF/3.6/8760,0),)</f>
        <v>0</v>
      </c>
      <c r="AA79" s="871" t="str">
        <f t="shared" si="6"/>
        <v/>
      </c>
      <c r="AB79" s="877">
        <f>IF('WP1'!$J$23&gt;2,IF(P79&gt;0,W79,""),0)</f>
        <v>0</v>
      </c>
      <c r="AC79" s="317">
        <f>INDEX('WP1'!$AW$60:$AW$125,AF79,1)</f>
        <v>28</v>
      </c>
      <c r="AD79" s="879">
        <f>IF(WPArt&gt;1,INDEX('WP1'!$AY$60:$AY$125,AF79,1),0)</f>
        <v>0</v>
      </c>
      <c r="AE79" s="881">
        <f>IF(WPArt&gt;1,INDEX('WP1'!$AX$60:$AX$125,AF79,1),0)</f>
        <v>0</v>
      </c>
      <c r="AF79" s="884">
        <v>54</v>
      </c>
    </row>
    <row r="80" spans="4:32" x14ac:dyDescent="0.2">
      <c r="D80" s="5"/>
      <c r="N80" s="276">
        <v>29</v>
      </c>
      <c r="O80" s="1113">
        <f>IF(Qh&gt;0,IF(P80&gt;0,IF(Heizung,'WP1'!Z114,0)+IF(WW,Qww*EBF/3.6/8760,0),0),)</f>
        <v>0</v>
      </c>
      <c r="P80" s="1114">
        <f>'WP1'!W114/8760</f>
        <v>0</v>
      </c>
      <c r="Q80" s="277">
        <f t="shared" si="1"/>
        <v>0</v>
      </c>
      <c r="R80" s="853" t="e">
        <f t="shared" si="2"/>
        <v>#VALUE!</v>
      </c>
      <c r="S80" s="311" t="e">
        <f ca="1">'WP1'!Y114</f>
        <v>#REF!</v>
      </c>
      <c r="T80" s="855">
        <f t="shared" si="7"/>
        <v>8760</v>
      </c>
      <c r="U80" s="861">
        <f>IF(Bivalenzpunkt&lt;N80,IF('WP1'!AB114&lt;O80,'WP1'!AB114,O80),0)</f>
        <v>0</v>
      </c>
      <c r="V80" s="278">
        <f>MIN(Kesselleistung,IF(Laufzeit_Zusatzheizung&gt;=T80,(O80-U80)/Nutzungsgrad+Kesselleistung*'WP1'!$H$45,0))</f>
        <v>0</v>
      </c>
      <c r="W80" s="278">
        <f t="shared" si="4"/>
        <v>0</v>
      </c>
      <c r="X80" s="1115" t="e">
        <f ca="1">'WP1'!Y114/(1-Kollektor)</f>
        <v>#REF!</v>
      </c>
      <c r="Y80" s="867" t="e">
        <f t="shared" ca="1" si="5"/>
        <v>#REF!</v>
      </c>
      <c r="Z80" s="876">
        <f>IF(Qh&gt;0,IF(P80&gt;0,IF(Heizung,'WP1'!Z114,0),0)+IF(WW,Qww*EBF/3.6/8760,0),)</f>
        <v>0</v>
      </c>
      <c r="AA80" s="871" t="str">
        <f t="shared" si="6"/>
        <v/>
      </c>
      <c r="AB80" s="877">
        <f>IF('WP1'!$J$23&gt;2,IF(P80&gt;0,W80,""),0)</f>
        <v>0</v>
      </c>
      <c r="AC80" s="317">
        <f>INDEX('WP1'!$AW$60:$AW$125,AF80,1)</f>
        <v>29</v>
      </c>
      <c r="AD80" s="879">
        <f>IF(WPArt&gt;1,INDEX('WP1'!$AY$60:$AY$125,AF80,1),0)</f>
        <v>0</v>
      </c>
      <c r="AE80" s="881">
        <f>IF(WPArt&gt;1,INDEX('WP1'!$AX$60:$AX$125,AF80,1),0)</f>
        <v>0</v>
      </c>
      <c r="AF80" s="884">
        <v>55</v>
      </c>
    </row>
    <row r="81" spans="4:32" x14ac:dyDescent="0.2">
      <c r="D81" s="5"/>
      <c r="N81" s="276">
        <v>30</v>
      </c>
      <c r="O81" s="1113">
        <f>IF(Qh&gt;0,IF(P81&gt;0,IF(Heizung,'WP1'!Z115,0)+IF(WW,Qww*EBF/3.6/8760,0),0),)</f>
        <v>0</v>
      </c>
      <c r="P81" s="1114">
        <f>'WP1'!W115/8760</f>
        <v>0</v>
      </c>
      <c r="Q81" s="277">
        <f t="shared" si="1"/>
        <v>0</v>
      </c>
      <c r="R81" s="853" t="e">
        <f t="shared" si="2"/>
        <v>#VALUE!</v>
      </c>
      <c r="S81" s="311" t="e">
        <f ca="1">'WP1'!Y115</f>
        <v>#REF!</v>
      </c>
      <c r="T81" s="855">
        <f t="shared" si="7"/>
        <v>8760</v>
      </c>
      <c r="U81" s="861">
        <f>IF(Bivalenzpunkt&lt;N81,IF('WP1'!AB115&lt;O81,'WP1'!AB115,O81),0)</f>
        <v>0</v>
      </c>
      <c r="V81" s="278">
        <f>MIN(Kesselleistung,IF(Laufzeit_Zusatzheizung&gt;=T81,(O81-U81)/Nutzungsgrad+Kesselleistung*'WP1'!$H$45,0))</f>
        <v>0</v>
      </c>
      <c r="W81" s="278">
        <f t="shared" si="4"/>
        <v>0</v>
      </c>
      <c r="X81" s="1115" t="e">
        <f ca="1">'WP1'!Y115/(1-Kollektor)</f>
        <v>#REF!</v>
      </c>
      <c r="Y81" s="867" t="e">
        <f t="shared" ca="1" si="5"/>
        <v>#REF!</v>
      </c>
      <c r="Z81" s="876">
        <f>IF(Qh&gt;0,IF(P81&gt;0,IF(Heizung,'WP1'!Z115,0),0)+IF(WW,Qww*EBF/3.6/8760,0),)</f>
        <v>0</v>
      </c>
      <c r="AA81" s="871" t="str">
        <f t="shared" si="6"/>
        <v/>
      </c>
      <c r="AB81" s="877">
        <f>IF('WP1'!$J$23&gt;2,IF(P81&gt;0,W81,""),0)</f>
        <v>0</v>
      </c>
      <c r="AC81" s="317">
        <f>INDEX('WP1'!$AW$60:$AW$125,AF81,1)</f>
        <v>30</v>
      </c>
      <c r="AD81" s="879">
        <f>IF(WPArt&gt;1,INDEX('WP1'!$AY$60:$AY$125,AF81,1),0)</f>
        <v>0</v>
      </c>
      <c r="AE81" s="881">
        <f>IF(WPArt&gt;1,INDEX('WP1'!$AX$60:$AX$125,AF81,1),0)</f>
        <v>0</v>
      </c>
      <c r="AF81" s="884">
        <v>56</v>
      </c>
    </row>
    <row r="82" spans="4:32" x14ac:dyDescent="0.2">
      <c r="D82" s="5"/>
      <c r="N82" s="276">
        <v>31</v>
      </c>
      <c r="O82" s="1113">
        <f>IF(Qh&gt;0,IF(P82&gt;0,IF(Heizung,'WP1'!Z116,0)+IF(WW,Qww*EBF/3.6/8760,0),0),)</f>
        <v>0</v>
      </c>
      <c r="P82" s="1114">
        <f>'WP1'!W116/8760</f>
        <v>0</v>
      </c>
      <c r="Q82" s="277">
        <f t="shared" si="1"/>
        <v>0</v>
      </c>
      <c r="R82" s="853" t="e">
        <f t="shared" si="2"/>
        <v>#VALUE!</v>
      </c>
      <c r="S82" s="311" t="e">
        <f ca="1">'WP1'!Y116</f>
        <v>#REF!</v>
      </c>
      <c r="T82" s="855">
        <f t="shared" si="7"/>
        <v>8760</v>
      </c>
      <c r="U82" s="861">
        <f>IF(Bivalenzpunkt&lt;N82,IF('WP1'!AB116&lt;O82,'WP1'!AB116,O82),0)</f>
        <v>0</v>
      </c>
      <c r="V82" s="278">
        <f>MIN(Kesselleistung,IF(Laufzeit_Zusatzheizung&gt;=T82,(O82-U82)/Nutzungsgrad+Kesselleistung*'WP1'!$H$45,0))</f>
        <v>0</v>
      </c>
      <c r="W82" s="278">
        <f t="shared" si="4"/>
        <v>0</v>
      </c>
      <c r="X82" s="1115" t="e">
        <f ca="1">'WP1'!Y116/(1-Kollektor)</f>
        <v>#REF!</v>
      </c>
      <c r="Y82" s="867" t="e">
        <f t="shared" ca="1" si="5"/>
        <v>#REF!</v>
      </c>
      <c r="Z82" s="876">
        <f>IF(Qh&gt;0,IF(P82&gt;0,IF(Heizung,'WP1'!Z116,0),0)+IF(WW,Qww*EBF/3.6/8760,0),)</f>
        <v>0</v>
      </c>
      <c r="AA82" s="871" t="str">
        <f t="shared" si="6"/>
        <v/>
      </c>
      <c r="AB82" s="877">
        <f>IF('WP1'!$J$23&gt;2,IF(P82&gt;0,W82,""),0)</f>
        <v>0</v>
      </c>
      <c r="AC82" s="317">
        <f>INDEX('WP1'!$AW$60:$AW$125,AF82,1)</f>
        <v>31</v>
      </c>
      <c r="AD82" s="879">
        <f>IF(WPArt&gt;1,INDEX('WP1'!$AY$60:$AY$125,AF82,1),0)</f>
        <v>0</v>
      </c>
      <c r="AE82" s="881">
        <f>IF(WPArt&gt;1,INDEX('WP1'!$AX$60:$AX$125,AF82,1),0)</f>
        <v>0</v>
      </c>
      <c r="AF82" s="884">
        <v>57</v>
      </c>
    </row>
    <row r="83" spans="4:32" x14ac:dyDescent="0.2">
      <c r="D83" s="5"/>
      <c r="N83" s="276">
        <v>32</v>
      </c>
      <c r="O83" s="1113">
        <f>IF(Qh&gt;0,IF(P83&gt;0,IF(Heizung,'WP1'!Z117,0)+IF(WW,Qww*EBF/3.6/8760,0),0),)</f>
        <v>0</v>
      </c>
      <c r="P83" s="1114">
        <f>'WP1'!W117/8760</f>
        <v>0</v>
      </c>
      <c r="Q83" s="277">
        <f t="shared" si="1"/>
        <v>0</v>
      </c>
      <c r="R83" s="853" t="e">
        <f t="shared" si="2"/>
        <v>#VALUE!</v>
      </c>
      <c r="S83" s="311" t="e">
        <f ca="1">'WP1'!Y117</f>
        <v>#REF!</v>
      </c>
      <c r="T83" s="855">
        <f t="shared" si="7"/>
        <v>8760</v>
      </c>
      <c r="U83" s="861">
        <f>IF(Bivalenzpunkt&lt;N83,IF('WP1'!AB117&lt;O83,'WP1'!AB117,O83),0)</f>
        <v>0</v>
      </c>
      <c r="V83" s="278">
        <f>MIN(Kesselleistung,IF(Laufzeit_Zusatzheizung&gt;=T83,(O83-U83)/Nutzungsgrad+Kesselleistung*'WP1'!$H$45,0))</f>
        <v>0</v>
      </c>
      <c r="W83" s="278">
        <f t="shared" si="4"/>
        <v>0</v>
      </c>
      <c r="X83" s="1115" t="e">
        <f ca="1">'WP1'!Y117/(1-Kollektor)</f>
        <v>#REF!</v>
      </c>
      <c r="Y83" s="867" t="e">
        <f t="shared" ca="1" si="5"/>
        <v>#REF!</v>
      </c>
      <c r="Z83" s="876">
        <f>IF(Qh&gt;0,IF(P83&gt;0,IF(Heizung,'WP1'!Z117,0),0)+IF(WW,Qww*EBF/3.6/8760,0),)</f>
        <v>0</v>
      </c>
      <c r="AA83" s="871" t="str">
        <f t="shared" si="6"/>
        <v/>
      </c>
      <c r="AB83" s="877">
        <f>IF('WP1'!$J$23&gt;2,IF(P83&gt;0,W83,""),0)</f>
        <v>0</v>
      </c>
      <c r="AC83" s="317">
        <f>INDEX('WP1'!$AW$60:$AW$125,AF83,1)</f>
        <v>32</v>
      </c>
      <c r="AD83" s="879">
        <f>IF(WPArt&gt;1,INDEX('WP1'!$AY$60:$AY$125,AF83,1),0)</f>
        <v>0</v>
      </c>
      <c r="AE83" s="881">
        <f>IF(WPArt&gt;1,INDEX('WP1'!$AX$60:$AX$125,AF83,1),0)</f>
        <v>0</v>
      </c>
      <c r="AF83" s="884">
        <v>58</v>
      </c>
    </row>
    <row r="84" spans="4:32" x14ac:dyDescent="0.2">
      <c r="N84" s="276">
        <v>33</v>
      </c>
      <c r="O84" s="1113">
        <f>IF(Qh&gt;0,IF(P84&gt;0,IF(Heizung,'WP1'!Z118,0)+IF(WW,Qww*EBF/3.6/8760,0),0),)</f>
        <v>0</v>
      </c>
      <c r="P84" s="1114">
        <f>'WP1'!W118/8760</f>
        <v>0</v>
      </c>
      <c r="Q84" s="277">
        <f t="shared" si="1"/>
        <v>0</v>
      </c>
      <c r="R84" s="853" t="e">
        <f t="shared" si="2"/>
        <v>#VALUE!</v>
      </c>
      <c r="S84" s="311" t="e">
        <f ca="1">'WP1'!Y118</f>
        <v>#REF!</v>
      </c>
      <c r="T84" s="855">
        <f t="shared" si="7"/>
        <v>8760</v>
      </c>
      <c r="U84" s="861">
        <f>IF(Bivalenzpunkt&lt;N84,IF('WP1'!AB118&lt;O84,'WP1'!AB118,O84),0)</f>
        <v>0</v>
      </c>
      <c r="V84" s="278">
        <f>MIN(Kesselleistung,IF(Laufzeit_Zusatzheizung&gt;=T84,(O84-U84)/Nutzungsgrad+Kesselleistung*'WP1'!$H$45,0))</f>
        <v>0</v>
      </c>
      <c r="W84" s="278">
        <f t="shared" si="4"/>
        <v>0</v>
      </c>
      <c r="X84" s="1115" t="e">
        <f ca="1">'WP1'!Y118/(1-Kollektor)</f>
        <v>#REF!</v>
      </c>
      <c r="Y84" s="867" t="e">
        <f t="shared" ca="1" si="5"/>
        <v>#REF!</v>
      </c>
      <c r="Z84" s="876">
        <f>IF(Qh&gt;0,IF(P84&gt;0,IF(Heizung,'WP1'!Z118,0),0)+IF(WW,Qww*EBF/3.6/8760,0),)</f>
        <v>0</v>
      </c>
      <c r="AA84" s="871" t="str">
        <f t="shared" si="6"/>
        <v/>
      </c>
      <c r="AB84" s="877">
        <f>IF('WP1'!$J$23&gt;2,IF(P84&gt;0,W84,""),0)</f>
        <v>0</v>
      </c>
      <c r="AC84" s="317">
        <f>INDEX('WP1'!$AW$60:$AW$125,AF84,1)</f>
        <v>33</v>
      </c>
      <c r="AD84" s="879">
        <f>IF(WPArt&gt;1,INDEX('WP1'!$AY$60:$AY$125,AF84,1),0)</f>
        <v>0</v>
      </c>
      <c r="AE84" s="881">
        <f>IF(WPArt&gt;1,INDEX('WP1'!$AX$60:$AX$125,AF84,1),0)</f>
        <v>0</v>
      </c>
      <c r="AF84" s="884">
        <v>59</v>
      </c>
    </row>
    <row r="85" spans="4:32" x14ac:dyDescent="0.2">
      <c r="N85" s="276">
        <v>34</v>
      </c>
      <c r="O85" s="1113">
        <f>IF(Qh&gt;0,IF(P85&gt;0,IF(Heizung,'WP1'!Z119,0)+IF(WW,Qww*EBF/3.6/8760,0),0),)</f>
        <v>0</v>
      </c>
      <c r="P85" s="1114">
        <f>'WP1'!W119/8760</f>
        <v>0</v>
      </c>
      <c r="Q85" s="277">
        <f t="shared" si="1"/>
        <v>0</v>
      </c>
      <c r="R85" s="853" t="e">
        <f t="shared" si="2"/>
        <v>#VALUE!</v>
      </c>
      <c r="S85" s="311" t="e">
        <f ca="1">'WP1'!Y119</f>
        <v>#REF!</v>
      </c>
      <c r="T85" s="855">
        <f t="shared" si="7"/>
        <v>8760</v>
      </c>
      <c r="U85" s="861">
        <f>IF(Bivalenzpunkt&lt;N85,IF('WP1'!AB119&lt;O85,'WP1'!AB119,O85),0)</f>
        <v>0</v>
      </c>
      <c r="V85" s="278">
        <f>MIN(Kesselleistung,IF(Laufzeit_Zusatzheizung&gt;=T85,(O85-U85)/Nutzungsgrad+Kesselleistung*'WP1'!$H$45,0))</f>
        <v>0</v>
      </c>
      <c r="W85" s="278">
        <f t="shared" si="4"/>
        <v>0</v>
      </c>
      <c r="X85" s="1115" t="e">
        <f ca="1">'WP1'!Y119/(1-Kollektor)</f>
        <v>#REF!</v>
      </c>
      <c r="Y85" s="867" t="e">
        <f t="shared" ca="1" si="5"/>
        <v>#REF!</v>
      </c>
      <c r="Z85" s="876">
        <f>IF(Qh&gt;0,IF(P85&gt;0,IF(Heizung,'WP1'!Z119,0),0)+IF(WW,Qww*EBF/3.6/8760,0),)</f>
        <v>0</v>
      </c>
      <c r="AA85" s="871" t="str">
        <f t="shared" si="6"/>
        <v/>
      </c>
      <c r="AB85" s="877">
        <f>IF('WP1'!$J$23&gt;2,IF(P85&gt;0,W85,""),0)</f>
        <v>0</v>
      </c>
      <c r="AC85" s="317">
        <f>INDEX('WP1'!$AW$60:$AW$125,AF85,1)</f>
        <v>34</v>
      </c>
      <c r="AD85" s="879">
        <f>IF(WPArt&gt;1,INDEX('WP1'!$AY$60:$AY$125,AF85,1),0)</f>
        <v>0</v>
      </c>
      <c r="AE85" s="881">
        <f>IF(WPArt&gt;1,INDEX('WP1'!$AX$60:$AX$125,AF85,1),0)</f>
        <v>0</v>
      </c>
      <c r="AF85" s="884">
        <v>60</v>
      </c>
    </row>
    <row r="86" spans="4:32" x14ac:dyDescent="0.2">
      <c r="N86" s="276">
        <v>35</v>
      </c>
      <c r="O86" s="1113">
        <f>IF(Qh&gt;0,IF(P86&gt;0,IF(Heizung,'WP1'!Z120,0)+IF(WW,Qww*EBF/3.6/8760,0),0),)</f>
        <v>0</v>
      </c>
      <c r="P86" s="1114">
        <f>'WP1'!W120/8760</f>
        <v>0</v>
      </c>
      <c r="Q86" s="277">
        <f t="shared" si="1"/>
        <v>0</v>
      </c>
      <c r="R86" s="853" t="e">
        <f t="shared" si="2"/>
        <v>#VALUE!</v>
      </c>
      <c r="S86" s="311" t="e">
        <f ca="1">'WP1'!Y120</f>
        <v>#REF!</v>
      </c>
      <c r="T86" s="855">
        <f t="shared" si="7"/>
        <v>8760</v>
      </c>
      <c r="U86" s="861">
        <f>IF(Bivalenzpunkt&lt;N86,IF('WP1'!AB120&lt;O86,'WP1'!AB120,O86),0)</f>
        <v>0</v>
      </c>
      <c r="V86" s="278">
        <f>MIN(Kesselleistung,IF(Laufzeit_Zusatzheizung&gt;=T86,(O86-U86)/Nutzungsgrad+Kesselleistung*'WP1'!$H$45,0))</f>
        <v>0</v>
      </c>
      <c r="W86" s="278">
        <f t="shared" si="4"/>
        <v>0</v>
      </c>
      <c r="X86" s="1115" t="e">
        <f ca="1">'WP1'!Y120/(1-Kollektor)</f>
        <v>#REF!</v>
      </c>
      <c r="Y86" s="867" t="e">
        <f t="shared" ca="1" si="5"/>
        <v>#REF!</v>
      </c>
      <c r="Z86" s="876">
        <f>IF(Qh&gt;0,IF(P86&gt;0,IF(Heizung,'WP1'!Z120,0),0)+IF(WW,Qww*EBF/3.6/8760,0),)</f>
        <v>0</v>
      </c>
      <c r="AA86" s="871" t="str">
        <f t="shared" si="6"/>
        <v/>
      </c>
      <c r="AB86" s="877">
        <f>IF('WP1'!$J$23&gt;2,IF(P86&gt;0,W86,""),0)</f>
        <v>0</v>
      </c>
      <c r="AC86" s="317">
        <f>INDEX('WP1'!$AW$60:$AW$125,AF86,1)</f>
        <v>35</v>
      </c>
      <c r="AD86" s="879">
        <f>IF(WPArt&gt;1,INDEX('WP1'!$AY$60:$AY$125,AF86,1),0)</f>
        <v>0</v>
      </c>
      <c r="AE86" s="881">
        <f>IF(WPArt&gt;1,INDEX('WP1'!$AX$60:$AX$125,AF86,1),0)</f>
        <v>0</v>
      </c>
      <c r="AF86" s="884">
        <v>61</v>
      </c>
    </row>
    <row r="87" spans="4:32" x14ac:dyDescent="0.2">
      <c r="N87" s="276">
        <v>36</v>
      </c>
      <c r="O87" s="1113">
        <f>IF(Qh&gt;0,IF(P87&gt;0,IF(Heizung,'WP1'!Z121,0)+IF(WW,Qww*EBF/3.6/8760,0),0),)</f>
        <v>0</v>
      </c>
      <c r="P87" s="1114">
        <f>'WP1'!W121/8760</f>
        <v>0</v>
      </c>
      <c r="Q87" s="277">
        <f t="shared" si="1"/>
        <v>0</v>
      </c>
      <c r="R87" s="853" t="e">
        <f t="shared" si="2"/>
        <v>#VALUE!</v>
      </c>
      <c r="S87" s="311" t="e">
        <f ca="1">'WP1'!Y121</f>
        <v>#REF!</v>
      </c>
      <c r="T87" s="855">
        <f t="shared" si="7"/>
        <v>8760</v>
      </c>
      <c r="U87" s="861">
        <f>IF(Bivalenzpunkt&lt;N87,IF('WP1'!AB121&lt;O87,'WP1'!AB121,O87),0)</f>
        <v>0</v>
      </c>
      <c r="V87" s="278">
        <f>MIN(Kesselleistung,IF(Laufzeit_Zusatzheizung&gt;=T87,(O87-U87)/Nutzungsgrad+Kesselleistung*'WP1'!$H$45,0))</f>
        <v>0</v>
      </c>
      <c r="W87" s="278">
        <f t="shared" si="4"/>
        <v>0</v>
      </c>
      <c r="X87" s="1115" t="e">
        <f ca="1">'WP1'!Y121/(1-Kollektor)</f>
        <v>#REF!</v>
      </c>
      <c r="Y87" s="867" t="e">
        <f t="shared" ca="1" si="5"/>
        <v>#REF!</v>
      </c>
      <c r="Z87" s="876">
        <f>IF(Qh&gt;0,IF(P87&gt;0,IF(Heizung,'WP1'!Z121,0),0)+IF(WW,Qww*EBF/3.6/8760,0),)</f>
        <v>0</v>
      </c>
      <c r="AA87" s="871" t="str">
        <f t="shared" si="6"/>
        <v/>
      </c>
      <c r="AB87" s="877">
        <f>IF('WP1'!$J$23&gt;2,IF(P87&gt;0,W87,""),0)</f>
        <v>0</v>
      </c>
      <c r="AC87" s="317">
        <f>INDEX('WP1'!$AW$60:$AW$125,AF87,1)</f>
        <v>36</v>
      </c>
      <c r="AD87" s="879">
        <f>IF(WPArt&gt;1,INDEX('WP1'!$AY$60:$AY$125,AF87,1),0)</f>
        <v>0</v>
      </c>
      <c r="AE87" s="881">
        <f>IF(WPArt&gt;1,INDEX('WP1'!$AX$60:$AX$125,AF87,1),0)</f>
        <v>0</v>
      </c>
      <c r="AF87" s="884">
        <v>62</v>
      </c>
    </row>
    <row r="88" spans="4:32" x14ac:dyDescent="0.2">
      <c r="N88" s="276">
        <v>37</v>
      </c>
      <c r="O88" s="1113">
        <f>IF(Qh&gt;0,IF(P88&gt;0,IF(Heizung,'WP1'!Z122,0)+IF(WW,Qww*EBF/3.6/8760,0),0),)</f>
        <v>0</v>
      </c>
      <c r="P88" s="1114">
        <f>'WP1'!W122/8760</f>
        <v>0</v>
      </c>
      <c r="Q88" s="277">
        <f t="shared" si="1"/>
        <v>0</v>
      </c>
      <c r="R88" s="853" t="e">
        <f t="shared" si="2"/>
        <v>#VALUE!</v>
      </c>
      <c r="S88" s="311" t="e">
        <f ca="1">'WP1'!Y122</f>
        <v>#REF!</v>
      </c>
      <c r="T88" s="855">
        <f t="shared" si="7"/>
        <v>8760</v>
      </c>
      <c r="U88" s="861">
        <f>IF(Bivalenzpunkt&lt;N88,IF('WP1'!AB122&lt;O88,'WP1'!AB122,O88),0)</f>
        <v>0</v>
      </c>
      <c r="V88" s="278">
        <f>MIN(Kesselleistung,IF(Laufzeit_Zusatzheizung&gt;=T88,(O88-U88)/Nutzungsgrad+Kesselleistung*'WP1'!$H$45,0))</f>
        <v>0</v>
      </c>
      <c r="W88" s="278">
        <f t="shared" si="4"/>
        <v>0</v>
      </c>
      <c r="X88" s="1115" t="e">
        <f ca="1">'WP1'!Y122/(1-Kollektor)</f>
        <v>#REF!</v>
      </c>
      <c r="Y88" s="867" t="e">
        <f t="shared" ca="1" si="5"/>
        <v>#REF!</v>
      </c>
      <c r="Z88" s="876">
        <f>IF(Qh&gt;0,IF(P88&gt;0,IF(Heizung,'WP1'!Z122,0),0)+IF(WW,Qww*EBF/3.6/8760,0),)</f>
        <v>0</v>
      </c>
      <c r="AA88" s="871" t="str">
        <f t="shared" si="6"/>
        <v/>
      </c>
      <c r="AB88" s="877">
        <f>IF('WP1'!$J$23&gt;2,IF(P88&gt;0,W88,""),0)</f>
        <v>0</v>
      </c>
      <c r="AC88" s="317">
        <f>INDEX('WP1'!$AW$60:$AW$125,AF88,1)</f>
        <v>37</v>
      </c>
      <c r="AD88" s="879">
        <f>IF(WPArt&gt;1,INDEX('WP1'!$AY$60:$AY$125,AF88,1),0)</f>
        <v>0</v>
      </c>
      <c r="AE88" s="881">
        <f>IF(WPArt&gt;1,INDEX('WP1'!$AX$60:$AX$125,AF88,1),0)</f>
        <v>0</v>
      </c>
      <c r="AF88" s="884">
        <v>63</v>
      </c>
    </row>
    <row r="89" spans="4:32" x14ac:dyDescent="0.2">
      <c r="N89" s="276">
        <v>38</v>
      </c>
      <c r="O89" s="1113">
        <f>IF(Qh&gt;0,IF(P89&gt;0,IF(Heizung,'WP1'!Z123,0)+IF(WW,Qww*EBF/3.6/8760,0),0),)</f>
        <v>0</v>
      </c>
      <c r="P89" s="1114">
        <f>'WP1'!W123/8760</f>
        <v>0</v>
      </c>
      <c r="Q89" s="277">
        <f t="shared" si="1"/>
        <v>0</v>
      </c>
      <c r="R89" s="853" t="e">
        <f t="shared" si="2"/>
        <v>#VALUE!</v>
      </c>
      <c r="S89" s="311" t="e">
        <f ca="1">'WP1'!Y123</f>
        <v>#REF!</v>
      </c>
      <c r="T89" s="855">
        <f t="shared" si="7"/>
        <v>8760</v>
      </c>
      <c r="U89" s="861">
        <f>IF(Bivalenzpunkt&lt;N89,IF('WP1'!AB123&lt;O89,'WP1'!AB123,O89),0)</f>
        <v>0</v>
      </c>
      <c r="V89" s="278">
        <f>MIN(Kesselleistung,IF(Laufzeit_Zusatzheizung&gt;=T89,(O89-U89)/Nutzungsgrad+Kesselleistung*'WP1'!$H$45,0))</f>
        <v>0</v>
      </c>
      <c r="W89" s="278">
        <f t="shared" si="4"/>
        <v>0</v>
      </c>
      <c r="X89" s="1115" t="e">
        <f ca="1">'WP1'!Y123/(1-Kollektor)</f>
        <v>#REF!</v>
      </c>
      <c r="Y89" s="867" t="e">
        <f t="shared" ca="1" si="5"/>
        <v>#REF!</v>
      </c>
      <c r="Z89" s="876">
        <f>IF(Qh&gt;0,IF(P89&gt;0,IF(Heizung,'WP1'!Z123,0),0)+IF(WW,Qww*EBF/3.6/8760,0),)</f>
        <v>0</v>
      </c>
      <c r="AA89" s="871" t="str">
        <f t="shared" si="6"/>
        <v/>
      </c>
      <c r="AB89" s="877">
        <f>IF('WP1'!$J$23&gt;2,IF(P89&gt;0,W89,""),0)</f>
        <v>0</v>
      </c>
      <c r="AC89" s="317">
        <f>INDEX('WP1'!$AW$60:$AW$125,AF89,1)</f>
        <v>38</v>
      </c>
      <c r="AD89" s="879">
        <f>IF(WPArt&gt;1,INDEX('WP1'!$AY$60:$AY$125,AF89,1),0)</f>
        <v>0</v>
      </c>
      <c r="AE89" s="881">
        <f>IF(WPArt&gt;1,INDEX('WP1'!$AX$60:$AX$125,AF89,1),0)</f>
        <v>0</v>
      </c>
      <c r="AF89" s="884">
        <v>64</v>
      </c>
    </row>
    <row r="90" spans="4:32" x14ac:dyDescent="0.2">
      <c r="N90" s="276">
        <v>39</v>
      </c>
      <c r="O90" s="1113">
        <f>IF(Qh&gt;0,IF(P90&gt;0,IF(Heizung,'WP1'!Z124,0)+IF(WW,Qww*EBF/3.6/8760,0),0),)</f>
        <v>0</v>
      </c>
      <c r="P90" s="1114">
        <f>'WP1'!W124/8760</f>
        <v>0</v>
      </c>
      <c r="Q90" s="277">
        <f t="shared" si="1"/>
        <v>0</v>
      </c>
      <c r="R90" s="853" t="e">
        <f t="shared" si="2"/>
        <v>#VALUE!</v>
      </c>
      <c r="S90" s="311" t="e">
        <f ca="1">'WP1'!Y124</f>
        <v>#REF!</v>
      </c>
      <c r="T90" s="855">
        <f t="shared" si="7"/>
        <v>8760</v>
      </c>
      <c r="U90" s="861">
        <f>IF(Bivalenzpunkt&lt;N90,IF('WP1'!AB124&lt;O90,'WP1'!AB124,O90),0)</f>
        <v>0</v>
      </c>
      <c r="V90" s="278">
        <f>MIN(Kesselleistung,IF(Laufzeit_Zusatzheizung&gt;=T90,(O90-U90)/Nutzungsgrad+Kesselleistung*'WP1'!$H$45,0))</f>
        <v>0</v>
      </c>
      <c r="W90" s="278">
        <f t="shared" si="4"/>
        <v>0</v>
      </c>
      <c r="X90" s="1115" t="e">
        <f ca="1">'WP1'!Y124/(1-Kollektor)</f>
        <v>#REF!</v>
      </c>
      <c r="Y90" s="867" t="e">
        <f t="shared" ca="1" si="5"/>
        <v>#REF!</v>
      </c>
      <c r="Z90" s="876">
        <f>IF(Qh&gt;0,IF(P90&gt;0,IF(Heizung,'WP1'!Z124,0),0)+IF(WW,Qww*EBF/3.6/8760,0),)</f>
        <v>0</v>
      </c>
      <c r="AA90" s="871" t="str">
        <f t="shared" si="6"/>
        <v/>
      </c>
      <c r="AB90" s="877">
        <f>IF('WP1'!$J$23&gt;2,IF(P90&gt;0,W90,""),0)</f>
        <v>0</v>
      </c>
      <c r="AC90" s="317">
        <f>INDEX('WP1'!$AW$60:$AW$125,AF90,1)</f>
        <v>39</v>
      </c>
      <c r="AD90" s="879">
        <f>IF(WPArt&gt;1,INDEX('WP1'!$AY$60:$AY$125,AF90,1),0)</f>
        <v>0</v>
      </c>
      <c r="AE90" s="881">
        <f>IF(WPArt&gt;1,INDEX('WP1'!$AX$60:$AX$125,AF90,1),0)</f>
        <v>0</v>
      </c>
      <c r="AF90" s="884">
        <v>65</v>
      </c>
    </row>
    <row r="91" spans="4:32" x14ac:dyDescent="0.2">
      <c r="N91" s="276">
        <v>40</v>
      </c>
      <c r="O91" s="1113">
        <f>IF(Qh&gt;0,IF(P91&gt;0,IF(Heizung,'WP1'!Z125,0)+IF(WW,Qww*EBF/3.6/8760,0),0),)</f>
        <v>0</v>
      </c>
      <c r="P91" s="1114">
        <f>'WP1'!W125/8760</f>
        <v>0</v>
      </c>
      <c r="Q91" s="277">
        <f>P91*8760</f>
        <v>0</v>
      </c>
      <c r="R91" s="853" t="e">
        <f t="shared" si="2"/>
        <v>#VALUE!</v>
      </c>
      <c r="S91" s="311" t="e">
        <f ca="1">'WP1'!Y125</f>
        <v>#REF!</v>
      </c>
      <c r="T91" s="855">
        <f t="shared" si="7"/>
        <v>8760</v>
      </c>
      <c r="U91" s="861">
        <f>IF(Bivalenzpunkt&lt;N91,IF('WP1'!AB125&lt;O91,'WP1'!AB125,O91),0)</f>
        <v>0</v>
      </c>
      <c r="V91" s="278">
        <f>MIN(Kesselleistung,IF(Laufzeit_Zusatzheizung&gt;=T91,(O91-U91)/Nutzungsgrad+Kesselleistung*'WP1'!$H$45,0))</f>
        <v>0</v>
      </c>
      <c r="W91" s="278">
        <f t="shared" si="4"/>
        <v>0</v>
      </c>
      <c r="X91" s="1115" t="e">
        <f ca="1">'WP1'!Y125/(1-Kollektor)</f>
        <v>#REF!</v>
      </c>
      <c r="Y91" s="867" t="e">
        <f t="shared" ca="1" si="5"/>
        <v>#REF!</v>
      </c>
      <c r="Z91" s="876">
        <f>IF(Qh&gt;0,IF(P91&gt;0,IF(Heizung,'WP1'!Z125,0),0)+IF(WW,Qww*EBF/3.6/8760,0),)</f>
        <v>0</v>
      </c>
      <c r="AA91" s="871" t="str">
        <f t="shared" si="6"/>
        <v/>
      </c>
      <c r="AB91" s="877">
        <f>IF('WP1'!$J$23&gt;2,IF(P91&gt;0,W91,""),0)</f>
        <v>0</v>
      </c>
      <c r="AC91" s="317">
        <f>INDEX('WP1'!$AW$60:$AW$125,AF91,1)</f>
        <v>40</v>
      </c>
      <c r="AD91" s="879">
        <f>IF(WPArt&gt;1,INDEX('WP1'!$AY$60:$AY$125,AF91,1),0)</f>
        <v>0</v>
      </c>
      <c r="AE91" s="881">
        <f>IF(WPArt&gt;1,INDEX('WP1'!$AX$60:$AX$125,AF91,1),0)</f>
        <v>0</v>
      </c>
      <c r="AF91" s="884">
        <v>66</v>
      </c>
    </row>
    <row r="92" spans="4:32" s="843" customFormat="1" ht="15" customHeight="1" x14ac:dyDescent="0.2">
      <c r="N92" s="841" t="s">
        <v>2553</v>
      </c>
      <c r="O92" s="463"/>
      <c r="P92" s="859"/>
      <c r="Q92" s="844"/>
      <c r="R92" s="845"/>
      <c r="S92" s="860"/>
      <c r="T92" s="846"/>
      <c r="U92" s="847"/>
      <c r="V92" s="463"/>
      <c r="W92" s="317"/>
      <c r="X92" s="862"/>
      <c r="Y92" s="867">
        <v>8760</v>
      </c>
      <c r="Z92" s="876">
        <f>IF(Qh&gt;0,IF(P92&gt;0,IF(Heizung,'WP1'!Z126,0),0)+IF(WW,Qww*EBF/3.6/8760,0),)</f>
        <v>0</v>
      </c>
      <c r="AA92" s="463"/>
      <c r="AB92" s="878">
        <f>IF('WP1'!$J$23&gt;2,IF(P92&gt;0,W92,""),0)</f>
        <v>0</v>
      </c>
      <c r="AC92" s="463"/>
      <c r="AD92" s="880">
        <f>IF('WP1'!$J$23&gt;2,IF(R92&gt;0,Y92,""),0)</f>
        <v>0</v>
      </c>
      <c r="AE92" s="882">
        <f>IF('WP1'!$J$23&gt;2,IF(S92&gt;0,Z92,""),0)</f>
        <v>0</v>
      </c>
      <c r="AF92" s="884">
        <v>67</v>
      </c>
    </row>
    <row r="93" spans="4:32" x14ac:dyDescent="0.2">
      <c r="N93" s="281" t="s">
        <v>3951</v>
      </c>
      <c r="O93" s="315"/>
      <c r="P93" s="858" t="e">
        <f>SUM(P25:P92)</f>
        <v>#VALUE!</v>
      </c>
      <c r="Q93" s="279" t="e">
        <f>SUM(Q25:Q92)</f>
        <v>#VALUE!</v>
      </c>
      <c r="R93" s="282"/>
      <c r="S93" s="279" t="e">
        <f ca="1">SUM(S25:S92)</f>
        <v>#REF!</v>
      </c>
      <c r="T93" s="283"/>
      <c r="U93" s="280"/>
      <c r="V93" s="280"/>
      <c r="W93" s="863"/>
      <c r="X93" s="864" t="e">
        <f ca="1">SUM(X25:X92)</f>
        <v>#REF!</v>
      </c>
      <c r="Y93" s="868"/>
      <c r="Z93" s="869"/>
      <c r="AA93" s="872"/>
      <c r="AB93" s="869"/>
      <c r="AC93" s="872"/>
      <c r="AD93" s="869"/>
      <c r="AE93" s="883"/>
      <c r="AF93" s="843"/>
    </row>
    <row r="94" spans="4:32" x14ac:dyDescent="0.2">
      <c r="D94" s="284"/>
      <c r="E94" s="285"/>
      <c r="G94" s="285"/>
      <c r="I94" s="286"/>
      <c r="M94" s="850"/>
    </row>
    <row r="95" spans="4:32" x14ac:dyDescent="0.2">
      <c r="F95" s="258"/>
      <c r="M95" s="850"/>
    </row>
    <row r="96" spans="4:32" x14ac:dyDescent="0.2">
      <c r="M96" s="850"/>
    </row>
    <row r="97" spans="13:13" x14ac:dyDescent="0.2">
      <c r="M97" s="850"/>
    </row>
    <row r="98" spans="13:13" x14ac:dyDescent="0.2">
      <c r="M98" s="850"/>
    </row>
    <row r="99" spans="13:13" x14ac:dyDescent="0.2">
      <c r="M99" s="850"/>
    </row>
    <row r="100" spans="13:13" x14ac:dyDescent="0.2">
      <c r="M100" s="850"/>
    </row>
    <row r="101" spans="13:13" x14ac:dyDescent="0.2">
      <c r="M101" s="850"/>
    </row>
    <row r="102" spans="13:13" x14ac:dyDescent="0.2">
      <c r="M102" s="850"/>
    </row>
    <row r="103" spans="13:13" x14ac:dyDescent="0.2">
      <c r="M103" s="851"/>
    </row>
    <row r="104" spans="13:13" x14ac:dyDescent="0.2">
      <c r="M104" s="851"/>
    </row>
    <row r="125" ht="1.9" customHeight="1" x14ac:dyDescent="0.2"/>
    <row r="126" ht="25.9" customHeight="1" x14ac:dyDescent="0.2"/>
  </sheetData>
  <sheetProtection password="CABA" sheet="1" objects="1" scenarios="1"/>
  <mergeCells count="4">
    <mergeCell ref="H2:K2"/>
    <mergeCell ref="C52:K52"/>
    <mergeCell ref="B4:E4"/>
    <mergeCell ref="B5:E5"/>
  </mergeCells>
  <phoneticPr fontId="0" type="noConversion"/>
  <conditionalFormatting sqref="C18">
    <cfRule type="expression" dxfId="10" priority="5" stopIfTrue="1">
      <formula>JAZcalc=FALSE</formula>
    </cfRule>
  </conditionalFormatting>
  <conditionalFormatting sqref="L16">
    <cfRule type="expression" dxfId="9" priority="2" stopIfTrue="1">
      <formula>$K$14=0</formula>
    </cfRule>
  </conditionalFormatting>
  <conditionalFormatting sqref="N21:AE93 AF25:AF93">
    <cfRule type="expression" dxfId="8" priority="1" stopIfTrue="1">
      <formula>$N$1</formula>
    </cfRule>
  </conditionalFormatting>
  <pageMargins left="0.52" right="0.17" top="0.35" bottom="0.52" header="0.4" footer="0.33"/>
  <pageSetup paperSize="9" scale="72" orientation="portrait" r:id="rId1"/>
  <headerFooter alignWithMargins="0">
    <oddFooter>&amp;L&amp;"Arial,Kursiv"&amp;8&amp;F / &amp;A / &amp;D / WPesti</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pageSetUpPr fitToPage="1"/>
  </sheetPr>
  <dimension ref="A1:AP100"/>
  <sheetViews>
    <sheetView showGridLines="0" topLeftCell="A2" zoomScaleNormal="100" workbookViewId="0">
      <selection activeCell="AT14" sqref="AT14"/>
    </sheetView>
  </sheetViews>
  <sheetFormatPr baseColWidth="10" defaultColWidth="11.5703125" defaultRowHeight="12" x14ac:dyDescent="0.2"/>
  <cols>
    <col min="1" max="1" width="1" style="5" customWidth="1"/>
    <col min="2" max="2" width="18.28515625" style="5" customWidth="1"/>
    <col min="3" max="3" width="12.28515625" style="5" customWidth="1"/>
    <col min="4" max="4" width="13.140625" style="5" customWidth="1"/>
    <col min="5" max="5" width="9.7109375" style="231" customWidth="1"/>
    <col min="6" max="7" width="9" style="231" customWidth="1"/>
    <col min="8" max="10" width="9" style="5" customWidth="1"/>
    <col min="11" max="11" width="0.7109375" style="5" customWidth="1"/>
    <col min="12" max="12" width="8.28515625" style="5" hidden="1" customWidth="1"/>
    <col min="13" max="13" width="27.28515625" style="5" hidden="1" customWidth="1"/>
    <col min="14" max="16" width="6.42578125" style="5" hidden="1" customWidth="1"/>
    <col min="17" max="17" width="14" style="5" hidden="1" customWidth="1"/>
    <col min="18" max="18" width="13.42578125" style="5" hidden="1" customWidth="1"/>
    <col min="19" max="19" width="19.140625" style="5" hidden="1" customWidth="1"/>
    <col min="20" max="20" width="10.5703125" style="5" hidden="1" customWidth="1"/>
    <col min="21" max="21" width="6.42578125" style="5" hidden="1" customWidth="1"/>
    <col min="22" max="22" width="19.28515625" style="5" hidden="1" customWidth="1"/>
    <col min="23" max="23" width="9.28515625" style="5" hidden="1" customWidth="1"/>
    <col min="24" max="24" width="11" style="5" hidden="1" customWidth="1"/>
    <col min="25" max="26" width="10.140625" style="5" hidden="1" customWidth="1"/>
    <col min="27" max="27" width="10.7109375" style="5" hidden="1" customWidth="1"/>
    <col min="28" max="28" width="8.42578125" style="5" hidden="1" customWidth="1"/>
    <col min="29" max="29" width="8" style="5" hidden="1" customWidth="1"/>
    <col min="30" max="30" width="9.140625" style="5" hidden="1" customWidth="1"/>
    <col min="31" max="31" width="17.85546875" style="5" hidden="1" customWidth="1"/>
    <col min="32" max="33" width="11.42578125" style="5" hidden="1" customWidth="1"/>
    <col min="34" max="35" width="9.140625" style="5" hidden="1" customWidth="1"/>
    <col min="36" max="36" width="2.5703125" style="5" hidden="1" customWidth="1"/>
    <col min="37" max="37" width="9.140625" style="5" hidden="1" customWidth="1"/>
    <col min="38" max="41" width="11.5703125" style="5" hidden="1" customWidth="1"/>
    <col min="42" max="42" width="11.5703125" style="5" customWidth="1"/>
    <col min="43" max="16384" width="11.5703125" style="15"/>
  </cols>
  <sheetData>
    <row r="1" spans="1:41" ht="12" hidden="1" customHeight="1" x14ac:dyDescent="0.2">
      <c r="A1" s="1"/>
      <c r="E1" s="3"/>
      <c r="F1" s="3"/>
      <c r="G1" s="3"/>
      <c r="H1" s="4"/>
      <c r="I1" s="248"/>
      <c r="J1" s="248"/>
    </row>
    <row r="2" spans="1:41" ht="22.15" customHeight="1" x14ac:dyDescent="0.2">
      <c r="A2" s="1"/>
      <c r="B2" s="2" t="str">
        <f>Sprache!B289</f>
        <v>PAC, spécifications individuelles</v>
      </c>
      <c r="C2" s="2"/>
      <c r="D2" s="2"/>
      <c r="I2" s="1307" t="str">
        <f>Sprache!B8</f>
        <v>WPesti / V 8.3.40 / 29.06.2026                valable jusqu'à 31.12.2027</v>
      </c>
      <c r="J2" s="1307"/>
      <c r="L2" s="524" t="s">
        <v>2695</v>
      </c>
    </row>
    <row r="3" spans="1:41" ht="3.75" customHeight="1" x14ac:dyDescent="0.2">
      <c r="B3" s="4"/>
      <c r="C3" s="4"/>
      <c r="D3" s="4"/>
      <c r="E3" s="31"/>
      <c r="F3" s="31"/>
      <c r="G3" s="31"/>
      <c r="H3" s="4"/>
      <c r="I3" s="4"/>
      <c r="J3" s="4"/>
      <c r="L3" s="287"/>
    </row>
    <row r="4" spans="1:41" ht="15" customHeight="1" x14ac:dyDescent="0.25">
      <c r="B4" s="85" t="str">
        <f>Sprache!B290</f>
        <v>Données de la PAC</v>
      </c>
      <c r="C4" s="495"/>
      <c r="D4" s="495"/>
      <c r="E4" s="779"/>
      <c r="F4" s="86"/>
      <c r="G4" s="86"/>
      <c r="H4" s="34"/>
      <c r="I4" s="494"/>
      <c r="J4" s="87"/>
      <c r="K4" s="19"/>
      <c r="L4" s="524"/>
      <c r="M4" s="469" t="s">
        <v>4464</v>
      </c>
      <c r="N4" s="551">
        <f>IF(WPArt&lt;&gt;6,MAX(F9:H9),'WP1'!W52)</f>
        <v>0</v>
      </c>
      <c r="O4" s="35" t="s">
        <v>3650</v>
      </c>
      <c r="Q4" s="232"/>
      <c r="R4" s="16"/>
      <c r="S4" s="22" t="s">
        <v>1829</v>
      </c>
      <c r="V4" s="5" t="s">
        <v>875</v>
      </c>
      <c r="X4" s="15"/>
      <c r="AI4" s="5" t="s">
        <v>1815</v>
      </c>
    </row>
    <row r="5" spans="1:41" ht="15" customHeight="1" x14ac:dyDescent="0.2">
      <c r="B5" s="500" t="str">
        <f>Sprache!B23</f>
        <v>Nom et type de PAC</v>
      </c>
      <c r="C5" s="501"/>
      <c r="D5" s="501"/>
      <c r="E5" s="1320"/>
      <c r="F5" s="1320"/>
      <c r="G5" s="1320"/>
      <c r="H5" s="1320"/>
      <c r="I5" s="1320"/>
      <c r="J5" s="1321"/>
      <c r="K5" s="19"/>
      <c r="L5" s="287" t="b">
        <f>IF(E5&lt;&gt;"",TRUE,FALSE)</f>
        <v>0</v>
      </c>
      <c r="M5" s="469" t="s">
        <v>4465</v>
      </c>
      <c r="N5" s="551">
        <f>IF(WPArt&lt;&gt;6,MAX(F9:H9),'WP1'!W52)</f>
        <v>0</v>
      </c>
      <c r="O5" s="35" t="s">
        <v>3650</v>
      </c>
      <c r="Q5" s="238" t="str">
        <f>Sprache!B322</f>
        <v>inclus dans le COP</v>
      </c>
      <c r="R5" s="20" t="s">
        <v>1827</v>
      </c>
      <c r="S5" s="289" t="b">
        <f>IF(Q5=I6,FALSE,TRUE)</f>
        <v>1</v>
      </c>
      <c r="V5" s="469" t="s">
        <v>876</v>
      </c>
      <c r="W5" s="35"/>
      <c r="X5" s="483">
        <f>T9</f>
        <v>0</v>
      </c>
      <c r="Y5" s="483">
        <f>IF((X5-1)&gt;0,X5-1,1)</f>
        <v>1</v>
      </c>
      <c r="Z5" s="483">
        <f>IF((Y5-1)&gt;0,Y5-1,1)</f>
        <v>1</v>
      </c>
      <c r="AA5" s="483">
        <f>IF((Z5-1)&gt;0,Z5-1,1)</f>
        <v>1</v>
      </c>
      <c r="AB5" s="483">
        <f>IF((AA5-1)&gt;0,AA5-1,1)</f>
        <v>1</v>
      </c>
      <c r="AI5" s="16">
        <v>30</v>
      </c>
      <c r="AJ5" s="16"/>
      <c r="AK5" s="16">
        <f>IF(WPArt=2,-20,-5)</f>
        <v>-5</v>
      </c>
      <c r="AL5" s="23">
        <f>IF($F$8&lt;&gt;"",IF($F$8&gt;=AK5,"",AK5),AK5)</f>
        <v>-5</v>
      </c>
      <c r="AM5" s="23">
        <f>IF($G$8&lt;&gt;"",IF($G$8&gt;=AL5,"",AL5),AK5)</f>
        <v>-5</v>
      </c>
      <c r="AN5" s="23">
        <f>IF($H$8&lt;&gt;"",IF($H$8&gt;=AM5,"",AM5),AK5)</f>
        <v>-5</v>
      </c>
      <c r="AO5" s="22">
        <f>IF($I$8&lt;&gt;"",IF($I$8&gt;=AN5,"",AN5),AK5)</f>
        <v>-5</v>
      </c>
    </row>
    <row r="6" spans="1:41" ht="15" customHeight="1" x14ac:dyDescent="0.2">
      <c r="B6" s="771" t="str">
        <f>Sprache!B291</f>
        <v>Données de puissance de la PAC</v>
      </c>
      <c r="C6" s="499"/>
      <c r="D6" s="215" t="str">
        <f>Sprache!B292</f>
        <v>Pompes:</v>
      </c>
      <c r="E6" s="781" t="str">
        <f>Sprache!B293</f>
        <v>Consenseur</v>
      </c>
      <c r="F6" s="1312"/>
      <c r="G6" s="1312"/>
      <c r="H6" s="781" t="str">
        <f>IF(WPArt=2,"Ventilator:",Sprache!B294)</f>
        <v>Evaporateur</v>
      </c>
      <c r="I6" s="1312"/>
      <c r="J6" s="1313"/>
      <c r="L6" s="287"/>
      <c r="M6" s="4"/>
      <c r="N6" s="4"/>
      <c r="O6" s="4"/>
      <c r="Q6" s="26" t="str">
        <f>Sprache!B323</f>
        <v>non calculé</v>
      </c>
      <c r="R6" s="25" t="s">
        <v>1828</v>
      </c>
      <c r="S6" s="290" t="b">
        <f>IF(Q5=F6,FALSE,TRUE)</f>
        <v>1</v>
      </c>
      <c r="V6" s="469" t="s">
        <v>203</v>
      </c>
      <c r="W6" s="35"/>
      <c r="X6" s="483" t="e">
        <f>MATCH(X5,$N9:$R9,0)</f>
        <v>#N/A</v>
      </c>
      <c r="Y6" s="483" t="e">
        <f>MATCH(Y5,$N9:$R9,0)</f>
        <v>#N/A</v>
      </c>
      <c r="Z6" s="483" t="e">
        <f>MATCH(Z5,$N9:$R9,0)</f>
        <v>#N/A</v>
      </c>
      <c r="AA6" s="483" t="e">
        <f>MATCH(AA5,$N9:$R9,0)</f>
        <v>#N/A</v>
      </c>
      <c r="AB6" s="483" t="e">
        <f>MATCH(AB5,$N9:$R9,0)</f>
        <v>#N/A</v>
      </c>
      <c r="AI6" s="20">
        <v>31</v>
      </c>
      <c r="AJ6" s="20"/>
      <c r="AK6" s="20">
        <f>AK5+1</f>
        <v>-4</v>
      </c>
      <c r="AL6" s="5">
        <f t="shared" ref="AL6:AL65" si="0">IF($F$8&lt;&gt;"",IF($F$8&gt;=AK6,"",AK6),AK6)</f>
        <v>-4</v>
      </c>
      <c r="AM6" s="5">
        <f t="shared" ref="AM6:AM65" si="1">IF($G$8&lt;&gt;"",IF($G$8&gt;=AL6,"",AL6),AK6)</f>
        <v>-4</v>
      </c>
      <c r="AN6" s="5">
        <f t="shared" ref="AN6:AN65" si="2">IF($H$8&lt;&gt;"",IF($H$8&gt;=AM6,"",AM6),AK6)</f>
        <v>-4</v>
      </c>
      <c r="AO6" s="21">
        <f t="shared" ref="AO6:AO65" si="3">IF($I$8&lt;&gt;"",IF($I$8&gt;=AN6,"",AN6),AK6)</f>
        <v>-4</v>
      </c>
    </row>
    <row r="7" spans="1:41" ht="15" customHeight="1" x14ac:dyDescent="0.2">
      <c r="B7" s="92"/>
      <c r="D7" s="250"/>
      <c r="F7" s="1103" t="str">
        <f>Sprache!B296</f>
        <v>Données introduites en ordre croissant selon la température de la source</v>
      </c>
      <c r="G7" s="506"/>
      <c r="H7" s="507"/>
      <c r="I7" s="507"/>
      <c r="J7" s="508"/>
      <c r="L7" s="287"/>
      <c r="M7" s="264" t="s">
        <v>874</v>
      </c>
      <c r="N7" s="15"/>
      <c r="V7" s="600" t="s">
        <v>1368</v>
      </c>
      <c r="W7" s="601">
        <f>C10</f>
        <v>0</v>
      </c>
      <c r="X7" s="601" t="s">
        <v>2948</v>
      </c>
      <c r="Y7" s="551"/>
      <c r="Z7" s="551"/>
      <c r="AA7" s="551"/>
      <c r="AB7" s="35"/>
      <c r="AI7" s="20">
        <v>32</v>
      </c>
      <c r="AJ7" s="20"/>
      <c r="AK7" s="20">
        <f t="shared" ref="AK7:AK35" si="4">AK6+1</f>
        <v>-3</v>
      </c>
      <c r="AL7" s="5">
        <f t="shared" si="0"/>
        <v>-3</v>
      </c>
      <c r="AM7" s="5">
        <f t="shared" si="1"/>
        <v>-3</v>
      </c>
      <c r="AN7" s="5">
        <f t="shared" si="2"/>
        <v>-3</v>
      </c>
      <c r="AO7" s="21">
        <f t="shared" si="3"/>
        <v>-3</v>
      </c>
    </row>
    <row r="8" spans="1:41" ht="21" customHeight="1" x14ac:dyDescent="0.2">
      <c r="B8" s="528" t="str">
        <f>Sprache!B112</f>
        <v>Chauffage</v>
      </c>
      <c r="C8" s="169" t="str">
        <f>Sprache!B297</f>
        <v>T Dep</v>
      </c>
      <c r="D8" s="1104" t="str">
        <f>Sprache!B301</f>
        <v>Température de la source de chaleur:</v>
      </c>
      <c r="E8" s="498" t="s">
        <v>2948</v>
      </c>
      <c r="F8" s="763"/>
      <c r="G8" s="763"/>
      <c r="H8" s="763"/>
      <c r="I8" s="763"/>
      <c r="J8" s="764"/>
      <c r="L8" s="287"/>
      <c r="M8" s="483" t="s">
        <v>2013</v>
      </c>
      <c r="N8" s="503" t="str">
        <f>IF(AND(ISNUMBER(F8),ISNUMBER(N17),ISNUMBER(N13)),F8,"x")</f>
        <v>x</v>
      </c>
      <c r="O8" s="503" t="str">
        <f>IF(AND(ISNUMBER(G8),ISNUMBER(O17),ISNUMBER(O13)),G8,"x")</f>
        <v>x</v>
      </c>
      <c r="P8" s="503" t="str">
        <f>IF(AND(ISNUMBER(H8),ISNUMBER(P17),ISNUMBER(P13)),H8,"x")</f>
        <v>x</v>
      </c>
      <c r="Q8" s="503" t="str">
        <f>IF(AND(ISNUMBER(I8),ISNUMBER(Q17),ISNUMBER(Q13)),I8,"x")</f>
        <v>x</v>
      </c>
      <c r="R8" s="503" t="str">
        <f>IF(AND(ISNUMBER(J8),ISNUMBER(R17),ISNUMBER(R13)),J8,"x")</f>
        <v>x</v>
      </c>
      <c r="V8" s="469" t="s">
        <v>3872</v>
      </c>
      <c r="W8" s="35"/>
      <c r="X8" s="510" t="e">
        <f ca="1">OFFSET($E8,0,X6)</f>
        <v>#N/A</v>
      </c>
      <c r="Y8" s="510" t="e">
        <f ca="1">OFFSET($E8,0,Y6)</f>
        <v>#N/A</v>
      </c>
      <c r="Z8" s="510" t="e">
        <f ca="1">OFFSET($E8,0,Z6)</f>
        <v>#N/A</v>
      </c>
      <c r="AA8" s="510" t="e">
        <f ca="1">OFFSET($E8,0,AA6)</f>
        <v>#N/A</v>
      </c>
      <c r="AB8" s="510" t="e">
        <f ca="1">OFFSET($E8,0,AB6)</f>
        <v>#N/A</v>
      </c>
      <c r="AI8" s="20">
        <v>33</v>
      </c>
      <c r="AJ8" s="20"/>
      <c r="AK8" s="20">
        <f t="shared" si="4"/>
        <v>-2</v>
      </c>
      <c r="AL8" s="5">
        <f t="shared" si="0"/>
        <v>-2</v>
      </c>
      <c r="AM8" s="5">
        <f t="shared" si="1"/>
        <v>-2</v>
      </c>
      <c r="AN8" s="5">
        <f t="shared" si="2"/>
        <v>-2</v>
      </c>
      <c r="AO8" s="21">
        <f t="shared" si="3"/>
        <v>-2</v>
      </c>
    </row>
    <row r="9" spans="1:41" ht="15" customHeight="1" x14ac:dyDescent="0.2">
      <c r="B9" s="66"/>
      <c r="C9" s="496" t="s">
        <v>2948</v>
      </c>
      <c r="D9" s="1046" t="str">
        <f>Sprache!B299</f>
        <v>Puissance therm.</v>
      </c>
      <c r="E9" s="498" t="s">
        <v>3650</v>
      </c>
      <c r="F9" s="529"/>
      <c r="G9" s="529"/>
      <c r="H9" s="529"/>
      <c r="I9" s="529"/>
      <c r="J9" s="530"/>
      <c r="L9" s="287"/>
      <c r="M9" s="483" t="s">
        <v>2014</v>
      </c>
      <c r="N9" s="504" t="str">
        <f>IF(N8="x","x",RANK(N8,$N8:$R8))</f>
        <v>x</v>
      </c>
      <c r="O9" s="504" t="str">
        <f>IF(O8="x","x",RANK(O8,$N8:$R8))</f>
        <v>x</v>
      </c>
      <c r="P9" s="504" t="str">
        <f>IF(P8="x","x",RANK(P8,$N8:$R8))</f>
        <v>x</v>
      </c>
      <c r="Q9" s="504" t="str">
        <f>IF(Q8="x","x",RANK(Q8,$N8:$R8))</f>
        <v>x</v>
      </c>
      <c r="R9" s="504" t="str">
        <f>IF(R8="x","x",RANK(R8,$N8:$R8))</f>
        <v>x</v>
      </c>
      <c r="S9" s="505" t="s">
        <v>2015</v>
      </c>
      <c r="T9" s="35">
        <f>MAX(N9:R9)</f>
        <v>0</v>
      </c>
      <c r="V9" s="469" t="s">
        <v>774</v>
      </c>
      <c r="W9" s="35"/>
      <c r="X9" s="510" t="e">
        <f ca="1">OFFSET($M17,0,X6)</f>
        <v>#N/A</v>
      </c>
      <c r="Y9" s="510" t="e">
        <f t="shared" ref="Y9:AB9" ca="1" si="5">OFFSET($M17,0,Y6)</f>
        <v>#N/A</v>
      </c>
      <c r="Z9" s="510" t="e">
        <f t="shared" ca="1" si="5"/>
        <v>#N/A</v>
      </c>
      <c r="AA9" s="510" t="e">
        <f t="shared" ca="1" si="5"/>
        <v>#N/A</v>
      </c>
      <c r="AB9" s="510" t="e">
        <f t="shared" ca="1" si="5"/>
        <v>#N/A</v>
      </c>
      <c r="AI9" s="20">
        <v>34</v>
      </c>
      <c r="AJ9" s="20"/>
      <c r="AK9" s="20">
        <f t="shared" si="4"/>
        <v>-1</v>
      </c>
      <c r="AL9" s="5">
        <f t="shared" si="0"/>
        <v>-1</v>
      </c>
      <c r="AM9" s="5">
        <f t="shared" si="1"/>
        <v>-1</v>
      </c>
      <c r="AN9" s="5">
        <f t="shared" si="2"/>
        <v>-1</v>
      </c>
      <c r="AO9" s="21">
        <f t="shared" si="3"/>
        <v>-1</v>
      </c>
    </row>
    <row r="10" spans="1:41" ht="15" customHeight="1" x14ac:dyDescent="0.2">
      <c r="B10" s="502" t="str">
        <f>C8&amp;" "&amp;C10&amp;" "&amp;C9</f>
        <v>T Dep  °C</v>
      </c>
      <c r="C10" s="761"/>
      <c r="D10" s="497" t="str">
        <f>Sprache!B300</f>
        <v>COP</v>
      </c>
      <c r="E10" s="498" t="s">
        <v>721</v>
      </c>
      <c r="F10" s="529"/>
      <c r="G10" s="529"/>
      <c r="H10" s="529"/>
      <c r="I10" s="529"/>
      <c r="J10" s="530"/>
      <c r="L10" s="287"/>
      <c r="S10" s="469" t="s">
        <v>3882</v>
      </c>
      <c r="T10" s="35" t="e">
        <f ca="1">AB8</f>
        <v>#N/A</v>
      </c>
      <c r="V10" s="469" t="s">
        <v>1369</v>
      </c>
      <c r="W10" s="35"/>
      <c r="X10" s="510" t="e">
        <f ca="1">OFFSET($E9,0,X6)</f>
        <v>#N/A</v>
      </c>
      <c r="Y10" s="510" t="e">
        <f ca="1">OFFSET($E9,0,Y6)</f>
        <v>#N/A</v>
      </c>
      <c r="Z10" s="510" t="e">
        <f ca="1">OFFSET($E9,0,Z6)</f>
        <v>#N/A</v>
      </c>
      <c r="AA10" s="510" t="e">
        <f ca="1">OFFSET($E9,0,AA6)</f>
        <v>#N/A</v>
      </c>
      <c r="AB10" s="510" t="e">
        <f ca="1">OFFSET($E9,0,AB6)</f>
        <v>#N/A</v>
      </c>
      <c r="AI10" s="20">
        <v>35</v>
      </c>
      <c r="AJ10" s="20"/>
      <c r="AK10" s="20">
        <f t="shared" si="4"/>
        <v>0</v>
      </c>
      <c r="AL10" s="5">
        <f t="shared" si="0"/>
        <v>0</v>
      </c>
      <c r="AM10" s="5">
        <f t="shared" si="1"/>
        <v>0</v>
      </c>
      <c r="AN10" s="5">
        <f t="shared" si="2"/>
        <v>0</v>
      </c>
      <c r="AO10" s="21">
        <f t="shared" si="3"/>
        <v>0</v>
      </c>
    </row>
    <row r="11" spans="1:41" ht="15" customHeight="1" x14ac:dyDescent="0.2">
      <c r="B11" s="166"/>
      <c r="C11" s="499"/>
      <c r="D11" s="499"/>
      <c r="E11" s="499"/>
      <c r="F11" s="499"/>
      <c r="G11" s="499"/>
      <c r="H11" s="499"/>
      <c r="I11" s="499"/>
      <c r="J11" s="509"/>
      <c r="L11" s="287"/>
      <c r="M11" s="780" t="s">
        <v>1848</v>
      </c>
      <c r="N11" s="749"/>
      <c r="O11" s="749"/>
      <c r="P11" s="749"/>
      <c r="Q11" s="749"/>
      <c r="R11" s="678"/>
      <c r="V11" s="600" t="s">
        <v>1368</v>
      </c>
      <c r="W11" s="601">
        <f>L14</f>
        <v>60</v>
      </c>
      <c r="X11" s="601" t="s">
        <v>2948</v>
      </c>
      <c r="Y11" s="551"/>
      <c r="Z11" s="551"/>
      <c r="AA11" s="551"/>
      <c r="AB11" s="35"/>
      <c r="AI11" s="20">
        <v>36</v>
      </c>
      <c r="AJ11" s="20"/>
      <c r="AK11" s="20">
        <f t="shared" si="4"/>
        <v>1</v>
      </c>
      <c r="AL11" s="5">
        <f t="shared" si="0"/>
        <v>1</v>
      </c>
      <c r="AM11" s="5">
        <f t="shared" si="1"/>
        <v>1</v>
      </c>
      <c r="AN11" s="5">
        <f t="shared" si="2"/>
        <v>1</v>
      </c>
      <c r="AO11" s="21">
        <f t="shared" si="3"/>
        <v>1</v>
      </c>
    </row>
    <row r="12" spans="1:41" ht="19.899999999999999" customHeight="1" x14ac:dyDescent="0.2">
      <c r="B12" s="1318" t="str">
        <f>Sprache!B113</f>
        <v>ECS eau chaude sanitaire</v>
      </c>
      <c r="C12" s="169" t="str">
        <f>Sprache!B297</f>
        <v>T Dep</v>
      </c>
      <c r="D12" s="1104" t="str">
        <f>Sprache!B301</f>
        <v>Température de la source de chaleur:</v>
      </c>
      <c r="E12" s="498" t="s">
        <v>2948</v>
      </c>
      <c r="F12" s="116" t="str">
        <f>IF(ISNUMBER(F8),F8,"")</f>
        <v/>
      </c>
      <c r="G12" s="116" t="str">
        <f>IF(ISNUMBER(G8),G8,"")</f>
        <v/>
      </c>
      <c r="H12" s="116" t="str">
        <f>IF(ISNUMBER(H8),H8,"")</f>
        <v/>
      </c>
      <c r="I12" s="116" t="str">
        <f>IF(ISNUMBER(I8),I8,"")</f>
        <v/>
      </c>
      <c r="J12" s="640" t="str">
        <f>IF(ISNUMBER(J8),J8,"")</f>
        <v/>
      </c>
      <c r="L12" s="287"/>
      <c r="M12" s="774" t="str">
        <f>"COP Heizung bei T Vorlauf"&amp;C2</f>
        <v>COP Heizung bei T Vorlauf</v>
      </c>
      <c r="N12" s="516">
        <f>IF(WPArt=6,0,F10)</f>
        <v>0</v>
      </c>
      <c r="O12" s="516">
        <f>IF(WPArt=6,0,G10)</f>
        <v>0</v>
      </c>
      <c r="P12" s="516">
        <f>IF(WPArt=6,0,H10)</f>
        <v>0</v>
      </c>
      <c r="Q12" s="516">
        <f>IF(WPArt=6,0,I10)</f>
        <v>0</v>
      </c>
      <c r="R12" s="542">
        <f>IF(WPArt=6,0,J10)</f>
        <v>0</v>
      </c>
      <c r="V12" s="469" t="s">
        <v>3872</v>
      </c>
      <c r="W12" s="35"/>
      <c r="X12" s="510" t="e">
        <f ca="1">OFFSET($E12,0,X6)</f>
        <v>#N/A</v>
      </c>
      <c r="Y12" s="510" t="e">
        <f ca="1">OFFSET($E12,0,Y6)</f>
        <v>#N/A</v>
      </c>
      <c r="Z12" s="510" t="e">
        <f ca="1">OFFSET($E12,0,Z6)</f>
        <v>#N/A</v>
      </c>
      <c r="AA12" s="510" t="e">
        <f ca="1">OFFSET($E12,0,AA6)</f>
        <v>#N/A</v>
      </c>
      <c r="AB12" s="510" t="e">
        <f ca="1">OFFSET($E12,0,AB6)</f>
        <v>#N/A</v>
      </c>
      <c r="AI12" s="20">
        <v>37</v>
      </c>
      <c r="AJ12" s="20"/>
      <c r="AK12" s="20">
        <f t="shared" si="4"/>
        <v>2</v>
      </c>
      <c r="AL12" s="5">
        <f t="shared" si="0"/>
        <v>2</v>
      </c>
      <c r="AM12" s="5">
        <f t="shared" si="1"/>
        <v>2</v>
      </c>
      <c r="AN12" s="5">
        <f t="shared" si="2"/>
        <v>2</v>
      </c>
      <c r="AO12" s="21">
        <f t="shared" si="3"/>
        <v>2</v>
      </c>
    </row>
    <row r="13" spans="1:41" ht="15" customHeight="1" x14ac:dyDescent="0.2">
      <c r="B13" s="1319"/>
      <c r="C13" s="496" t="s">
        <v>2948</v>
      </c>
      <c r="D13" s="1046" t="str">
        <f>Sprache!B299</f>
        <v>Puissance therm.</v>
      </c>
      <c r="E13" s="498" t="s">
        <v>3650</v>
      </c>
      <c r="F13" s="529"/>
      <c r="G13" s="529"/>
      <c r="H13" s="529"/>
      <c r="I13" s="529"/>
      <c r="J13" s="530"/>
      <c r="L13" s="287"/>
      <c r="M13" s="775" t="s">
        <v>1369</v>
      </c>
      <c r="N13" s="116">
        <f>IF(WPArt=6,0,F9)</f>
        <v>0</v>
      </c>
      <c r="O13" s="116">
        <f>IF(WPArt=6,0,G9)</f>
        <v>0</v>
      </c>
      <c r="P13" s="116">
        <f>IF(WPArt=6,0,H9)</f>
        <v>0</v>
      </c>
      <c r="Q13" s="116">
        <f>IF(WPArt=6,0,I9)</f>
        <v>0</v>
      </c>
      <c r="R13" s="640">
        <f>IF(WPArt=6,0,J9)</f>
        <v>0</v>
      </c>
      <c r="V13" s="469" t="s">
        <v>774</v>
      </c>
      <c r="W13" s="35"/>
      <c r="X13" s="510" t="e">
        <f ca="1">OFFSET($M18,0,X6)</f>
        <v>#N/A</v>
      </c>
      <c r="Y13" s="510" t="e">
        <f t="shared" ref="Y13:AB13" ca="1" si="6">OFFSET($M18,0,Y6)</f>
        <v>#N/A</v>
      </c>
      <c r="Z13" s="510" t="e">
        <f t="shared" ca="1" si="6"/>
        <v>#N/A</v>
      </c>
      <c r="AA13" s="510" t="e">
        <f t="shared" ca="1" si="6"/>
        <v>#N/A</v>
      </c>
      <c r="AB13" s="510" t="e">
        <f t="shared" ca="1" si="6"/>
        <v>#N/A</v>
      </c>
      <c r="AI13" s="20">
        <v>38</v>
      </c>
      <c r="AJ13" s="20"/>
      <c r="AK13" s="20">
        <f t="shared" si="4"/>
        <v>3</v>
      </c>
      <c r="AL13" s="5">
        <f t="shared" si="0"/>
        <v>3</v>
      </c>
      <c r="AM13" s="5">
        <f t="shared" si="1"/>
        <v>3</v>
      </c>
      <c r="AN13" s="5">
        <f t="shared" si="2"/>
        <v>3</v>
      </c>
      <c r="AO13" s="21">
        <f t="shared" si="3"/>
        <v>3</v>
      </c>
    </row>
    <row r="14" spans="1:41" ht="15" customHeight="1" x14ac:dyDescent="0.2">
      <c r="B14" s="109" t="str">
        <f>C12&amp;" "&amp;L14&amp;" "&amp;C13</f>
        <v>T Dep 60 °C</v>
      </c>
      <c r="C14" s="762"/>
      <c r="D14" s="512" t="str">
        <f>Sprache!B300</f>
        <v>COP</v>
      </c>
      <c r="E14" s="513" t="s">
        <v>721</v>
      </c>
      <c r="F14" s="531"/>
      <c r="G14" s="531"/>
      <c r="H14" s="531"/>
      <c r="I14" s="531"/>
      <c r="J14" s="532"/>
      <c r="L14" s="762">
        <f>IF(C14="",60,C14)</f>
        <v>60</v>
      </c>
      <c r="M14" s="776" t="str">
        <f>"COP WW bei T Vorlauf"&amp;C7</f>
        <v>COP WW bei T Vorlauf</v>
      </c>
      <c r="N14" s="116">
        <f>IF(WPArt=6,0,F14)</f>
        <v>0</v>
      </c>
      <c r="O14" s="116">
        <f>IF(WPArt=6,0,G14)</f>
        <v>0</v>
      </c>
      <c r="P14" s="116">
        <f>IF(WPArt=6,0,H14)</f>
        <v>0</v>
      </c>
      <c r="Q14" s="116">
        <f>IF(WPArt=6,0,I14)</f>
        <v>0</v>
      </c>
      <c r="R14" s="640">
        <f>IF(WPArt=6,0,J14)</f>
        <v>0</v>
      </c>
      <c r="V14" s="469" t="s">
        <v>1369</v>
      </c>
      <c r="W14" s="35"/>
      <c r="X14" s="510" t="e">
        <f ca="1">OFFSET($E13,0,X6)</f>
        <v>#N/A</v>
      </c>
      <c r="Y14" s="510" t="e">
        <f ca="1">OFFSET($E13,0,Y6)</f>
        <v>#N/A</v>
      </c>
      <c r="Z14" s="510" t="e">
        <f ca="1">OFFSET($E13,0,Z6)</f>
        <v>#N/A</v>
      </c>
      <c r="AA14" s="510" t="e">
        <f ca="1">OFFSET($E13,0,AA6)</f>
        <v>#N/A</v>
      </c>
      <c r="AB14" s="510" t="e">
        <f ca="1">OFFSET($E13,0,AB6)</f>
        <v>#N/A</v>
      </c>
      <c r="AI14" s="20">
        <v>39</v>
      </c>
      <c r="AJ14" s="20"/>
      <c r="AK14" s="20">
        <f t="shared" si="4"/>
        <v>4</v>
      </c>
      <c r="AL14" s="5">
        <f t="shared" si="0"/>
        <v>4</v>
      </c>
      <c r="AM14" s="5">
        <f t="shared" si="1"/>
        <v>4</v>
      </c>
      <c r="AN14" s="5">
        <f t="shared" si="2"/>
        <v>4</v>
      </c>
      <c r="AO14" s="21">
        <f t="shared" si="3"/>
        <v>4</v>
      </c>
    </row>
    <row r="15" spans="1:41" x14ac:dyDescent="0.2">
      <c r="L15" s="526" t="b">
        <f>AND(IF(OR(C10&gt;0,SUM(F9:J9)&gt;0),TRUE,FALSE),WPArt&lt;&gt;6)</f>
        <v>0</v>
      </c>
      <c r="M15" s="777" t="s">
        <v>1369</v>
      </c>
      <c r="N15" s="520">
        <f>IF(WPArt=6,0,F13)</f>
        <v>0</v>
      </c>
      <c r="O15" s="520">
        <f>IF(WPArt=6,0,G13)</f>
        <v>0</v>
      </c>
      <c r="P15" s="520">
        <f>IF(WPArt=6,0,H13)</f>
        <v>0</v>
      </c>
      <c r="Q15" s="520">
        <f>IF(WPArt=6,0,I13)</f>
        <v>0</v>
      </c>
      <c r="R15" s="778">
        <f>IF(WPArt=6,0,J13)</f>
        <v>0</v>
      </c>
      <c r="AI15" s="20">
        <v>40</v>
      </c>
      <c r="AJ15" s="20"/>
      <c r="AK15" s="20">
        <f t="shared" si="4"/>
        <v>5</v>
      </c>
      <c r="AL15" s="5">
        <f t="shared" si="0"/>
        <v>5</v>
      </c>
      <c r="AM15" s="5">
        <f t="shared" si="1"/>
        <v>5</v>
      </c>
      <c r="AN15" s="5">
        <f t="shared" si="2"/>
        <v>5</v>
      </c>
      <c r="AO15" s="21">
        <f t="shared" si="3"/>
        <v>5</v>
      </c>
    </row>
    <row r="16" spans="1:41" x14ac:dyDescent="0.2">
      <c r="E16" s="5"/>
      <c r="F16" s="5"/>
      <c r="G16" s="5"/>
      <c r="K16" s="19"/>
      <c r="M16" s="769"/>
      <c r="N16" s="773" t="s">
        <v>1818</v>
      </c>
      <c r="O16" s="772"/>
      <c r="P16" s="95"/>
      <c r="Q16" s="95"/>
      <c r="R16" s="88"/>
      <c r="V16" s="5" t="s">
        <v>3873</v>
      </c>
      <c r="AI16" s="20">
        <v>41</v>
      </c>
      <c r="AJ16" s="20"/>
      <c r="AK16" s="20">
        <f t="shared" si="4"/>
        <v>6</v>
      </c>
      <c r="AL16" s="5">
        <f t="shared" si="0"/>
        <v>6</v>
      </c>
      <c r="AM16" s="5">
        <f t="shared" si="1"/>
        <v>6</v>
      </c>
      <c r="AN16" s="5">
        <f t="shared" si="2"/>
        <v>6</v>
      </c>
      <c r="AO16" s="21">
        <f t="shared" si="3"/>
        <v>6</v>
      </c>
    </row>
    <row r="17" spans="2:41" x14ac:dyDescent="0.2">
      <c r="E17" s="5"/>
      <c r="F17" s="5"/>
      <c r="G17" s="5"/>
      <c r="K17" s="19"/>
      <c r="M17" s="788" t="str">
        <f>"COP Heizung bei T Vorlauf"&amp;C10</f>
        <v>COP Heizung bei T Vorlauf</v>
      </c>
      <c r="N17" s="797">
        <f>IF(AND(N12&gt;0,N13&gt;0),N13/(N13/N12+IF(Kondensatorpumpe,$Q$32/1000,0)+IF(Venti,$Q$41/1000,0)+IF(WPArt=2,$Q$50/1000,0)),0)</f>
        <v>0</v>
      </c>
      <c r="O17" s="798">
        <f>IF(AND(O12&gt;0,O13&gt;0),O13/(O13/O12+IF(Kondensatorpumpe,$Q$32/1000,0)+IF(Venti,$Q$41/1000,0)+IF(WPArt=2,$Q$50/1000,0)),0)</f>
        <v>0</v>
      </c>
      <c r="P17" s="798">
        <f>IF(AND(P12&gt;0,P13&gt;0),P13/(P13/P12+IF(Kondensatorpumpe,$Q$32/1000,0)+IF(Venti,$Q$41/1000,0)++IF(WPArt=2,$Q$50/1000,0)),0)</f>
        <v>0</v>
      </c>
      <c r="Q17" s="798">
        <f>IF(AND(Q12&gt;0,Q13&gt;0),Q13/(Q13/Q12+IF(Kondensatorpumpe,$Q$32/1000,0)+IF(Venti,$Q$41/1000,0)++IF(WPArt=2,$Q$50/1000,0)),0)</f>
        <v>0</v>
      </c>
      <c r="R17" s="799">
        <f>IF(AND(R12&gt;0,R13&gt;0),R13/(R13/R12+IF(Kondensatorpumpe,$Q$32/1000,0)+IF(Venti,$Q$41/1000,0)++IF(WPArt=2,$Q$50/1000,0)),0)</f>
        <v>0</v>
      </c>
      <c r="V17" s="5" t="s">
        <v>3875</v>
      </c>
      <c r="X17" s="5">
        <v>1</v>
      </c>
      <c r="Y17" s="5">
        <v>2</v>
      </c>
      <c r="Z17" s="5">
        <v>3</v>
      </c>
      <c r="AA17" s="5">
        <v>4</v>
      </c>
      <c r="AB17" s="5">
        <v>5</v>
      </c>
      <c r="AI17" s="20">
        <v>42</v>
      </c>
      <c r="AJ17" s="20"/>
      <c r="AK17" s="20">
        <f t="shared" si="4"/>
        <v>7</v>
      </c>
      <c r="AL17" s="5">
        <f t="shared" si="0"/>
        <v>7</v>
      </c>
      <c r="AM17" s="5">
        <f t="shared" si="1"/>
        <v>7</v>
      </c>
      <c r="AN17" s="5">
        <f t="shared" si="2"/>
        <v>7</v>
      </c>
      <c r="AO17" s="21">
        <f t="shared" si="3"/>
        <v>7</v>
      </c>
    </row>
    <row r="18" spans="2:41" x14ac:dyDescent="0.2">
      <c r="E18" s="5"/>
      <c r="F18" s="5"/>
      <c r="G18" s="5"/>
      <c r="K18" s="19"/>
      <c r="M18" s="803" t="str">
        <f>"COP WW bei T Vorlauf"&amp;L14</f>
        <v>COP WW bei T Vorlauf60</v>
      </c>
      <c r="N18" s="800">
        <f>IF(AND(N14&gt;0,N15&gt;0),N15/(N15/N14+IF(Kondensatorpumpe,$Q$33/1000,0)+IF(Venti,$Q$42/1000,0)+IF(WPArt=2,$Q$51/1000,0)),0)</f>
        <v>0</v>
      </c>
      <c r="O18" s="801">
        <f>IF(AND(O14&gt;0,O15&gt;0),O15/(O15/O14+IF(Kondensatorpumpe,$Q$33/1000,0)+IF(Venti,$Q$42/1000,0)+IF(WPArt=2,$Q$51/1000,0)),0)</f>
        <v>0</v>
      </c>
      <c r="P18" s="801">
        <f>IF(AND(P14&gt;0,P15&gt;0),P15/(P15/P14+IF(Kondensatorpumpe,$Q$33/1000,0)+IF(Venti,$Q$42/1000,0)+IF(WPArt=2,$Q$51/1000,0)),0)</f>
        <v>0</v>
      </c>
      <c r="Q18" s="801">
        <f>IF(AND(Q14&gt;0,Q15&gt;0),Q15/(Q15/Q14+IF(Kondensatorpumpe,$Q$33/1000,0)+IF(Venti,$Q$42/1000,0)+IF(WPArt=2,$Q$51/1000,0)),0)</f>
        <v>0</v>
      </c>
      <c r="R18" s="802">
        <f>IF(AND(R14&gt;0,R15&gt;0),R15/(R15/R14+IF(Kondensatorpumpe,$Q$33/1000,0)+IF(Venti,$Q$42/1000,0)+IF(WPArt=2,$Q$51/1000,0)),0)</f>
        <v>0</v>
      </c>
      <c r="V18" s="5" t="s">
        <v>3874</v>
      </c>
      <c r="X18" s="5" t="b">
        <f>X17&lt;=$T$9</f>
        <v>0</v>
      </c>
      <c r="Y18" s="5" t="b">
        <f>Y17&lt;=$T$9</f>
        <v>0</v>
      </c>
      <c r="Z18" s="5" t="b">
        <f>Z17&lt;=$T$9</f>
        <v>0</v>
      </c>
      <c r="AA18" s="5" t="b">
        <f>AA17&lt;=$T$9</f>
        <v>0</v>
      </c>
      <c r="AB18" s="5" t="b">
        <f>AB17&lt;=$T$9</f>
        <v>0</v>
      </c>
      <c r="AC18" s="5" t="b">
        <f>FALSE</f>
        <v>0</v>
      </c>
      <c r="AI18" s="20">
        <v>43</v>
      </c>
      <c r="AJ18" s="20"/>
      <c r="AK18" s="20">
        <f t="shared" si="4"/>
        <v>8</v>
      </c>
      <c r="AL18" s="5">
        <f t="shared" si="0"/>
        <v>8</v>
      </c>
      <c r="AM18" s="5">
        <f t="shared" si="1"/>
        <v>8</v>
      </c>
      <c r="AN18" s="5">
        <f t="shared" si="2"/>
        <v>8</v>
      </c>
      <c r="AO18" s="21">
        <f t="shared" si="3"/>
        <v>8</v>
      </c>
    </row>
    <row r="19" spans="2:41" ht="13.5" x14ac:dyDescent="0.25">
      <c r="E19" s="5"/>
      <c r="F19" s="5"/>
      <c r="G19" s="5"/>
      <c r="K19" s="19"/>
      <c r="M19" s="780" t="s">
        <v>2558</v>
      </c>
      <c r="N19" s="11" t="s">
        <v>2559</v>
      </c>
      <c r="O19" s="11">
        <f>IF(WPArt=4,10,0)</f>
        <v>0</v>
      </c>
      <c r="P19" s="55" t="s">
        <v>2948</v>
      </c>
      <c r="Q19" s="55"/>
      <c r="R19" s="88"/>
      <c r="U19" s="615"/>
      <c r="V19" s="616"/>
      <c r="W19" s="505" t="s">
        <v>3876</v>
      </c>
      <c r="X19" s="617"/>
      <c r="Y19" s="617"/>
      <c r="Z19" s="617"/>
      <c r="AA19" s="617"/>
      <c r="AB19" s="617"/>
      <c r="AC19" s="618"/>
      <c r="AE19" t="s">
        <v>1376</v>
      </c>
      <c r="AF19"/>
      <c r="AG19"/>
      <c r="AH19"/>
      <c r="AI19" s="20">
        <v>44</v>
      </c>
      <c r="AJ19" s="20"/>
      <c r="AK19" s="20">
        <f t="shared" si="4"/>
        <v>9</v>
      </c>
      <c r="AL19" s="5">
        <f t="shared" si="0"/>
        <v>9</v>
      </c>
      <c r="AM19" s="5">
        <f t="shared" si="1"/>
        <v>9</v>
      </c>
      <c r="AN19" s="5">
        <f t="shared" si="2"/>
        <v>9</v>
      </c>
      <c r="AO19" s="21">
        <f t="shared" si="3"/>
        <v>9</v>
      </c>
    </row>
    <row r="20" spans="2:41" ht="13.5" x14ac:dyDescent="0.25">
      <c r="E20" s="5"/>
      <c r="F20" s="5"/>
      <c r="G20" s="5"/>
      <c r="K20" s="19"/>
      <c r="L20" s="106">
        <f>SUM(N20:R20)</f>
        <v>0</v>
      </c>
      <c r="M20" s="788" t="str">
        <f>M17</f>
        <v>COP Heizung bei T Vorlauf</v>
      </c>
      <c r="N20" s="792" t="str">
        <f>IF(N8=O19,N17,"")</f>
        <v/>
      </c>
      <c r="O20" s="516" t="str">
        <f>IF(AND(N8&lt;$O$19,O8&gt;=$O$19),N17+(O17-N17)/(O8-N8)*($O$19-N8),"")</f>
        <v/>
      </c>
      <c r="P20" s="516" t="str">
        <f>IF(AND(O8&lt;$O$19,P8&gt;=$O$19),O17+(P17-O17)/(P8-O8)*($O$19-O8),"")</f>
        <v/>
      </c>
      <c r="Q20" s="785" t="str">
        <f>IF(AND(P8&lt;$O$19,Q8&gt;=$O$19),P17+(Q17-P17)/(Q8-P8)*($O$19-P8),"")</f>
        <v/>
      </c>
      <c r="R20" s="542" t="str">
        <f>IF(AND(Q8&lt;$O$19,R8&gt;=$O$19),Q17+(R17-Q17)/(R8-Q8)*($O$19-Q8),"")</f>
        <v/>
      </c>
      <c r="S20" s="782" t="str">
        <f>IF(WPArt=4,"COP W"&amp;O19&amp;"/35 ","COP B"&amp;O19&amp;"/35 ")</f>
        <v xml:space="preserve">COP B0/35 </v>
      </c>
      <c r="T20" s="13">
        <f>SUM(N20:R20)/(C10+273.14)*(C10-O19)*(35+273.14)/(35-O19)</f>
        <v>0</v>
      </c>
      <c r="U20" s="619" t="s">
        <v>3877</v>
      </c>
      <c r="V20" s="620"/>
      <c r="W20" s="609" t="e">
        <f ca="1">MIN(-25,X20-5)</f>
        <v>#N/A</v>
      </c>
      <c r="X20" s="610" t="e">
        <f ca="1">X8</f>
        <v>#N/A</v>
      </c>
      <c r="Y20" s="610" t="e">
        <f ca="1">IF(Y18,Y8,X20+5)</f>
        <v>#N/A</v>
      </c>
      <c r="Z20" s="610" t="e">
        <f ca="1">IF(Z18,Z8,Y20+5)</f>
        <v>#N/A</v>
      </c>
      <c r="AA20" s="610" t="e">
        <f ca="1">IF(AA18,AA8,Z20+5)</f>
        <v>#N/A</v>
      </c>
      <c r="AB20" s="610" t="e">
        <f ca="1">IF(AB18,AB8,AA20+5)</f>
        <v>#N/A</v>
      </c>
      <c r="AC20" s="611" t="e">
        <f ca="1">MAX(60,AB20+5)</f>
        <v>#N/A</v>
      </c>
      <c r="AE20"/>
      <c r="AF20"/>
      <c r="AG20"/>
      <c r="AH20"/>
      <c r="AI20" s="20">
        <v>45</v>
      </c>
      <c r="AJ20" s="20"/>
      <c r="AK20" s="20">
        <f t="shared" si="4"/>
        <v>10</v>
      </c>
      <c r="AL20" s="5">
        <f t="shared" si="0"/>
        <v>10</v>
      </c>
      <c r="AM20" s="5">
        <f t="shared" si="1"/>
        <v>10</v>
      </c>
      <c r="AN20" s="5">
        <f t="shared" si="2"/>
        <v>10</v>
      </c>
      <c r="AO20" s="21">
        <f t="shared" si="3"/>
        <v>10</v>
      </c>
    </row>
    <row r="21" spans="2:41" ht="12.75" x14ac:dyDescent="0.2">
      <c r="E21" s="5"/>
      <c r="F21" s="5"/>
      <c r="G21" s="5"/>
      <c r="K21" s="19"/>
      <c r="L21" s="106">
        <f>SUM(N21:R21)</f>
        <v>0</v>
      </c>
      <c r="M21" s="789" t="str">
        <f>"Qh Heizung bei T Vorlauf"&amp;C10</f>
        <v>Qh Heizung bei T Vorlauf</v>
      </c>
      <c r="N21" s="793" t="str">
        <f>IF(N8=O19,N13,"")</f>
        <v/>
      </c>
      <c r="O21" s="805" t="str">
        <f>IF(AND(N8&lt;$O$19,O8&gt;=$O$19),N13+(O13-N13)/(O8-N8)*($O$19-N8),"")</f>
        <v/>
      </c>
      <c r="P21" s="805" t="str">
        <f>IF(AND(O8&lt;$O$19,P8&gt;=$O$19),O13+(P13-O13)/(P8-O8)*($O$19-O8),"")</f>
        <v/>
      </c>
      <c r="Q21" s="805" t="str">
        <f>IF(AND(P8&lt;$O$19,Q8&gt;=$O$19),P13+(Q13-P13)/(Q8-P8)*($O$19-P8),"")</f>
        <v/>
      </c>
      <c r="R21" s="806" t="str">
        <f>IF(AND(Q8&lt;$O$19,R8&gt;=$O$19),Q13+(R13-Q13)/(R8-Q8)*($O$19-Q8),"")</f>
        <v/>
      </c>
      <c r="S21" s="782" t="str">
        <f>IF(WPArt=4,"Qh W"&amp;O19&amp;"/35 ","Qh B"&amp;O19&amp;"/35 ")</f>
        <v xml:space="preserve">Qh B0/35 </v>
      </c>
      <c r="T21" s="807">
        <f>SUM(N21:R21)</f>
        <v>0</v>
      </c>
      <c r="U21" s="621">
        <f>W7</f>
        <v>0</v>
      </c>
      <c r="V21" s="622" t="s">
        <v>1711</v>
      </c>
      <c r="W21" s="539" t="e">
        <f ca="1">X21-AG21*(X$20-W$20)</f>
        <v>#N/A</v>
      </c>
      <c r="X21" s="515" t="e">
        <f ca="1">X10</f>
        <v>#N/A</v>
      </c>
      <c r="Y21" s="515" t="e">
        <f ca="1">Y10</f>
        <v>#N/A</v>
      </c>
      <c r="Z21" s="515" t="e">
        <f ca="1">Z10</f>
        <v>#N/A</v>
      </c>
      <c r="AA21" s="515" t="e">
        <f ca="1">AA10</f>
        <v>#N/A</v>
      </c>
      <c r="AB21" s="515" t="e">
        <f ca="1">AB10</f>
        <v>#N/A</v>
      </c>
      <c r="AC21" s="612" t="e">
        <f ca="1">AB21</f>
        <v>#N/A</v>
      </c>
      <c r="AE21" t="e">
        <f ca="1">"Steigung A"&amp;X20&amp;"-/A"&amp;Y20</f>
        <v>#N/A</v>
      </c>
      <c r="AF21" s="552" t="s">
        <v>1379</v>
      </c>
      <c r="AG21" s="579" t="e">
        <f ca="1">(Y21-X21)/(Y$20-X$20)</f>
        <v>#N/A</v>
      </c>
      <c r="AH21"/>
      <c r="AI21" s="20">
        <v>46</v>
      </c>
      <c r="AJ21" s="20"/>
      <c r="AK21" s="20">
        <f t="shared" si="4"/>
        <v>11</v>
      </c>
      <c r="AL21" s="5">
        <f t="shared" si="0"/>
        <v>11</v>
      </c>
      <c r="AM21" s="5">
        <f t="shared" si="1"/>
        <v>11</v>
      </c>
      <c r="AN21" s="5">
        <f t="shared" si="2"/>
        <v>11</v>
      </c>
      <c r="AO21" s="21">
        <f t="shared" si="3"/>
        <v>11</v>
      </c>
    </row>
    <row r="22" spans="2:41" ht="12.75" x14ac:dyDescent="0.2">
      <c r="E22" s="5"/>
      <c r="F22" s="5"/>
      <c r="G22" s="5"/>
      <c r="K22" s="19"/>
      <c r="L22" s="106">
        <f>SUM(N22:R22)</f>
        <v>0</v>
      </c>
      <c r="M22" s="790" t="str">
        <f>M18</f>
        <v>COP WW bei T Vorlauf60</v>
      </c>
      <c r="N22" s="794" t="str">
        <f>IF(N8=O19,N18,"")</f>
        <v/>
      </c>
      <c r="O22" s="42" t="str">
        <f>IF(AND(N8&lt;$O$19,O8&gt;=$O$19),N18+(O18-N18)/(O8-N8)*($O$19-N8),"")</f>
        <v/>
      </c>
      <c r="P22" s="42" t="str">
        <f>IF(AND(O8&lt;$O$19,P8&gt;=$O$19),O18+(P18-O18)/(P8-O8)*($O$19-O8),"")</f>
        <v/>
      </c>
      <c r="Q22" s="787" t="str">
        <f>IF(AND(P8&lt;$O$19,Q8&gt;=$O$19),P18+(Q18-P18)/(Q8-P8)*($O$19-P8),"")</f>
        <v/>
      </c>
      <c r="R22" s="795" t="str">
        <f>IF(AND(Q8&lt;$O$19,R8&gt;=$O$19),Q18+(R18-Q18)/(R8-Q8)*($O$19-Q8),"")</f>
        <v/>
      </c>
      <c r="S22" s="782" t="str">
        <f>IF(WPArt=4,"COP W"&amp;O19&amp;"/55 ","COP B"&amp;O19&amp;"/55 ")</f>
        <v xml:space="preserve">COP B0/55 </v>
      </c>
      <c r="T22" s="13">
        <f>SUM(N22:R22)/(L14+273.14)*(L14-O19)*(55+273.14)/(55-O19)</f>
        <v>0</v>
      </c>
      <c r="U22" s="623"/>
      <c r="V22" s="624" t="s">
        <v>774</v>
      </c>
      <c r="W22" s="630" t="e">
        <f ca="1">((U21+273.15)/(U21-W$20))*W23</f>
        <v>#N/A</v>
      </c>
      <c r="X22" s="631" t="e">
        <f ca="1">X9</f>
        <v>#N/A</v>
      </c>
      <c r="Y22" s="631" t="e">
        <f ca="1">Y9</f>
        <v>#N/A</v>
      </c>
      <c r="Z22" s="631" t="e">
        <f ca="1">Z9</f>
        <v>#N/A</v>
      </c>
      <c r="AA22" s="631" t="e">
        <f ca="1">AA9</f>
        <v>#N/A</v>
      </c>
      <c r="AB22" s="631" t="e">
        <f ca="1">AB9</f>
        <v>#N/A</v>
      </c>
      <c r="AC22" s="632" t="e">
        <f ca="1">AB22</f>
        <v>#N/A</v>
      </c>
      <c r="AD22" s="234"/>
      <c r="AE22"/>
      <c r="AF22"/>
      <c r="AG22" s="579"/>
      <c r="AH22"/>
      <c r="AI22" s="20">
        <v>47</v>
      </c>
      <c r="AJ22" s="20"/>
      <c r="AK22" s="20">
        <f t="shared" si="4"/>
        <v>12</v>
      </c>
      <c r="AL22" s="5">
        <f t="shared" si="0"/>
        <v>12</v>
      </c>
      <c r="AM22" s="5">
        <f t="shared" si="1"/>
        <v>12</v>
      </c>
      <c r="AN22" s="5">
        <f t="shared" si="2"/>
        <v>12</v>
      </c>
      <c r="AO22" s="21">
        <f t="shared" si="3"/>
        <v>12</v>
      </c>
    </row>
    <row r="23" spans="2:41" ht="12.75" x14ac:dyDescent="0.2">
      <c r="E23" s="5"/>
      <c r="F23" s="5"/>
      <c r="G23" s="5"/>
      <c r="K23" s="19"/>
      <c r="L23" s="106">
        <f>SUM(N23:R23)</f>
        <v>0</v>
      </c>
      <c r="M23" s="791" t="str">
        <f>"Qh WW bei T Vorlauf"&amp;L14</f>
        <v>Qh WW bei T Vorlauf60</v>
      </c>
      <c r="N23" s="796" t="str">
        <f>IF(N8=O19,N15,"")</f>
        <v/>
      </c>
      <c r="O23" s="520" t="str">
        <f>IF(AND(N8&lt;$O$19,O8&gt;=$O$19),N15+(O15-N15)/(O8-N8)*($O$19-N8),"")</f>
        <v/>
      </c>
      <c r="P23" s="520" t="str">
        <f>IF(AND(O8&lt;$O$19,P8&gt;=$O$19),O15+(P15-O15)/(P8-O8)*($O$19-O8),"")</f>
        <v/>
      </c>
      <c r="Q23" s="804" t="str">
        <f>IF(AND(P8&lt;$O$19,Q8&gt;=$O$19),P15+(Q15-P15)/(Q8-P8)*($O$19-P8),"")</f>
        <v/>
      </c>
      <c r="R23" s="778" t="str">
        <f>IF(AND(Q8&lt;$O$19,R8&gt;=$O$19),Q15+(R15-Q15)/(R8-Q8)*($O$19-Q8),"")</f>
        <v/>
      </c>
      <c r="S23" s="782" t="str">
        <f>IF(WPArt=4,"Qh W"&amp;O19&amp;"/55 ","Qh B"&amp;O19&amp;"/55 ")</f>
        <v xml:space="preserve">Qh B0/55 </v>
      </c>
      <c r="T23" s="807">
        <f>SUM(N23:R23)</f>
        <v>0</v>
      </c>
      <c r="U23" s="625"/>
      <c r="V23" s="618" t="s">
        <v>3878</v>
      </c>
      <c r="W23" s="614" t="e">
        <f ca="1">X23</f>
        <v>#N/A</v>
      </c>
      <c r="X23" s="626" t="e">
        <f t="shared" ref="X23:AC23" ca="1" si="7">X22/(($U21+273.15)/($U21-X$20))</f>
        <v>#N/A</v>
      </c>
      <c r="Y23" s="626" t="e">
        <f t="shared" ca="1" si="7"/>
        <v>#N/A</v>
      </c>
      <c r="Z23" s="626" t="e">
        <f t="shared" ca="1" si="7"/>
        <v>#N/A</v>
      </c>
      <c r="AA23" s="626" t="e">
        <f t="shared" ca="1" si="7"/>
        <v>#N/A</v>
      </c>
      <c r="AB23" s="626" t="e">
        <f t="shared" ca="1" si="7"/>
        <v>#N/A</v>
      </c>
      <c r="AC23" s="627" t="e">
        <f t="shared" ca="1" si="7"/>
        <v>#N/A</v>
      </c>
      <c r="AE23"/>
      <c r="AF23"/>
      <c r="AG23" s="579"/>
      <c r="AH23"/>
      <c r="AI23" s="20">
        <v>48</v>
      </c>
      <c r="AJ23" s="20"/>
      <c r="AK23" s="20">
        <f t="shared" si="4"/>
        <v>13</v>
      </c>
      <c r="AL23" s="5">
        <f t="shared" si="0"/>
        <v>13</v>
      </c>
      <c r="AM23" s="5">
        <f t="shared" si="1"/>
        <v>13</v>
      </c>
      <c r="AN23" s="5">
        <f t="shared" si="2"/>
        <v>13</v>
      </c>
      <c r="AO23" s="21">
        <f t="shared" si="3"/>
        <v>13</v>
      </c>
    </row>
    <row r="24" spans="2:41" ht="12.75" x14ac:dyDescent="0.2">
      <c r="E24" s="5"/>
      <c r="F24" s="5"/>
      <c r="G24" s="5"/>
      <c r="K24" s="19"/>
      <c r="M24" s="296" t="s">
        <v>1810</v>
      </c>
      <c r="N24" s="4"/>
      <c r="O24" s="4"/>
      <c r="P24" s="4"/>
      <c r="Q24" s="767" t="s">
        <v>1812</v>
      </c>
      <c r="R24" s="4"/>
      <c r="S24" s="4"/>
      <c r="U24" s="621">
        <f>W11</f>
        <v>60</v>
      </c>
      <c r="V24" s="628" t="s">
        <v>1711</v>
      </c>
      <c r="W24" s="539" t="e">
        <f ca="1">X24-AG24*(X$20-W$20)</f>
        <v>#N/A</v>
      </c>
      <c r="X24" s="515" t="e">
        <f ca="1">X14</f>
        <v>#N/A</v>
      </c>
      <c r="Y24" s="515" t="e">
        <f ca="1">Y14</f>
        <v>#N/A</v>
      </c>
      <c r="Z24" s="515" t="e">
        <f ca="1">Z14</f>
        <v>#N/A</v>
      </c>
      <c r="AA24" s="515" t="e">
        <f ca="1">AA14</f>
        <v>#N/A</v>
      </c>
      <c r="AB24" s="515" t="e">
        <f ca="1">AB14</f>
        <v>#N/A</v>
      </c>
      <c r="AC24" s="612" t="e">
        <f ca="1">AB24</f>
        <v>#N/A</v>
      </c>
      <c r="AE24" t="e">
        <f ca="1">AE21</f>
        <v>#N/A</v>
      </c>
      <c r="AF24" s="552" t="s">
        <v>1379</v>
      </c>
      <c r="AG24" s="579" t="e">
        <f ca="1">(Y24-X24)/(Y$20-X$20)</f>
        <v>#N/A</v>
      </c>
      <c r="AH24"/>
      <c r="AI24" s="20">
        <v>49</v>
      </c>
      <c r="AJ24" s="20"/>
      <c r="AK24" s="20">
        <f t="shared" si="4"/>
        <v>14</v>
      </c>
      <c r="AL24" s="5">
        <f t="shared" si="0"/>
        <v>14</v>
      </c>
      <c r="AM24" s="5">
        <f t="shared" si="1"/>
        <v>14</v>
      </c>
      <c r="AN24" s="5">
        <f t="shared" si="2"/>
        <v>14</v>
      </c>
      <c r="AO24" s="21">
        <f t="shared" si="3"/>
        <v>14</v>
      </c>
    </row>
    <row r="25" spans="2:41" ht="12.75" x14ac:dyDescent="0.2">
      <c r="E25" s="5"/>
      <c r="F25" s="5"/>
      <c r="G25" s="5"/>
      <c r="M25" s="753" t="s">
        <v>1846</v>
      </c>
      <c r="N25" s="94"/>
      <c r="O25" s="355" t="s">
        <v>1811</v>
      </c>
      <c r="P25" s="754">
        <f>IF(V45=H52,2,IF(V46=H52,3,1))</f>
        <v>1</v>
      </c>
      <c r="Q25" s="740">
        <f>IF(W45=H53,2,IF(W46=H53,3,1))</f>
        <v>1</v>
      </c>
      <c r="U25" s="623"/>
      <c r="V25" s="629" t="s">
        <v>774</v>
      </c>
      <c r="W25" s="630" t="e">
        <f ca="1">((U24+273.15)/(U24-W$20))*W26</f>
        <v>#N/A</v>
      </c>
      <c r="X25" s="207" t="e">
        <f ca="1">X13</f>
        <v>#N/A</v>
      </c>
      <c r="Y25" s="207" t="e">
        <f ca="1">Y13</f>
        <v>#N/A</v>
      </c>
      <c r="Z25" s="207" t="e">
        <f ca="1">Z13</f>
        <v>#N/A</v>
      </c>
      <c r="AA25" s="207" t="e">
        <f ca="1">AA13</f>
        <v>#N/A</v>
      </c>
      <c r="AB25" s="207" t="e">
        <f ca="1">AB13</f>
        <v>#N/A</v>
      </c>
      <c r="AC25" s="613" t="e">
        <f ca="1">AB25</f>
        <v>#N/A</v>
      </c>
      <c r="AE25"/>
      <c r="AF25"/>
      <c r="AG25" s="579"/>
      <c r="AH25"/>
      <c r="AI25" s="20">
        <v>50</v>
      </c>
      <c r="AJ25" s="20"/>
      <c r="AK25" s="20">
        <f t="shared" si="4"/>
        <v>15</v>
      </c>
      <c r="AL25" s="5">
        <f t="shared" si="0"/>
        <v>15</v>
      </c>
      <c r="AM25" s="5">
        <f t="shared" si="1"/>
        <v>15</v>
      </c>
      <c r="AN25" s="5">
        <f t="shared" si="2"/>
        <v>15</v>
      </c>
      <c r="AO25" s="21">
        <f t="shared" si="3"/>
        <v>15</v>
      </c>
    </row>
    <row r="26" spans="2:41" x14ac:dyDescent="0.2">
      <c r="E26" s="5"/>
      <c r="F26" s="5"/>
      <c r="G26" s="5"/>
      <c r="M26" s="750"/>
      <c r="N26" s="1215" t="s">
        <v>2027</v>
      </c>
      <c r="O26" s="1216"/>
      <c r="P26" s="1215" t="s">
        <v>2028</v>
      </c>
      <c r="Q26" s="1216"/>
      <c r="U26" s="625"/>
      <c r="V26" s="618" t="s">
        <v>3878</v>
      </c>
      <c r="W26" s="614" t="e">
        <f ca="1">X26</f>
        <v>#N/A</v>
      </c>
      <c r="X26" s="626" t="e">
        <f t="shared" ref="X26:AC26" ca="1" si="8">X25/(($U24+273.15)/($U24-X$20))</f>
        <v>#N/A</v>
      </c>
      <c r="Y26" s="626" t="e">
        <f t="shared" ca="1" si="8"/>
        <v>#N/A</v>
      </c>
      <c r="Z26" s="626" t="e">
        <f t="shared" ca="1" si="8"/>
        <v>#N/A</v>
      </c>
      <c r="AA26" s="626" t="e">
        <f t="shared" ca="1" si="8"/>
        <v>#N/A</v>
      </c>
      <c r="AB26" s="626" t="e">
        <f t="shared" ca="1" si="8"/>
        <v>#N/A</v>
      </c>
      <c r="AC26" s="627" t="e">
        <f t="shared" ca="1" si="8"/>
        <v>#N/A</v>
      </c>
      <c r="AI26" s="20">
        <v>51</v>
      </c>
      <c r="AJ26" s="20"/>
      <c r="AK26" s="20">
        <f t="shared" si="4"/>
        <v>16</v>
      </c>
      <c r="AL26" s="5">
        <f t="shared" si="0"/>
        <v>16</v>
      </c>
      <c r="AM26" s="5">
        <f t="shared" si="1"/>
        <v>16</v>
      </c>
      <c r="AN26" s="5">
        <f t="shared" si="2"/>
        <v>16</v>
      </c>
      <c r="AO26" s="21">
        <f t="shared" si="3"/>
        <v>16</v>
      </c>
    </row>
    <row r="27" spans="2:41" ht="13.15" customHeight="1" x14ac:dyDescent="0.2">
      <c r="E27" s="5"/>
      <c r="F27" s="5"/>
      <c r="G27" s="5"/>
      <c r="M27" s="751" t="s">
        <v>2019</v>
      </c>
      <c r="N27" s="752" t="b">
        <v>0</v>
      </c>
      <c r="O27" s="752" t="b">
        <v>1</v>
      </c>
      <c r="P27" s="752" t="b">
        <v>0</v>
      </c>
      <c r="Q27" s="752" t="b">
        <v>1</v>
      </c>
      <c r="AI27" s="20">
        <v>52</v>
      </c>
      <c r="AJ27" s="20"/>
      <c r="AK27" s="20">
        <f t="shared" si="4"/>
        <v>17</v>
      </c>
      <c r="AL27" s="5">
        <f t="shared" si="0"/>
        <v>17</v>
      </c>
      <c r="AM27" s="5">
        <f t="shared" si="1"/>
        <v>17</v>
      </c>
      <c r="AN27" s="5">
        <f t="shared" si="2"/>
        <v>17</v>
      </c>
      <c r="AO27" s="21">
        <f t="shared" si="3"/>
        <v>17</v>
      </c>
    </row>
    <row r="28" spans="2:41" ht="16.899999999999999" customHeight="1" x14ac:dyDescent="0.2">
      <c r="E28" s="5"/>
      <c r="F28" s="5"/>
      <c r="G28" s="5"/>
      <c r="M28" s="750" t="s">
        <v>1806</v>
      </c>
      <c r="N28" s="756" t="e">
        <f>MAX(O28,IF(Qww=0,5000,5600))</f>
        <v>#VALUE!</v>
      </c>
      <c r="O28" s="756" t="e">
        <f>(IF('WP1'!$J$21=3,0,Qh)+Qww)*1.1*EBF/3.6/N4</f>
        <v>#VALUE!</v>
      </c>
      <c r="P28" s="756" t="e">
        <f>MAX(O28,IF(Qww=0,5000,5600))*0.75</f>
        <v>#VALUE!</v>
      </c>
      <c r="Q28" s="756" t="e">
        <f>(IF('WP1'!$J$21=3,0,Qh)+Qww)*1.1*EBF/3.6/N4</f>
        <v>#VALUE!</v>
      </c>
      <c r="AI28" s="20">
        <v>53</v>
      </c>
      <c r="AJ28" s="20"/>
      <c r="AK28" s="20">
        <f t="shared" si="4"/>
        <v>18</v>
      </c>
      <c r="AL28" s="5">
        <f t="shared" si="0"/>
        <v>18</v>
      </c>
      <c r="AM28" s="5">
        <f t="shared" si="1"/>
        <v>18</v>
      </c>
      <c r="AN28" s="5">
        <f t="shared" si="2"/>
        <v>18</v>
      </c>
      <c r="AO28" s="21">
        <f t="shared" si="3"/>
        <v>18</v>
      </c>
    </row>
    <row r="29" spans="2:41" ht="16.5" customHeight="1" x14ac:dyDescent="0.2">
      <c r="M29" s="750" t="s">
        <v>1807</v>
      </c>
      <c r="N29" s="756" t="e">
        <f>MAX(O28,IF(Qww=0,5000,5600))</f>
        <v>#VALUE!</v>
      </c>
      <c r="O29" s="756" t="e">
        <f>(O31+O28)/2</f>
        <v>#VALUE!</v>
      </c>
      <c r="P29" s="756" t="e">
        <f>MAX(O28,IF(Qww=0,5000,5600))*0.75</f>
        <v>#VALUE!</v>
      </c>
      <c r="Q29" s="756" t="e">
        <f>Q28</f>
        <v>#VALUE!</v>
      </c>
      <c r="AI29" s="20">
        <v>54</v>
      </c>
      <c r="AJ29" s="20"/>
      <c r="AK29" s="20">
        <f t="shared" si="4"/>
        <v>19</v>
      </c>
      <c r="AL29" s="5">
        <f t="shared" si="0"/>
        <v>19</v>
      </c>
      <c r="AM29" s="5">
        <f t="shared" si="1"/>
        <v>19</v>
      </c>
      <c r="AN29" s="5">
        <f t="shared" si="2"/>
        <v>19</v>
      </c>
      <c r="AO29" s="21">
        <f t="shared" si="3"/>
        <v>19</v>
      </c>
    </row>
    <row r="30" spans="2:41" ht="15" customHeight="1" x14ac:dyDescent="0.25">
      <c r="B30" s="85" t="str">
        <f>Sprache!B302</f>
        <v>Pompe de la source</v>
      </c>
      <c r="C30" s="495"/>
      <c r="D30" s="495"/>
      <c r="E30" s="86"/>
      <c r="F30" s="86"/>
      <c r="G30" s="86"/>
      <c r="H30" s="34"/>
      <c r="I30" s="494"/>
      <c r="J30" s="87"/>
      <c r="L30" s="287"/>
      <c r="M30" s="750" t="s">
        <v>1808</v>
      </c>
      <c r="N30" s="756" t="e">
        <f>MAX(O28,IF(Qww=0,5000,5600))</f>
        <v>#VALUE!</v>
      </c>
      <c r="O30" s="756" t="e">
        <f>MAX(O28,IF(Qww=0,5000,5600))</f>
        <v>#VALUE!</v>
      </c>
      <c r="P30" s="756" t="e">
        <f>MAX(O28,IF(Qww=0,5000,5600))*0.75</f>
        <v>#VALUE!</v>
      </c>
      <c r="Q30" s="756" t="e">
        <f>Q28</f>
        <v>#VALUE!</v>
      </c>
      <c r="AI30" s="20">
        <v>55</v>
      </c>
      <c r="AJ30" s="20"/>
      <c r="AK30" s="20">
        <f t="shared" si="4"/>
        <v>20</v>
      </c>
      <c r="AL30" s="5">
        <f t="shared" si="0"/>
        <v>20</v>
      </c>
      <c r="AM30" s="5">
        <f t="shared" si="1"/>
        <v>20</v>
      </c>
      <c r="AN30" s="5">
        <f t="shared" si="2"/>
        <v>20</v>
      </c>
      <c r="AO30" s="21">
        <f t="shared" si="3"/>
        <v>20</v>
      </c>
    </row>
    <row r="31" spans="2:41" ht="15" customHeight="1" x14ac:dyDescent="0.2">
      <c r="B31" s="500" t="str">
        <f>Sprache!B303</f>
        <v>Nom et type de la pompe</v>
      </c>
      <c r="C31" s="501"/>
      <c r="D31" s="501"/>
      <c r="E31" s="1314"/>
      <c r="F31" s="1314"/>
      <c r="G31" s="1314"/>
      <c r="H31" s="1314"/>
      <c r="I31" s="1314"/>
      <c r="J31" s="1315"/>
      <c r="L31" s="287" t="b">
        <f>IF(E31&lt;&gt;"",TRUE,FALSE)</f>
        <v>0</v>
      </c>
      <c r="M31" s="751" t="s">
        <v>1809</v>
      </c>
      <c r="N31" s="766" t="e">
        <f>MAX(O28,IF(Qww=0,5000,5600))</f>
        <v>#VALUE!</v>
      </c>
      <c r="O31" s="766" t="e">
        <f>MAX(O28,IF(Qww=0,5000,5600))</f>
        <v>#VALUE!</v>
      </c>
      <c r="P31" s="766" t="e">
        <f>MAX(O28,IF(Qww=0,5000,5600))*0.75</f>
        <v>#VALUE!</v>
      </c>
      <c r="Q31" s="766" t="e">
        <f>Q28</f>
        <v>#VALUE!</v>
      </c>
      <c r="AE31"/>
      <c r="AI31" s="20">
        <v>56</v>
      </c>
      <c r="AJ31" s="20"/>
      <c r="AK31" s="20">
        <f t="shared" si="4"/>
        <v>21</v>
      </c>
      <c r="AL31" s="5">
        <f t="shared" si="0"/>
        <v>21</v>
      </c>
      <c r="AM31" s="5">
        <f t="shared" si="1"/>
        <v>21</v>
      </c>
      <c r="AN31" s="5">
        <f t="shared" si="2"/>
        <v>21</v>
      </c>
      <c r="AO31" s="21">
        <f t="shared" si="3"/>
        <v>21</v>
      </c>
    </row>
    <row r="32" spans="2:41" ht="15" customHeight="1" x14ac:dyDescent="0.2">
      <c r="B32" s="100" t="str">
        <f>Sprache!B304</f>
        <v xml:space="preserve">Courant absorbé de la pompe à plein régime </v>
      </c>
      <c r="C32" s="103"/>
      <c r="D32" s="103"/>
      <c r="E32" s="511"/>
      <c r="F32" s="511"/>
      <c r="G32" s="757" t="str">
        <f>Sprache!B310</f>
        <v>Valeur de calcul</v>
      </c>
      <c r="H32" s="760">
        <f>MAX(J32,J34*J33/3.6/0.5+J35*9.81/3.6*J34/0.5)</f>
        <v>0</v>
      </c>
      <c r="I32" s="116" t="s">
        <v>724</v>
      </c>
      <c r="J32" s="759"/>
      <c r="L32" s="287" t="b">
        <f>IF(J32&lt;&gt;"",TRUE,FALSE)</f>
        <v>0</v>
      </c>
      <c r="M32" s="143" t="s">
        <v>3503</v>
      </c>
      <c r="N32" s="1316" t="e">
        <f>INDEX(N28:Q31,stufig,(MAX(Q25,2)-2)*2+(MAX(P25,2)-2)+1)</f>
        <v>#VALUE!</v>
      </c>
      <c r="O32" s="1317"/>
      <c r="P32" s="5" t="s">
        <v>3666</v>
      </c>
      <c r="Q32" s="768">
        <f>IF(AND(Qh&gt;0,Qww&gt;0),H49*N32/O28,IF(Qh&gt;0,H49*N32/O28,H49))</f>
        <v>25</v>
      </c>
      <c r="R32" s="5" t="s">
        <v>1819</v>
      </c>
      <c r="AE32"/>
      <c r="AI32" s="20">
        <v>57</v>
      </c>
      <c r="AJ32" s="20"/>
      <c r="AK32" s="20">
        <f t="shared" si="4"/>
        <v>22</v>
      </c>
      <c r="AL32" s="5">
        <f t="shared" si="0"/>
        <v>22</v>
      </c>
      <c r="AM32" s="5">
        <f t="shared" si="1"/>
        <v>22</v>
      </c>
      <c r="AN32" s="5">
        <f t="shared" si="2"/>
        <v>22</v>
      </c>
      <c r="AO32" s="21">
        <f t="shared" si="3"/>
        <v>22</v>
      </c>
    </row>
    <row r="33" spans="2:41" ht="15" customHeight="1" x14ac:dyDescent="0.2">
      <c r="B33" s="100" t="str">
        <f>Sprache!B305</f>
        <v>Perte de charge dynamique à plein régime</v>
      </c>
      <c r="C33" s="103"/>
      <c r="D33" s="103"/>
      <c r="E33" s="511"/>
      <c r="F33" s="511"/>
      <c r="G33" s="97"/>
      <c r="H33" s="127"/>
      <c r="I33" s="116" t="s">
        <v>2023</v>
      </c>
      <c r="J33" s="759"/>
      <c r="L33" s="287" t="b">
        <f>IF(J33&lt;&gt;"",TRUE,FALSE)</f>
        <v>0</v>
      </c>
      <c r="Q33" s="768">
        <f>Q32</f>
        <v>25</v>
      </c>
      <c r="R33" s="5" t="s">
        <v>1820</v>
      </c>
      <c r="AE33"/>
      <c r="AI33" s="20">
        <v>58</v>
      </c>
      <c r="AJ33" s="20"/>
      <c r="AK33" s="20">
        <f t="shared" si="4"/>
        <v>23</v>
      </c>
      <c r="AL33" s="5">
        <f t="shared" si="0"/>
        <v>23</v>
      </c>
      <c r="AM33" s="5">
        <f t="shared" si="1"/>
        <v>23</v>
      </c>
      <c r="AN33" s="5">
        <f t="shared" si="2"/>
        <v>23</v>
      </c>
      <c r="AO33" s="21">
        <f t="shared" si="3"/>
        <v>23</v>
      </c>
    </row>
    <row r="34" spans="2:41" ht="15" customHeight="1" x14ac:dyDescent="0.2">
      <c r="B34" s="100" t="str">
        <f>Sprache!B306</f>
        <v>Débit à plein régime</v>
      </c>
      <c r="C34" s="103"/>
      <c r="D34" s="103"/>
      <c r="E34" s="511"/>
      <c r="F34" s="511"/>
      <c r="G34" s="97"/>
      <c r="H34" s="102"/>
      <c r="I34" s="116" t="s">
        <v>2024</v>
      </c>
      <c r="J34" s="759"/>
      <c r="L34" s="287" t="b">
        <f>IF(J34&lt;&gt;"",TRUE,FALSE)</f>
        <v>0</v>
      </c>
      <c r="M34" s="753" t="s">
        <v>1845</v>
      </c>
      <c r="N34" s="94"/>
      <c r="O34" s="355" t="s">
        <v>1811</v>
      </c>
      <c r="P34" s="754">
        <f>IF(V45=H44,2,IF(V46=H44,3,1))</f>
        <v>1</v>
      </c>
      <c r="Q34" s="740">
        <f>IF(W45=H45,2,IF(W46=H45,3,1))</f>
        <v>1</v>
      </c>
      <c r="AE34"/>
      <c r="AI34" s="20">
        <v>59</v>
      </c>
      <c r="AJ34" s="20"/>
      <c r="AK34" s="20">
        <f t="shared" si="4"/>
        <v>24</v>
      </c>
      <c r="AL34" s="5">
        <f t="shared" si="0"/>
        <v>24</v>
      </c>
      <c r="AM34" s="5">
        <f t="shared" si="1"/>
        <v>24</v>
      </c>
      <c r="AN34" s="5">
        <f t="shared" si="2"/>
        <v>24</v>
      </c>
      <c r="AO34" s="21">
        <f t="shared" si="3"/>
        <v>24</v>
      </c>
    </row>
    <row r="35" spans="2:41" ht="15" customHeight="1" x14ac:dyDescent="0.2">
      <c r="B35" s="100" t="str">
        <f>Sprache!B307</f>
        <v>Hauteur statique</v>
      </c>
      <c r="C35" s="103"/>
      <c r="D35" s="103"/>
      <c r="E35" s="511"/>
      <c r="F35" s="511"/>
      <c r="G35" s="97"/>
      <c r="H35" s="102"/>
      <c r="I35" s="116" t="s">
        <v>722</v>
      </c>
      <c r="J35" s="759"/>
      <c r="L35" s="287" t="b">
        <f>IF(J35&lt;&gt;"",TRUE,FALSE)</f>
        <v>0</v>
      </c>
      <c r="M35" s="750"/>
      <c r="N35" s="1215" t="s">
        <v>2027</v>
      </c>
      <c r="O35" s="1216"/>
      <c r="P35" s="1215" t="s">
        <v>2028</v>
      </c>
      <c r="Q35" s="1216"/>
      <c r="AE35"/>
      <c r="AI35" s="20">
        <v>60</v>
      </c>
      <c r="AJ35" s="20"/>
      <c r="AK35" s="20">
        <f t="shared" si="4"/>
        <v>25</v>
      </c>
      <c r="AL35" s="5">
        <f t="shared" si="0"/>
        <v>25</v>
      </c>
      <c r="AM35" s="5">
        <f t="shared" si="1"/>
        <v>25</v>
      </c>
      <c r="AN35" s="5">
        <f t="shared" si="2"/>
        <v>25</v>
      </c>
      <c r="AO35" s="21">
        <f t="shared" si="3"/>
        <v>25</v>
      </c>
    </row>
    <row r="36" spans="2:41" ht="15" customHeight="1" x14ac:dyDescent="0.2">
      <c r="B36" s="100" t="str">
        <f>Sprache!B308</f>
        <v>Mode d'exploitation</v>
      </c>
      <c r="C36" s="103"/>
      <c r="D36" s="103"/>
      <c r="E36" s="511"/>
      <c r="F36" s="511"/>
      <c r="G36" s="97"/>
      <c r="H36" s="1322"/>
      <c r="I36" s="1323"/>
      <c r="J36" s="1324"/>
      <c r="L36" s="287" t="b">
        <f>IF(H36&lt;&gt;"",TRUE,FALSE)</f>
        <v>0</v>
      </c>
      <c r="M36" s="751" t="s">
        <v>2019</v>
      </c>
      <c r="N36" s="752" t="b">
        <v>0</v>
      </c>
      <c r="O36" s="752" t="b">
        <v>1</v>
      </c>
      <c r="P36" s="752" t="b">
        <v>0</v>
      </c>
      <c r="Q36" s="752" t="b">
        <v>1</v>
      </c>
      <c r="AE36"/>
      <c r="AI36" s="20">
        <v>61</v>
      </c>
      <c r="AJ36" s="20"/>
      <c r="AK36" s="20" t="str">
        <f>IF(WPArt=2,AK35+1,"")</f>
        <v/>
      </c>
      <c r="AL36" s="5" t="str">
        <f t="shared" si="0"/>
        <v/>
      </c>
      <c r="AM36" s="5" t="str">
        <f t="shared" si="1"/>
        <v/>
      </c>
      <c r="AN36" s="5" t="str">
        <f t="shared" si="2"/>
        <v/>
      </c>
      <c r="AO36" s="21" t="str">
        <f t="shared" si="3"/>
        <v/>
      </c>
    </row>
    <row r="37" spans="2:41" ht="15" customHeight="1" x14ac:dyDescent="0.2">
      <c r="B37" s="205" t="str">
        <f>Sprache!B309</f>
        <v>Régulation</v>
      </c>
      <c r="C37" s="517"/>
      <c r="D37" s="517"/>
      <c r="E37" s="518"/>
      <c r="F37" s="518"/>
      <c r="G37" s="519"/>
      <c r="H37" s="1328"/>
      <c r="I37" s="1329"/>
      <c r="J37" s="1330"/>
      <c r="L37" s="287" t="b">
        <f>IF(H37&lt;&gt;"",TRUE,FALSE)</f>
        <v>0</v>
      </c>
      <c r="M37" s="750" t="s">
        <v>1806</v>
      </c>
      <c r="N37" s="756" t="e">
        <f>MAX(O37,IF(Qww=0,5000,5600))</f>
        <v>#VALUE!</v>
      </c>
      <c r="O37" s="756" t="e">
        <f>(IF('WP1'!$J$21=3,0,Qh)+Qww)*1.1*EBF/3.6/N4</f>
        <v>#VALUE!</v>
      </c>
      <c r="P37" s="756" t="e">
        <f>MAX(O37,IF(Qww=0,5000,5600))*0.75</f>
        <v>#VALUE!</v>
      </c>
      <c r="Q37" s="756" t="e">
        <f>(IF('WP1'!$J$21=3,0,Qh)+Qww)*1.1*EBF/3.6/N4</f>
        <v>#VALUE!</v>
      </c>
      <c r="AE37"/>
      <c r="AI37" s="20">
        <v>62</v>
      </c>
      <c r="AJ37" s="20"/>
      <c r="AK37" s="20" t="str">
        <f t="shared" ref="AK37:AK65" si="9">IF(WPArt=2,AK36+1,"")</f>
        <v/>
      </c>
      <c r="AL37" s="5" t="str">
        <f t="shared" si="0"/>
        <v/>
      </c>
      <c r="AM37" s="5" t="str">
        <f t="shared" si="1"/>
        <v/>
      </c>
      <c r="AN37" s="5" t="str">
        <f t="shared" si="2"/>
        <v/>
      </c>
      <c r="AO37" s="21" t="str">
        <f t="shared" si="3"/>
        <v/>
      </c>
    </row>
    <row r="38" spans="2:41" ht="15" customHeight="1" x14ac:dyDescent="0.2">
      <c r="B38" s="23"/>
      <c r="C38" s="23"/>
      <c r="D38" s="23"/>
      <c r="E38" s="23"/>
      <c r="F38" s="23"/>
      <c r="G38" s="23"/>
      <c r="H38" s="23"/>
      <c r="I38" s="23"/>
      <c r="J38" s="23"/>
      <c r="L38" s="526" t="b">
        <f>IF(OR(L31,L33,L32,L35,L34,L36,L37),TRUE,FALSE)</f>
        <v>0</v>
      </c>
      <c r="M38" s="750" t="s">
        <v>1807</v>
      </c>
      <c r="N38" s="756" t="e">
        <f>MAX(O37,IF(Qww=0,5000,5600))</f>
        <v>#VALUE!</v>
      </c>
      <c r="O38" s="756" t="e">
        <f>(O40+O37)/2</f>
        <v>#VALUE!</v>
      </c>
      <c r="P38" s="756" t="e">
        <f>MAX(O37,IF(Qww=0,5000,5600))*0.75</f>
        <v>#VALUE!</v>
      </c>
      <c r="Q38" s="756" t="e">
        <f>Q37</f>
        <v>#VALUE!</v>
      </c>
      <c r="AE38"/>
      <c r="AF38"/>
      <c r="AG38"/>
      <c r="AH38"/>
      <c r="AI38" s="20">
        <v>63</v>
      </c>
      <c r="AJ38" s="20"/>
      <c r="AK38" s="20" t="str">
        <f t="shared" si="9"/>
        <v/>
      </c>
      <c r="AL38" s="5" t="str">
        <f t="shared" si="0"/>
        <v/>
      </c>
      <c r="AM38" s="5" t="str">
        <f t="shared" si="1"/>
        <v/>
      </c>
      <c r="AN38" s="5" t="str">
        <f t="shared" si="2"/>
        <v/>
      </c>
      <c r="AO38" s="21" t="str">
        <f t="shared" si="3"/>
        <v/>
      </c>
    </row>
    <row r="39" spans="2:41" ht="18" customHeight="1" x14ac:dyDescent="0.25">
      <c r="B39" s="85" t="str">
        <f>Sprache!B314</f>
        <v>Pompe de l'évaporateur ou ventilateur</v>
      </c>
      <c r="C39" s="495"/>
      <c r="D39" s="495"/>
      <c r="E39" s="86"/>
      <c r="F39" s="86"/>
      <c r="G39" s="86"/>
      <c r="H39" s="34"/>
      <c r="I39" s="494"/>
      <c r="J39" s="87"/>
      <c r="L39" s="524"/>
      <c r="M39" s="750" t="s">
        <v>1808</v>
      </c>
      <c r="N39" s="756" t="e">
        <f>MAX(O37,IF(Qww=0,5000,5600))</f>
        <v>#VALUE!</v>
      </c>
      <c r="O39" s="756" t="e">
        <f>MAX(O37,IF(Qww=0,5000,5600))</f>
        <v>#VALUE!</v>
      </c>
      <c r="P39" s="756" t="e">
        <f>MAX(O37,IF(Qww=0,5000,5600))*0.75</f>
        <v>#VALUE!</v>
      </c>
      <c r="Q39" s="756" t="e">
        <f>Q37</f>
        <v>#VALUE!</v>
      </c>
      <c r="AI39" s="20">
        <v>64</v>
      </c>
      <c r="AJ39" s="20"/>
      <c r="AK39" s="20" t="str">
        <f t="shared" si="9"/>
        <v/>
      </c>
      <c r="AL39" s="5" t="str">
        <f t="shared" si="0"/>
        <v/>
      </c>
      <c r="AM39" s="5" t="str">
        <f t="shared" si="1"/>
        <v/>
      </c>
      <c r="AN39" s="5" t="str">
        <f t="shared" si="2"/>
        <v/>
      </c>
      <c r="AO39" s="21" t="str">
        <f t="shared" si="3"/>
        <v/>
      </c>
    </row>
    <row r="40" spans="2:41" ht="15" customHeight="1" x14ac:dyDescent="0.2">
      <c r="B40" s="500" t="str">
        <f>Sprache!B303</f>
        <v>Nom et type de la pompe</v>
      </c>
      <c r="C40" s="501"/>
      <c r="D40" s="501"/>
      <c r="E40" s="1314"/>
      <c r="F40" s="1314"/>
      <c r="G40" s="1314"/>
      <c r="H40" s="1314"/>
      <c r="I40" s="1314"/>
      <c r="J40" s="1315"/>
      <c r="L40" s="287" t="b">
        <f>IF(E40&lt;&gt;"",TRUE,FALSE)</f>
        <v>0</v>
      </c>
      <c r="M40" s="751" t="s">
        <v>1809</v>
      </c>
      <c r="N40" s="766" t="e">
        <f>MAX(O37,IF(Qww=0,5000,5600))</f>
        <v>#VALUE!</v>
      </c>
      <c r="O40" s="766" t="e">
        <f>MAX(O37,IF(Qww=0,5000,5600))</f>
        <v>#VALUE!</v>
      </c>
      <c r="P40" s="766" t="e">
        <f>MAX(O37,IF(Qww=0,5000,5600))*0.75</f>
        <v>#VALUE!</v>
      </c>
      <c r="Q40" s="766" t="e">
        <f>Q37</f>
        <v>#VALUE!</v>
      </c>
      <c r="AI40" s="20">
        <v>65</v>
      </c>
      <c r="AJ40" s="20"/>
      <c r="AK40" s="20" t="str">
        <f t="shared" si="9"/>
        <v/>
      </c>
      <c r="AL40" s="5" t="str">
        <f t="shared" si="0"/>
        <v/>
      </c>
      <c r="AM40" s="5" t="str">
        <f t="shared" si="1"/>
        <v/>
      </c>
      <c r="AN40" s="5" t="str">
        <f t="shared" si="2"/>
        <v/>
      </c>
      <c r="AO40" s="21" t="str">
        <f t="shared" si="3"/>
        <v/>
      </c>
    </row>
    <row r="41" spans="2:41" ht="15" customHeight="1" x14ac:dyDescent="0.2">
      <c r="B41" s="100" t="str">
        <f>Sprache!B315</f>
        <v xml:space="preserve">Courant absorbé de la pompe / ventilateur à plein régime </v>
      </c>
      <c r="C41" s="103"/>
      <c r="D41" s="103"/>
      <c r="E41" s="511"/>
      <c r="F41" s="511"/>
      <c r="G41" s="757" t="str">
        <f>Sprache!B310</f>
        <v>Valeur de calcul</v>
      </c>
      <c r="H41" s="760">
        <f>IF(EBF&gt;0,IF(J41&gt;0,MAX(J41,J43*J42/3.6/0.5),MAX(H42*H43/3.6/0.25,40)),)</f>
        <v>0</v>
      </c>
      <c r="I41" s="116" t="s">
        <v>724</v>
      </c>
      <c r="J41" s="759"/>
      <c r="L41" s="287" t="b">
        <f>IF(J41&lt;&gt;"",TRUE,FALSE)</f>
        <v>0</v>
      </c>
      <c r="M41" s="143" t="s">
        <v>3503</v>
      </c>
      <c r="N41" s="1316" t="e">
        <f>INDEX(N37:Q40,stufig,(MAX(Q34,2)-2)*2+(MAX(P34,2)-2)+1)</f>
        <v>#VALUE!</v>
      </c>
      <c r="O41" s="1317"/>
      <c r="Q41" s="768">
        <f>IF(AND(Qh&gt;0,Qww&gt;0),H41*N41/O37,IF(Qh&gt;0,H41*N41/O37,H41))</f>
        <v>0</v>
      </c>
      <c r="R41" s="5" t="s">
        <v>1819</v>
      </c>
      <c r="AI41" s="20">
        <v>66</v>
      </c>
      <c r="AJ41" s="20"/>
      <c r="AK41" s="20" t="str">
        <f t="shared" si="9"/>
        <v/>
      </c>
      <c r="AL41" s="5" t="str">
        <f t="shared" si="0"/>
        <v/>
      </c>
      <c r="AM41" s="5" t="str">
        <f t="shared" si="1"/>
        <v/>
      </c>
      <c r="AN41" s="5" t="str">
        <f t="shared" si="2"/>
        <v/>
      </c>
      <c r="AO41" s="21" t="str">
        <f t="shared" si="3"/>
        <v/>
      </c>
    </row>
    <row r="42" spans="2:41" ht="15" customHeight="1" x14ac:dyDescent="0.2">
      <c r="B42" s="100" t="str">
        <f>Sprache!B316</f>
        <v>Perte de charge à l'évaporateur</v>
      </c>
      <c r="C42" s="103"/>
      <c r="D42" s="103"/>
      <c r="E42" s="511"/>
      <c r="F42" s="511"/>
      <c r="G42" s="757" t="str">
        <f>Sprache!B311</f>
        <v>Valeur estimée</v>
      </c>
      <c r="H42" s="784">
        <f>IF(J42&gt;0,J42,25)</f>
        <v>25</v>
      </c>
      <c r="I42" s="116" t="s">
        <v>2023</v>
      </c>
      <c r="J42" s="759"/>
      <c r="L42" s="287" t="b">
        <f>IF(J42&lt;&gt;"",TRUE,FALSE)</f>
        <v>0</v>
      </c>
      <c r="Q42" s="768">
        <f>Q41</f>
        <v>0</v>
      </c>
      <c r="R42" s="5" t="s">
        <v>1820</v>
      </c>
      <c r="AI42" s="20">
        <v>67</v>
      </c>
      <c r="AJ42" s="20"/>
      <c r="AK42" s="20" t="str">
        <f t="shared" si="9"/>
        <v/>
      </c>
      <c r="AL42" s="5" t="str">
        <f t="shared" si="0"/>
        <v/>
      </c>
      <c r="AM42" s="5" t="str">
        <f t="shared" si="1"/>
        <v/>
      </c>
      <c r="AN42" s="5" t="str">
        <f t="shared" si="2"/>
        <v/>
      </c>
      <c r="AO42" s="21" t="str">
        <f t="shared" si="3"/>
        <v/>
      </c>
    </row>
    <row r="43" spans="2:41" ht="15" customHeight="1" x14ac:dyDescent="0.2">
      <c r="B43" s="100" t="str">
        <f>Sprache!B317</f>
        <v>Débit à l'évaporateur</v>
      </c>
      <c r="C43" s="103"/>
      <c r="D43" s="103"/>
      <c r="E43" s="511"/>
      <c r="F43" s="511"/>
      <c r="G43" s="757" t="str">
        <f>Sprache!B312</f>
        <v>Valeur estimée selon feuille PAC</v>
      </c>
      <c r="H43" s="783">
        <f>IF(EBF&gt;0,IF(J43&gt;0,J43,('WP1'!M32*1.25)/3/4.2*3.6),)</f>
        <v>0</v>
      </c>
      <c r="I43" s="116" t="s">
        <v>2024</v>
      </c>
      <c r="J43" s="759"/>
      <c r="L43" s="287" t="b">
        <f>IF(J43&lt;&gt;"",TRUE,FALSE)</f>
        <v>0</v>
      </c>
      <c r="M43" s="753" t="s">
        <v>1844</v>
      </c>
      <c r="N43" s="94"/>
      <c r="O43" s="355" t="s">
        <v>1811</v>
      </c>
      <c r="P43" s="754">
        <f>IF(V45=H36,2,IF(V46=H36,3,1))</f>
        <v>1</v>
      </c>
      <c r="Q43" s="755" t="s">
        <v>1812</v>
      </c>
      <c r="R43" s="754">
        <f>IF(X45=H37,2,IF(X46=H37,3,IF(X47=H37,4,1)))</f>
        <v>1</v>
      </c>
      <c r="S43" s="88"/>
      <c r="V43" s="885" t="s">
        <v>2017</v>
      </c>
      <c r="W43" s="885" t="s">
        <v>2020</v>
      </c>
      <c r="X43" s="885" t="s">
        <v>2030</v>
      </c>
      <c r="AI43" s="20">
        <v>68</v>
      </c>
      <c r="AJ43" s="20"/>
      <c r="AK43" s="20" t="str">
        <f t="shared" si="9"/>
        <v/>
      </c>
      <c r="AL43" s="5" t="str">
        <f t="shared" si="0"/>
        <v/>
      </c>
      <c r="AM43" s="5" t="str">
        <f t="shared" si="1"/>
        <v/>
      </c>
      <c r="AN43" s="5" t="str">
        <f t="shared" si="2"/>
        <v/>
      </c>
      <c r="AO43" s="21" t="str">
        <f t="shared" si="3"/>
        <v/>
      </c>
    </row>
    <row r="44" spans="2:41" ht="15" customHeight="1" x14ac:dyDescent="0.2">
      <c r="B44" s="100" t="str">
        <f>Sprache!B308</f>
        <v>Mode d'exploitation</v>
      </c>
      <c r="C44" s="103"/>
      <c r="D44" s="103"/>
      <c r="E44" s="511"/>
      <c r="F44" s="511"/>
      <c r="G44" s="97"/>
      <c r="H44" s="1322"/>
      <c r="I44" s="1323"/>
      <c r="J44" s="1324"/>
      <c r="L44" s="287" t="b">
        <f>IF(H44&lt;&gt;"",TRUE,FALSE)</f>
        <v>0</v>
      </c>
      <c r="M44" s="750"/>
      <c r="N44" s="1215" t="s">
        <v>1804</v>
      </c>
      <c r="O44" s="1216"/>
      <c r="P44" s="1215" t="s">
        <v>1805</v>
      </c>
      <c r="Q44" s="1216"/>
      <c r="R44" s="1215" t="s">
        <v>1803</v>
      </c>
      <c r="S44" s="1216"/>
      <c r="V44" s="886"/>
      <c r="W44" s="886"/>
      <c r="X44" s="886"/>
      <c r="AI44" s="20">
        <v>69</v>
      </c>
      <c r="AJ44" s="20"/>
      <c r="AK44" s="20" t="str">
        <f t="shared" si="9"/>
        <v/>
      </c>
      <c r="AL44" s="5" t="str">
        <f t="shared" si="0"/>
        <v/>
      </c>
      <c r="AM44" s="5" t="str">
        <f t="shared" si="1"/>
        <v/>
      </c>
      <c r="AN44" s="5" t="str">
        <f t="shared" si="2"/>
        <v/>
      </c>
      <c r="AO44" s="21" t="str">
        <f t="shared" si="3"/>
        <v/>
      </c>
    </row>
    <row r="45" spans="2:41" ht="15" customHeight="1" x14ac:dyDescent="0.2">
      <c r="B45" s="205" t="str">
        <f>Sprache!B309</f>
        <v>Régulation</v>
      </c>
      <c r="C45" s="517"/>
      <c r="D45" s="517"/>
      <c r="E45" s="518"/>
      <c r="F45" s="518"/>
      <c r="G45" s="519"/>
      <c r="H45" s="1328"/>
      <c r="I45" s="1329"/>
      <c r="J45" s="1330"/>
      <c r="L45" s="287" t="b">
        <f>IF(H45&lt;&gt;"",TRUE,FALSE)</f>
        <v>0</v>
      </c>
      <c r="M45" s="751" t="s">
        <v>2019</v>
      </c>
      <c r="N45" s="752" t="b">
        <v>0</v>
      </c>
      <c r="O45" s="752" t="b">
        <v>1</v>
      </c>
      <c r="P45" s="752" t="b">
        <v>0</v>
      </c>
      <c r="Q45" s="752" t="b">
        <v>1</v>
      </c>
      <c r="R45" s="752" t="b">
        <v>0</v>
      </c>
      <c r="S45" s="752" t="b">
        <v>1</v>
      </c>
      <c r="V45" s="607" t="str">
        <f>Sprache!B324</f>
        <v>toujours en exploitation</v>
      </c>
      <c r="W45" s="607" t="str">
        <f>Sprache!B326</f>
        <v>non réglé</v>
      </c>
      <c r="X45" s="607" t="str">
        <f>Sprache!B328</f>
        <v>une vitesse</v>
      </c>
      <c r="AI45" s="20">
        <v>70</v>
      </c>
      <c r="AJ45" s="20"/>
      <c r="AK45" s="20" t="str">
        <f t="shared" si="9"/>
        <v/>
      </c>
      <c r="AL45" s="5" t="str">
        <f t="shared" si="0"/>
        <v/>
      </c>
      <c r="AM45" s="5" t="str">
        <f t="shared" si="1"/>
        <v/>
      </c>
      <c r="AN45" s="5" t="str">
        <f t="shared" si="2"/>
        <v/>
      </c>
      <c r="AO45" s="21" t="str">
        <f t="shared" si="3"/>
        <v/>
      </c>
    </row>
    <row r="46" spans="2:41" ht="15" customHeight="1" x14ac:dyDescent="0.2">
      <c r="E46" s="5"/>
      <c r="F46" s="5"/>
      <c r="G46" s="5"/>
      <c r="L46" s="526" t="b">
        <f>IF(OR(L41,L40,L42,L43,L44,L45),TRUE,FALSE)</f>
        <v>0</v>
      </c>
      <c r="M46" s="750" t="s">
        <v>1806</v>
      </c>
      <c r="N46" s="756" t="e">
        <f>MAX(O46,IF(Qww=0,5000,5600))</f>
        <v>#VALUE!</v>
      </c>
      <c r="O46" s="756" t="e">
        <f>(IF('WP1'!$J$21=3,0,Qh)+Qww)*1.1*EBF/3.6/N4</f>
        <v>#VALUE!</v>
      </c>
      <c r="P46" s="756" t="e">
        <f>N46</f>
        <v>#VALUE!</v>
      </c>
      <c r="Q46" s="756" t="e">
        <f>O46</f>
        <v>#VALUE!</v>
      </c>
      <c r="R46" s="756" t="e">
        <f>MAX(O46,IF(Qww=0,5000,5600))*0.75</f>
        <v>#VALUE!</v>
      </c>
      <c r="S46" s="756" t="e">
        <f>(IF('WP1'!$J$21=3,0,Qh)+Qww)*1.1*EBF/3.6/N4</f>
        <v>#VALUE!</v>
      </c>
      <c r="V46" s="607" t="str">
        <f>Sprache!B325</f>
        <v>seulement en exploitation si la PAC est en service</v>
      </c>
      <c r="W46" s="607" t="str">
        <f>Sprache!B327</f>
        <v>réglé</v>
      </c>
      <c r="X46" s="607" t="str">
        <f>Sprache!B329</f>
        <v>2 vitesses</v>
      </c>
      <c r="AI46" s="20"/>
      <c r="AJ46" s="20"/>
      <c r="AK46" s="20" t="str">
        <f t="shared" si="9"/>
        <v/>
      </c>
      <c r="AL46" s="5" t="str">
        <f t="shared" si="0"/>
        <v/>
      </c>
      <c r="AM46" s="5" t="str">
        <f t="shared" si="1"/>
        <v/>
      </c>
      <c r="AN46" s="5" t="str">
        <f t="shared" si="2"/>
        <v/>
      </c>
      <c r="AO46" s="21" t="str">
        <f t="shared" si="3"/>
        <v/>
      </c>
    </row>
    <row r="47" spans="2:41" ht="18" customHeight="1" x14ac:dyDescent="0.25">
      <c r="B47" s="85" t="str">
        <f>Sprache!B318</f>
        <v>Pompe au condenseur</v>
      </c>
      <c r="C47" s="495"/>
      <c r="D47" s="495"/>
      <c r="E47" s="86"/>
      <c r="F47" s="86"/>
      <c r="G47" s="86"/>
      <c r="H47" s="34"/>
      <c r="I47" s="494"/>
      <c r="J47" s="87"/>
      <c r="L47" s="526" t="b">
        <f>IF(OR(L54,L38,L46,L59,L15,L5),TRUE,FALSE)</f>
        <v>0</v>
      </c>
      <c r="M47" s="750" t="s">
        <v>1807</v>
      </c>
      <c r="N47" s="756" t="e">
        <f>MAX(O46,IF(Qww=0,5000,5600))</f>
        <v>#VALUE!</v>
      </c>
      <c r="O47" s="756" t="e">
        <f>(O49+O46)/2</f>
        <v>#VALUE!</v>
      </c>
      <c r="P47" s="30" t="e">
        <f>P46*0.75</f>
        <v>#VALUE!</v>
      </c>
      <c r="Q47" s="756" t="e">
        <f>O47</f>
        <v>#VALUE!</v>
      </c>
      <c r="R47" s="30" t="e">
        <f>MAX(O46,IF(Qww=0,5000,5600))*0.75</f>
        <v>#VALUE!</v>
      </c>
      <c r="S47" s="756" t="e">
        <f>S46</f>
        <v>#VALUE!</v>
      </c>
      <c r="V47" s="608"/>
      <c r="W47" s="608"/>
      <c r="X47" s="608" t="str">
        <f>Sprache!B330</f>
        <v>réglé</v>
      </c>
      <c r="AI47" s="20"/>
      <c r="AJ47" s="20"/>
      <c r="AK47" s="20" t="str">
        <f t="shared" si="9"/>
        <v/>
      </c>
      <c r="AL47" s="5" t="str">
        <f t="shared" si="0"/>
        <v/>
      </c>
      <c r="AM47" s="5" t="str">
        <f t="shared" si="1"/>
        <v/>
      </c>
      <c r="AN47" s="5" t="str">
        <f t="shared" si="2"/>
        <v/>
      </c>
      <c r="AO47" s="21" t="str">
        <f t="shared" si="3"/>
        <v/>
      </c>
    </row>
    <row r="48" spans="2:41" ht="15" customHeight="1" x14ac:dyDescent="0.2">
      <c r="B48" s="500" t="str">
        <f>Sprache!B303</f>
        <v>Nom et type de la pompe</v>
      </c>
      <c r="C48" s="501"/>
      <c r="D48" s="501"/>
      <c r="E48" s="1314"/>
      <c r="F48" s="1314"/>
      <c r="G48" s="1314"/>
      <c r="H48" s="1314"/>
      <c r="I48" s="1314"/>
      <c r="J48" s="1315"/>
      <c r="L48" s="287" t="b">
        <f>IF(E48&lt;&gt;"",TRUE,FALSE)</f>
        <v>0</v>
      </c>
      <c r="M48" s="750" t="s">
        <v>1808</v>
      </c>
      <c r="N48" s="756" t="e">
        <f>MAX(O46,IF(Qww=0,5000,5600))</f>
        <v>#VALUE!</v>
      </c>
      <c r="O48" s="756" t="e">
        <f>MAX(O46,IF(Qww=0,5000,5600))</f>
        <v>#VALUE!</v>
      </c>
      <c r="P48" s="30" t="e">
        <f>P47</f>
        <v>#VALUE!</v>
      </c>
      <c r="Q48" s="756" t="e">
        <f>Q47</f>
        <v>#VALUE!</v>
      </c>
      <c r="R48" s="30" t="e">
        <f>MAX(O46,IF(Qww=0,5000,5600))*0.75</f>
        <v>#VALUE!</v>
      </c>
      <c r="S48" s="756" t="e">
        <f>S46</f>
        <v>#VALUE!</v>
      </c>
      <c r="AI48" s="20"/>
      <c r="AJ48" s="20"/>
      <c r="AK48" s="20" t="str">
        <f t="shared" si="9"/>
        <v/>
      </c>
      <c r="AL48" s="5" t="str">
        <f t="shared" si="0"/>
        <v/>
      </c>
      <c r="AM48" s="5" t="str">
        <f t="shared" si="1"/>
        <v/>
      </c>
      <c r="AN48" s="5" t="str">
        <f t="shared" si="2"/>
        <v/>
      </c>
      <c r="AO48" s="21" t="str">
        <f t="shared" si="3"/>
        <v/>
      </c>
    </row>
    <row r="49" spans="2:41" ht="15" customHeight="1" x14ac:dyDescent="0.2">
      <c r="B49" s="100" t="str">
        <f>Sprache!B319</f>
        <v>Courant absorbé par la pompe P1 à plein régime (seule la part du condenseur)</v>
      </c>
      <c r="C49" s="103"/>
      <c r="D49" s="103"/>
      <c r="E49" s="511"/>
      <c r="F49" s="511"/>
      <c r="G49" s="757" t="str">
        <f>Sprache!B310</f>
        <v>Valeur de calcul</v>
      </c>
      <c r="H49" s="760">
        <f>IF(AND(J49&gt;0,J49&gt;H50*H51/3.6/0.5,J49&gt;25),J49,MAX(H50*H51/3.6/0.25,25,J49,))</f>
        <v>25</v>
      </c>
      <c r="I49" s="116" t="s">
        <v>724</v>
      </c>
      <c r="J49" s="759"/>
      <c r="L49" s="287" t="b">
        <f>IF(J49&lt;&gt;"",TRUE,FALSE)</f>
        <v>0</v>
      </c>
      <c r="M49" s="751" t="s">
        <v>1809</v>
      </c>
      <c r="N49" s="766" t="e">
        <f>MAX(O46,IF(Qww=0,5000,5600))</f>
        <v>#VALUE!</v>
      </c>
      <c r="O49" s="766" t="e">
        <f>MAX(O46,IF(Qww=0,5000,5600))</f>
        <v>#VALUE!</v>
      </c>
      <c r="P49" s="65" t="e">
        <f>P47</f>
        <v>#VALUE!</v>
      </c>
      <c r="Q49" s="766" t="e">
        <f>Q47</f>
        <v>#VALUE!</v>
      </c>
      <c r="R49" s="65" t="e">
        <f>MAX(O46,IF(Qww=0,5000,5600))*0.75</f>
        <v>#VALUE!</v>
      </c>
      <c r="S49" s="766" t="e">
        <f>S46</f>
        <v>#VALUE!</v>
      </c>
      <c r="AI49" s="20"/>
      <c r="AJ49" s="20"/>
      <c r="AK49" s="20" t="str">
        <f t="shared" si="9"/>
        <v/>
      </c>
      <c r="AL49" s="5" t="str">
        <f t="shared" si="0"/>
        <v/>
      </c>
      <c r="AM49" s="5" t="str">
        <f t="shared" si="1"/>
        <v/>
      </c>
      <c r="AN49" s="5" t="str">
        <f t="shared" si="2"/>
        <v/>
      </c>
      <c r="AO49" s="21" t="str">
        <f t="shared" si="3"/>
        <v/>
      </c>
    </row>
    <row r="50" spans="2:41" ht="15" customHeight="1" x14ac:dyDescent="0.2">
      <c r="B50" s="100" t="str">
        <f>Sprache!B320</f>
        <v>Perte de charge nominale au condenseur</v>
      </c>
      <c r="C50" s="103"/>
      <c r="D50" s="103"/>
      <c r="E50" s="511"/>
      <c r="F50" s="511"/>
      <c r="G50" s="757" t="str">
        <f>Sprache!B313</f>
        <v>Valeur effective</v>
      </c>
      <c r="H50" s="765">
        <f>IF(AND(J51&gt;0,J50&gt;0),J50/J51/J51*MAX(J51,H51)*MAX(J51,H51),MAX(J50,20))</f>
        <v>20</v>
      </c>
      <c r="I50" s="116" t="s">
        <v>2023</v>
      </c>
      <c r="J50" s="759"/>
      <c r="L50" s="287" t="b">
        <f>IF(J50&lt;&gt;"",TRUE,FALSE)</f>
        <v>0</v>
      </c>
      <c r="M50" s="143" t="s">
        <v>3503</v>
      </c>
      <c r="N50" s="1316" t="e">
        <f>INDEX(N46:S49,stufig,(MAX(R43,2)-2)*2+(MAX(P43,2)-2)+1)</f>
        <v>#VALUE!</v>
      </c>
      <c r="O50" s="1317"/>
      <c r="Q50" s="768">
        <f>IF(AND(Qh&gt;0,Qww&gt;0),H32*N50/O46,IF(Qh&gt;0,H32*N50/O46,H32))</f>
        <v>0</v>
      </c>
      <c r="R50" s="5" t="s">
        <v>1819</v>
      </c>
      <c r="AI50" s="20"/>
      <c r="AJ50" s="20"/>
      <c r="AK50" s="20" t="str">
        <f t="shared" si="9"/>
        <v/>
      </c>
      <c r="AL50" s="5" t="str">
        <f t="shared" si="0"/>
        <v/>
      </c>
      <c r="AM50" s="5" t="str">
        <f t="shared" si="1"/>
        <v/>
      </c>
      <c r="AN50" s="5" t="str">
        <f t="shared" si="2"/>
        <v/>
      </c>
      <c r="AO50" s="21" t="str">
        <f t="shared" si="3"/>
        <v/>
      </c>
    </row>
    <row r="51" spans="2:41" ht="15" customHeight="1" x14ac:dyDescent="0.2">
      <c r="B51" s="100" t="str">
        <f>Sprache!B321</f>
        <v>Débit nominal au condenseur</v>
      </c>
      <c r="C51" s="103"/>
      <c r="D51" s="103"/>
      <c r="E51" s="511"/>
      <c r="F51" s="511"/>
      <c r="G51" s="757" t="str">
        <f>Sprache!B312</f>
        <v>Valeur estimée selon feuille PAC</v>
      </c>
      <c r="H51" s="758">
        <f>IF(('WP1'!H36-'WP1'!H37)&gt;0,('WP1'!M32*1.25)/('WP1'!H36-'WP1'!H37)/4.2*3.6,J51)</f>
        <v>0</v>
      </c>
      <c r="I51" s="116" t="s">
        <v>2024</v>
      </c>
      <c r="J51" s="759"/>
      <c r="L51" s="287" t="b">
        <f>IF(J51&lt;&gt;"",TRUE,FALSE)</f>
        <v>0</v>
      </c>
      <c r="Q51" s="768">
        <f>Q50</f>
        <v>0</v>
      </c>
      <c r="R51" s="5" t="s">
        <v>1820</v>
      </c>
      <c r="AI51" s="20"/>
      <c r="AJ51" s="20"/>
      <c r="AK51" s="20" t="str">
        <f t="shared" si="9"/>
        <v/>
      </c>
      <c r="AL51" s="5" t="str">
        <f t="shared" si="0"/>
        <v/>
      </c>
      <c r="AM51" s="5" t="str">
        <f t="shared" si="1"/>
        <v/>
      </c>
      <c r="AN51" s="5" t="str">
        <f t="shared" si="2"/>
        <v/>
      </c>
      <c r="AO51" s="21" t="str">
        <f t="shared" si="3"/>
        <v/>
      </c>
    </row>
    <row r="52" spans="2:41" ht="15" customHeight="1" x14ac:dyDescent="0.2">
      <c r="B52" s="100" t="str">
        <f>Sprache!B308</f>
        <v>Mode d'exploitation</v>
      </c>
      <c r="C52" s="103"/>
      <c r="D52" s="103"/>
      <c r="E52" s="511"/>
      <c r="F52" s="511"/>
      <c r="G52" s="97"/>
      <c r="H52" s="1331"/>
      <c r="I52" s="1332"/>
      <c r="J52" s="1333"/>
      <c r="L52" s="287" t="b">
        <f>IF(H52&lt;&gt;"",TRUE,FALSE)</f>
        <v>0</v>
      </c>
      <c r="AI52" s="20"/>
      <c r="AJ52" s="20"/>
      <c r="AK52" s="20" t="str">
        <f t="shared" si="9"/>
        <v/>
      </c>
      <c r="AL52" s="5" t="str">
        <f t="shared" si="0"/>
        <v/>
      </c>
      <c r="AM52" s="5" t="str">
        <f t="shared" si="1"/>
        <v/>
      </c>
      <c r="AN52" s="5" t="str">
        <f t="shared" si="2"/>
        <v/>
      </c>
      <c r="AO52" s="21" t="str">
        <f t="shared" si="3"/>
        <v/>
      </c>
    </row>
    <row r="53" spans="2:41" ht="15" customHeight="1" x14ac:dyDescent="0.2">
      <c r="B53" s="205" t="str">
        <f>Sprache!B309</f>
        <v>Régulation</v>
      </c>
      <c r="C53" s="517"/>
      <c r="D53" s="517"/>
      <c r="E53" s="518"/>
      <c r="F53" s="518"/>
      <c r="G53" s="519"/>
      <c r="H53" s="1325"/>
      <c r="I53" s="1326"/>
      <c r="J53" s="1327"/>
      <c r="L53" s="287" t="b">
        <f>IF(H53&lt;&gt;"",TRUE,FALSE)</f>
        <v>0</v>
      </c>
      <c r="M53" s="5" t="s">
        <v>2034</v>
      </c>
      <c r="AI53" s="20"/>
      <c r="AJ53" s="20"/>
      <c r="AK53" s="20" t="str">
        <f t="shared" si="9"/>
        <v/>
      </c>
      <c r="AL53" s="5" t="str">
        <f t="shared" si="0"/>
        <v/>
      </c>
      <c r="AM53" s="5" t="str">
        <f t="shared" si="1"/>
        <v/>
      </c>
      <c r="AN53" s="5" t="str">
        <f t="shared" si="2"/>
        <v/>
      </c>
      <c r="AO53" s="21" t="str">
        <f t="shared" si="3"/>
        <v/>
      </c>
    </row>
    <row r="54" spans="2:41" ht="15" customHeight="1" x14ac:dyDescent="0.2">
      <c r="E54" s="234"/>
      <c r="F54" s="234"/>
      <c r="G54" s="234"/>
      <c r="L54" s="526" t="b">
        <f>IF(OR(L49,L48,L50,L51,L52,L53),TRUE,FALSE)</f>
        <v>0</v>
      </c>
      <c r="S54" s="5">
        <f>IF(AND('WP1'!R3&gt;6,'WP1'!R3&lt;10),1,0)</f>
        <v>0</v>
      </c>
      <c r="AI54" s="20"/>
      <c r="AJ54" s="20"/>
      <c r="AK54" s="20" t="str">
        <f t="shared" si="9"/>
        <v/>
      </c>
      <c r="AL54" s="5" t="str">
        <f t="shared" si="0"/>
        <v/>
      </c>
      <c r="AM54" s="5" t="str">
        <f t="shared" si="1"/>
        <v/>
      </c>
      <c r="AN54" s="5" t="str">
        <f t="shared" si="2"/>
        <v/>
      </c>
      <c r="AO54" s="21" t="str">
        <f t="shared" si="3"/>
        <v/>
      </c>
    </row>
    <row r="55" spans="2:41" ht="18" customHeight="1" x14ac:dyDescent="0.25">
      <c r="B55" s="85" t="s">
        <v>2033</v>
      </c>
      <c r="C55" s="495"/>
      <c r="D55" s="495"/>
      <c r="E55" s="86"/>
      <c r="F55" s="86"/>
      <c r="G55" s="86"/>
      <c r="H55" s="34"/>
      <c r="I55" s="494"/>
      <c r="J55" s="87"/>
      <c r="L55" s="524"/>
      <c r="N55" s="5" t="s">
        <v>2046</v>
      </c>
      <c r="P55" s="5" t="s">
        <v>2045</v>
      </c>
      <c r="S55" s="5">
        <f>'WP1'!R3</f>
        <v>1</v>
      </c>
      <c r="U55" s="5">
        <f>('WP1'!H38)</f>
        <v>0</v>
      </c>
      <c r="AI55" s="20"/>
      <c r="AJ55" s="20"/>
      <c r="AK55" s="20" t="str">
        <f t="shared" si="9"/>
        <v/>
      </c>
      <c r="AL55" s="5" t="str">
        <f t="shared" si="0"/>
        <v/>
      </c>
      <c r="AM55" s="5" t="str">
        <f t="shared" si="1"/>
        <v/>
      </c>
      <c r="AN55" s="5" t="str">
        <f t="shared" si="2"/>
        <v/>
      </c>
      <c r="AO55" s="21" t="str">
        <f t="shared" si="3"/>
        <v/>
      </c>
    </row>
    <row r="56" spans="2:41" ht="15" customHeight="1" x14ac:dyDescent="0.2">
      <c r="B56" s="500" t="s">
        <v>1456</v>
      </c>
      <c r="C56" s="501"/>
      <c r="D56" s="501"/>
      <c r="E56" s="93"/>
      <c r="F56" s="93"/>
      <c r="G56" s="514"/>
      <c r="H56" s="515"/>
      <c r="I56" s="516" t="s">
        <v>284</v>
      </c>
      <c r="J56" s="827"/>
      <c r="L56" s="287" t="b">
        <f>IF(J56&lt;&gt;"",TRUE,FALSE)</f>
        <v>0</v>
      </c>
      <c r="M56" s="15"/>
      <c r="N56" s="5">
        <f>AC56</f>
        <v>1</v>
      </c>
      <c r="P56" s="522">
        <v>0</v>
      </c>
      <c r="W56" s="523" t="s">
        <v>872</v>
      </c>
      <c r="X56" s="184" t="s">
        <v>2890</v>
      </c>
      <c r="Y56" s="116" t="s">
        <v>2889</v>
      </c>
      <c r="Z56" s="127" t="s">
        <v>2891</v>
      </c>
      <c r="AA56" s="127" t="s">
        <v>514</v>
      </c>
      <c r="AB56" s="523"/>
      <c r="AC56" s="127">
        <f>SUM(AC59:AC89)</f>
        <v>1</v>
      </c>
      <c r="AI56" s="20"/>
      <c r="AJ56" s="20"/>
      <c r="AK56" s="20" t="str">
        <f t="shared" si="9"/>
        <v/>
      </c>
      <c r="AL56" s="5" t="str">
        <f t="shared" si="0"/>
        <v/>
      </c>
      <c r="AM56" s="5" t="str">
        <f t="shared" si="1"/>
        <v/>
      </c>
      <c r="AN56" s="5" t="str">
        <f t="shared" si="2"/>
        <v/>
      </c>
      <c r="AO56" s="21" t="str">
        <f t="shared" si="3"/>
        <v/>
      </c>
    </row>
    <row r="57" spans="2:41" ht="15" customHeight="1" x14ac:dyDescent="0.2">
      <c r="B57" s="100" t="s">
        <v>1455</v>
      </c>
      <c r="C57" s="103"/>
      <c r="D57" s="103"/>
      <c r="E57" s="511"/>
      <c r="F57" s="511"/>
      <c r="G57" s="97"/>
      <c r="H57" s="127"/>
      <c r="I57" s="116" t="s">
        <v>284</v>
      </c>
      <c r="J57" s="828"/>
      <c r="L57" s="287" t="b">
        <f>IF(J57&lt;&gt;"",TRUE,FALSE)</f>
        <v>0</v>
      </c>
      <c r="Q57" s="5" t="s">
        <v>463</v>
      </c>
      <c r="W57" s="127">
        <f>'WP1'!BH57</f>
        <v>1</v>
      </c>
      <c r="X57" s="116">
        <f>'WP1'!R3</f>
        <v>1</v>
      </c>
      <c r="Y57" s="116">
        <f>'WP1'!BH58</f>
        <v>1</v>
      </c>
      <c r="Z57" s="127">
        <f>'WP1'!AI132</f>
        <v>1</v>
      </c>
      <c r="AA57" s="127">
        <f>IF('WP1'!H38&gt;0,1,0)</f>
        <v>0</v>
      </c>
      <c r="AB57" s="127"/>
      <c r="AC57" s="127"/>
      <c r="AI57" s="20"/>
      <c r="AJ57" s="20"/>
      <c r="AK57" s="20" t="str">
        <f t="shared" si="9"/>
        <v/>
      </c>
      <c r="AL57" s="5" t="str">
        <f t="shared" si="0"/>
        <v/>
      </c>
      <c r="AM57" s="5" t="str">
        <f t="shared" si="1"/>
        <v/>
      </c>
      <c r="AN57" s="5" t="str">
        <f t="shared" si="2"/>
        <v/>
      </c>
      <c r="AO57" s="21" t="str">
        <f t="shared" si="3"/>
        <v/>
      </c>
    </row>
    <row r="58" spans="2:41" ht="15" customHeight="1" x14ac:dyDescent="0.2">
      <c r="B58" s="205" t="s">
        <v>1005</v>
      </c>
      <c r="C58" s="517"/>
      <c r="D58" s="517"/>
      <c r="E58" s="518"/>
      <c r="F58" s="518"/>
      <c r="G58" s="519"/>
      <c r="H58" s="826"/>
      <c r="I58" s="520" t="s">
        <v>284</v>
      </c>
      <c r="J58" s="829"/>
      <c r="L58" s="287" t="b">
        <f>IF(J58&lt;&gt;"",TRUE,FALSE)</f>
        <v>0</v>
      </c>
      <c r="M58" s="5" t="s">
        <v>2044</v>
      </c>
      <c r="N58" s="5" t="s">
        <v>3470</v>
      </c>
      <c r="P58" s="127" t="s">
        <v>203</v>
      </c>
      <c r="Q58" s="127" t="s">
        <v>2884</v>
      </c>
      <c r="R58" s="127"/>
      <c r="S58" s="102"/>
      <c r="T58" s="103"/>
      <c r="U58" s="103"/>
      <c r="V58" s="103"/>
      <c r="W58" s="127"/>
      <c r="X58" s="116" t="str">
        <f ca="1">MID(OFFSET('WP1'!$T$132,'WP1'!R3,0),1,5)</f>
        <v/>
      </c>
      <c r="Y58" s="116" t="str">
        <f ca="1">MID(OFFSET('WP1'!BG58,Y57,0),1,10)</f>
        <v xml:space="preserve"> </v>
      </c>
      <c r="Z58" s="127" t="str">
        <f ca="1">OFFSET('WP1'!AH132,Z57,0)</f>
        <v xml:space="preserve"> </v>
      </c>
      <c r="AA58" s="127" t="b">
        <f>AA57&gt;0</f>
        <v>0</v>
      </c>
      <c r="AB58" s="127" t="s">
        <v>3470</v>
      </c>
      <c r="AC58" s="127" t="s">
        <v>203</v>
      </c>
      <c r="AI58" s="20"/>
      <c r="AJ58" s="20"/>
      <c r="AK58" s="20" t="str">
        <f t="shared" si="9"/>
        <v/>
      </c>
      <c r="AL58" s="5" t="str">
        <f t="shared" si="0"/>
        <v/>
      </c>
      <c r="AM58" s="5" t="str">
        <f t="shared" si="1"/>
        <v/>
      </c>
      <c r="AN58" s="5" t="str">
        <f t="shared" si="2"/>
        <v/>
      </c>
      <c r="AO58" s="21" t="str">
        <f t="shared" si="3"/>
        <v/>
      </c>
    </row>
    <row r="59" spans="2:41" ht="15" customHeight="1" x14ac:dyDescent="0.2">
      <c r="E59" s="5"/>
      <c r="F59" s="5"/>
      <c r="G59" s="5"/>
      <c r="L59" s="526" t="b">
        <f>IF(OR(L56,L57,L58),TRUE,FALSE)</f>
        <v>0</v>
      </c>
      <c r="M59" s="5" t="s">
        <v>877</v>
      </c>
      <c r="N59" s="5">
        <f>MAX($P$56,($N$56=P59)*1)*1</f>
        <v>1</v>
      </c>
      <c r="P59" s="127">
        <v>1</v>
      </c>
      <c r="Q59" s="127"/>
      <c r="R59" s="127"/>
      <c r="S59" s="102"/>
      <c r="T59" s="103"/>
      <c r="U59" s="103"/>
      <c r="V59" s="103"/>
      <c r="W59" s="127"/>
      <c r="X59" s="127"/>
      <c r="Y59" s="127"/>
      <c r="Z59" s="127"/>
      <c r="AB59" s="127"/>
      <c r="AC59" s="127">
        <f>(SUM(AB60:AB89)=0)*P59</f>
        <v>1</v>
      </c>
      <c r="AI59" s="20"/>
      <c r="AJ59" s="20"/>
      <c r="AK59" s="20" t="str">
        <f t="shared" si="9"/>
        <v/>
      </c>
      <c r="AL59" s="5" t="str">
        <f t="shared" si="0"/>
        <v/>
      </c>
      <c r="AM59" s="5" t="str">
        <f t="shared" si="1"/>
        <v/>
      </c>
      <c r="AN59" s="5" t="str">
        <f t="shared" si="2"/>
        <v/>
      </c>
      <c r="AO59" s="21" t="str">
        <f t="shared" si="3"/>
        <v/>
      </c>
    </row>
    <row r="60" spans="2:41" ht="15" customHeight="1" x14ac:dyDescent="0.2">
      <c r="B60" s="121"/>
      <c r="C60" s="121"/>
      <c r="D60" s="121"/>
      <c r="H60" s="121"/>
      <c r="I60" s="121"/>
      <c r="M60" s="5" t="s">
        <v>2035</v>
      </c>
      <c r="N60" s="5">
        <f t="shared" ref="N60:N89" si="10">MAX($P$56,($N$56=P60)*1)*1</f>
        <v>0</v>
      </c>
      <c r="P60" s="127">
        <v>2</v>
      </c>
      <c r="Q60" s="127" t="s">
        <v>2885</v>
      </c>
      <c r="R60" s="127" t="s">
        <v>2887</v>
      </c>
      <c r="S60" s="102" t="s">
        <v>1585</v>
      </c>
      <c r="T60" s="103"/>
      <c r="U60" s="103"/>
      <c r="V60" s="103"/>
      <c r="W60" s="127">
        <v>0</v>
      </c>
      <c r="X60" s="127">
        <f>IF(AND('WP1'!R3&gt;1,'WP1'!R3&lt;6),1,0)</f>
        <v>0</v>
      </c>
      <c r="Y60" s="127">
        <f>IF('WP1'!$BH$57=2,1,0)</f>
        <v>0</v>
      </c>
      <c r="Z60" s="127">
        <f>IF($Z$57=2,1,0)</f>
        <v>0</v>
      </c>
      <c r="AB60" s="127">
        <f>INT(SUM(X60:Z60)/3)+W60</f>
        <v>0</v>
      </c>
      <c r="AC60" s="127">
        <f>AB60*P60</f>
        <v>0</v>
      </c>
      <c r="AI60" s="20"/>
      <c r="AJ60" s="20"/>
      <c r="AK60" s="20" t="str">
        <f t="shared" si="9"/>
        <v/>
      </c>
      <c r="AL60" s="5" t="str">
        <f t="shared" si="0"/>
        <v/>
      </c>
      <c r="AM60" s="5" t="str">
        <f t="shared" si="1"/>
        <v/>
      </c>
      <c r="AN60" s="5" t="str">
        <f t="shared" si="2"/>
        <v/>
      </c>
      <c r="AO60" s="21" t="str">
        <f t="shared" si="3"/>
        <v/>
      </c>
    </row>
    <row r="61" spans="2:41" x14ac:dyDescent="0.2">
      <c r="B61" s="297">
        <f t="shared" ref="B61:F64" si="11">N12</f>
        <v>0</v>
      </c>
      <c r="C61" s="297">
        <f t="shared" si="11"/>
        <v>0</v>
      </c>
      <c r="D61" s="297">
        <f t="shared" si="11"/>
        <v>0</v>
      </c>
      <c r="E61" s="297">
        <f t="shared" si="11"/>
        <v>0</v>
      </c>
      <c r="F61" s="297">
        <f t="shared" si="11"/>
        <v>0</v>
      </c>
      <c r="G61" s="1107"/>
      <c r="H61" s="121"/>
      <c r="I61" s="121"/>
      <c r="M61" s="5" t="s">
        <v>2036</v>
      </c>
      <c r="N61" s="5">
        <f t="shared" si="10"/>
        <v>0</v>
      </c>
      <c r="P61" s="127">
        <v>3</v>
      </c>
      <c r="Q61" s="127" t="s">
        <v>2885</v>
      </c>
      <c r="R61" s="127" t="s">
        <v>2887</v>
      </c>
      <c r="S61" s="102" t="s">
        <v>1584</v>
      </c>
      <c r="T61" s="103"/>
      <c r="U61" s="103"/>
      <c r="V61" s="103"/>
      <c r="W61" s="127">
        <v>0</v>
      </c>
      <c r="X61" s="127">
        <f t="shared" ref="X61:Y72" si="12">X60</f>
        <v>0</v>
      </c>
      <c r="Y61" s="127">
        <f t="shared" si="12"/>
        <v>0</v>
      </c>
      <c r="Z61" s="127">
        <f>IF($Z$57=3,1,0)*IF($AA$57=0,1,0)</f>
        <v>0</v>
      </c>
      <c r="AB61" s="127">
        <f t="shared" ref="AB61:AB89" si="13">INT(SUM(X61:Z61)/3)+W61</f>
        <v>0</v>
      </c>
      <c r="AC61" s="127">
        <f>AB61*P61</f>
        <v>0</v>
      </c>
      <c r="AI61" s="20"/>
      <c r="AJ61" s="20"/>
      <c r="AK61" s="20" t="str">
        <f t="shared" si="9"/>
        <v/>
      </c>
      <c r="AL61" s="5" t="str">
        <f t="shared" si="0"/>
        <v/>
      </c>
      <c r="AM61" s="5" t="str">
        <f t="shared" si="1"/>
        <v/>
      </c>
      <c r="AN61" s="5" t="str">
        <f t="shared" si="2"/>
        <v/>
      </c>
      <c r="AO61" s="21" t="str">
        <f t="shared" si="3"/>
        <v/>
      </c>
    </row>
    <row r="62" spans="2:41" x14ac:dyDescent="0.2">
      <c r="B62" s="297">
        <f t="shared" si="11"/>
        <v>0</v>
      </c>
      <c r="C62" s="297">
        <f t="shared" si="11"/>
        <v>0</v>
      </c>
      <c r="D62" s="297">
        <f t="shared" si="11"/>
        <v>0</v>
      </c>
      <c r="E62" s="297">
        <f t="shared" si="11"/>
        <v>0</v>
      </c>
      <c r="F62" s="297">
        <f t="shared" si="11"/>
        <v>0</v>
      </c>
      <c r="G62" s="1107"/>
      <c r="H62" s="121"/>
      <c r="I62" s="121"/>
      <c r="M62" s="5" t="s">
        <v>2037</v>
      </c>
      <c r="N62" s="5">
        <f t="shared" si="10"/>
        <v>0</v>
      </c>
      <c r="P62" s="127">
        <v>4</v>
      </c>
      <c r="Q62" s="127" t="s">
        <v>2885</v>
      </c>
      <c r="R62" s="127" t="s">
        <v>2887</v>
      </c>
      <c r="S62" s="102" t="s">
        <v>2892</v>
      </c>
      <c r="T62" s="103"/>
      <c r="U62" s="103"/>
      <c r="V62" s="103"/>
      <c r="W62" s="127">
        <v>0</v>
      </c>
      <c r="X62" s="127">
        <f t="shared" si="12"/>
        <v>0</v>
      </c>
      <c r="Y62" s="127">
        <f t="shared" si="12"/>
        <v>0</v>
      </c>
      <c r="Z62" s="127">
        <f>IF($Z$57=3,1,0)*$AA$57</f>
        <v>0</v>
      </c>
      <c r="AB62" s="127">
        <f t="shared" si="13"/>
        <v>0</v>
      </c>
      <c r="AC62" s="127">
        <f>AB62*P62</f>
        <v>0</v>
      </c>
      <c r="AI62" s="20"/>
      <c r="AJ62" s="20"/>
      <c r="AK62" s="20" t="str">
        <f t="shared" si="9"/>
        <v/>
      </c>
      <c r="AL62" s="5" t="str">
        <f t="shared" si="0"/>
        <v/>
      </c>
      <c r="AM62" s="5" t="str">
        <f t="shared" si="1"/>
        <v/>
      </c>
      <c r="AN62" s="5" t="str">
        <f t="shared" si="2"/>
        <v/>
      </c>
      <c r="AO62" s="21" t="str">
        <f t="shared" si="3"/>
        <v/>
      </c>
    </row>
    <row r="63" spans="2:41" x14ac:dyDescent="0.2">
      <c r="B63" s="297">
        <f t="shared" si="11"/>
        <v>0</v>
      </c>
      <c r="C63" s="297">
        <f t="shared" si="11"/>
        <v>0</v>
      </c>
      <c r="D63" s="297">
        <f t="shared" si="11"/>
        <v>0</v>
      </c>
      <c r="E63" s="297">
        <f t="shared" si="11"/>
        <v>0</v>
      </c>
      <c r="F63" s="297">
        <f t="shared" si="11"/>
        <v>0</v>
      </c>
      <c r="G63" s="1107"/>
      <c r="H63" s="121"/>
      <c r="I63" s="121"/>
      <c r="M63" s="5" t="s">
        <v>2038</v>
      </c>
      <c r="N63" s="5">
        <f t="shared" si="10"/>
        <v>0</v>
      </c>
      <c r="P63" s="127">
        <v>5</v>
      </c>
      <c r="Q63" s="127" t="s">
        <v>2885</v>
      </c>
      <c r="R63" s="127" t="s">
        <v>1676</v>
      </c>
      <c r="S63" s="102"/>
      <c r="T63" s="103"/>
      <c r="U63" s="103"/>
      <c r="V63" s="103"/>
      <c r="W63" s="127">
        <v>0</v>
      </c>
      <c r="X63" s="127">
        <f t="shared" si="12"/>
        <v>0</v>
      </c>
      <c r="Y63" s="127">
        <f>IF('WP1'!$BH$57=3,1,0)</f>
        <v>0</v>
      </c>
      <c r="Z63" s="127">
        <v>1</v>
      </c>
      <c r="AB63" s="127">
        <f t="shared" si="13"/>
        <v>0</v>
      </c>
      <c r="AC63" s="127">
        <f t="shared" ref="AC63:AC82" si="14">AB63*P63</f>
        <v>0</v>
      </c>
      <c r="AI63" s="20"/>
      <c r="AJ63" s="20"/>
      <c r="AK63" s="20" t="str">
        <f t="shared" si="9"/>
        <v/>
      </c>
      <c r="AL63" s="5" t="str">
        <f t="shared" si="0"/>
        <v/>
      </c>
      <c r="AM63" s="5" t="str">
        <f t="shared" si="1"/>
        <v/>
      </c>
      <c r="AN63" s="5" t="str">
        <f t="shared" si="2"/>
        <v/>
      </c>
      <c r="AO63" s="21" t="str">
        <f t="shared" si="3"/>
        <v/>
      </c>
    </row>
    <row r="64" spans="2:41" x14ac:dyDescent="0.2">
      <c r="B64" s="297">
        <f t="shared" si="11"/>
        <v>0</v>
      </c>
      <c r="C64" s="297">
        <f t="shared" si="11"/>
        <v>0</v>
      </c>
      <c r="D64" s="297">
        <f t="shared" si="11"/>
        <v>0</v>
      </c>
      <c r="E64" s="297">
        <f t="shared" si="11"/>
        <v>0</v>
      </c>
      <c r="F64" s="297">
        <f t="shared" si="11"/>
        <v>0</v>
      </c>
      <c r="G64" s="1107"/>
      <c r="H64" s="121"/>
      <c r="I64" s="121"/>
      <c r="M64" s="5" t="s">
        <v>2039</v>
      </c>
      <c r="N64" s="5">
        <f t="shared" si="10"/>
        <v>0</v>
      </c>
      <c r="P64" s="127">
        <v>6</v>
      </c>
      <c r="Q64" s="127" t="s">
        <v>2885</v>
      </c>
      <c r="R64" s="127" t="s">
        <v>2886</v>
      </c>
      <c r="S64" s="102" t="s">
        <v>1585</v>
      </c>
      <c r="T64" s="103"/>
      <c r="U64" s="103"/>
      <c r="V64" s="103"/>
      <c r="W64" s="127">
        <v>0</v>
      </c>
      <c r="X64" s="127">
        <f t="shared" si="12"/>
        <v>0</v>
      </c>
      <c r="Y64" s="127">
        <f>IF('WP1'!$BH$57=4,1,0)</f>
        <v>0</v>
      </c>
      <c r="Z64" s="127">
        <f>IF($Z$57=2,1,0)</f>
        <v>0</v>
      </c>
      <c r="AB64" s="127">
        <f t="shared" si="13"/>
        <v>0</v>
      </c>
      <c r="AC64" s="127">
        <f t="shared" si="14"/>
        <v>0</v>
      </c>
      <c r="AI64" s="20"/>
      <c r="AJ64" s="20"/>
      <c r="AK64" s="20" t="str">
        <f t="shared" si="9"/>
        <v/>
      </c>
      <c r="AL64" s="5" t="str">
        <f t="shared" si="0"/>
        <v/>
      </c>
      <c r="AM64" s="5" t="str">
        <f t="shared" si="1"/>
        <v/>
      </c>
      <c r="AN64" s="5" t="str">
        <f t="shared" si="2"/>
        <v/>
      </c>
      <c r="AO64" s="21" t="str">
        <f t="shared" si="3"/>
        <v/>
      </c>
    </row>
    <row r="65" spans="2:41" x14ac:dyDescent="0.2">
      <c r="B65" s="121"/>
      <c r="C65" s="121"/>
      <c r="D65" s="121"/>
      <c r="H65" s="121"/>
      <c r="I65" s="121"/>
      <c r="M65" s="5" t="s">
        <v>2040</v>
      </c>
      <c r="N65" s="5">
        <f t="shared" si="10"/>
        <v>0</v>
      </c>
      <c r="P65" s="127">
        <v>7</v>
      </c>
      <c r="Q65" s="127" t="s">
        <v>2885</v>
      </c>
      <c r="R65" s="127" t="s">
        <v>2886</v>
      </c>
      <c r="S65" s="102" t="s">
        <v>1584</v>
      </c>
      <c r="T65" s="103"/>
      <c r="U65" s="103"/>
      <c r="V65" s="103"/>
      <c r="W65" s="127">
        <v>0</v>
      </c>
      <c r="X65" s="127">
        <f t="shared" si="12"/>
        <v>0</v>
      </c>
      <c r="Y65" s="127">
        <f>Y64</f>
        <v>0</v>
      </c>
      <c r="Z65" s="127">
        <f>IF($Z$57=3,1,0)*IF($AA$57=0,1,0)</f>
        <v>0</v>
      </c>
      <c r="AB65" s="127">
        <f t="shared" si="13"/>
        <v>0</v>
      </c>
      <c r="AC65" s="127">
        <f t="shared" si="14"/>
        <v>0</v>
      </c>
      <c r="AI65" s="25"/>
      <c r="AJ65" s="25"/>
      <c r="AK65" s="25" t="str">
        <f t="shared" si="9"/>
        <v/>
      </c>
      <c r="AL65" s="27" t="str">
        <f t="shared" si="0"/>
        <v/>
      </c>
      <c r="AM65" s="27" t="str">
        <f t="shared" si="1"/>
        <v/>
      </c>
      <c r="AN65" s="27" t="str">
        <f t="shared" si="2"/>
        <v/>
      </c>
      <c r="AO65" s="44" t="str">
        <f t="shared" si="3"/>
        <v/>
      </c>
    </row>
    <row r="66" spans="2:41" x14ac:dyDescent="0.2">
      <c r="B66" s="121"/>
      <c r="C66" s="121"/>
      <c r="D66" s="121"/>
      <c r="H66" s="121"/>
      <c r="I66" s="121"/>
      <c r="M66" s="5" t="s">
        <v>2041</v>
      </c>
      <c r="N66" s="5">
        <f t="shared" si="10"/>
        <v>0</v>
      </c>
      <c r="P66" s="127">
        <v>8</v>
      </c>
      <c r="Q66" s="127" t="s">
        <v>2885</v>
      </c>
      <c r="R66" s="127" t="s">
        <v>2886</v>
      </c>
      <c r="S66" s="102" t="s">
        <v>2892</v>
      </c>
      <c r="T66" s="103"/>
      <c r="U66" s="103"/>
      <c r="V66" s="103"/>
      <c r="W66" s="127">
        <v>0</v>
      </c>
      <c r="X66" s="127">
        <f t="shared" si="12"/>
        <v>0</v>
      </c>
      <c r="Y66" s="127">
        <f>Y65</f>
        <v>0</v>
      </c>
      <c r="Z66" s="127">
        <f>IF($Z$57=3,1,0)*$AA$57</f>
        <v>0</v>
      </c>
      <c r="AB66" s="127">
        <f t="shared" si="13"/>
        <v>0</v>
      </c>
      <c r="AC66" s="127">
        <f t="shared" si="14"/>
        <v>0</v>
      </c>
    </row>
    <row r="67" spans="2:41" x14ac:dyDescent="0.2">
      <c r="M67" s="5" t="s">
        <v>2042</v>
      </c>
      <c r="N67" s="5">
        <f t="shared" si="10"/>
        <v>0</v>
      </c>
      <c r="P67" s="127">
        <v>9</v>
      </c>
      <c r="Q67" s="127" t="s">
        <v>2885</v>
      </c>
      <c r="R67" s="127" t="s">
        <v>2886</v>
      </c>
      <c r="S67" s="102" t="s">
        <v>1610</v>
      </c>
      <c r="T67" s="103"/>
      <c r="U67" s="103"/>
      <c r="V67" s="103"/>
      <c r="W67" s="127">
        <v>0</v>
      </c>
      <c r="X67" s="127">
        <f t="shared" si="12"/>
        <v>0</v>
      </c>
      <c r="Y67" s="127">
        <f>Y66</f>
        <v>0</v>
      </c>
      <c r="Z67" s="127">
        <f>IF($Z$57=4,1,0)</f>
        <v>0</v>
      </c>
      <c r="AB67" s="127">
        <f t="shared" si="13"/>
        <v>0</v>
      </c>
      <c r="AC67" s="127">
        <f t="shared" si="14"/>
        <v>0</v>
      </c>
    </row>
    <row r="68" spans="2:41" x14ac:dyDescent="0.2">
      <c r="M68" s="5" t="s">
        <v>2043</v>
      </c>
      <c r="N68" s="5">
        <f t="shared" si="10"/>
        <v>0</v>
      </c>
      <c r="P68" s="127">
        <v>10</v>
      </c>
      <c r="Q68" s="127" t="s">
        <v>2885</v>
      </c>
      <c r="R68" s="127" t="s">
        <v>2886</v>
      </c>
      <c r="S68" s="102" t="s">
        <v>79</v>
      </c>
      <c r="T68" s="103"/>
      <c r="U68" s="103"/>
      <c r="V68" s="103"/>
      <c r="W68" s="127">
        <v>0</v>
      </c>
      <c r="X68" s="127">
        <f t="shared" si="12"/>
        <v>0</v>
      </c>
      <c r="Y68" s="127">
        <f>Y67</f>
        <v>0</v>
      </c>
      <c r="Z68" s="127">
        <f>IF($Z$57=5,1,0)</f>
        <v>0</v>
      </c>
      <c r="AB68" s="127">
        <f t="shared" si="13"/>
        <v>0</v>
      </c>
      <c r="AC68" s="127">
        <f t="shared" si="14"/>
        <v>0</v>
      </c>
    </row>
    <row r="69" spans="2:41" x14ac:dyDescent="0.2">
      <c r="M69" s="5" t="s">
        <v>2047</v>
      </c>
      <c r="N69" s="5">
        <f t="shared" si="10"/>
        <v>0</v>
      </c>
      <c r="P69" s="127">
        <v>11</v>
      </c>
      <c r="Q69" s="127" t="s">
        <v>2885</v>
      </c>
      <c r="R69" s="127" t="s">
        <v>2886</v>
      </c>
      <c r="S69" s="102" t="s">
        <v>80</v>
      </c>
      <c r="T69" s="103"/>
      <c r="U69" s="103"/>
      <c r="V69" s="103"/>
      <c r="W69" s="127">
        <v>0</v>
      </c>
      <c r="X69" s="127">
        <f t="shared" si="12"/>
        <v>0</v>
      </c>
      <c r="Y69" s="127">
        <f>Y68</f>
        <v>0</v>
      </c>
      <c r="Z69" s="127">
        <f>IF($Z$57=6,1,0)</f>
        <v>0</v>
      </c>
      <c r="AB69" s="127">
        <f t="shared" si="13"/>
        <v>0</v>
      </c>
      <c r="AC69" s="127">
        <f t="shared" si="14"/>
        <v>0</v>
      </c>
    </row>
    <row r="70" spans="2:41" x14ac:dyDescent="0.2">
      <c r="M70" s="5" t="s">
        <v>2048</v>
      </c>
      <c r="N70" s="5">
        <f t="shared" si="10"/>
        <v>0</v>
      </c>
      <c r="P70" s="127">
        <v>12</v>
      </c>
      <c r="Q70" s="127" t="s">
        <v>2888</v>
      </c>
      <c r="R70" s="127" t="s">
        <v>2887</v>
      </c>
      <c r="S70" s="102" t="s">
        <v>1585</v>
      </c>
      <c r="T70" s="103"/>
      <c r="U70" s="103"/>
      <c r="V70" s="103"/>
      <c r="W70" s="127">
        <v>0</v>
      </c>
      <c r="X70" s="127">
        <f>IF(AND('WP1'!R3&gt;5,'WP1'!R3&lt;18),1,0)</f>
        <v>0</v>
      </c>
      <c r="Y70" s="127">
        <f>IF('WP1'!$BH$57=2,1,0)</f>
        <v>0</v>
      </c>
      <c r="Z70" s="127">
        <f>IF($Z$57=2,1,0)</f>
        <v>0</v>
      </c>
      <c r="AB70" s="127">
        <f t="shared" si="13"/>
        <v>0</v>
      </c>
      <c r="AC70" s="127">
        <f t="shared" si="14"/>
        <v>0</v>
      </c>
    </row>
    <row r="71" spans="2:41" x14ac:dyDescent="0.2">
      <c r="M71" s="5" t="s">
        <v>2049</v>
      </c>
      <c r="N71" s="5">
        <f t="shared" si="10"/>
        <v>0</v>
      </c>
      <c r="P71" s="127">
        <v>13</v>
      </c>
      <c r="Q71" s="127" t="s">
        <v>2888</v>
      </c>
      <c r="R71" s="127" t="s">
        <v>2887</v>
      </c>
      <c r="S71" s="102" t="s">
        <v>1584</v>
      </c>
      <c r="T71" s="103"/>
      <c r="U71" s="103"/>
      <c r="V71" s="103"/>
      <c r="W71" s="127">
        <v>0</v>
      </c>
      <c r="X71" s="127">
        <f t="shared" ref="X71:X79" si="15">X70</f>
        <v>0</v>
      </c>
      <c r="Y71" s="127">
        <f t="shared" si="12"/>
        <v>0</v>
      </c>
      <c r="Z71" s="127">
        <f>IF($Z$57=3,1,0)*IF($AA$57=0,1,0)</f>
        <v>0</v>
      </c>
      <c r="AB71" s="127">
        <f t="shared" si="13"/>
        <v>0</v>
      </c>
      <c r="AC71" s="127">
        <f t="shared" si="14"/>
        <v>0</v>
      </c>
    </row>
    <row r="72" spans="2:41" x14ac:dyDescent="0.2">
      <c r="M72" s="5" t="s">
        <v>2050</v>
      </c>
      <c r="N72" s="5">
        <f t="shared" si="10"/>
        <v>0</v>
      </c>
      <c r="P72" s="127">
        <v>14</v>
      </c>
      <c r="Q72" s="127" t="s">
        <v>2888</v>
      </c>
      <c r="R72" s="127" t="s">
        <v>2887</v>
      </c>
      <c r="S72" s="102" t="s">
        <v>2892</v>
      </c>
      <c r="T72" s="103"/>
      <c r="U72" s="103"/>
      <c r="V72" s="103"/>
      <c r="W72" s="127">
        <v>0</v>
      </c>
      <c r="X72" s="127">
        <f t="shared" si="15"/>
        <v>0</v>
      </c>
      <c r="Y72" s="127">
        <f t="shared" si="12"/>
        <v>0</v>
      </c>
      <c r="Z72" s="127">
        <f>IF($Z$57=3,1,0)*$AA$57</f>
        <v>0</v>
      </c>
      <c r="AB72" s="127">
        <f t="shared" si="13"/>
        <v>0</v>
      </c>
      <c r="AC72" s="127">
        <f t="shared" si="14"/>
        <v>0</v>
      </c>
    </row>
    <row r="73" spans="2:41" x14ac:dyDescent="0.2">
      <c r="M73" s="5" t="s">
        <v>2051</v>
      </c>
      <c r="N73" s="5">
        <f t="shared" si="10"/>
        <v>0</v>
      </c>
      <c r="P73" s="127">
        <v>15</v>
      </c>
      <c r="Q73" s="127" t="s">
        <v>2888</v>
      </c>
      <c r="R73" s="127" t="s">
        <v>1676</v>
      </c>
      <c r="S73" s="102"/>
      <c r="T73" s="103"/>
      <c r="U73" s="103"/>
      <c r="V73" s="103"/>
      <c r="W73" s="127">
        <v>0</v>
      </c>
      <c r="X73" s="127">
        <f t="shared" si="15"/>
        <v>0</v>
      </c>
      <c r="Y73" s="127">
        <f>IF('WP1'!$BH$57=3,1,0)</f>
        <v>0</v>
      </c>
      <c r="Z73" s="127">
        <v>1</v>
      </c>
      <c r="AB73" s="127">
        <f t="shared" si="13"/>
        <v>0</v>
      </c>
      <c r="AC73" s="127">
        <f t="shared" ref="AC73:AC79" si="16">AB73*P73</f>
        <v>0</v>
      </c>
    </row>
    <row r="74" spans="2:41" x14ac:dyDescent="0.2">
      <c r="M74" s="5" t="s">
        <v>2052</v>
      </c>
      <c r="N74" s="5">
        <f t="shared" si="10"/>
        <v>0</v>
      </c>
      <c r="P74" s="127">
        <v>16</v>
      </c>
      <c r="Q74" s="127" t="s">
        <v>2888</v>
      </c>
      <c r="R74" s="127" t="s">
        <v>2886</v>
      </c>
      <c r="S74" s="102" t="s">
        <v>1585</v>
      </c>
      <c r="T74" s="103"/>
      <c r="U74" s="103"/>
      <c r="V74" s="103"/>
      <c r="W74" s="127">
        <v>0</v>
      </c>
      <c r="X74" s="127">
        <f t="shared" si="15"/>
        <v>0</v>
      </c>
      <c r="Y74" s="127">
        <f>IF('WP1'!$BH$57=4,1,0)</f>
        <v>0</v>
      </c>
      <c r="Z74" s="127">
        <f>IF($Z$57=2,1,0)</f>
        <v>0</v>
      </c>
      <c r="AB74" s="127">
        <f t="shared" si="13"/>
        <v>0</v>
      </c>
      <c r="AC74" s="127">
        <f t="shared" si="16"/>
        <v>0</v>
      </c>
    </row>
    <row r="75" spans="2:41" x14ac:dyDescent="0.2">
      <c r="M75" s="5" t="s">
        <v>2053</v>
      </c>
      <c r="N75" s="5">
        <f t="shared" si="10"/>
        <v>0</v>
      </c>
      <c r="P75" s="127">
        <v>17</v>
      </c>
      <c r="Q75" s="127" t="s">
        <v>2888</v>
      </c>
      <c r="R75" s="127" t="s">
        <v>2886</v>
      </c>
      <c r="S75" s="102" t="s">
        <v>1584</v>
      </c>
      <c r="T75" s="103"/>
      <c r="U75" s="103"/>
      <c r="V75" s="103"/>
      <c r="W75" s="127">
        <v>0</v>
      </c>
      <c r="X75" s="127">
        <f t="shared" si="15"/>
        <v>0</v>
      </c>
      <c r="Y75" s="127">
        <f>Y74</f>
        <v>0</v>
      </c>
      <c r="Z75" s="127">
        <f>IF($Z$57=3,1,0)*IF($AA$57=0,1,0)</f>
        <v>0</v>
      </c>
      <c r="AB75" s="127">
        <f t="shared" si="13"/>
        <v>0</v>
      </c>
      <c r="AC75" s="127">
        <f t="shared" si="16"/>
        <v>0</v>
      </c>
    </row>
    <row r="76" spans="2:41" x14ac:dyDescent="0.2">
      <c r="M76" s="5" t="s">
        <v>2054</v>
      </c>
      <c r="N76" s="5">
        <f t="shared" si="10"/>
        <v>0</v>
      </c>
      <c r="P76" s="127">
        <v>18</v>
      </c>
      <c r="Q76" s="127" t="s">
        <v>2888</v>
      </c>
      <c r="R76" s="127" t="s">
        <v>2886</v>
      </c>
      <c r="S76" s="102" t="s">
        <v>2892</v>
      </c>
      <c r="T76" s="103"/>
      <c r="U76" s="103"/>
      <c r="V76" s="103"/>
      <c r="W76" s="127">
        <v>0</v>
      </c>
      <c r="X76" s="127">
        <f t="shared" si="15"/>
        <v>0</v>
      </c>
      <c r="Y76" s="127">
        <f>Y75</f>
        <v>0</v>
      </c>
      <c r="Z76" s="127">
        <f>IF($Z$57=3,1,0)*$AA$57</f>
        <v>0</v>
      </c>
      <c r="AB76" s="127">
        <f t="shared" si="13"/>
        <v>0</v>
      </c>
      <c r="AC76" s="127">
        <f t="shared" si="16"/>
        <v>0</v>
      </c>
    </row>
    <row r="77" spans="2:41" x14ac:dyDescent="0.2">
      <c r="M77" s="5" t="s">
        <v>2055</v>
      </c>
      <c r="N77" s="5">
        <f t="shared" si="10"/>
        <v>0</v>
      </c>
      <c r="P77" s="127">
        <v>19</v>
      </c>
      <c r="Q77" s="127" t="s">
        <v>2888</v>
      </c>
      <c r="R77" s="127" t="s">
        <v>2886</v>
      </c>
      <c r="S77" s="102" t="s">
        <v>1610</v>
      </c>
      <c r="T77" s="103"/>
      <c r="U77" s="103"/>
      <c r="V77" s="103"/>
      <c r="W77" s="127">
        <v>0</v>
      </c>
      <c r="X77" s="127">
        <f t="shared" si="15"/>
        <v>0</v>
      </c>
      <c r="Y77" s="127">
        <f>Y76</f>
        <v>0</v>
      </c>
      <c r="Z77" s="127">
        <f>IF($Z$57=4,1,0)</f>
        <v>0</v>
      </c>
      <c r="AB77" s="127">
        <f t="shared" si="13"/>
        <v>0</v>
      </c>
      <c r="AC77" s="127">
        <f t="shared" si="16"/>
        <v>0</v>
      </c>
    </row>
    <row r="78" spans="2:41" ht="14.45" customHeight="1" x14ac:dyDescent="0.2">
      <c r="M78" s="5" t="s">
        <v>2056</v>
      </c>
      <c r="N78" s="5">
        <f t="shared" si="10"/>
        <v>0</v>
      </c>
      <c r="P78" s="127">
        <v>20</v>
      </c>
      <c r="Q78" s="127" t="s">
        <v>2888</v>
      </c>
      <c r="R78" s="127" t="s">
        <v>2886</v>
      </c>
      <c r="S78" s="102" t="s">
        <v>79</v>
      </c>
      <c r="T78" s="103"/>
      <c r="U78" s="103"/>
      <c r="V78" s="103"/>
      <c r="W78" s="127">
        <v>0</v>
      </c>
      <c r="X78" s="127">
        <f t="shared" si="15"/>
        <v>0</v>
      </c>
      <c r="Y78" s="127">
        <f>Y77</f>
        <v>0</v>
      </c>
      <c r="Z78" s="127">
        <f>IF($Z$57=5,1,0)</f>
        <v>0</v>
      </c>
      <c r="AB78" s="127">
        <f t="shared" si="13"/>
        <v>0</v>
      </c>
      <c r="AC78" s="127">
        <f t="shared" si="16"/>
        <v>0</v>
      </c>
    </row>
    <row r="79" spans="2:41" hidden="1" x14ac:dyDescent="0.2">
      <c r="M79" s="5" t="s">
        <v>2057</v>
      </c>
      <c r="N79" s="5">
        <f t="shared" si="10"/>
        <v>0</v>
      </c>
      <c r="P79" s="127">
        <v>21</v>
      </c>
      <c r="Q79" s="127" t="s">
        <v>2888</v>
      </c>
      <c r="R79" s="127" t="s">
        <v>2886</v>
      </c>
      <c r="S79" s="102" t="s">
        <v>80</v>
      </c>
      <c r="T79" s="103"/>
      <c r="U79" s="103"/>
      <c r="V79" s="103"/>
      <c r="W79" s="127">
        <v>0</v>
      </c>
      <c r="X79" s="127">
        <f t="shared" si="15"/>
        <v>0</v>
      </c>
      <c r="Y79" s="127">
        <f>Y78</f>
        <v>0</v>
      </c>
      <c r="Z79" s="127">
        <f>IF($Z$57=6,1,0)</f>
        <v>0</v>
      </c>
      <c r="AB79" s="127">
        <f t="shared" si="13"/>
        <v>0</v>
      </c>
      <c r="AC79" s="127">
        <f t="shared" si="16"/>
        <v>0</v>
      </c>
    </row>
    <row r="80" spans="2:41" hidden="1" x14ac:dyDescent="0.2">
      <c r="M80" s="5" t="s">
        <v>2058</v>
      </c>
      <c r="N80" s="5">
        <f t="shared" si="10"/>
        <v>0</v>
      </c>
      <c r="P80" s="127">
        <v>22</v>
      </c>
      <c r="Q80" s="127" t="s">
        <v>2888</v>
      </c>
      <c r="R80" s="127" t="s">
        <v>873</v>
      </c>
      <c r="S80" s="102"/>
      <c r="T80" s="103"/>
      <c r="U80" s="103"/>
      <c r="V80" s="103"/>
      <c r="W80" s="127">
        <f>IF(W57=5,1,0)*X70</f>
        <v>0</v>
      </c>
      <c r="X80" s="127">
        <v>0</v>
      </c>
      <c r="Y80" s="127">
        <f>IF('WP1'!$BH$57=2,1,0)</f>
        <v>0</v>
      </c>
      <c r="Z80" s="127">
        <f>IF($Z$57=2,1,0)</f>
        <v>0</v>
      </c>
      <c r="AB80" s="127">
        <f t="shared" si="13"/>
        <v>0</v>
      </c>
      <c r="AC80" s="127">
        <f t="shared" si="14"/>
        <v>0</v>
      </c>
    </row>
    <row r="81" spans="13:29" hidden="1" x14ac:dyDescent="0.2">
      <c r="M81" s="5" t="s">
        <v>3909</v>
      </c>
      <c r="N81" s="5">
        <f t="shared" si="10"/>
        <v>0</v>
      </c>
      <c r="P81" s="127">
        <v>23</v>
      </c>
      <c r="Q81" s="127" t="s">
        <v>2885</v>
      </c>
      <c r="R81" s="127" t="s">
        <v>873</v>
      </c>
      <c r="S81" s="102"/>
      <c r="T81" s="103"/>
      <c r="U81" s="103"/>
      <c r="V81" s="103"/>
      <c r="W81" s="127">
        <f>IF(W57=5,1,0)*X60</f>
        <v>0</v>
      </c>
      <c r="X81" s="127">
        <v>0</v>
      </c>
      <c r="Y81" s="127">
        <v>0</v>
      </c>
      <c r="Z81" s="127">
        <v>0</v>
      </c>
      <c r="AB81" s="127">
        <f t="shared" si="13"/>
        <v>0</v>
      </c>
      <c r="AC81" s="127">
        <f t="shared" si="14"/>
        <v>0</v>
      </c>
    </row>
    <row r="82" spans="13:29" hidden="1" x14ac:dyDescent="0.2">
      <c r="M82" s="5" t="s">
        <v>3910</v>
      </c>
      <c r="N82" s="5">
        <f t="shared" si="10"/>
        <v>0</v>
      </c>
      <c r="P82" s="127">
        <v>24</v>
      </c>
      <c r="Q82" s="127" t="s">
        <v>1749</v>
      </c>
      <c r="R82" s="127" t="s">
        <v>1676</v>
      </c>
      <c r="S82" s="102"/>
      <c r="T82" s="103"/>
      <c r="U82" s="103"/>
      <c r="V82" s="103"/>
      <c r="W82" s="127">
        <v>0</v>
      </c>
      <c r="X82" s="127">
        <f>IF(X57=18,1,0)</f>
        <v>0</v>
      </c>
      <c r="Y82" s="127">
        <f>IF('WP1'!$BH$57=3,1,0)</f>
        <v>0</v>
      </c>
      <c r="Z82" s="127">
        <v>1</v>
      </c>
      <c r="AB82" s="127">
        <f t="shared" si="13"/>
        <v>0</v>
      </c>
      <c r="AC82" s="127">
        <f t="shared" si="14"/>
        <v>0</v>
      </c>
    </row>
    <row r="83" spans="13:29" hidden="1" x14ac:dyDescent="0.2">
      <c r="M83" s="5" t="s">
        <v>456</v>
      </c>
      <c r="N83" s="5">
        <f t="shared" si="10"/>
        <v>0</v>
      </c>
      <c r="P83" s="127">
        <v>25</v>
      </c>
      <c r="Q83" s="127" t="s">
        <v>1749</v>
      </c>
      <c r="R83" s="127" t="s">
        <v>2887</v>
      </c>
      <c r="S83" s="102"/>
      <c r="T83" s="103"/>
      <c r="U83" s="103"/>
      <c r="V83" s="103"/>
      <c r="W83" s="127">
        <v>0</v>
      </c>
      <c r="X83" s="127">
        <f>X82</f>
        <v>0</v>
      </c>
      <c r="Y83" s="127">
        <f>IF('WP1'!$BH$57=2,1,0)</f>
        <v>0</v>
      </c>
      <c r="Z83" s="127">
        <v>1</v>
      </c>
      <c r="AB83" s="127">
        <f t="shared" si="13"/>
        <v>0</v>
      </c>
      <c r="AC83" s="127">
        <f t="shared" ref="AC83:AC89" si="17">AB83*P83</f>
        <v>0</v>
      </c>
    </row>
    <row r="84" spans="13:29" hidden="1" x14ac:dyDescent="0.2">
      <c r="M84" s="5" t="s">
        <v>457</v>
      </c>
      <c r="N84" s="5">
        <f t="shared" si="10"/>
        <v>0</v>
      </c>
      <c r="P84" s="127">
        <v>26</v>
      </c>
      <c r="Q84" s="127" t="s">
        <v>1749</v>
      </c>
      <c r="R84" s="127" t="s">
        <v>2886</v>
      </c>
      <c r="S84" s="102"/>
      <c r="T84" s="103"/>
      <c r="U84" s="103"/>
      <c r="V84" s="103"/>
      <c r="W84" s="127">
        <v>0</v>
      </c>
      <c r="X84" s="127">
        <f>X83</f>
        <v>0</v>
      </c>
      <c r="Y84" s="127">
        <f>IF('WP1'!$BH$57=4,1,0)</f>
        <v>0</v>
      </c>
      <c r="Z84" s="127">
        <v>1</v>
      </c>
      <c r="AB84" s="127">
        <f t="shared" si="13"/>
        <v>0</v>
      </c>
      <c r="AC84" s="127">
        <f t="shared" si="17"/>
        <v>0</v>
      </c>
    </row>
    <row r="85" spans="13:29" hidden="1" x14ac:dyDescent="0.2">
      <c r="M85" s="5" t="s">
        <v>458</v>
      </c>
      <c r="N85" s="5">
        <f t="shared" si="10"/>
        <v>0</v>
      </c>
      <c r="P85" s="127">
        <v>27</v>
      </c>
      <c r="Q85" s="127"/>
      <c r="R85" s="127"/>
      <c r="S85" s="102"/>
      <c r="T85" s="103"/>
      <c r="U85" s="103"/>
      <c r="V85" s="103"/>
      <c r="W85" s="127">
        <v>0</v>
      </c>
      <c r="X85" s="127">
        <v>0</v>
      </c>
      <c r="Y85" s="127">
        <f>Y84</f>
        <v>0</v>
      </c>
      <c r="Z85" s="127">
        <v>0</v>
      </c>
      <c r="AB85" s="127">
        <f t="shared" si="13"/>
        <v>0</v>
      </c>
      <c r="AC85" s="127">
        <f t="shared" si="17"/>
        <v>0</v>
      </c>
    </row>
    <row r="86" spans="13:29" hidden="1" x14ac:dyDescent="0.2">
      <c r="M86" s="5" t="s">
        <v>459</v>
      </c>
      <c r="N86" s="5">
        <f t="shared" si="10"/>
        <v>0</v>
      </c>
      <c r="P86" s="127">
        <v>28</v>
      </c>
      <c r="Q86" s="127"/>
      <c r="R86" s="127"/>
      <c r="S86" s="102"/>
      <c r="T86" s="103"/>
      <c r="U86" s="103"/>
      <c r="V86" s="103"/>
      <c r="W86" s="127">
        <v>0</v>
      </c>
      <c r="X86" s="127">
        <v>0</v>
      </c>
      <c r="Y86" s="127">
        <f>Y85</f>
        <v>0</v>
      </c>
      <c r="Z86" s="127">
        <v>0</v>
      </c>
      <c r="AB86" s="127">
        <f t="shared" si="13"/>
        <v>0</v>
      </c>
      <c r="AC86" s="127">
        <f t="shared" si="17"/>
        <v>0</v>
      </c>
    </row>
    <row r="87" spans="13:29" hidden="1" x14ac:dyDescent="0.2">
      <c r="M87" s="5" t="s">
        <v>460</v>
      </c>
      <c r="N87" s="5">
        <f t="shared" si="10"/>
        <v>0</v>
      </c>
      <c r="P87" s="127">
        <v>29</v>
      </c>
      <c r="Q87" s="127"/>
      <c r="R87" s="127"/>
      <c r="S87" s="102"/>
      <c r="T87" s="103"/>
      <c r="U87" s="103"/>
      <c r="V87" s="103"/>
      <c r="W87" s="127">
        <v>0</v>
      </c>
      <c r="X87" s="127">
        <v>0</v>
      </c>
      <c r="Y87" s="127">
        <f>Y86</f>
        <v>0</v>
      </c>
      <c r="Z87" s="127">
        <v>0</v>
      </c>
      <c r="AB87" s="127">
        <f t="shared" si="13"/>
        <v>0</v>
      </c>
      <c r="AC87" s="127">
        <f t="shared" si="17"/>
        <v>0</v>
      </c>
    </row>
    <row r="88" spans="13:29" hidden="1" x14ac:dyDescent="0.2">
      <c r="M88" s="5" t="s">
        <v>461</v>
      </c>
      <c r="N88" s="5">
        <f t="shared" si="10"/>
        <v>0</v>
      </c>
      <c r="P88" s="127">
        <v>30</v>
      </c>
      <c r="Q88" s="127"/>
      <c r="R88" s="127"/>
      <c r="S88" s="102"/>
      <c r="T88" s="103"/>
      <c r="U88" s="103"/>
      <c r="V88" s="103"/>
      <c r="W88" s="127">
        <v>0</v>
      </c>
      <c r="X88" s="127">
        <v>0</v>
      </c>
      <c r="Y88" s="127">
        <f>Y87</f>
        <v>0</v>
      </c>
      <c r="Z88" s="127">
        <v>0</v>
      </c>
      <c r="AB88" s="127">
        <f t="shared" si="13"/>
        <v>0</v>
      </c>
      <c r="AC88" s="127">
        <f t="shared" si="17"/>
        <v>0</v>
      </c>
    </row>
    <row r="89" spans="13:29" hidden="1" x14ac:dyDescent="0.2">
      <c r="M89" s="5" t="s">
        <v>462</v>
      </c>
      <c r="N89" s="5">
        <f t="shared" si="10"/>
        <v>0</v>
      </c>
      <c r="P89" s="127">
        <v>31</v>
      </c>
      <c r="Q89" s="127"/>
      <c r="R89" s="127"/>
      <c r="S89" s="102"/>
      <c r="T89" s="103"/>
      <c r="U89" s="103"/>
      <c r="V89" s="103"/>
      <c r="W89" s="127">
        <v>0</v>
      </c>
      <c r="X89" s="127">
        <v>0</v>
      </c>
      <c r="Y89" s="127">
        <f>Y88</f>
        <v>0</v>
      </c>
      <c r="Z89" s="127">
        <v>0</v>
      </c>
      <c r="AB89" s="127">
        <f t="shared" si="13"/>
        <v>0</v>
      </c>
      <c r="AC89" s="127">
        <f t="shared" si="17"/>
        <v>0</v>
      </c>
    </row>
    <row r="90" spans="13:29" hidden="1" x14ac:dyDescent="0.2"/>
    <row r="91" spans="13:29" hidden="1" x14ac:dyDescent="0.2"/>
    <row r="92" spans="13:29" hidden="1" x14ac:dyDescent="0.2"/>
    <row r="93" spans="13:29" hidden="1" x14ac:dyDescent="0.2"/>
    <row r="94" spans="13:29" hidden="1" x14ac:dyDescent="0.2"/>
    <row r="95" spans="13:29" hidden="1" x14ac:dyDescent="0.2"/>
    <row r="96" spans="13:29" hidden="1" x14ac:dyDescent="0.2"/>
    <row r="97" hidden="1" x14ac:dyDescent="0.2"/>
    <row r="98" hidden="1" x14ac:dyDescent="0.2"/>
    <row r="99" hidden="1" x14ac:dyDescent="0.2"/>
    <row r="100" hidden="1" x14ac:dyDescent="0.2"/>
  </sheetData>
  <sheetProtection password="CABA" sheet="1" objects="1" scenarios="1"/>
  <mergeCells count="24">
    <mergeCell ref="H53:J53"/>
    <mergeCell ref="H44:J44"/>
    <mergeCell ref="H45:J45"/>
    <mergeCell ref="H37:J37"/>
    <mergeCell ref="H52:J52"/>
    <mergeCell ref="E48:J48"/>
    <mergeCell ref="N50:O50"/>
    <mergeCell ref="N41:O41"/>
    <mergeCell ref="I2:J2"/>
    <mergeCell ref="B12:B13"/>
    <mergeCell ref="P44:Q44"/>
    <mergeCell ref="E5:J5"/>
    <mergeCell ref="E31:J31"/>
    <mergeCell ref="N26:O26"/>
    <mergeCell ref="N44:O44"/>
    <mergeCell ref="N32:O32"/>
    <mergeCell ref="H36:J36"/>
    <mergeCell ref="R44:S44"/>
    <mergeCell ref="F6:G6"/>
    <mergeCell ref="I6:J6"/>
    <mergeCell ref="P26:Q26"/>
    <mergeCell ref="P35:Q35"/>
    <mergeCell ref="N35:O35"/>
    <mergeCell ref="E40:J40"/>
  </mergeCells>
  <phoneticPr fontId="0" type="noConversion"/>
  <conditionalFormatting sqref="B4:B12 C4:J14 B14 L14">
    <cfRule type="expression" dxfId="7" priority="7" stopIfTrue="1">
      <formula>WPArt=6</formula>
    </cfRule>
  </conditionalFormatting>
  <conditionalFormatting sqref="B39:J45">
    <cfRule type="expression" dxfId="6" priority="5" stopIfTrue="1">
      <formula>Venti=FALSE</formula>
    </cfRule>
  </conditionalFormatting>
  <conditionalFormatting sqref="B47:J53">
    <cfRule type="expression" dxfId="5" priority="6" stopIfTrue="1">
      <formula>Kondensatorpumpe=FALSE</formula>
    </cfRule>
  </conditionalFormatting>
  <conditionalFormatting sqref="B55:J58">
    <cfRule type="expression" dxfId="4" priority="8" stopIfTrue="1">
      <formula>WPArt&lt;&gt;2</formula>
    </cfRule>
  </conditionalFormatting>
  <conditionalFormatting sqref="N28:Q28 N37:S37 N46:S46">
    <cfRule type="expression" dxfId="3" priority="1" stopIfTrue="1">
      <formula>stufig=1</formula>
    </cfRule>
  </conditionalFormatting>
  <conditionalFormatting sqref="N29:Q29 N38:Q38 N47:S47">
    <cfRule type="expression" dxfId="2" priority="2" stopIfTrue="1">
      <formula>stufig=2</formula>
    </cfRule>
  </conditionalFormatting>
  <conditionalFormatting sqref="N30:Q30 N39:Q39 N48:S48">
    <cfRule type="expression" dxfId="1" priority="3" stopIfTrue="1">
      <formula>stufig=3</formula>
    </cfRule>
  </conditionalFormatting>
  <conditionalFormatting sqref="N31:Q31 N40:S40 N49:S49">
    <cfRule type="expression" dxfId="0" priority="4" stopIfTrue="1">
      <formula>stufig=4</formula>
    </cfRule>
  </conditionalFormatting>
  <dataValidations count="11">
    <dataValidation type="list" allowBlank="1" showInputMessage="1" showErrorMessage="1" sqref="H37" xr:uid="{00000000-0002-0000-0600-000000000000}">
      <formula1>L_Quellenpumpe_Regelung</formula1>
    </dataValidation>
    <dataValidation type="list" allowBlank="1" showInputMessage="1" showErrorMessage="1" sqref="H36 H52:J52 H44:J44" xr:uid="{00000000-0002-0000-0600-000001000000}">
      <formula1>L_Pumpe_Betriebsart</formula1>
    </dataValidation>
    <dataValidation type="list" allowBlank="1" showInputMessage="1" showErrorMessage="1" sqref="H53:J53 H45" xr:uid="{00000000-0002-0000-0600-000002000000}">
      <formula1>L_Pumpe_Regelung</formula1>
    </dataValidation>
    <dataValidation type="list" allowBlank="1" showInputMessage="1" showErrorMessage="1" sqref="C10" xr:uid="{00000000-0002-0000-0600-000003000000}">
      <formula1>$AI$5:$AI$40</formula1>
    </dataValidation>
    <dataValidation type="list" allowBlank="1" showInputMessage="1" showErrorMessage="1" sqref="L14 C14" xr:uid="{00000000-0002-0000-0600-000004000000}">
      <formula1>$AI$15:$AI$45</formula1>
    </dataValidation>
    <dataValidation type="list" allowBlank="1" showInputMessage="1" showErrorMessage="1" sqref="F8" xr:uid="{00000000-0002-0000-0600-000005000000}">
      <formula1>$AK$5:$AK$65</formula1>
    </dataValidation>
    <dataValidation type="list" allowBlank="1" showInputMessage="1" showErrorMessage="1" sqref="G8" xr:uid="{00000000-0002-0000-0600-000006000000}">
      <formula1>$AL$5:$AL$65</formula1>
    </dataValidation>
    <dataValidation type="list" allowBlank="1" showInputMessage="1" showErrorMessage="1" sqref="H8" xr:uid="{00000000-0002-0000-0600-000007000000}">
      <formula1>$AM$5:$AM$65</formula1>
    </dataValidation>
    <dataValidation type="list" allowBlank="1" showInputMessage="1" showErrorMessage="1" sqref="I8" xr:uid="{00000000-0002-0000-0600-000008000000}">
      <formula1>$AN$5:$AN$65</formula1>
    </dataValidation>
    <dataValidation type="list" allowBlank="1" showInputMessage="1" showErrorMessage="1" sqref="J8" xr:uid="{00000000-0002-0000-0600-000009000000}">
      <formula1>$AO$5:$AO$65</formula1>
    </dataValidation>
    <dataValidation type="list" allowBlank="1" showInputMessage="1" showErrorMessage="1" sqref="F6 I6:J6" xr:uid="{00000000-0002-0000-0600-00000A000000}">
      <formula1>$Q$4:$Q$6</formula1>
    </dataValidation>
  </dataValidations>
  <pageMargins left="0.55000000000000004" right="0.19685039370078741" top="0.6" bottom="0.27559055118110237" header="0.31496062992125984" footer="0.27559055118110237"/>
  <pageSetup paperSize="9" scale="94" orientation="portrait" r:id="rId1"/>
  <headerFooter alignWithMargins="0">
    <oddFooter>&amp;L&amp;"Arial,Kursiv"&amp;8&amp;F / &amp;A / &amp;D</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
  <dimension ref="A1:AZ2000"/>
  <sheetViews>
    <sheetView topLeftCell="A1309" zoomScale="115" zoomScaleNormal="115" workbookViewId="0">
      <selection activeCell="G1324" sqref="G1324"/>
    </sheetView>
  </sheetViews>
  <sheetFormatPr baseColWidth="10" defaultRowHeight="12.75" x14ac:dyDescent="0.2"/>
  <cols>
    <col min="1" max="1" width="5" customWidth="1"/>
    <col min="2" max="2" width="8.7109375" bestFit="1" customWidth="1"/>
    <col min="3" max="3" width="8" style="562" customWidth="1"/>
    <col min="4" max="4" width="27.140625" customWidth="1"/>
    <col min="5" max="5" width="44.140625" customWidth="1"/>
    <col min="6" max="6" width="9.140625" customWidth="1"/>
    <col min="7" max="30" width="11.5703125" style="562" customWidth="1"/>
    <col min="31" max="33" width="11.5703125" style="251" customWidth="1"/>
    <col min="34" max="34" width="8.28515625" style="251" customWidth="1"/>
    <col min="35" max="35" width="8.85546875" style="251" customWidth="1"/>
    <col min="36" max="36" width="15" style="251" customWidth="1"/>
    <col min="37" max="52" width="11.5703125" style="251" customWidth="1"/>
  </cols>
  <sheetData>
    <row r="1" spans="1:52" s="251" customFormat="1" x14ac:dyDescent="0.2">
      <c r="C1" s="258"/>
      <c r="G1" s="258"/>
      <c r="H1" s="258"/>
      <c r="I1" s="258"/>
      <c r="J1" s="258"/>
      <c r="K1" s="258"/>
      <c r="L1" s="258"/>
      <c r="M1" s="258"/>
      <c r="N1" s="258"/>
      <c r="O1" s="258"/>
      <c r="P1" s="258"/>
      <c r="Q1" s="258"/>
      <c r="R1" s="258"/>
      <c r="S1" s="258"/>
      <c r="T1" s="258"/>
      <c r="U1" s="258"/>
      <c r="V1" s="258"/>
      <c r="W1" s="258"/>
      <c r="X1" s="258"/>
      <c r="Y1" s="258"/>
      <c r="Z1" s="258"/>
      <c r="AA1" s="258"/>
      <c r="AB1" s="258"/>
      <c r="AC1" s="258"/>
      <c r="AD1" s="258"/>
    </row>
    <row r="2" spans="1:52" s="251" customFormat="1" ht="20.25" x14ac:dyDescent="0.3">
      <c r="A2" s="662" t="s">
        <v>3269</v>
      </c>
      <c r="C2" s="258"/>
      <c r="E2" s="1209">
        <v>46202</v>
      </c>
      <c r="G2" s="258"/>
      <c r="H2" s="258"/>
      <c r="I2" s="258"/>
      <c r="J2" s="258"/>
      <c r="K2" s="258"/>
      <c r="L2" s="258"/>
      <c r="M2" s="258"/>
      <c r="N2" s="258"/>
      <c r="O2" s="258"/>
      <c r="P2" s="258"/>
      <c r="Q2" s="258"/>
      <c r="R2" s="258"/>
      <c r="S2" s="258"/>
      <c r="T2" s="258"/>
      <c r="U2" s="258"/>
      <c r="V2" s="258"/>
      <c r="W2" s="258"/>
      <c r="X2" s="258"/>
      <c r="Y2" s="258"/>
      <c r="Z2" s="258"/>
      <c r="AA2" s="258"/>
      <c r="AB2" s="258"/>
      <c r="AC2" s="258"/>
      <c r="AD2" s="258"/>
    </row>
    <row r="3" spans="1:52" s="251" customFormat="1" ht="12" customHeight="1" x14ac:dyDescent="0.3">
      <c r="A3" s="662"/>
      <c r="C3" s="258"/>
      <c r="G3" s="258"/>
      <c r="H3" s="258"/>
      <c r="I3" s="258"/>
      <c r="J3" s="258"/>
      <c r="K3" s="258"/>
      <c r="L3" s="258"/>
      <c r="M3" s="258"/>
      <c r="N3" s="258"/>
      <c r="O3" s="258"/>
      <c r="P3" s="258"/>
      <c r="Q3" s="258"/>
      <c r="R3" s="258"/>
      <c r="S3" s="258"/>
      <c r="T3" s="258"/>
      <c r="U3" s="258"/>
      <c r="V3" s="258"/>
      <c r="W3" s="258"/>
      <c r="X3" s="258"/>
      <c r="Y3" s="258"/>
      <c r="Z3" s="258"/>
      <c r="AA3" s="258"/>
      <c r="AB3" s="258"/>
      <c r="AC3" s="258"/>
      <c r="AD3" s="258"/>
    </row>
    <row r="4" spans="1:52" x14ac:dyDescent="0.2">
      <c r="B4" s="583"/>
      <c r="C4" s="660" t="s">
        <v>2162</v>
      </c>
      <c r="D4" s="659"/>
      <c r="E4" s="659"/>
      <c r="F4" s="659"/>
      <c r="G4" s="658" t="s">
        <v>2139</v>
      </c>
      <c r="H4" s="658" t="s">
        <v>2140</v>
      </c>
      <c r="I4" s="658" t="s">
        <v>2141</v>
      </c>
      <c r="J4" s="658" t="s">
        <v>2142</v>
      </c>
      <c r="K4" s="658" t="s">
        <v>2143</v>
      </c>
      <c r="L4" s="658" t="s">
        <v>2146</v>
      </c>
      <c r="M4" s="658" t="s">
        <v>2144</v>
      </c>
      <c r="N4" s="658" t="s">
        <v>2145</v>
      </c>
      <c r="O4" s="658" t="s">
        <v>2147</v>
      </c>
      <c r="P4" s="658" t="s">
        <v>2148</v>
      </c>
      <c r="Q4" s="658" t="s">
        <v>2149</v>
      </c>
      <c r="R4" s="658" t="s">
        <v>2150</v>
      </c>
      <c r="S4" s="658" t="s">
        <v>2151</v>
      </c>
      <c r="T4" s="658" t="s">
        <v>2152</v>
      </c>
      <c r="U4" s="658" t="s">
        <v>2154</v>
      </c>
      <c r="V4" s="658" t="s">
        <v>2153</v>
      </c>
      <c r="W4" s="658" t="s">
        <v>2155</v>
      </c>
      <c r="X4" s="658" t="s">
        <v>2156</v>
      </c>
      <c r="Y4" s="658" t="s">
        <v>2157</v>
      </c>
      <c r="Z4" s="658" t="s">
        <v>2158</v>
      </c>
      <c r="AA4" s="658" t="s">
        <v>3268</v>
      </c>
      <c r="AB4" s="658" t="s">
        <v>2159</v>
      </c>
      <c r="AC4" s="658" t="s">
        <v>2160</v>
      </c>
      <c r="AD4" s="658" t="s">
        <v>2161</v>
      </c>
      <c r="AE4" s="258"/>
    </row>
    <row r="5" spans="1:52" x14ac:dyDescent="0.2">
      <c r="A5" s="661" t="s">
        <v>3270</v>
      </c>
      <c r="B5" s="654">
        <f ca="1">AH28</f>
        <v>-3</v>
      </c>
      <c r="C5" s="655">
        <f ca="1">IF(WPDatenbank,OFFSET(C9,$B$5,0),C10)</f>
        <v>1</v>
      </c>
      <c r="D5" s="652" t="str">
        <f ca="1">IF(WPDatenbank,OFFSET(D9,$B$5,0),D10)</f>
        <v>Eigene Werte</v>
      </c>
      <c r="E5" s="653" t="str">
        <f ca="1">IF(WPDatenbank,OFFSET(E9,$B$5,0),E10)</f>
        <v/>
      </c>
      <c r="F5" s="653">
        <f ca="1">IF(WPDatenbank,OFFSET(F9,$B$5,0),F10)</f>
        <v>0</v>
      </c>
      <c r="G5" s="656">
        <f ca="1">IF(WPDatenbank,OFFSET(G9,$B$5,0),G10)</f>
        <v>0</v>
      </c>
      <c r="H5" s="656">
        <f t="shared" ref="H5:AD5" ca="1" si="0">IF(WPDatenbank,OFFSET(H9,$B$5,0),H10)</f>
        <v>0</v>
      </c>
      <c r="I5" s="1122">
        <f t="shared" ca="1" si="0"/>
        <v>0</v>
      </c>
      <c r="J5" s="656">
        <f t="shared" ca="1" si="0"/>
        <v>0</v>
      </c>
      <c r="K5" s="656">
        <f t="shared" ca="1" si="0"/>
        <v>0</v>
      </c>
      <c r="L5" s="656">
        <f t="shared" ca="1" si="0"/>
        <v>0</v>
      </c>
      <c r="M5" s="656">
        <f t="shared" ca="1" si="0"/>
        <v>0</v>
      </c>
      <c r="N5" s="656">
        <f t="shared" ca="1" si="0"/>
        <v>0</v>
      </c>
      <c r="O5" s="656">
        <f t="shared" ca="1" si="0"/>
        <v>0</v>
      </c>
      <c r="P5" s="656">
        <f t="shared" ca="1" si="0"/>
        <v>0</v>
      </c>
      <c r="Q5" s="656">
        <f t="shared" ca="1" si="0"/>
        <v>0</v>
      </c>
      <c r="R5" s="656">
        <f t="shared" ca="1" si="0"/>
        <v>0</v>
      </c>
      <c r="S5" s="656">
        <f t="shared" ca="1" si="0"/>
        <v>0</v>
      </c>
      <c r="T5" s="656">
        <f t="shared" ca="1" si="0"/>
        <v>0</v>
      </c>
      <c r="U5" s="656">
        <f t="shared" ca="1" si="0"/>
        <v>0</v>
      </c>
      <c r="V5" s="656">
        <f t="shared" ca="1" si="0"/>
        <v>0</v>
      </c>
      <c r="W5" s="656">
        <f t="shared" ca="1" si="0"/>
        <v>0</v>
      </c>
      <c r="X5" s="656">
        <f t="shared" ca="1" si="0"/>
        <v>0</v>
      </c>
      <c r="Y5" s="656">
        <f t="shared" ca="1" si="0"/>
        <v>0</v>
      </c>
      <c r="Z5" s="656">
        <f t="shared" ca="1" si="0"/>
        <v>0</v>
      </c>
      <c r="AA5" s="656">
        <f t="shared" ca="1" si="0"/>
        <v>0</v>
      </c>
      <c r="AB5" s="656">
        <f t="shared" ca="1" si="0"/>
        <v>0</v>
      </c>
      <c r="AC5" s="656">
        <f t="shared" ca="1" si="0"/>
        <v>0</v>
      </c>
      <c r="AD5" s="657">
        <f t="shared" ca="1" si="0"/>
        <v>0</v>
      </c>
    </row>
    <row r="6" spans="1:52" s="251" customFormat="1" x14ac:dyDescent="0.2">
      <c r="C6" s="258"/>
      <c r="G6" s="258"/>
      <c r="H6" s="258"/>
      <c r="I6" s="258"/>
      <c r="J6" s="258"/>
      <c r="K6" s="258"/>
      <c r="L6" s="258"/>
      <c r="M6" s="258"/>
      <c r="N6" s="258"/>
      <c r="O6" s="258"/>
      <c r="P6" s="258"/>
      <c r="Q6" s="258"/>
      <c r="R6" s="258"/>
      <c r="S6" s="258"/>
      <c r="T6" s="258"/>
      <c r="U6" s="258"/>
      <c r="V6" s="258"/>
      <c r="W6" s="258"/>
      <c r="X6" s="258"/>
      <c r="Y6" s="258"/>
      <c r="Z6" s="258"/>
      <c r="AA6" s="258"/>
      <c r="AB6" s="258"/>
      <c r="AC6" s="258"/>
      <c r="AD6" s="258"/>
      <c r="AH6" s="251" t="s">
        <v>1343</v>
      </c>
      <c r="AJ6" s="251" t="s">
        <v>1341</v>
      </c>
    </row>
    <row r="7" spans="1:52" s="251" customFormat="1" x14ac:dyDescent="0.2">
      <c r="C7" s="258"/>
      <c r="G7" s="258"/>
      <c r="H7" s="258"/>
      <c r="I7" s="258"/>
      <c r="J7" s="258"/>
      <c r="K7" s="258"/>
      <c r="L7" s="258"/>
      <c r="M7" s="258"/>
      <c r="N7" s="258"/>
      <c r="O7" s="258"/>
      <c r="P7" s="258"/>
      <c r="Q7" s="258"/>
      <c r="R7" s="258"/>
      <c r="S7" s="258"/>
      <c r="T7" s="258"/>
      <c r="U7" s="258"/>
      <c r="V7" s="258"/>
      <c r="W7" s="258"/>
      <c r="X7" s="258"/>
      <c r="Y7" s="258"/>
      <c r="Z7" s="258"/>
      <c r="AA7" s="258"/>
      <c r="AB7" s="258"/>
      <c r="AC7" s="258"/>
      <c r="AD7" s="258"/>
      <c r="AH7" s="251">
        <f ca="1">MATCH('WP1'!G18,AJ40:AJ239,0)</f>
        <v>52</v>
      </c>
      <c r="AJ7" s="379" t="s">
        <v>1344</v>
      </c>
    </row>
    <row r="8" spans="1:52" s="251" customFormat="1" x14ac:dyDescent="0.2">
      <c r="A8" s="663" t="s">
        <v>1345</v>
      </c>
      <c r="B8" s="664"/>
      <c r="C8" s="663" t="s">
        <v>3271</v>
      </c>
      <c r="F8" s="251" t="s">
        <v>2926</v>
      </c>
      <c r="G8" s="258"/>
      <c r="H8" s="258"/>
      <c r="I8" s="258"/>
      <c r="J8" s="258"/>
      <c r="K8" s="258"/>
      <c r="L8" s="258"/>
      <c r="M8" s="258"/>
      <c r="N8" s="258"/>
      <c r="O8" s="258"/>
      <c r="P8" s="258"/>
      <c r="Q8" s="258"/>
      <c r="R8" s="258"/>
      <c r="S8" s="258"/>
      <c r="T8" s="258"/>
      <c r="U8" s="258"/>
      <c r="V8" s="258"/>
      <c r="W8" s="258"/>
      <c r="X8" s="258"/>
      <c r="Y8" s="258"/>
      <c r="Z8" s="258"/>
      <c r="AA8" s="258"/>
      <c r="AB8" s="258"/>
      <c r="AC8" s="258"/>
      <c r="AD8" s="258"/>
    </row>
    <row r="9" spans="1:52" s="661" customFormat="1" ht="10.5" x14ac:dyDescent="0.15">
      <c r="A9" s="658" t="s">
        <v>2366</v>
      </c>
      <c r="B9" s="665" t="s">
        <v>1347</v>
      </c>
      <c r="C9" s="660" t="s">
        <v>2162</v>
      </c>
      <c r="D9" s="659" t="s">
        <v>1341</v>
      </c>
      <c r="E9" s="659" t="s">
        <v>1342</v>
      </c>
      <c r="F9" s="659" t="s">
        <v>2925</v>
      </c>
      <c r="G9" s="658" t="s">
        <v>2139</v>
      </c>
      <c r="H9" s="658" t="s">
        <v>2140</v>
      </c>
      <c r="I9" s="658" t="s">
        <v>2141</v>
      </c>
      <c r="J9" s="658" t="s">
        <v>2142</v>
      </c>
      <c r="K9" s="658" t="s">
        <v>2143</v>
      </c>
      <c r="L9" s="658" t="s">
        <v>2146</v>
      </c>
      <c r="M9" s="658" t="s">
        <v>2144</v>
      </c>
      <c r="N9" s="658" t="s">
        <v>2145</v>
      </c>
      <c r="O9" s="658" t="s">
        <v>2147</v>
      </c>
      <c r="P9" s="658" t="s">
        <v>2148</v>
      </c>
      <c r="Q9" s="658" t="s">
        <v>2149</v>
      </c>
      <c r="R9" s="658" t="s">
        <v>2150</v>
      </c>
      <c r="S9" s="658" t="s">
        <v>2151</v>
      </c>
      <c r="T9" s="658" t="s">
        <v>2152</v>
      </c>
      <c r="U9" s="658" t="s">
        <v>2154</v>
      </c>
      <c r="V9" s="658" t="s">
        <v>2153</v>
      </c>
      <c r="W9" s="658" t="s">
        <v>2155</v>
      </c>
      <c r="X9" s="658" t="s">
        <v>2156</v>
      </c>
      <c r="Y9" s="658" t="s">
        <v>2157</v>
      </c>
      <c r="Z9" s="658" t="s">
        <v>2158</v>
      </c>
      <c r="AA9" s="658" t="s">
        <v>3268</v>
      </c>
      <c r="AB9" s="658" t="s">
        <v>2159</v>
      </c>
      <c r="AC9" s="658" t="s">
        <v>2160</v>
      </c>
      <c r="AD9" s="658" t="s">
        <v>2161</v>
      </c>
      <c r="AE9" s="663"/>
      <c r="AF9" s="663"/>
      <c r="AG9" s="663"/>
      <c r="AH9" s="663" t="s">
        <v>1346</v>
      </c>
      <c r="AI9" s="663"/>
      <c r="AJ9" s="663"/>
      <c r="AK9" s="663"/>
      <c r="AL9" s="663"/>
      <c r="AM9" s="663"/>
      <c r="AN9" s="663"/>
      <c r="AO9" s="663"/>
      <c r="AP9" s="663"/>
      <c r="AQ9" s="663"/>
      <c r="AR9" s="663"/>
      <c r="AS9" s="663"/>
      <c r="AT9" s="663"/>
      <c r="AU9" s="663"/>
      <c r="AV9" s="663"/>
      <c r="AW9" s="663"/>
      <c r="AX9" s="663"/>
      <c r="AY9" s="663"/>
      <c r="AZ9" s="663"/>
    </row>
    <row r="10" spans="1:52" x14ac:dyDescent="0.2">
      <c r="A10" s="554">
        <v>1</v>
      </c>
      <c r="B10" s="648">
        <v>1</v>
      </c>
      <c r="C10" s="651">
        <f>IF(OR(WPArt=2),2,IF(OR(WPArt=3,WPArt=5),3,IF(WPArt=4,4,IF(WPArt=6,6,1))))</f>
        <v>1</v>
      </c>
      <c r="D10" s="554" t="s">
        <v>1348</v>
      </c>
      <c r="E10" s="554" t="str">
        <f>""</f>
        <v/>
      </c>
      <c r="F10" s="1177">
        <f>'WP1'!C18</f>
        <v>0</v>
      </c>
      <c r="G10" s="651">
        <f>'WP1'!D27</f>
        <v>0</v>
      </c>
      <c r="H10" s="651">
        <f>'WP1'!D28</f>
        <v>0</v>
      </c>
      <c r="I10" s="651">
        <f>'WP1'!E27</f>
        <v>0</v>
      </c>
      <c r="J10" s="651">
        <f>'WP1'!E28</f>
        <v>0</v>
      </c>
      <c r="K10" s="651">
        <f>'WP1'!F27</f>
        <v>0</v>
      </c>
      <c r="L10" s="651">
        <f>'WP1'!F28</f>
        <v>0</v>
      </c>
      <c r="M10" s="651">
        <f>'WP1'!G27</f>
        <v>0</v>
      </c>
      <c r="N10" s="651">
        <f>'WP1'!G28</f>
        <v>0</v>
      </c>
      <c r="O10" s="651">
        <f>'WP1'!W52</f>
        <v>0</v>
      </c>
      <c r="P10" s="651">
        <f>'WP1'!W50</f>
        <v>0</v>
      </c>
      <c r="Q10" s="651">
        <f>'WP1'!E29</f>
        <v>0</v>
      </c>
      <c r="R10" s="651">
        <f>'WP1'!E30</f>
        <v>0</v>
      </c>
      <c r="S10" s="651">
        <f>'WP1'!G29</f>
        <v>0</v>
      </c>
      <c r="T10" s="651">
        <f>'WP1'!G30</f>
        <v>0</v>
      </c>
      <c r="U10" s="651">
        <f>'WP1'!W53</f>
        <v>0</v>
      </c>
      <c r="V10" s="651">
        <f>'WP1'!W51</f>
        <v>0</v>
      </c>
      <c r="W10" s="651">
        <f>'WP1'!W52</f>
        <v>0</v>
      </c>
      <c r="X10" s="651">
        <f>'WP1'!W50</f>
        <v>0</v>
      </c>
      <c r="Y10" s="651">
        <f>'WP1'!W53</f>
        <v>0</v>
      </c>
      <c r="Z10" s="651">
        <f>'WP1'!W51</f>
        <v>0</v>
      </c>
      <c r="AA10" s="651">
        <f>'WP1'!W52</f>
        <v>0</v>
      </c>
      <c r="AB10" s="651">
        <f>'WP1'!W50</f>
        <v>0</v>
      </c>
      <c r="AC10" s="651">
        <f>'WP1'!W53</f>
        <v>0</v>
      </c>
      <c r="AD10" s="651">
        <f>'WP1'!W51</f>
        <v>0</v>
      </c>
      <c r="AH10" s="251">
        <f ca="1">OFFSET(AI39,AH7,0)</f>
        <v>1848</v>
      </c>
    </row>
    <row r="11" spans="1:52" x14ac:dyDescent="0.2">
      <c r="A11">
        <f>A10+(D11&lt;&gt;D10)*1</f>
        <v>2</v>
      </c>
      <c r="B11">
        <v>2</v>
      </c>
      <c r="C11" s="1180">
        <v>2</v>
      </c>
      <c r="D11" s="1181" t="s">
        <v>5334</v>
      </c>
      <c r="E11" s="1181" t="s">
        <v>5335</v>
      </c>
      <c r="F11" s="1182">
        <v>4</v>
      </c>
      <c r="G11" s="1183">
        <v>4.34</v>
      </c>
      <c r="H11" s="1183">
        <v>2.5</v>
      </c>
      <c r="I11" s="1183">
        <v>5.41</v>
      </c>
      <c r="J11" s="1183">
        <v>3.08</v>
      </c>
      <c r="K11" s="1183">
        <v>3.91</v>
      </c>
      <c r="L11" s="1183">
        <v>3.79</v>
      </c>
      <c r="M11" s="1183">
        <v>3.35</v>
      </c>
      <c r="N11" s="1183">
        <v>4.88</v>
      </c>
      <c r="O11" s="1183">
        <v>2.68</v>
      </c>
      <c r="P11" s="1183">
        <v>6.81</v>
      </c>
      <c r="Q11" s="1183">
        <v>4.67</v>
      </c>
      <c r="R11" s="1183">
        <v>2.06</v>
      </c>
      <c r="S11" s="1183">
        <v>2.75</v>
      </c>
      <c r="T11" s="1183">
        <v>2.78</v>
      </c>
      <c r="U11" s="1183">
        <v>2.25</v>
      </c>
      <c r="V11" s="1183">
        <v>3.49</v>
      </c>
      <c r="W11" s="1183"/>
      <c r="X11" s="1183"/>
      <c r="Y11" s="1183"/>
      <c r="Z11" s="1183"/>
      <c r="AA11" s="1183"/>
      <c r="AB11" s="1183"/>
      <c r="AC11" s="1183"/>
      <c r="AD11" s="1184"/>
    </row>
    <row r="12" spans="1:52" x14ac:dyDescent="0.2">
      <c r="A12">
        <f t="shared" ref="A12:A75" si="1">A11+(D12&lt;&gt;D11)*1</f>
        <v>2</v>
      </c>
      <c r="B12">
        <v>3</v>
      </c>
      <c r="C12" s="1078">
        <v>2</v>
      </c>
      <c r="D12" s="1181" t="s">
        <v>5334</v>
      </c>
      <c r="E12" s="1077" t="s">
        <v>5336</v>
      </c>
      <c r="F12" s="1185">
        <v>4</v>
      </c>
      <c r="G12" s="1186">
        <v>5.92</v>
      </c>
      <c r="H12" s="1186">
        <v>2.6</v>
      </c>
      <c r="I12" s="1186">
        <v>7.33</v>
      </c>
      <c r="J12" s="1186">
        <v>3</v>
      </c>
      <c r="K12" s="1186">
        <v>5.58</v>
      </c>
      <c r="L12" s="1186">
        <v>3.83</v>
      </c>
      <c r="M12" s="1186">
        <v>4.87</v>
      </c>
      <c r="N12" s="1186">
        <v>4.93</v>
      </c>
      <c r="O12" s="1186">
        <v>3.7</v>
      </c>
      <c r="P12" s="1186">
        <v>6.62</v>
      </c>
      <c r="Q12" s="1186">
        <v>6.87</v>
      </c>
      <c r="R12" s="1186">
        <v>2.2999999999999998</v>
      </c>
      <c r="S12" s="1186">
        <v>4.2699999999999996</v>
      </c>
      <c r="T12" s="1186">
        <v>3.16</v>
      </c>
      <c r="U12" s="1186">
        <v>3.46</v>
      </c>
      <c r="V12" s="1186">
        <v>3.85</v>
      </c>
      <c r="W12" s="1186"/>
      <c r="X12" s="1186"/>
      <c r="Y12" s="1186"/>
      <c r="Z12" s="1186"/>
      <c r="AA12" s="1186"/>
      <c r="AB12" s="1186"/>
      <c r="AC12" s="1186"/>
      <c r="AD12" s="1187"/>
      <c r="AH12" s="251" t="s">
        <v>1349</v>
      </c>
    </row>
    <row r="13" spans="1:52" x14ac:dyDescent="0.2">
      <c r="A13">
        <f t="shared" si="1"/>
        <v>2</v>
      </c>
      <c r="B13">
        <v>4</v>
      </c>
      <c r="C13" s="1078">
        <v>2</v>
      </c>
      <c r="D13" s="1181" t="s">
        <v>5334</v>
      </c>
      <c r="E13" s="1077" t="s">
        <v>5491</v>
      </c>
      <c r="F13" s="1185">
        <v>4</v>
      </c>
      <c r="G13" s="1186">
        <v>7.04</v>
      </c>
      <c r="H13" s="1186">
        <v>2.34</v>
      </c>
      <c r="I13" s="1186">
        <v>9.41</v>
      </c>
      <c r="J13" s="1186">
        <v>3.04</v>
      </c>
      <c r="K13" s="1186">
        <v>7.27</v>
      </c>
      <c r="L13" s="1186">
        <v>4.26</v>
      </c>
      <c r="M13" s="1186">
        <v>5.05</v>
      </c>
      <c r="N13" s="1186">
        <v>4.95</v>
      </c>
      <c r="O13" s="1186">
        <v>4.74</v>
      </c>
      <c r="P13" s="1186">
        <v>7.45</v>
      </c>
      <c r="Q13" s="1186">
        <v>8.44</v>
      </c>
      <c r="R13" s="1186">
        <v>2.15</v>
      </c>
      <c r="S13" s="1186">
        <v>4.97</v>
      </c>
      <c r="T13" s="1186">
        <v>3.12</v>
      </c>
      <c r="U13" s="1186">
        <v>4.3600000000000003</v>
      </c>
      <c r="V13" s="1186">
        <v>4.3099999999999996</v>
      </c>
      <c r="W13" s="1186"/>
      <c r="X13" s="1186"/>
      <c r="Y13" s="1186"/>
      <c r="Z13" s="1186"/>
      <c r="AA13" s="1186"/>
      <c r="AB13" s="1186"/>
      <c r="AC13" s="1186"/>
      <c r="AD13" s="1187"/>
      <c r="AH13" s="251" t="e">
        <f ca="1">OFFSET(AI39,AH7+1,0)</f>
        <v>#N/A</v>
      </c>
    </row>
    <row r="14" spans="1:52" x14ac:dyDescent="0.2">
      <c r="A14">
        <f t="shared" si="1"/>
        <v>2</v>
      </c>
      <c r="B14">
        <v>5</v>
      </c>
      <c r="C14" s="1078">
        <v>2</v>
      </c>
      <c r="D14" s="1181" t="s">
        <v>5334</v>
      </c>
      <c r="E14" s="1077" t="s">
        <v>5492</v>
      </c>
      <c r="F14" s="1185">
        <v>4</v>
      </c>
      <c r="G14" s="1186">
        <v>10.59</v>
      </c>
      <c r="H14" s="1186">
        <v>2.35</v>
      </c>
      <c r="I14" s="1186">
        <v>13</v>
      </c>
      <c r="J14" s="1186">
        <v>2.76</v>
      </c>
      <c r="K14" s="1186">
        <v>9.2100000000000009</v>
      </c>
      <c r="L14" s="1186">
        <v>4.2300000000000004</v>
      </c>
      <c r="M14" s="1186">
        <v>7.39</v>
      </c>
      <c r="N14" s="1186">
        <v>5.22</v>
      </c>
      <c r="O14" s="1186">
        <v>6.89</v>
      </c>
      <c r="P14" s="1186">
        <v>7.41</v>
      </c>
      <c r="Q14" s="1186">
        <v>12.69</v>
      </c>
      <c r="R14" s="1186">
        <v>2.15</v>
      </c>
      <c r="S14" s="1186">
        <v>7</v>
      </c>
      <c r="T14" s="1186">
        <v>3.23</v>
      </c>
      <c r="U14" s="1186">
        <v>6.28</v>
      </c>
      <c r="V14" s="1186">
        <v>4.24</v>
      </c>
      <c r="W14" s="1186"/>
      <c r="X14" s="1186"/>
      <c r="Y14" s="1186"/>
      <c r="Z14" s="1186"/>
      <c r="AA14" s="1186"/>
      <c r="AB14" s="1186"/>
      <c r="AC14" s="1186"/>
      <c r="AD14" s="1187"/>
    </row>
    <row r="15" spans="1:52" x14ac:dyDescent="0.2">
      <c r="A15">
        <f t="shared" si="1"/>
        <v>2</v>
      </c>
      <c r="B15">
        <v>6</v>
      </c>
      <c r="C15" s="1078">
        <v>2</v>
      </c>
      <c r="D15" s="1181" t="s">
        <v>5334</v>
      </c>
      <c r="E15" s="1077" t="s">
        <v>5619</v>
      </c>
      <c r="F15" s="1185">
        <v>4</v>
      </c>
      <c r="G15" s="1186">
        <v>14.69</v>
      </c>
      <c r="H15" s="1186">
        <v>2.5299999999999998</v>
      </c>
      <c r="I15" s="1186">
        <v>18</v>
      </c>
      <c r="J15" s="1186">
        <v>2.95</v>
      </c>
      <c r="K15" s="1186">
        <v>11.35</v>
      </c>
      <c r="L15" s="1186">
        <v>3.85</v>
      </c>
      <c r="M15" s="1186">
        <v>9.6999999999999993</v>
      </c>
      <c r="N15" s="1186">
        <v>4.99</v>
      </c>
      <c r="O15" s="1186">
        <v>9.1199999999999992</v>
      </c>
      <c r="P15" s="1186">
        <v>7.41</v>
      </c>
      <c r="Q15" s="1186">
        <v>16.97</v>
      </c>
      <c r="R15" s="1186">
        <v>2.17</v>
      </c>
      <c r="S15" s="1186">
        <v>9.7100000000000009</v>
      </c>
      <c r="T15" s="1186">
        <v>3.27</v>
      </c>
      <c r="U15" s="1186">
        <v>8.39</v>
      </c>
      <c r="V15" s="1186">
        <v>4.09</v>
      </c>
      <c r="W15" s="1186"/>
      <c r="X15" s="1186"/>
      <c r="Y15" s="1186"/>
      <c r="Z15" s="1186"/>
      <c r="AA15" s="1186"/>
      <c r="AB15" s="1186"/>
      <c r="AC15" s="1186"/>
      <c r="AD15" s="1187"/>
      <c r="AH15" s="251" t="s">
        <v>1350</v>
      </c>
    </row>
    <row r="16" spans="1:52" x14ac:dyDescent="0.2">
      <c r="A16">
        <f t="shared" si="1"/>
        <v>2</v>
      </c>
      <c r="B16">
        <v>7</v>
      </c>
      <c r="C16" s="1078">
        <v>2</v>
      </c>
      <c r="D16" s="1181" t="s">
        <v>5334</v>
      </c>
      <c r="E16" s="1077" t="s">
        <v>5665</v>
      </c>
      <c r="F16" s="1185">
        <v>4</v>
      </c>
      <c r="G16" s="1186">
        <v>3.59</v>
      </c>
      <c r="H16" s="1186">
        <v>2.27</v>
      </c>
      <c r="I16" s="1186">
        <v>4.29</v>
      </c>
      <c r="J16" s="1186">
        <v>2.52</v>
      </c>
      <c r="K16" s="1186">
        <v>3.26</v>
      </c>
      <c r="L16" s="1186">
        <v>3.31</v>
      </c>
      <c r="M16" s="1186">
        <v>2.4300000000000002</v>
      </c>
      <c r="N16" s="1186">
        <v>4.25</v>
      </c>
      <c r="O16" s="1186">
        <v>2.8</v>
      </c>
      <c r="P16" s="1186">
        <v>6.56</v>
      </c>
      <c r="Q16" s="1186">
        <v>4.62</v>
      </c>
      <c r="R16" s="1186">
        <v>2.17</v>
      </c>
      <c r="S16" s="1186">
        <v>1.97</v>
      </c>
      <c r="T16" s="1186">
        <v>2.44</v>
      </c>
      <c r="U16" s="1186">
        <v>2.35</v>
      </c>
      <c r="V16" s="1186">
        <v>3.54</v>
      </c>
      <c r="W16" s="1186"/>
      <c r="X16" s="1186"/>
      <c r="Y16" s="1186"/>
      <c r="Z16" s="1186"/>
      <c r="AA16" s="1186"/>
      <c r="AB16" s="1186"/>
      <c r="AC16" s="1186"/>
      <c r="AD16" s="1187"/>
      <c r="AH16" s="251" t="e">
        <f ca="1">AH13-1</f>
        <v>#N/A</v>
      </c>
    </row>
    <row r="17" spans="1:36" x14ac:dyDescent="0.2">
      <c r="A17">
        <f t="shared" si="1"/>
        <v>2</v>
      </c>
      <c r="B17">
        <v>8</v>
      </c>
      <c r="C17" s="1078">
        <v>2</v>
      </c>
      <c r="D17" s="1181" t="s">
        <v>5334</v>
      </c>
      <c r="E17" s="1077" t="s">
        <v>5666</v>
      </c>
      <c r="F17" s="1185">
        <v>4</v>
      </c>
      <c r="G17" s="1186">
        <v>6.55</v>
      </c>
      <c r="H17" s="1186">
        <v>2.2599999999999998</v>
      </c>
      <c r="I17" s="1186">
        <v>7.48</v>
      </c>
      <c r="J17" s="1186">
        <v>2.57</v>
      </c>
      <c r="K17" s="1186">
        <v>5.46</v>
      </c>
      <c r="L17" s="1186">
        <v>3.26</v>
      </c>
      <c r="M17" s="1186">
        <v>4.21</v>
      </c>
      <c r="N17" s="1186">
        <v>4.17</v>
      </c>
      <c r="O17" s="1186">
        <v>6.18</v>
      </c>
      <c r="P17" s="1186">
        <v>4.74</v>
      </c>
      <c r="Q17" s="1186">
        <v>6.7</v>
      </c>
      <c r="R17" s="1186">
        <v>2.0699999999999998</v>
      </c>
      <c r="S17" s="1186">
        <v>3.59</v>
      </c>
      <c r="T17" s="1186">
        <v>2.71</v>
      </c>
      <c r="U17" s="1186">
        <v>4.68</v>
      </c>
      <c r="V17" s="1186">
        <v>3.79</v>
      </c>
      <c r="W17" s="1186"/>
      <c r="X17" s="1186"/>
      <c r="Y17" s="1186"/>
      <c r="Z17" s="1186"/>
      <c r="AA17" s="1186"/>
      <c r="AB17" s="1186"/>
      <c r="AC17" s="1186"/>
      <c r="AD17" s="1187"/>
    </row>
    <row r="18" spans="1:36" x14ac:dyDescent="0.2">
      <c r="A18">
        <f t="shared" si="1"/>
        <v>2</v>
      </c>
      <c r="B18">
        <v>9</v>
      </c>
      <c r="C18" s="1078">
        <v>2</v>
      </c>
      <c r="D18" s="1181" t="s">
        <v>5334</v>
      </c>
      <c r="E18" s="1077" t="s">
        <v>5667</v>
      </c>
      <c r="F18" s="1185">
        <v>4</v>
      </c>
      <c r="G18" s="1186">
        <v>7.43</v>
      </c>
      <c r="H18" s="1186">
        <v>2.41</v>
      </c>
      <c r="I18" s="1186">
        <v>9.19</v>
      </c>
      <c r="J18" s="1186">
        <v>2.85</v>
      </c>
      <c r="K18" s="1186">
        <v>6.68</v>
      </c>
      <c r="L18" s="1186">
        <v>3.51</v>
      </c>
      <c r="M18" s="1186">
        <v>5.0999999999999996</v>
      </c>
      <c r="N18" s="1186">
        <v>4.45</v>
      </c>
      <c r="O18" s="1186">
        <v>5.4</v>
      </c>
      <c r="P18" s="1186">
        <v>6.1</v>
      </c>
      <c r="Q18" s="1186">
        <v>6.55</v>
      </c>
      <c r="R18" s="1186">
        <v>1.79</v>
      </c>
      <c r="S18" s="1186">
        <v>4.03</v>
      </c>
      <c r="T18" s="1186">
        <v>2.59</v>
      </c>
      <c r="U18" s="1186">
        <v>4.84</v>
      </c>
      <c r="V18" s="1186">
        <v>3.53</v>
      </c>
      <c r="W18" s="1186"/>
      <c r="X18" s="1186"/>
      <c r="Y18" s="1186"/>
      <c r="Z18" s="1186"/>
      <c r="AA18" s="1186"/>
      <c r="AB18" s="1186"/>
      <c r="AC18" s="1186"/>
      <c r="AD18" s="1187"/>
      <c r="AH18" s="251" t="s">
        <v>1351</v>
      </c>
    </row>
    <row r="19" spans="1:36" x14ac:dyDescent="0.2">
      <c r="A19">
        <f t="shared" si="1"/>
        <v>2</v>
      </c>
      <c r="B19">
        <v>10</v>
      </c>
      <c r="C19" s="1078">
        <v>2</v>
      </c>
      <c r="D19" s="1181" t="s">
        <v>5334</v>
      </c>
      <c r="E19" s="1077" t="s">
        <v>5668</v>
      </c>
      <c r="F19" s="1185">
        <v>4</v>
      </c>
      <c r="G19" s="1186">
        <v>9.59</v>
      </c>
      <c r="H19" s="1186">
        <v>2.38</v>
      </c>
      <c r="I19" s="1186">
        <v>11.4</v>
      </c>
      <c r="J19" s="1186">
        <v>2.72</v>
      </c>
      <c r="K19" s="1186">
        <v>8.89</v>
      </c>
      <c r="L19" s="1186">
        <v>3.47</v>
      </c>
      <c r="M19" s="1186">
        <v>7.25</v>
      </c>
      <c r="N19" s="1186">
        <v>4.5599999999999996</v>
      </c>
      <c r="O19" s="1186">
        <v>7.78</v>
      </c>
      <c r="P19" s="1186">
        <v>6.53</v>
      </c>
      <c r="Q19" s="1186">
        <v>9.77</v>
      </c>
      <c r="R19" s="1186">
        <v>1.97</v>
      </c>
      <c r="S19" s="1186">
        <v>5.99</v>
      </c>
      <c r="T19" s="1186">
        <v>2.68</v>
      </c>
      <c r="U19" s="1186">
        <v>6.86</v>
      </c>
      <c r="V19" s="1186">
        <v>3.89</v>
      </c>
      <c r="W19" s="1186"/>
      <c r="X19" s="1186"/>
      <c r="Y19" s="1186"/>
      <c r="Z19" s="1186"/>
      <c r="AA19" s="1186"/>
      <c r="AB19" s="1186"/>
      <c r="AC19" s="1186"/>
      <c r="AD19" s="1187"/>
      <c r="AH19" s="251" t="e">
        <f ca="1">AH13-AH10</f>
        <v>#N/A</v>
      </c>
    </row>
    <row r="20" spans="1:36" x14ac:dyDescent="0.2">
      <c r="A20">
        <f t="shared" si="1"/>
        <v>2</v>
      </c>
      <c r="B20">
        <v>11</v>
      </c>
      <c r="C20" s="1078">
        <v>2</v>
      </c>
      <c r="D20" s="1181" t="s">
        <v>5334</v>
      </c>
      <c r="E20" s="1077" t="s">
        <v>4514</v>
      </c>
      <c r="F20" s="1185">
        <v>4</v>
      </c>
      <c r="G20" s="1186">
        <v>3.4</v>
      </c>
      <c r="H20" s="1186">
        <v>2.42</v>
      </c>
      <c r="I20" s="1186">
        <v>6.4</v>
      </c>
      <c r="J20" s="1186">
        <v>3.17</v>
      </c>
      <c r="K20" s="1186">
        <v>4.58</v>
      </c>
      <c r="L20" s="1186">
        <v>4.1399999999999997</v>
      </c>
      <c r="M20" s="1186">
        <v>3.81</v>
      </c>
      <c r="N20" s="1186">
        <v>5.12</v>
      </c>
      <c r="O20" s="1186">
        <v>3.72</v>
      </c>
      <c r="P20" s="1186">
        <v>5.17</v>
      </c>
      <c r="Q20" s="1186">
        <v>4.93</v>
      </c>
      <c r="R20" s="1186">
        <v>2.2000000000000002</v>
      </c>
      <c r="S20" s="1186">
        <v>3.49</v>
      </c>
      <c r="T20" s="1186">
        <v>2.84</v>
      </c>
      <c r="U20" s="1186">
        <v>3.49</v>
      </c>
      <c r="V20" s="1186">
        <v>2.77</v>
      </c>
      <c r="W20" s="1186"/>
      <c r="X20" s="1186"/>
      <c r="Y20" s="1186"/>
      <c r="Z20" s="1186"/>
      <c r="AA20" s="1186"/>
      <c r="AB20" s="1186"/>
      <c r="AC20" s="1186"/>
      <c r="AD20" s="1187"/>
    </row>
    <row r="21" spans="1:36" x14ac:dyDescent="0.2">
      <c r="A21">
        <f t="shared" si="1"/>
        <v>2</v>
      </c>
      <c r="B21">
        <v>12</v>
      </c>
      <c r="C21" s="1078">
        <v>2</v>
      </c>
      <c r="D21" s="1181" t="s">
        <v>5334</v>
      </c>
      <c r="E21" s="1077" t="s">
        <v>4977</v>
      </c>
      <c r="F21" s="1185">
        <v>4</v>
      </c>
      <c r="G21" s="1186">
        <v>4.2</v>
      </c>
      <c r="H21" s="1186">
        <v>2</v>
      </c>
      <c r="I21" s="1186">
        <v>8.5</v>
      </c>
      <c r="J21" s="1186">
        <v>2.63</v>
      </c>
      <c r="K21" s="1186">
        <v>7.45</v>
      </c>
      <c r="L21" s="1186">
        <v>3.79</v>
      </c>
      <c r="M21" s="1186">
        <v>6.72</v>
      </c>
      <c r="N21" s="1186">
        <v>4.66</v>
      </c>
      <c r="O21" s="1186">
        <v>6.52</v>
      </c>
      <c r="P21" s="1186">
        <v>5.53</v>
      </c>
      <c r="Q21" s="1186">
        <v>8.4600000000000009</v>
      </c>
      <c r="R21" s="1186">
        <v>2.0499999999999998</v>
      </c>
      <c r="S21" s="1186">
        <v>6.12</v>
      </c>
      <c r="T21" s="1186">
        <v>3.51</v>
      </c>
      <c r="U21" s="1186">
        <v>5.8</v>
      </c>
      <c r="V21" s="1186">
        <v>2.9</v>
      </c>
      <c r="W21" s="1186"/>
      <c r="X21" s="1186"/>
      <c r="Y21" s="1186"/>
      <c r="Z21" s="1186"/>
      <c r="AA21" s="1186"/>
      <c r="AB21" s="1186"/>
      <c r="AC21" s="1186"/>
      <c r="AD21" s="1187"/>
      <c r="AJ21" s="251" t="s">
        <v>1342</v>
      </c>
    </row>
    <row r="22" spans="1:36" x14ac:dyDescent="0.2">
      <c r="A22">
        <f t="shared" si="1"/>
        <v>2</v>
      </c>
      <c r="B22">
        <v>13</v>
      </c>
      <c r="C22" s="1078">
        <v>2</v>
      </c>
      <c r="D22" s="1181" t="s">
        <v>5334</v>
      </c>
      <c r="E22" s="1077" t="s">
        <v>4515</v>
      </c>
      <c r="F22" s="1185">
        <v>4</v>
      </c>
      <c r="G22" s="1186">
        <v>3.4</v>
      </c>
      <c r="H22" s="1186">
        <v>2.42</v>
      </c>
      <c r="I22" s="1186">
        <v>6.4</v>
      </c>
      <c r="J22" s="1186">
        <v>3.17</v>
      </c>
      <c r="K22" s="1186">
        <v>4.58</v>
      </c>
      <c r="L22" s="1186">
        <v>4.1399999999999997</v>
      </c>
      <c r="M22" s="1186">
        <v>3.81</v>
      </c>
      <c r="N22" s="1186">
        <v>5.12</v>
      </c>
      <c r="O22" s="1186">
        <v>3.72</v>
      </c>
      <c r="P22" s="1186">
        <v>5.17</v>
      </c>
      <c r="Q22" s="1186">
        <v>4.93</v>
      </c>
      <c r="R22" s="1186">
        <v>2.2000000000000002</v>
      </c>
      <c r="S22" s="1186">
        <v>3.49</v>
      </c>
      <c r="T22" s="1186">
        <v>2.84</v>
      </c>
      <c r="U22" s="1186">
        <v>3.49</v>
      </c>
      <c r="V22" s="1186">
        <v>2.77</v>
      </c>
      <c r="W22" s="1186"/>
      <c r="X22" s="1186"/>
      <c r="Y22" s="1186"/>
      <c r="Z22" s="1186"/>
      <c r="AA22" s="1186"/>
      <c r="AB22" s="1186"/>
      <c r="AC22" s="1186"/>
      <c r="AD22" s="1187"/>
      <c r="AJ22" s="583" t="s">
        <v>3171</v>
      </c>
    </row>
    <row r="23" spans="1:36" x14ac:dyDescent="0.2">
      <c r="A23">
        <f t="shared" si="1"/>
        <v>2</v>
      </c>
      <c r="B23">
        <v>14</v>
      </c>
      <c r="C23" s="1078">
        <v>2</v>
      </c>
      <c r="D23" s="1181" t="s">
        <v>5334</v>
      </c>
      <c r="E23" s="1077" t="s">
        <v>4516</v>
      </c>
      <c r="F23" s="1185">
        <v>4</v>
      </c>
      <c r="G23" s="1186">
        <v>4.2</v>
      </c>
      <c r="H23" s="1186">
        <v>2</v>
      </c>
      <c r="I23" s="1186">
        <v>8.5</v>
      </c>
      <c r="J23" s="1186">
        <v>2.63</v>
      </c>
      <c r="K23" s="1186">
        <v>7.45</v>
      </c>
      <c r="L23" s="1186">
        <v>3.79</v>
      </c>
      <c r="M23" s="1186">
        <v>6.72</v>
      </c>
      <c r="N23" s="1186">
        <v>4.66</v>
      </c>
      <c r="O23" s="1186">
        <v>6.52</v>
      </c>
      <c r="P23" s="1186">
        <v>5.53</v>
      </c>
      <c r="Q23" s="1186">
        <v>8.4600000000000009</v>
      </c>
      <c r="R23" s="1186">
        <v>2.0499999999999998</v>
      </c>
      <c r="S23" s="1186">
        <v>6.12</v>
      </c>
      <c r="T23" s="1186">
        <v>3.51</v>
      </c>
      <c r="U23" s="1186">
        <v>5.8</v>
      </c>
      <c r="V23" s="1186">
        <v>2.9</v>
      </c>
      <c r="W23" s="1186"/>
      <c r="X23" s="1186"/>
      <c r="Y23" s="1186"/>
      <c r="Z23" s="1186"/>
      <c r="AA23" s="1186"/>
      <c r="AB23" s="1186"/>
      <c r="AC23" s="1186"/>
      <c r="AD23" s="1187"/>
    </row>
    <row r="24" spans="1:36" x14ac:dyDescent="0.2">
      <c r="A24">
        <f t="shared" si="1"/>
        <v>2</v>
      </c>
      <c r="B24">
        <v>15</v>
      </c>
      <c r="C24" s="1078">
        <v>2</v>
      </c>
      <c r="D24" s="1181" t="s">
        <v>5334</v>
      </c>
      <c r="E24" s="1077" t="s">
        <v>4978</v>
      </c>
      <c r="F24" s="1185">
        <v>4</v>
      </c>
      <c r="G24" s="1186">
        <v>11</v>
      </c>
      <c r="H24" s="1186">
        <v>2.6</v>
      </c>
      <c r="I24" s="1186">
        <v>13.9</v>
      </c>
      <c r="J24" s="1186">
        <v>3.21</v>
      </c>
      <c r="K24" s="1186">
        <v>9.1068965517241374</v>
      </c>
      <c r="L24" s="1186">
        <v>3.9</v>
      </c>
      <c r="M24" s="1186">
        <v>6.7103448275862068</v>
      </c>
      <c r="N24" s="1186">
        <v>4.1500000000000004</v>
      </c>
      <c r="O24" s="1186">
        <v>6</v>
      </c>
      <c r="P24" s="1186">
        <v>4.7</v>
      </c>
      <c r="Q24" s="1186">
        <v>13.7</v>
      </c>
      <c r="R24" s="1186">
        <v>2.41</v>
      </c>
      <c r="S24" s="1186">
        <v>12</v>
      </c>
      <c r="T24" s="1186">
        <v>3.31</v>
      </c>
      <c r="U24" s="1186">
        <v>6.5</v>
      </c>
      <c r="V24" s="1186">
        <v>3.4</v>
      </c>
      <c r="W24" s="1186"/>
      <c r="X24" s="1186"/>
      <c r="Y24" s="1186"/>
      <c r="Z24" s="1186"/>
      <c r="AA24" s="1186"/>
      <c r="AB24" s="1186"/>
      <c r="AC24" s="1186"/>
      <c r="AD24" s="1187"/>
      <c r="AH24" s="251" t="s">
        <v>2113</v>
      </c>
    </row>
    <row r="25" spans="1:36" x14ac:dyDescent="0.2">
      <c r="A25">
        <f t="shared" si="1"/>
        <v>2</v>
      </c>
      <c r="B25">
        <v>16</v>
      </c>
      <c r="C25" s="1078">
        <v>2</v>
      </c>
      <c r="D25" s="1181" t="s">
        <v>5334</v>
      </c>
      <c r="E25" s="1077" t="s">
        <v>5620</v>
      </c>
      <c r="F25" s="1185">
        <v>1</v>
      </c>
      <c r="G25" s="1186">
        <v>8.8000000000000007</v>
      </c>
      <c r="H25" s="1186">
        <v>2.6</v>
      </c>
      <c r="I25" s="1186">
        <v>10.8</v>
      </c>
      <c r="J25" s="1186">
        <v>3</v>
      </c>
      <c r="K25" s="1186">
        <v>13.8</v>
      </c>
      <c r="L25" s="1186">
        <v>3.7</v>
      </c>
      <c r="M25" s="1186">
        <v>14.4</v>
      </c>
      <c r="N25" s="1186">
        <v>4.3</v>
      </c>
      <c r="O25" s="1186">
        <v>22.1</v>
      </c>
      <c r="P25" s="1186">
        <v>5.5</v>
      </c>
      <c r="Q25" s="1186">
        <v>10.4</v>
      </c>
      <c r="R25" s="1186">
        <v>2</v>
      </c>
      <c r="S25" s="1186">
        <v>13.8</v>
      </c>
      <c r="T25" s="1186">
        <v>2.6</v>
      </c>
      <c r="U25" s="1186">
        <v>20.8</v>
      </c>
      <c r="V25" s="1186">
        <v>3.4</v>
      </c>
      <c r="W25" s="1186"/>
      <c r="X25" s="1186"/>
      <c r="Y25" s="1186"/>
      <c r="Z25" s="1186"/>
      <c r="AA25" s="1186"/>
      <c r="AB25" s="1186"/>
      <c r="AC25" s="1186"/>
      <c r="AD25" s="1187"/>
      <c r="AH25" s="251" t="e">
        <f ca="1">MATCH('WP1'!G19,AN40:AN239,0)</f>
        <v>#N/A</v>
      </c>
    </row>
    <row r="26" spans="1:36" x14ac:dyDescent="0.2">
      <c r="A26">
        <f t="shared" si="1"/>
        <v>2</v>
      </c>
      <c r="B26">
        <v>17</v>
      </c>
      <c r="C26" s="1078">
        <v>2</v>
      </c>
      <c r="D26" s="1181" t="s">
        <v>5334</v>
      </c>
      <c r="E26" s="1077" t="s">
        <v>4979</v>
      </c>
      <c r="F26" s="1185">
        <v>2</v>
      </c>
      <c r="G26" s="1186">
        <v>11</v>
      </c>
      <c r="H26" s="1186">
        <v>2.2999999999999998</v>
      </c>
      <c r="I26" s="1186">
        <v>14.1</v>
      </c>
      <c r="J26" s="1186">
        <v>2.8</v>
      </c>
      <c r="K26" s="1186">
        <v>9.5</v>
      </c>
      <c r="L26" s="1186">
        <v>3.8</v>
      </c>
      <c r="M26" s="1186">
        <v>10.1</v>
      </c>
      <c r="N26" s="1186">
        <v>4.2</v>
      </c>
      <c r="O26" s="1186">
        <v>16.600000000000001</v>
      </c>
      <c r="P26" s="1186">
        <v>5.4</v>
      </c>
      <c r="Q26" s="1186">
        <v>12.7</v>
      </c>
      <c r="R26" s="1186">
        <v>1.8</v>
      </c>
      <c r="S26" s="1186">
        <v>17.5</v>
      </c>
      <c r="T26" s="1186">
        <v>2.5</v>
      </c>
      <c r="U26" s="1186">
        <v>24.8</v>
      </c>
      <c r="V26" s="1186">
        <v>3.6</v>
      </c>
      <c r="W26" s="1186"/>
      <c r="X26" s="1186"/>
      <c r="Y26" s="1186"/>
      <c r="Z26" s="1186"/>
      <c r="AA26" s="1186"/>
      <c r="AB26" s="1186"/>
      <c r="AC26" s="1186"/>
      <c r="AD26" s="1187"/>
    </row>
    <row r="27" spans="1:36" x14ac:dyDescent="0.2">
      <c r="A27">
        <f t="shared" si="1"/>
        <v>2</v>
      </c>
      <c r="B27">
        <v>18</v>
      </c>
      <c r="C27" s="1078">
        <v>2</v>
      </c>
      <c r="D27" s="1181" t="s">
        <v>5334</v>
      </c>
      <c r="E27" s="1077" t="s">
        <v>4980</v>
      </c>
      <c r="F27" s="1185">
        <v>2</v>
      </c>
      <c r="G27" s="1186">
        <v>15.5</v>
      </c>
      <c r="H27" s="1186">
        <v>2.5</v>
      </c>
      <c r="I27" s="1186">
        <v>19.399999999999999</v>
      </c>
      <c r="J27" s="1186">
        <v>2.8</v>
      </c>
      <c r="K27" s="1186">
        <v>13.2</v>
      </c>
      <c r="L27" s="1186">
        <v>3.8</v>
      </c>
      <c r="M27" s="1186">
        <v>14.1</v>
      </c>
      <c r="N27" s="1186">
        <v>4.2</v>
      </c>
      <c r="O27" s="1186">
        <v>24.2</v>
      </c>
      <c r="P27" s="1186">
        <v>6</v>
      </c>
      <c r="Q27" s="1186">
        <v>18.5</v>
      </c>
      <c r="R27" s="1186">
        <v>1.8</v>
      </c>
      <c r="S27" s="1186">
        <v>26.5</v>
      </c>
      <c r="T27" s="1186">
        <v>2.5</v>
      </c>
      <c r="U27" s="1186">
        <v>39</v>
      </c>
      <c r="V27" s="1186">
        <v>3.5</v>
      </c>
      <c r="W27" s="1186"/>
      <c r="X27" s="1186"/>
      <c r="Y27" s="1186"/>
      <c r="Z27" s="1186"/>
      <c r="AA27" s="1186"/>
      <c r="AB27" s="1186"/>
      <c r="AC27" s="1186"/>
      <c r="AD27" s="1187"/>
      <c r="AH27" s="251" t="s">
        <v>2554</v>
      </c>
      <c r="AJ27" s="251" t="s">
        <v>1342</v>
      </c>
    </row>
    <row r="28" spans="1:36" x14ac:dyDescent="0.2">
      <c r="A28">
        <f t="shared" si="1"/>
        <v>2</v>
      </c>
      <c r="B28">
        <v>19</v>
      </c>
      <c r="C28" s="1078">
        <v>2</v>
      </c>
      <c r="D28" s="1181" t="s">
        <v>5334</v>
      </c>
      <c r="E28" s="1077" t="s">
        <v>4981</v>
      </c>
      <c r="F28" s="1185">
        <v>2</v>
      </c>
      <c r="G28" s="1186">
        <v>19.11</v>
      </c>
      <c r="H28" s="1186">
        <v>2.2000000000000002</v>
      </c>
      <c r="I28" s="1186">
        <v>24.28</v>
      </c>
      <c r="J28" s="1186">
        <v>2.77</v>
      </c>
      <c r="K28" s="1186">
        <v>16.97</v>
      </c>
      <c r="L28" s="1186">
        <v>3.52</v>
      </c>
      <c r="M28" s="1186">
        <v>19.78</v>
      </c>
      <c r="N28" s="1186">
        <v>4.04</v>
      </c>
      <c r="O28" s="1186">
        <v>24.95</v>
      </c>
      <c r="P28" s="1186">
        <v>3.73</v>
      </c>
      <c r="Q28" s="1186">
        <v>24.28</v>
      </c>
      <c r="R28" s="1186">
        <v>1.86</v>
      </c>
      <c r="S28" s="1186">
        <v>19.05</v>
      </c>
      <c r="T28" s="1186">
        <v>2.78</v>
      </c>
      <c r="U28" s="1186">
        <v>24.97</v>
      </c>
      <c r="V28" s="1186">
        <v>3.73</v>
      </c>
      <c r="W28" s="1186"/>
      <c r="X28" s="1186"/>
      <c r="Y28" s="1186"/>
      <c r="Z28" s="1186"/>
      <c r="AA28" s="1186"/>
      <c r="AB28" s="1186"/>
      <c r="AC28" s="1186"/>
      <c r="AD28" s="1187"/>
      <c r="AH28" s="251">
        <f ca="1">IF(ISERROR(AH25),-3,OFFSET(AM39,AH25,0))</f>
        <v>-3</v>
      </c>
      <c r="AJ28" s="251" t="e">
        <f ca="1">INDEX(C10:C2000,AH28,1)</f>
        <v>#VALUE!</v>
      </c>
    </row>
    <row r="29" spans="1:36" x14ac:dyDescent="0.2">
      <c r="A29">
        <f t="shared" si="1"/>
        <v>2</v>
      </c>
      <c r="B29">
        <v>20</v>
      </c>
      <c r="C29" s="1078">
        <v>2</v>
      </c>
      <c r="D29" s="1181" t="s">
        <v>5334</v>
      </c>
      <c r="E29" s="1077" t="s">
        <v>4982</v>
      </c>
      <c r="F29" s="1185">
        <v>1</v>
      </c>
      <c r="G29" s="1186">
        <v>3.5</v>
      </c>
      <c r="H29" s="1186">
        <v>2.6</v>
      </c>
      <c r="I29" s="1186">
        <v>4.5999999999999996</v>
      </c>
      <c r="J29" s="1186">
        <v>3.2</v>
      </c>
      <c r="K29" s="1186">
        <v>5.6</v>
      </c>
      <c r="L29" s="1186">
        <v>3.8</v>
      </c>
      <c r="M29" s="1186">
        <v>7.1</v>
      </c>
      <c r="N29" s="1186">
        <v>4.8</v>
      </c>
      <c r="O29" s="1186">
        <v>8.8000000000000007</v>
      </c>
      <c r="P29" s="1186">
        <v>6.3</v>
      </c>
      <c r="Q29" s="1186">
        <v>3.8</v>
      </c>
      <c r="R29" s="1186">
        <v>2</v>
      </c>
      <c r="S29" s="1186">
        <v>6.4</v>
      </c>
      <c r="T29" s="1186">
        <v>3.2</v>
      </c>
      <c r="U29" s="1186">
        <v>8</v>
      </c>
      <c r="V29" s="1186">
        <v>4</v>
      </c>
      <c r="W29" s="1186"/>
      <c r="X29" s="1186"/>
      <c r="Y29" s="1186"/>
      <c r="Z29" s="1186"/>
      <c r="AA29" s="1186"/>
      <c r="AB29" s="1186"/>
      <c r="AC29" s="1186"/>
      <c r="AD29" s="1187"/>
    </row>
    <row r="30" spans="1:36" x14ac:dyDescent="0.2">
      <c r="A30">
        <f t="shared" si="1"/>
        <v>2</v>
      </c>
      <c r="B30">
        <v>21</v>
      </c>
      <c r="C30" s="1078">
        <v>2</v>
      </c>
      <c r="D30" s="1181" t="s">
        <v>5334</v>
      </c>
      <c r="E30" s="1077" t="s">
        <v>4983</v>
      </c>
      <c r="F30" s="1185">
        <v>1</v>
      </c>
      <c r="G30" s="1186">
        <v>4.8</v>
      </c>
      <c r="H30" s="1186">
        <v>2.5</v>
      </c>
      <c r="I30" s="1186">
        <v>6.3</v>
      </c>
      <c r="J30" s="1186">
        <v>3.2</v>
      </c>
      <c r="K30" s="1186">
        <v>7.7</v>
      </c>
      <c r="L30" s="1186">
        <v>3.8</v>
      </c>
      <c r="M30" s="1186">
        <v>8.5</v>
      </c>
      <c r="N30" s="1186">
        <v>4.3</v>
      </c>
      <c r="O30" s="1186">
        <v>12.8</v>
      </c>
      <c r="P30" s="1186">
        <v>6.5</v>
      </c>
      <c r="Q30" s="1186">
        <v>5.7</v>
      </c>
      <c r="R30" s="1186">
        <v>2.1</v>
      </c>
      <c r="S30" s="1186">
        <v>8.1</v>
      </c>
      <c r="T30" s="1186">
        <v>3</v>
      </c>
      <c r="U30" s="1186">
        <v>11.2</v>
      </c>
      <c r="V30" s="1186">
        <v>4</v>
      </c>
      <c r="W30" s="1186"/>
      <c r="X30" s="1186"/>
      <c r="Y30" s="1186"/>
      <c r="Z30" s="1186"/>
      <c r="AA30" s="1186"/>
      <c r="AB30" s="1186"/>
      <c r="AC30" s="1186"/>
      <c r="AD30" s="1187"/>
    </row>
    <row r="31" spans="1:36" x14ac:dyDescent="0.2">
      <c r="A31">
        <f t="shared" si="1"/>
        <v>2</v>
      </c>
      <c r="B31">
        <v>22</v>
      </c>
      <c r="C31" s="1078">
        <v>2</v>
      </c>
      <c r="D31" s="1181" t="s">
        <v>5334</v>
      </c>
      <c r="E31" s="1077" t="s">
        <v>4984</v>
      </c>
      <c r="F31" s="1185">
        <v>1</v>
      </c>
      <c r="G31" s="1186">
        <v>6.2</v>
      </c>
      <c r="H31" s="1186">
        <v>2.6</v>
      </c>
      <c r="I31" s="1186">
        <v>7.5</v>
      </c>
      <c r="J31" s="1186">
        <v>3.12</v>
      </c>
      <c r="K31" s="1186">
        <v>9</v>
      </c>
      <c r="L31" s="1186">
        <v>3.6</v>
      </c>
      <c r="M31" s="1186">
        <v>10.1</v>
      </c>
      <c r="N31" s="1186">
        <v>4.12</v>
      </c>
      <c r="O31" s="1186">
        <v>13.8</v>
      </c>
      <c r="P31" s="1186">
        <v>5.5</v>
      </c>
      <c r="Q31" s="1186">
        <v>7</v>
      </c>
      <c r="R31" s="1186">
        <v>2.2000000000000002</v>
      </c>
      <c r="S31" s="1186">
        <v>9.5</v>
      </c>
      <c r="T31" s="1186">
        <v>2.9</v>
      </c>
      <c r="U31" s="1186">
        <v>13.3</v>
      </c>
      <c r="V31" s="1186">
        <v>3.7</v>
      </c>
      <c r="W31" s="1186"/>
      <c r="X31" s="1186"/>
      <c r="Y31" s="1186"/>
      <c r="Z31" s="1186"/>
      <c r="AA31" s="1186"/>
      <c r="AB31" s="1186"/>
      <c r="AC31" s="1186"/>
      <c r="AD31" s="1187"/>
    </row>
    <row r="32" spans="1:36" x14ac:dyDescent="0.2">
      <c r="A32">
        <f t="shared" si="1"/>
        <v>2</v>
      </c>
      <c r="B32">
        <v>23</v>
      </c>
      <c r="C32" s="1078">
        <v>2</v>
      </c>
      <c r="D32" s="1181" t="s">
        <v>5334</v>
      </c>
      <c r="E32" s="1077" t="s">
        <v>4973</v>
      </c>
      <c r="F32" s="1185">
        <v>4</v>
      </c>
      <c r="G32" s="1186">
        <v>6.6</v>
      </c>
      <c r="H32" s="1186">
        <v>2.44</v>
      </c>
      <c r="I32" s="1186">
        <v>8.11</v>
      </c>
      <c r="J32" s="1186">
        <v>3.14</v>
      </c>
      <c r="K32" s="1186">
        <v>5.08</v>
      </c>
      <c r="L32" s="1186">
        <v>4.6100000000000003</v>
      </c>
      <c r="M32" s="1186">
        <v>4.0999999999999996</v>
      </c>
      <c r="N32" s="1186">
        <v>5.05</v>
      </c>
      <c r="O32" s="1186">
        <v>3.5</v>
      </c>
      <c r="P32" s="1186">
        <v>6.8</v>
      </c>
      <c r="Q32" s="1186">
        <v>6.55</v>
      </c>
      <c r="R32" s="1186">
        <v>2.13</v>
      </c>
      <c r="S32" s="1186">
        <v>4.2300000000000004</v>
      </c>
      <c r="T32" s="1186">
        <v>3.35</v>
      </c>
      <c r="U32" s="1186">
        <v>3.1</v>
      </c>
      <c r="V32" s="1186">
        <v>4.0999999999999996</v>
      </c>
      <c r="W32" s="1186"/>
      <c r="X32" s="1186"/>
      <c r="Y32" s="1186"/>
      <c r="Z32" s="1186"/>
      <c r="AA32" s="1186"/>
      <c r="AB32" s="1186"/>
      <c r="AC32" s="1186"/>
      <c r="AD32" s="1187"/>
    </row>
    <row r="33" spans="1:41" x14ac:dyDescent="0.2">
      <c r="A33">
        <f t="shared" si="1"/>
        <v>2</v>
      </c>
      <c r="B33">
        <v>24</v>
      </c>
      <c r="C33" s="1078">
        <v>2</v>
      </c>
      <c r="D33" s="1181" t="s">
        <v>5334</v>
      </c>
      <c r="E33" s="1077" t="s">
        <v>4985</v>
      </c>
      <c r="F33" s="1185">
        <v>1</v>
      </c>
      <c r="G33" s="1186">
        <v>3.5</v>
      </c>
      <c r="H33" s="1186">
        <v>2.5</v>
      </c>
      <c r="I33" s="1186">
        <v>4.4000000000000004</v>
      </c>
      <c r="J33" s="1186">
        <v>3.11</v>
      </c>
      <c r="K33" s="1186">
        <v>5.4</v>
      </c>
      <c r="L33" s="1186">
        <v>3.69</v>
      </c>
      <c r="M33" s="1186">
        <v>6.8</v>
      </c>
      <c r="N33" s="1186">
        <v>4.5599999999999996</v>
      </c>
      <c r="O33" s="1186">
        <v>8.6</v>
      </c>
      <c r="P33" s="1186">
        <v>5.9</v>
      </c>
      <c r="Q33" s="1186">
        <v>3.8</v>
      </c>
      <c r="R33" s="1186">
        <v>2</v>
      </c>
      <c r="S33" s="1186">
        <v>6.4</v>
      </c>
      <c r="T33" s="1186">
        <v>3.2</v>
      </c>
      <c r="U33" s="1186">
        <v>8</v>
      </c>
      <c r="V33" s="1186">
        <v>4</v>
      </c>
      <c r="W33" s="1186"/>
      <c r="X33" s="1186"/>
      <c r="Y33" s="1186"/>
      <c r="Z33" s="1186"/>
      <c r="AA33" s="1186"/>
      <c r="AB33" s="1186"/>
      <c r="AC33" s="1186"/>
      <c r="AD33" s="1187"/>
    </row>
    <row r="34" spans="1:41" x14ac:dyDescent="0.2">
      <c r="A34">
        <f t="shared" si="1"/>
        <v>2</v>
      </c>
      <c r="B34">
        <v>25</v>
      </c>
      <c r="C34" s="1078">
        <v>2</v>
      </c>
      <c r="D34" s="1181" t="s">
        <v>5334</v>
      </c>
      <c r="E34" s="1077" t="s">
        <v>4986</v>
      </c>
      <c r="F34" s="1185">
        <v>1</v>
      </c>
      <c r="G34" s="1186">
        <v>4.8</v>
      </c>
      <c r="H34" s="1186">
        <v>2.4</v>
      </c>
      <c r="I34" s="1186">
        <v>6</v>
      </c>
      <c r="J34" s="1186">
        <v>3.06</v>
      </c>
      <c r="K34" s="1186">
        <v>7.3</v>
      </c>
      <c r="L34" s="1186">
        <v>3.68</v>
      </c>
      <c r="M34" s="1186">
        <v>8.6999999999999993</v>
      </c>
      <c r="N34" s="1186">
        <v>4.32</v>
      </c>
      <c r="O34" s="1186">
        <v>12</v>
      </c>
      <c r="P34" s="1186">
        <v>6</v>
      </c>
      <c r="Q34" s="1186">
        <v>5.7</v>
      </c>
      <c r="R34" s="1186">
        <v>2.1</v>
      </c>
      <c r="S34" s="1186">
        <v>8.1</v>
      </c>
      <c r="T34" s="1186">
        <v>3</v>
      </c>
      <c r="U34" s="1186">
        <v>11.2</v>
      </c>
      <c r="V34" s="1186">
        <v>4</v>
      </c>
      <c r="W34" s="1186"/>
      <c r="X34" s="1186"/>
      <c r="Y34" s="1186"/>
      <c r="Z34" s="1186"/>
      <c r="AA34" s="1186"/>
      <c r="AB34" s="1186"/>
      <c r="AC34" s="1186"/>
      <c r="AD34" s="1187"/>
    </row>
    <row r="35" spans="1:41" x14ac:dyDescent="0.2">
      <c r="A35">
        <f t="shared" si="1"/>
        <v>2</v>
      </c>
      <c r="B35">
        <v>26</v>
      </c>
      <c r="C35" s="1078">
        <v>2</v>
      </c>
      <c r="D35" s="1181" t="s">
        <v>5334</v>
      </c>
      <c r="E35" s="1077" t="s">
        <v>4517</v>
      </c>
      <c r="F35" s="1185">
        <v>4</v>
      </c>
      <c r="G35" s="1186">
        <v>3.4</v>
      </c>
      <c r="H35" s="1186">
        <v>2.42</v>
      </c>
      <c r="I35" s="1186">
        <v>6.4</v>
      </c>
      <c r="J35" s="1186">
        <v>3.17</v>
      </c>
      <c r="K35" s="1186">
        <v>4.58</v>
      </c>
      <c r="L35" s="1186">
        <v>4.1399999999999997</v>
      </c>
      <c r="M35" s="1186">
        <v>3.81</v>
      </c>
      <c r="N35" s="1186">
        <v>5.12</v>
      </c>
      <c r="O35" s="1186">
        <v>3.72</v>
      </c>
      <c r="P35" s="1186">
        <v>5.17</v>
      </c>
      <c r="Q35" s="1186">
        <v>4.93</v>
      </c>
      <c r="R35" s="1186">
        <v>2.2000000000000002</v>
      </c>
      <c r="S35" s="1186">
        <v>3.49</v>
      </c>
      <c r="T35" s="1186">
        <v>2.84</v>
      </c>
      <c r="U35" s="1186">
        <v>3.49</v>
      </c>
      <c r="V35" s="1186">
        <v>2.77</v>
      </c>
      <c r="W35" s="1186"/>
      <c r="X35" s="1186"/>
      <c r="Y35" s="1186"/>
      <c r="Z35" s="1186"/>
      <c r="AA35" s="1186"/>
      <c r="AB35" s="1186"/>
      <c r="AC35" s="1186"/>
      <c r="AD35" s="1187"/>
    </row>
    <row r="36" spans="1:41" x14ac:dyDescent="0.2">
      <c r="A36">
        <f t="shared" si="1"/>
        <v>2</v>
      </c>
      <c r="B36">
        <v>27</v>
      </c>
      <c r="C36" s="1078">
        <v>2</v>
      </c>
      <c r="D36" s="1181" t="s">
        <v>5334</v>
      </c>
      <c r="E36" s="1077" t="s">
        <v>4518</v>
      </c>
      <c r="F36" s="1185">
        <v>4</v>
      </c>
      <c r="G36" s="1186">
        <v>4.2</v>
      </c>
      <c r="H36" s="1186">
        <v>2</v>
      </c>
      <c r="I36" s="1186">
        <v>8.5</v>
      </c>
      <c r="J36" s="1186">
        <v>2.63</v>
      </c>
      <c r="K36" s="1186">
        <v>7.45</v>
      </c>
      <c r="L36" s="1186">
        <v>3.79</v>
      </c>
      <c r="M36" s="1186">
        <v>6.72</v>
      </c>
      <c r="N36" s="1186">
        <v>4.66</v>
      </c>
      <c r="O36" s="1186">
        <v>6.52</v>
      </c>
      <c r="P36" s="1186">
        <v>5.53</v>
      </c>
      <c r="Q36" s="1186">
        <v>8.4600000000000009</v>
      </c>
      <c r="R36" s="1186">
        <v>2.0499999999999998</v>
      </c>
      <c r="S36" s="1186">
        <v>6.12</v>
      </c>
      <c r="T36" s="1186">
        <v>3.51</v>
      </c>
      <c r="U36" s="1186">
        <v>5.8</v>
      </c>
      <c r="V36" s="1186">
        <v>2.9</v>
      </c>
      <c r="W36" s="1186"/>
      <c r="X36" s="1186"/>
      <c r="Y36" s="1186"/>
      <c r="Z36" s="1186"/>
      <c r="AA36" s="1186"/>
      <c r="AB36" s="1186"/>
      <c r="AC36" s="1186"/>
      <c r="AD36" s="1187"/>
    </row>
    <row r="37" spans="1:41" x14ac:dyDescent="0.2">
      <c r="A37">
        <f t="shared" si="1"/>
        <v>2</v>
      </c>
      <c r="B37">
        <v>28</v>
      </c>
      <c r="C37" s="1078">
        <v>2</v>
      </c>
      <c r="D37" s="1181" t="s">
        <v>5334</v>
      </c>
      <c r="E37" s="1077" t="s">
        <v>4974</v>
      </c>
      <c r="F37" s="1185">
        <v>4</v>
      </c>
      <c r="G37" s="1186">
        <v>3.4</v>
      </c>
      <c r="H37" s="1186">
        <v>2.42</v>
      </c>
      <c r="I37" s="1186">
        <v>6.4</v>
      </c>
      <c r="J37" s="1186">
        <v>3.17</v>
      </c>
      <c r="K37" s="1186">
        <v>4.58</v>
      </c>
      <c r="L37" s="1186">
        <v>4.1399999999999997</v>
      </c>
      <c r="M37" s="1186">
        <v>3.81</v>
      </c>
      <c r="N37" s="1186">
        <v>5.12</v>
      </c>
      <c r="O37" s="1186">
        <v>3.72</v>
      </c>
      <c r="P37" s="1186">
        <v>5.17</v>
      </c>
      <c r="Q37" s="1186">
        <v>4.93</v>
      </c>
      <c r="R37" s="1186">
        <v>2.2000000000000002</v>
      </c>
      <c r="S37" s="1186">
        <v>3.49</v>
      </c>
      <c r="T37" s="1186">
        <v>2.84</v>
      </c>
      <c r="U37" s="1186">
        <v>3.49</v>
      </c>
      <c r="V37" s="1186">
        <v>2.77</v>
      </c>
      <c r="W37" s="1186"/>
      <c r="X37" s="1186"/>
      <c r="Y37" s="1186"/>
      <c r="Z37" s="1186"/>
      <c r="AA37" s="1186"/>
      <c r="AB37" s="1186"/>
      <c r="AC37" s="1186"/>
      <c r="AD37" s="1187"/>
      <c r="AJ37" s="251" t="s">
        <v>2555</v>
      </c>
    </row>
    <row r="38" spans="1:41" x14ac:dyDescent="0.2">
      <c r="A38">
        <f t="shared" si="1"/>
        <v>2</v>
      </c>
      <c r="B38">
        <v>29</v>
      </c>
      <c r="C38" s="1078">
        <v>2</v>
      </c>
      <c r="D38" s="1181" t="s">
        <v>5334</v>
      </c>
      <c r="E38" s="1077" t="s">
        <v>4975</v>
      </c>
      <c r="F38" s="1185">
        <v>4</v>
      </c>
      <c r="G38" s="1186">
        <v>4.2</v>
      </c>
      <c r="H38" s="1186">
        <v>2</v>
      </c>
      <c r="I38" s="1186">
        <v>8.5</v>
      </c>
      <c r="J38" s="1186">
        <v>2.63</v>
      </c>
      <c r="K38" s="1186">
        <v>7.45</v>
      </c>
      <c r="L38" s="1186">
        <v>3.79</v>
      </c>
      <c r="M38" s="1186">
        <v>6.72</v>
      </c>
      <c r="N38" s="1186">
        <v>4.66</v>
      </c>
      <c r="O38" s="1186">
        <v>6.52</v>
      </c>
      <c r="P38" s="1186">
        <v>5.53</v>
      </c>
      <c r="Q38" s="1186">
        <v>8.4600000000000009</v>
      </c>
      <c r="R38" s="1186">
        <v>2.0499999999999998</v>
      </c>
      <c r="S38" s="1186">
        <v>6.12</v>
      </c>
      <c r="T38" s="1186">
        <v>3.51</v>
      </c>
      <c r="U38" s="1186">
        <v>5.8</v>
      </c>
      <c r="V38" s="1186">
        <v>2.9</v>
      </c>
      <c r="W38" s="1186"/>
      <c r="X38" s="1186"/>
      <c r="Y38" s="1186"/>
      <c r="Z38" s="1186"/>
      <c r="AA38" s="1186"/>
      <c r="AB38" s="1186"/>
      <c r="AC38" s="1186"/>
      <c r="AD38" s="1187"/>
      <c r="AH38" s="251" t="s">
        <v>2556</v>
      </c>
      <c r="AJ38" s="251">
        <f>COUNT(AI40:AI239)-1</f>
        <v>51</v>
      </c>
      <c r="AL38" s="251" t="s">
        <v>1849</v>
      </c>
      <c r="AO38" s="251" t="s">
        <v>1342</v>
      </c>
    </row>
    <row r="39" spans="1:41" x14ac:dyDescent="0.2">
      <c r="A39">
        <f t="shared" si="1"/>
        <v>2</v>
      </c>
      <c r="B39">
        <v>30</v>
      </c>
      <c r="C39" s="1078">
        <v>2</v>
      </c>
      <c r="D39" s="1181" t="s">
        <v>5334</v>
      </c>
      <c r="E39" s="1077" t="s">
        <v>4987</v>
      </c>
      <c r="F39" s="1185">
        <v>1</v>
      </c>
      <c r="G39" s="1186">
        <v>5.8</v>
      </c>
      <c r="H39" s="1186">
        <v>2.4</v>
      </c>
      <c r="I39" s="1186">
        <v>7.5</v>
      </c>
      <c r="J39" s="1186">
        <v>2.9</v>
      </c>
      <c r="K39" s="1186">
        <v>9.5</v>
      </c>
      <c r="L39" s="1186">
        <v>3.7</v>
      </c>
      <c r="M39" s="1186">
        <v>10.3</v>
      </c>
      <c r="N39" s="1186">
        <v>4.2</v>
      </c>
      <c r="O39" s="1186">
        <v>15</v>
      </c>
      <c r="P39" s="1186">
        <v>5.3</v>
      </c>
      <c r="Q39" s="1186">
        <v>6.8</v>
      </c>
      <c r="R39" s="1186">
        <v>1.8</v>
      </c>
      <c r="S39" s="1186">
        <v>10.3</v>
      </c>
      <c r="T39" s="1186">
        <v>2.8</v>
      </c>
      <c r="U39" s="1186">
        <v>14.5</v>
      </c>
      <c r="V39" s="1186">
        <v>3.4</v>
      </c>
      <c r="W39" s="1186"/>
      <c r="X39" s="1186"/>
      <c r="Y39" s="1186"/>
      <c r="Z39" s="1186"/>
      <c r="AA39" s="1186"/>
      <c r="AB39" s="1186"/>
      <c r="AC39" s="1186"/>
      <c r="AD39" s="1187"/>
      <c r="AH39" s="251" t="s">
        <v>1343</v>
      </c>
      <c r="AI39" s="251" t="s">
        <v>1850</v>
      </c>
      <c r="AJ39" s="251" t="s">
        <v>1341</v>
      </c>
      <c r="AL39" s="251" t="s">
        <v>1851</v>
      </c>
      <c r="AM39" s="251" t="s">
        <v>1852</v>
      </c>
    </row>
    <row r="40" spans="1:41" x14ac:dyDescent="0.2">
      <c r="A40">
        <f t="shared" si="1"/>
        <v>2</v>
      </c>
      <c r="B40">
        <v>31</v>
      </c>
      <c r="C40" s="1078">
        <v>2</v>
      </c>
      <c r="D40" s="1181" t="s">
        <v>5334</v>
      </c>
      <c r="E40" s="1077" t="s">
        <v>4988</v>
      </c>
      <c r="F40" s="1185">
        <v>1</v>
      </c>
      <c r="G40" s="1186">
        <v>7</v>
      </c>
      <c r="H40" s="1186">
        <v>2.4</v>
      </c>
      <c r="I40" s="1186">
        <v>9.1</v>
      </c>
      <c r="J40" s="1186">
        <v>2.9</v>
      </c>
      <c r="K40" s="1186">
        <v>11.8</v>
      </c>
      <c r="L40" s="1186">
        <v>3.7</v>
      </c>
      <c r="M40" s="1186">
        <v>12.8</v>
      </c>
      <c r="N40" s="1186">
        <v>4.2</v>
      </c>
      <c r="O40" s="1186">
        <v>18.3</v>
      </c>
      <c r="P40" s="1186">
        <v>5.3</v>
      </c>
      <c r="Q40" s="1186">
        <v>8.6</v>
      </c>
      <c r="R40" s="1186">
        <v>1.9</v>
      </c>
      <c r="S40" s="1186">
        <v>11.2</v>
      </c>
      <c r="T40" s="1186">
        <v>2.7</v>
      </c>
      <c r="U40" s="1186">
        <v>17.3</v>
      </c>
      <c r="V40" s="1186">
        <v>3.3</v>
      </c>
      <c r="W40" s="1186"/>
      <c r="X40" s="1186"/>
      <c r="Y40" s="1186"/>
      <c r="Z40" s="1186"/>
      <c r="AA40" s="1186"/>
      <c r="AB40" s="1186"/>
      <c r="AC40" s="1186"/>
      <c r="AD40" s="1187"/>
      <c r="AH40" s="251">
        <v>1</v>
      </c>
      <c r="AI40" s="251">
        <f t="shared" ref="AI40:AI71" si="2">MATCH(AH40,$A$10:$A$2000,0)</f>
        <v>1</v>
      </c>
      <c r="AJ40" s="251" t="str">
        <f ca="1">OFFSET($D$9,AI40,0)</f>
        <v>Eigene Werte</v>
      </c>
      <c r="AL40" s="251">
        <f ca="1">AM40</f>
        <v>1848</v>
      </c>
      <c r="AM40" s="251">
        <f ca="1">AH10</f>
        <v>1848</v>
      </c>
      <c r="AN40" s="251" t="str">
        <f t="shared" ref="AN40:AN71" ca="1" si="3">IF(INDEX($C$10:$C$2000,AM40,1)=2,"L/W ",IF(INDEX($C$10:$C$2000,AM40,1)=3,"S/W ",IF(INDEX($C$10:$C$2000,AM40,1)=4,"W/W ","")))&amp;OFFSET($E$9,AM40,0)</f>
        <v/>
      </c>
      <c r="AO40" s="251">
        <f t="shared" ref="AO40:AO71" ca="1" si="4">(INDEX($C$10:$C$2000,AM40,1))</f>
        <v>0</v>
      </c>
    </row>
    <row r="41" spans="1:41" x14ac:dyDescent="0.2">
      <c r="A41">
        <f t="shared" si="1"/>
        <v>2</v>
      </c>
      <c r="B41">
        <v>32</v>
      </c>
      <c r="C41" s="1078">
        <v>2</v>
      </c>
      <c r="D41" s="1181" t="s">
        <v>5334</v>
      </c>
      <c r="E41" s="1077" t="s">
        <v>4989</v>
      </c>
      <c r="F41" s="1185">
        <v>1</v>
      </c>
      <c r="G41" s="1186">
        <v>8.8000000000000007</v>
      </c>
      <c r="H41" s="1186">
        <v>2.6</v>
      </c>
      <c r="I41" s="1186">
        <v>10.8</v>
      </c>
      <c r="J41" s="1186">
        <v>3</v>
      </c>
      <c r="K41" s="1186">
        <v>13.8</v>
      </c>
      <c r="L41" s="1186">
        <v>3.7</v>
      </c>
      <c r="M41" s="1186">
        <v>14.4</v>
      </c>
      <c r="N41" s="1186">
        <v>4.3</v>
      </c>
      <c r="O41" s="1186">
        <v>22.1</v>
      </c>
      <c r="P41" s="1186">
        <v>5.5</v>
      </c>
      <c r="Q41" s="1186">
        <v>10.4</v>
      </c>
      <c r="R41" s="1186">
        <v>2</v>
      </c>
      <c r="S41" s="1186">
        <v>13.8</v>
      </c>
      <c r="T41" s="1186">
        <v>2.6</v>
      </c>
      <c r="U41" s="1186">
        <v>20.8</v>
      </c>
      <c r="V41" s="1186">
        <v>3.4</v>
      </c>
      <c r="W41" s="1186"/>
      <c r="X41" s="1186"/>
      <c r="Y41" s="1186"/>
      <c r="Z41" s="1186"/>
      <c r="AA41" s="1186"/>
      <c r="AB41" s="1186"/>
      <c r="AC41" s="1186"/>
      <c r="AD41" s="1187"/>
      <c r="AH41" s="251">
        <v>2</v>
      </c>
      <c r="AI41" s="251">
        <f t="shared" si="2"/>
        <v>2</v>
      </c>
      <c r="AJ41" s="251" t="str">
        <f ca="1">OFFSET($D$9,AI41,0)</f>
        <v>alpha innotec</v>
      </c>
      <c r="AL41" s="251">
        <f ca="1">AL40+1</f>
        <v>1849</v>
      </c>
      <c r="AM41" s="251" t="e">
        <f t="shared" ref="AM41:AM81" ca="1" si="5">IF(AL41&lt;$AH$13,AL41,"")</f>
        <v>#N/A</v>
      </c>
      <c r="AN41" s="251" t="e">
        <f t="shared" ca="1" si="3"/>
        <v>#N/A</v>
      </c>
      <c r="AO41" s="251" t="e">
        <f t="shared" ca="1" si="4"/>
        <v>#N/A</v>
      </c>
    </row>
    <row r="42" spans="1:41" x14ac:dyDescent="0.2">
      <c r="A42">
        <f t="shared" si="1"/>
        <v>2</v>
      </c>
      <c r="B42">
        <v>33</v>
      </c>
      <c r="C42" s="1078">
        <v>2</v>
      </c>
      <c r="D42" s="1181" t="s">
        <v>5334</v>
      </c>
      <c r="E42" s="1077" t="s">
        <v>4990</v>
      </c>
      <c r="F42" s="1185">
        <v>4</v>
      </c>
      <c r="G42" s="1186">
        <v>11</v>
      </c>
      <c r="H42" s="1186">
        <v>2.6</v>
      </c>
      <c r="I42" s="1186" t="s">
        <v>4524</v>
      </c>
      <c r="J42" s="1186">
        <v>3.21</v>
      </c>
      <c r="K42" s="1186">
        <v>9.1068965517241374</v>
      </c>
      <c r="L42" s="1186">
        <v>3.9</v>
      </c>
      <c r="M42" s="1186">
        <v>6.7103448275862068</v>
      </c>
      <c r="N42" s="1186">
        <v>4.1500000000000004</v>
      </c>
      <c r="O42" s="1186">
        <v>6</v>
      </c>
      <c r="P42" s="1186">
        <v>4.7</v>
      </c>
      <c r="Q42" s="1186">
        <v>13.7</v>
      </c>
      <c r="R42" s="1186">
        <v>2.41</v>
      </c>
      <c r="S42" s="1186">
        <v>12</v>
      </c>
      <c r="T42" s="1186">
        <v>3.31</v>
      </c>
      <c r="U42" s="1186">
        <v>6.5</v>
      </c>
      <c r="V42" s="1186">
        <v>3.4</v>
      </c>
      <c r="W42" s="1186"/>
      <c r="X42" s="1186"/>
      <c r="Y42" s="1186"/>
      <c r="Z42" s="1186"/>
      <c r="AA42" s="1186"/>
      <c r="AB42" s="1186"/>
      <c r="AC42" s="1186"/>
      <c r="AD42" s="1187"/>
      <c r="AH42" s="251">
        <v>3</v>
      </c>
      <c r="AI42" s="251">
        <f t="shared" si="2"/>
        <v>88</v>
      </c>
      <c r="AJ42" s="251" t="str">
        <f ca="1">OFFSET($D$9,AI42,0)</f>
        <v>Atlantic Suisse AG</v>
      </c>
      <c r="AL42" s="251">
        <f t="shared" ref="AL42:AL105" ca="1" si="6">AL41+1</f>
        <v>1850</v>
      </c>
      <c r="AM42" s="251" t="e">
        <f t="shared" ca="1" si="5"/>
        <v>#N/A</v>
      </c>
      <c r="AN42" s="251" t="e">
        <f t="shared" ca="1" si="3"/>
        <v>#N/A</v>
      </c>
      <c r="AO42" s="251" t="e">
        <f t="shared" ca="1" si="4"/>
        <v>#N/A</v>
      </c>
    </row>
    <row r="43" spans="1:41" x14ac:dyDescent="0.2">
      <c r="A43">
        <f t="shared" si="1"/>
        <v>2</v>
      </c>
      <c r="B43">
        <v>34</v>
      </c>
      <c r="C43" s="1078">
        <v>2</v>
      </c>
      <c r="D43" s="1181" t="s">
        <v>5334</v>
      </c>
      <c r="E43" s="1077" t="s">
        <v>4991</v>
      </c>
      <c r="F43" s="1185">
        <v>2</v>
      </c>
      <c r="G43" s="1186">
        <v>11</v>
      </c>
      <c r="H43" s="1186">
        <v>2.2999999999999998</v>
      </c>
      <c r="I43" s="1186">
        <v>14.1</v>
      </c>
      <c r="J43" s="1186">
        <v>2.8</v>
      </c>
      <c r="K43" s="1186">
        <v>9.5</v>
      </c>
      <c r="L43" s="1186">
        <v>3.8</v>
      </c>
      <c r="M43" s="1186">
        <v>10.1</v>
      </c>
      <c r="N43" s="1186">
        <v>4.2</v>
      </c>
      <c r="O43" s="1186">
        <v>16.600000000000001</v>
      </c>
      <c r="P43" s="1186">
        <v>5.4</v>
      </c>
      <c r="Q43" s="1186">
        <v>12.7</v>
      </c>
      <c r="R43" s="1186">
        <v>1.8</v>
      </c>
      <c r="S43" s="1186">
        <v>17.5</v>
      </c>
      <c r="T43" s="1186">
        <v>2.5</v>
      </c>
      <c r="U43" s="1186">
        <v>24.8</v>
      </c>
      <c r="V43" s="1186">
        <v>3.6</v>
      </c>
      <c r="W43" s="1186"/>
      <c r="X43" s="1186"/>
      <c r="Y43" s="1186"/>
      <c r="Z43" s="1186"/>
      <c r="AA43" s="1186"/>
      <c r="AB43" s="1186"/>
      <c r="AC43" s="1186"/>
      <c r="AD43" s="1187"/>
      <c r="AH43" s="251">
        <v>4</v>
      </c>
      <c r="AI43" s="251">
        <f t="shared" si="2"/>
        <v>113</v>
      </c>
      <c r="AJ43" s="251" t="str">
        <f t="shared" ref="AJ43:AJ104" ca="1" si="7">OFFSET($D$9,AI43,0)</f>
        <v xml:space="preserve">Austria Email </v>
      </c>
      <c r="AL43" s="251">
        <f t="shared" ca="1" si="6"/>
        <v>1851</v>
      </c>
      <c r="AM43" s="251" t="e">
        <f t="shared" ca="1" si="5"/>
        <v>#N/A</v>
      </c>
      <c r="AN43" s="251" t="e">
        <f t="shared" ca="1" si="3"/>
        <v>#N/A</v>
      </c>
      <c r="AO43" s="251" t="e">
        <f t="shared" ca="1" si="4"/>
        <v>#N/A</v>
      </c>
    </row>
    <row r="44" spans="1:41" x14ac:dyDescent="0.2">
      <c r="A44">
        <f t="shared" si="1"/>
        <v>2</v>
      </c>
      <c r="B44">
        <v>35</v>
      </c>
      <c r="C44" s="1078">
        <v>2</v>
      </c>
      <c r="D44" s="1181" t="s">
        <v>5334</v>
      </c>
      <c r="E44" s="1077" t="s">
        <v>4992</v>
      </c>
      <c r="F44" s="1185">
        <v>2</v>
      </c>
      <c r="G44" s="1186">
        <v>15.5</v>
      </c>
      <c r="H44" s="1186">
        <v>2.5</v>
      </c>
      <c r="I44" s="1186">
        <v>19.399999999999999</v>
      </c>
      <c r="J44" s="1186">
        <v>2.8</v>
      </c>
      <c r="K44" s="1186">
        <v>13.2</v>
      </c>
      <c r="L44" s="1186">
        <v>3.8</v>
      </c>
      <c r="M44" s="1186">
        <v>14.1</v>
      </c>
      <c r="N44" s="1186">
        <v>4.2</v>
      </c>
      <c r="O44" s="1186">
        <v>24.2</v>
      </c>
      <c r="P44" s="1186">
        <v>6</v>
      </c>
      <c r="Q44" s="1186">
        <v>18.5</v>
      </c>
      <c r="R44" s="1186">
        <v>1.8</v>
      </c>
      <c r="S44" s="1186">
        <v>26.5</v>
      </c>
      <c r="T44" s="1186">
        <v>2.5</v>
      </c>
      <c r="U44" s="1186">
        <v>39</v>
      </c>
      <c r="V44" s="1186">
        <v>3.5</v>
      </c>
      <c r="W44" s="1186"/>
      <c r="X44" s="1186"/>
      <c r="Y44" s="1186"/>
      <c r="Z44" s="1186"/>
      <c r="AA44" s="1186"/>
      <c r="AB44" s="1186"/>
      <c r="AC44" s="1186"/>
      <c r="AD44" s="1187"/>
      <c r="AH44" s="251">
        <v>5</v>
      </c>
      <c r="AI44" s="251">
        <f t="shared" si="2"/>
        <v>117</v>
      </c>
      <c r="AJ44" s="251" t="str">
        <f t="shared" ca="1" si="7"/>
        <v>Austria Email AG</v>
      </c>
      <c r="AL44" s="251">
        <f t="shared" ca="1" si="6"/>
        <v>1852</v>
      </c>
      <c r="AM44" s="251" t="e">
        <f t="shared" ca="1" si="5"/>
        <v>#N/A</v>
      </c>
      <c r="AN44" s="251" t="e">
        <f t="shared" ca="1" si="3"/>
        <v>#N/A</v>
      </c>
      <c r="AO44" s="251" t="e">
        <f t="shared" ca="1" si="4"/>
        <v>#N/A</v>
      </c>
    </row>
    <row r="45" spans="1:41" x14ac:dyDescent="0.2">
      <c r="A45">
        <f t="shared" si="1"/>
        <v>2</v>
      </c>
      <c r="B45">
        <v>36</v>
      </c>
      <c r="C45" s="1078">
        <v>2</v>
      </c>
      <c r="D45" s="1181" t="s">
        <v>5334</v>
      </c>
      <c r="E45" s="1077" t="s">
        <v>4993</v>
      </c>
      <c r="F45" s="1185">
        <v>2</v>
      </c>
      <c r="G45" s="1186">
        <v>19.11</v>
      </c>
      <c r="H45" s="1186">
        <v>2.2000000000000002</v>
      </c>
      <c r="I45" s="1186">
        <v>24.28</v>
      </c>
      <c r="J45" s="1186">
        <v>2.77</v>
      </c>
      <c r="K45" s="1186">
        <v>16.97</v>
      </c>
      <c r="L45" s="1186">
        <v>3.52</v>
      </c>
      <c r="M45" s="1186">
        <v>19.78</v>
      </c>
      <c r="N45" s="1186">
        <v>4.04</v>
      </c>
      <c r="O45" s="1186">
        <v>24.95</v>
      </c>
      <c r="P45" s="1186">
        <v>3.73</v>
      </c>
      <c r="Q45" s="1186">
        <v>24.28</v>
      </c>
      <c r="R45" s="1186">
        <v>1.86</v>
      </c>
      <c r="S45" s="1186">
        <v>19.05</v>
      </c>
      <c r="T45" s="1186">
        <v>2.78</v>
      </c>
      <c r="U45" s="1186">
        <v>24.97</v>
      </c>
      <c r="V45" s="1186">
        <v>3.73</v>
      </c>
      <c r="W45" s="1186"/>
      <c r="X45" s="1186"/>
      <c r="Y45" s="1186"/>
      <c r="Z45" s="1186"/>
      <c r="AA45" s="1186"/>
      <c r="AB45" s="1186"/>
      <c r="AC45" s="1186"/>
      <c r="AD45" s="1187"/>
      <c r="AH45" s="251">
        <v>6</v>
      </c>
      <c r="AI45" s="251">
        <f t="shared" si="2"/>
        <v>129</v>
      </c>
      <c r="AJ45" s="251" t="str">
        <f t="shared" ca="1" si="7"/>
        <v>Bauer Wärmepumpensysteme</v>
      </c>
      <c r="AL45" s="251">
        <f t="shared" ca="1" si="6"/>
        <v>1853</v>
      </c>
      <c r="AM45" s="251" t="e">
        <f t="shared" ca="1" si="5"/>
        <v>#N/A</v>
      </c>
      <c r="AN45" s="251" t="e">
        <f t="shared" ca="1" si="3"/>
        <v>#N/A</v>
      </c>
      <c r="AO45" s="251" t="e">
        <f t="shared" ca="1" si="4"/>
        <v>#N/A</v>
      </c>
    </row>
    <row r="46" spans="1:41" x14ac:dyDescent="0.2">
      <c r="A46">
        <f t="shared" si="1"/>
        <v>2</v>
      </c>
      <c r="B46">
        <v>37</v>
      </c>
      <c r="C46" s="1078">
        <v>2</v>
      </c>
      <c r="D46" s="1181" t="s">
        <v>5334</v>
      </c>
      <c r="E46" s="1077" t="s">
        <v>4519</v>
      </c>
      <c r="F46" s="1185">
        <v>2</v>
      </c>
      <c r="G46" s="1186">
        <v>29</v>
      </c>
      <c r="H46" s="1186">
        <v>2.4</v>
      </c>
      <c r="I46" s="1186">
        <v>35.700000000000003</v>
      </c>
      <c r="J46" s="1186">
        <v>2.79</v>
      </c>
      <c r="K46" s="1186">
        <v>45.5</v>
      </c>
      <c r="L46" s="1186">
        <v>3.5</v>
      </c>
      <c r="M46" s="1186">
        <v>31.03</v>
      </c>
      <c r="N46" s="1186">
        <v>4.58</v>
      </c>
      <c r="O46" s="1186">
        <v>41.9</v>
      </c>
      <c r="P46" s="1186">
        <v>5.6</v>
      </c>
      <c r="Q46" s="1186">
        <v>36</v>
      </c>
      <c r="R46" s="1186">
        <v>2.2000000000000002</v>
      </c>
      <c r="S46" s="1186">
        <v>31</v>
      </c>
      <c r="T46" s="1186">
        <v>3.1</v>
      </c>
      <c r="U46" s="1186">
        <v>37.799999999999997</v>
      </c>
      <c r="V46" s="1186">
        <v>3.7</v>
      </c>
      <c r="W46" s="1186"/>
      <c r="X46" s="1186"/>
      <c r="Y46" s="1186"/>
      <c r="Z46" s="1186"/>
      <c r="AA46" s="1186"/>
      <c r="AB46" s="1186"/>
      <c r="AC46" s="1186"/>
      <c r="AD46" s="1187"/>
      <c r="AH46" s="251">
        <v>7</v>
      </c>
      <c r="AI46" s="251">
        <f t="shared" si="2"/>
        <v>155</v>
      </c>
      <c r="AJ46" s="251" t="str">
        <f t="shared" ca="1" si="7"/>
        <v>Buderus</v>
      </c>
      <c r="AL46" s="251">
        <f t="shared" ca="1" si="6"/>
        <v>1854</v>
      </c>
      <c r="AM46" s="251" t="e">
        <f t="shared" ca="1" si="5"/>
        <v>#N/A</v>
      </c>
      <c r="AN46" s="251" t="e">
        <f t="shared" ca="1" si="3"/>
        <v>#N/A</v>
      </c>
      <c r="AO46" s="251" t="e">
        <f t="shared" ca="1" si="4"/>
        <v>#N/A</v>
      </c>
    </row>
    <row r="47" spans="1:41" x14ac:dyDescent="0.2">
      <c r="A47">
        <f t="shared" si="1"/>
        <v>2</v>
      </c>
      <c r="B47">
        <v>38</v>
      </c>
      <c r="C47" s="1078">
        <v>2</v>
      </c>
      <c r="D47" s="1181" t="s">
        <v>5334</v>
      </c>
      <c r="E47" s="1077" t="s">
        <v>4520</v>
      </c>
      <c r="F47" s="1185">
        <v>4</v>
      </c>
      <c r="G47" s="1186">
        <v>4.2</v>
      </c>
      <c r="H47" s="1186">
        <v>2.6</v>
      </c>
      <c r="I47" s="1186">
        <v>5.2</v>
      </c>
      <c r="J47" s="1186">
        <v>3</v>
      </c>
      <c r="K47" s="1186">
        <v>4.03</v>
      </c>
      <c r="L47" s="1186">
        <v>4.43</v>
      </c>
      <c r="M47" s="1186">
        <v>5.31</v>
      </c>
      <c r="N47" s="1186">
        <v>5.07</v>
      </c>
      <c r="O47" s="1186">
        <v>5.0999999999999996</v>
      </c>
      <c r="P47" s="1186">
        <v>6</v>
      </c>
      <c r="Q47" s="1186">
        <v>5.55</v>
      </c>
      <c r="R47" s="1186">
        <v>2.19</v>
      </c>
      <c r="S47" s="1186">
        <v>6.32</v>
      </c>
      <c r="T47" s="1186">
        <v>2.97</v>
      </c>
      <c r="U47" s="1186">
        <v>4.68</v>
      </c>
      <c r="V47" s="1186">
        <v>3.31</v>
      </c>
      <c r="W47" s="1186"/>
      <c r="X47" s="1186"/>
      <c r="Y47" s="1186"/>
      <c r="Z47" s="1186"/>
      <c r="AA47" s="1186"/>
      <c r="AB47" s="1186"/>
      <c r="AC47" s="1186"/>
      <c r="AD47" s="1187"/>
      <c r="AH47" s="251">
        <v>8</v>
      </c>
      <c r="AI47" s="251">
        <f t="shared" si="2"/>
        <v>264</v>
      </c>
      <c r="AJ47" s="251" t="str">
        <f t="shared" ca="1" si="7"/>
        <v>CTA AG</v>
      </c>
      <c r="AL47" s="251">
        <f t="shared" ca="1" si="6"/>
        <v>1855</v>
      </c>
      <c r="AM47" s="251" t="e">
        <f t="shared" ca="1" si="5"/>
        <v>#N/A</v>
      </c>
      <c r="AN47" s="251" t="e">
        <f t="shared" ca="1" si="3"/>
        <v>#N/A</v>
      </c>
      <c r="AO47" s="251" t="e">
        <f t="shared" ca="1" si="4"/>
        <v>#N/A</v>
      </c>
    </row>
    <row r="48" spans="1:41" x14ac:dyDescent="0.2">
      <c r="A48">
        <f t="shared" si="1"/>
        <v>2</v>
      </c>
      <c r="B48">
        <v>39</v>
      </c>
      <c r="C48" s="1078">
        <v>2</v>
      </c>
      <c r="D48" s="1181" t="s">
        <v>5334</v>
      </c>
      <c r="E48" s="1077" t="s">
        <v>4521</v>
      </c>
      <c r="F48" s="1185">
        <v>4</v>
      </c>
      <c r="G48" s="1186">
        <v>6.5</v>
      </c>
      <c r="H48" s="1186">
        <v>2.7</v>
      </c>
      <c r="I48" s="1186">
        <v>7.4</v>
      </c>
      <c r="J48" s="1186">
        <v>3.1</v>
      </c>
      <c r="K48" s="1186">
        <v>5.21</v>
      </c>
      <c r="L48" s="1186">
        <v>4.2699999999999996</v>
      </c>
      <c r="M48" s="1186">
        <v>3.54</v>
      </c>
      <c r="N48" s="1186">
        <v>5.12</v>
      </c>
      <c r="O48" s="1186">
        <v>8.4</v>
      </c>
      <c r="P48" s="1186">
        <v>6</v>
      </c>
      <c r="Q48" s="1186">
        <v>7.66</v>
      </c>
      <c r="R48" s="1186">
        <v>2.25</v>
      </c>
      <c r="S48" s="1186">
        <v>10</v>
      </c>
      <c r="T48" s="1186">
        <v>3.01</v>
      </c>
      <c r="U48" s="1186">
        <v>7.65</v>
      </c>
      <c r="V48" s="1186">
        <v>3.4</v>
      </c>
      <c r="W48" s="1186"/>
      <c r="X48" s="1186"/>
      <c r="Y48" s="1186"/>
      <c r="Z48" s="1186"/>
      <c r="AA48" s="1186"/>
      <c r="AB48" s="1186"/>
      <c r="AC48" s="1186"/>
      <c r="AD48" s="1187"/>
      <c r="AH48" s="251">
        <v>9</v>
      </c>
      <c r="AI48" s="251">
        <f t="shared" si="2"/>
        <v>382</v>
      </c>
      <c r="AJ48" s="251" t="str">
        <f t="shared" ca="1" si="7"/>
        <v>CTC AG</v>
      </c>
      <c r="AL48" s="251">
        <f t="shared" ca="1" si="6"/>
        <v>1856</v>
      </c>
      <c r="AM48" s="251" t="e">
        <f t="shared" ca="1" si="5"/>
        <v>#N/A</v>
      </c>
      <c r="AN48" s="251" t="e">
        <f t="shared" ca="1" si="3"/>
        <v>#N/A</v>
      </c>
      <c r="AO48" s="251" t="e">
        <f t="shared" ca="1" si="4"/>
        <v>#N/A</v>
      </c>
    </row>
    <row r="49" spans="1:41" x14ac:dyDescent="0.2">
      <c r="A49">
        <f t="shared" si="1"/>
        <v>2</v>
      </c>
      <c r="B49">
        <v>40</v>
      </c>
      <c r="C49" s="1078">
        <v>2</v>
      </c>
      <c r="D49" s="1181" t="s">
        <v>5334</v>
      </c>
      <c r="E49" s="1077" t="s">
        <v>4522</v>
      </c>
      <c r="F49" s="1185">
        <v>4</v>
      </c>
      <c r="G49" s="1186">
        <v>9.1</v>
      </c>
      <c r="H49" s="1186">
        <v>2.7</v>
      </c>
      <c r="I49" s="1186">
        <v>10.199999999999999</v>
      </c>
      <c r="J49" s="1186">
        <v>3.1</v>
      </c>
      <c r="K49" s="1186">
        <v>7.8</v>
      </c>
      <c r="L49" s="1186">
        <v>4.3600000000000003</v>
      </c>
      <c r="M49" s="1186">
        <v>5.17</v>
      </c>
      <c r="N49" s="1186">
        <v>5.1100000000000003</v>
      </c>
      <c r="O49" s="1186">
        <v>10.6</v>
      </c>
      <c r="P49" s="1186">
        <v>6</v>
      </c>
      <c r="Q49" s="1186">
        <v>10.9</v>
      </c>
      <c r="R49" s="1186">
        <v>2.35</v>
      </c>
      <c r="S49" s="1186">
        <v>13.7</v>
      </c>
      <c r="T49" s="1186">
        <v>3.11</v>
      </c>
      <c r="U49" s="1186">
        <v>9.75</v>
      </c>
      <c r="V49" s="1186">
        <v>3.35</v>
      </c>
      <c r="W49" s="1186"/>
      <c r="X49" s="1186"/>
      <c r="Y49" s="1186"/>
      <c r="Z49" s="1186"/>
      <c r="AA49" s="1186"/>
      <c r="AB49" s="1186"/>
      <c r="AC49" s="1186"/>
      <c r="AD49" s="1187"/>
      <c r="AH49" s="251">
        <v>10</v>
      </c>
      <c r="AI49" s="251">
        <f t="shared" si="2"/>
        <v>430</v>
      </c>
      <c r="AJ49" s="251" t="str">
        <f t="shared" ca="1" si="7"/>
        <v>Templari</v>
      </c>
      <c r="AL49" s="251">
        <f t="shared" ca="1" si="6"/>
        <v>1857</v>
      </c>
      <c r="AM49" s="251" t="e">
        <f t="shared" ca="1" si="5"/>
        <v>#N/A</v>
      </c>
      <c r="AN49" s="251" t="e">
        <f t="shared" ca="1" si="3"/>
        <v>#N/A</v>
      </c>
      <c r="AO49" s="251" t="e">
        <f t="shared" ca="1" si="4"/>
        <v>#N/A</v>
      </c>
    </row>
    <row r="50" spans="1:41" x14ac:dyDescent="0.2">
      <c r="A50">
        <f t="shared" si="1"/>
        <v>2</v>
      </c>
      <c r="B50">
        <v>41</v>
      </c>
      <c r="C50" s="1078">
        <v>2</v>
      </c>
      <c r="D50" s="1181" t="s">
        <v>5334</v>
      </c>
      <c r="E50" s="1077" t="s">
        <v>4523</v>
      </c>
      <c r="F50" s="1185">
        <v>4</v>
      </c>
      <c r="G50" s="1186">
        <v>11.2</v>
      </c>
      <c r="H50" s="1186">
        <v>2.6</v>
      </c>
      <c r="I50" s="1186">
        <v>13.5</v>
      </c>
      <c r="J50" s="1186">
        <v>2.9</v>
      </c>
      <c r="K50" s="1186">
        <v>9.9499999999999993</v>
      </c>
      <c r="L50" s="1186">
        <v>4.22</v>
      </c>
      <c r="M50" s="1186">
        <v>5.17</v>
      </c>
      <c r="N50" s="1186">
        <v>5.1100000000000003</v>
      </c>
      <c r="O50" s="1186">
        <v>14.9</v>
      </c>
      <c r="P50" s="1186">
        <v>5.6</v>
      </c>
      <c r="Q50" s="1186">
        <v>14.2</v>
      </c>
      <c r="R50" s="1186">
        <v>2.2000000000000002</v>
      </c>
      <c r="S50" s="1186">
        <v>17</v>
      </c>
      <c r="T50" s="1186">
        <v>2.93</v>
      </c>
      <c r="U50" s="1186">
        <v>13.6</v>
      </c>
      <c r="V50" s="1186">
        <v>3.24</v>
      </c>
      <c r="W50" s="1186"/>
      <c r="X50" s="1186"/>
      <c r="Y50" s="1186"/>
      <c r="Z50" s="1186"/>
      <c r="AA50" s="1186"/>
      <c r="AB50" s="1186"/>
      <c r="AC50" s="1186"/>
      <c r="AD50" s="1187"/>
      <c r="AH50" s="251">
        <v>11</v>
      </c>
      <c r="AI50" s="251">
        <f t="shared" si="2"/>
        <v>434</v>
      </c>
      <c r="AJ50" s="251" t="str">
        <f t="shared" ca="1" si="7"/>
        <v>Daikin</v>
      </c>
      <c r="AL50" s="251">
        <f t="shared" ca="1" si="6"/>
        <v>1858</v>
      </c>
      <c r="AM50" s="251" t="e">
        <f t="shared" ca="1" si="5"/>
        <v>#N/A</v>
      </c>
      <c r="AN50" s="251" t="e">
        <f t="shared" ca="1" si="3"/>
        <v>#N/A</v>
      </c>
      <c r="AO50" s="251" t="e">
        <f t="shared" ca="1" si="4"/>
        <v>#N/A</v>
      </c>
    </row>
    <row r="51" spans="1:41" x14ac:dyDescent="0.2">
      <c r="A51">
        <f t="shared" si="1"/>
        <v>2</v>
      </c>
      <c r="B51">
        <v>42</v>
      </c>
      <c r="C51" s="1078">
        <v>2</v>
      </c>
      <c r="D51" s="1181" t="s">
        <v>5334</v>
      </c>
      <c r="E51" s="1077" t="s">
        <v>4994</v>
      </c>
      <c r="F51" s="1185">
        <v>1</v>
      </c>
      <c r="G51" s="1186">
        <v>4.7</v>
      </c>
      <c r="H51" s="1186">
        <v>3</v>
      </c>
      <c r="I51" s="1186">
        <v>5.8</v>
      </c>
      <c r="J51" s="1186">
        <v>3.6</v>
      </c>
      <c r="K51" s="1186">
        <v>7.2</v>
      </c>
      <c r="L51" s="1186">
        <v>4.3</v>
      </c>
      <c r="M51" s="1186">
        <v>8.1</v>
      </c>
      <c r="N51" s="1186">
        <v>4.7</v>
      </c>
      <c r="O51" s="1186">
        <v>9.5</v>
      </c>
      <c r="P51" s="1186">
        <v>5.5</v>
      </c>
      <c r="Q51" s="1186">
        <v>6.2</v>
      </c>
      <c r="R51" s="1186">
        <v>2.6</v>
      </c>
      <c r="S51" s="1186">
        <v>8.5</v>
      </c>
      <c r="T51" s="1186">
        <v>3.4</v>
      </c>
      <c r="U51" s="1186">
        <v>9.5</v>
      </c>
      <c r="V51" s="1186">
        <v>3.7</v>
      </c>
      <c r="W51" s="1186"/>
      <c r="X51" s="1186"/>
      <c r="Y51" s="1186"/>
      <c r="Z51" s="1186"/>
      <c r="AA51" s="1186"/>
      <c r="AB51" s="1186"/>
      <c r="AC51" s="1186"/>
      <c r="AD51" s="1187"/>
      <c r="AH51" s="251">
        <v>12</v>
      </c>
      <c r="AI51" s="251">
        <f t="shared" si="2"/>
        <v>453</v>
      </c>
      <c r="AJ51" s="251" t="str">
        <f t="shared" ca="1" si="7"/>
        <v>Daikin - Rotex - Domotec</v>
      </c>
      <c r="AL51" s="251">
        <f t="shared" ca="1" si="6"/>
        <v>1859</v>
      </c>
      <c r="AM51" s="251" t="e">
        <f t="shared" ca="1" si="5"/>
        <v>#N/A</v>
      </c>
      <c r="AN51" s="251" t="e">
        <f t="shared" ca="1" si="3"/>
        <v>#N/A</v>
      </c>
      <c r="AO51" s="251" t="e">
        <f t="shared" ca="1" si="4"/>
        <v>#N/A</v>
      </c>
    </row>
    <row r="52" spans="1:41" x14ac:dyDescent="0.2">
      <c r="A52">
        <f t="shared" si="1"/>
        <v>2</v>
      </c>
      <c r="B52">
        <v>43</v>
      </c>
      <c r="C52" s="1078">
        <v>2</v>
      </c>
      <c r="D52" s="1181" t="s">
        <v>5334</v>
      </c>
      <c r="E52" s="1077" t="s">
        <v>4995</v>
      </c>
      <c r="F52" s="1185">
        <v>1</v>
      </c>
      <c r="G52" s="1186">
        <v>6.3</v>
      </c>
      <c r="H52" s="1186">
        <v>3.1</v>
      </c>
      <c r="I52" s="1186">
        <v>7.6</v>
      </c>
      <c r="J52" s="1186">
        <v>3.5</v>
      </c>
      <c r="K52" s="1186">
        <v>9.3000000000000007</v>
      </c>
      <c r="L52" s="1186">
        <v>4.2</v>
      </c>
      <c r="M52" s="1186">
        <v>10.5</v>
      </c>
      <c r="N52" s="1186">
        <v>4.5999999999999996</v>
      </c>
      <c r="O52" s="1186">
        <v>12.6</v>
      </c>
      <c r="P52" s="1186">
        <v>5.5</v>
      </c>
      <c r="Q52" s="1186">
        <v>8.1</v>
      </c>
      <c r="R52" s="1186">
        <v>2.6</v>
      </c>
      <c r="S52" s="1186">
        <v>10.8</v>
      </c>
      <c r="T52" s="1186">
        <v>3.1</v>
      </c>
      <c r="U52" s="1186">
        <v>12.7</v>
      </c>
      <c r="V52" s="1186">
        <v>3.6</v>
      </c>
      <c r="W52" s="1186"/>
      <c r="X52" s="1186"/>
      <c r="Y52" s="1186"/>
      <c r="Z52" s="1186"/>
      <c r="AA52" s="1186"/>
      <c r="AB52" s="1186"/>
      <c r="AC52" s="1186"/>
      <c r="AD52" s="1187"/>
      <c r="AH52" s="251">
        <v>13</v>
      </c>
      <c r="AI52" s="251">
        <f t="shared" si="2"/>
        <v>461</v>
      </c>
      <c r="AJ52" s="251" t="str">
        <f t="shared" ca="1" si="7"/>
        <v>Daikin - TCA</v>
      </c>
      <c r="AL52" s="251">
        <f t="shared" ca="1" si="6"/>
        <v>1860</v>
      </c>
      <c r="AM52" s="251" t="e">
        <f t="shared" ca="1" si="5"/>
        <v>#N/A</v>
      </c>
      <c r="AN52" s="251" t="e">
        <f t="shared" ca="1" si="3"/>
        <v>#N/A</v>
      </c>
      <c r="AO52" s="251" t="e">
        <f t="shared" ca="1" si="4"/>
        <v>#N/A</v>
      </c>
    </row>
    <row r="53" spans="1:41" x14ac:dyDescent="0.2">
      <c r="A53">
        <f t="shared" si="1"/>
        <v>2</v>
      </c>
      <c r="B53">
        <v>44</v>
      </c>
      <c r="C53" s="1078">
        <v>2</v>
      </c>
      <c r="D53" s="1181" t="s">
        <v>5334</v>
      </c>
      <c r="E53" s="1077" t="s">
        <v>4996</v>
      </c>
      <c r="F53" s="1185">
        <v>1</v>
      </c>
      <c r="G53" s="1186">
        <v>9.5</v>
      </c>
      <c r="H53" s="1186">
        <v>3.1</v>
      </c>
      <c r="I53" s="1186">
        <v>11.2</v>
      </c>
      <c r="J53" s="1186">
        <v>2.6</v>
      </c>
      <c r="K53" s="1186">
        <v>13.9</v>
      </c>
      <c r="L53" s="1186">
        <v>4.3</v>
      </c>
      <c r="M53" s="1186">
        <v>15.5</v>
      </c>
      <c r="N53" s="1186">
        <v>5</v>
      </c>
      <c r="O53" s="1186">
        <v>18.5</v>
      </c>
      <c r="P53" s="1186">
        <v>5.7</v>
      </c>
      <c r="Q53" s="1186">
        <v>11.8</v>
      </c>
      <c r="R53" s="1186">
        <v>2.6</v>
      </c>
      <c r="S53" s="1186">
        <v>15</v>
      </c>
      <c r="T53" s="1186">
        <v>3.4</v>
      </c>
      <c r="U53" s="1186">
        <v>18.399999999999999</v>
      </c>
      <c r="V53" s="1186">
        <v>3.7</v>
      </c>
      <c r="W53" s="1186"/>
      <c r="X53" s="1186"/>
      <c r="Y53" s="1186"/>
      <c r="Z53" s="1186"/>
      <c r="AA53" s="1186"/>
      <c r="AB53" s="1186"/>
      <c r="AC53" s="1186"/>
      <c r="AD53" s="1187"/>
      <c r="AH53" s="251">
        <v>14</v>
      </c>
      <c r="AI53" s="251">
        <f t="shared" si="2"/>
        <v>467</v>
      </c>
      <c r="AJ53" s="251" t="str">
        <f t="shared" ca="1" si="7"/>
        <v>Dimplex</v>
      </c>
      <c r="AL53" s="251">
        <f t="shared" ca="1" si="6"/>
        <v>1861</v>
      </c>
      <c r="AM53" s="251" t="e">
        <f t="shared" ca="1" si="5"/>
        <v>#N/A</v>
      </c>
      <c r="AN53" s="251" t="e">
        <f t="shared" ca="1" si="3"/>
        <v>#N/A</v>
      </c>
      <c r="AO53" s="251" t="e">
        <f t="shared" ca="1" si="4"/>
        <v>#N/A</v>
      </c>
    </row>
    <row r="54" spans="1:41" x14ac:dyDescent="0.2">
      <c r="A54">
        <f t="shared" si="1"/>
        <v>2</v>
      </c>
      <c r="B54">
        <v>45</v>
      </c>
      <c r="C54" s="1078">
        <v>2</v>
      </c>
      <c r="D54" s="1181" t="s">
        <v>5334</v>
      </c>
      <c r="E54" s="1077" t="s">
        <v>4997</v>
      </c>
      <c r="F54" s="1185">
        <v>1</v>
      </c>
      <c r="G54" s="1186">
        <v>13.3</v>
      </c>
      <c r="H54" s="1186">
        <v>3</v>
      </c>
      <c r="I54" s="1186">
        <v>15.6</v>
      </c>
      <c r="J54" s="1186">
        <v>3.5</v>
      </c>
      <c r="K54" s="1186">
        <v>18.7</v>
      </c>
      <c r="L54" s="1186">
        <v>4.2</v>
      </c>
      <c r="M54" s="1186">
        <v>20.8</v>
      </c>
      <c r="N54" s="1186">
        <v>4.5999999999999996</v>
      </c>
      <c r="O54" s="1186">
        <v>25</v>
      </c>
      <c r="P54" s="1186">
        <v>5.5</v>
      </c>
      <c r="Q54" s="1186">
        <v>16.5</v>
      </c>
      <c r="R54" s="1186">
        <v>2.5</v>
      </c>
      <c r="S54" s="1186">
        <v>21.5</v>
      </c>
      <c r="T54" s="1186">
        <v>3.2</v>
      </c>
      <c r="U54" s="1186">
        <v>25.3</v>
      </c>
      <c r="V54" s="1186">
        <v>3.7</v>
      </c>
      <c r="W54" s="1186"/>
      <c r="X54" s="1186"/>
      <c r="Y54" s="1186"/>
      <c r="Z54" s="1186"/>
      <c r="AA54" s="1186"/>
      <c r="AB54" s="1186"/>
      <c r="AC54" s="1186"/>
      <c r="AD54" s="1187"/>
      <c r="AH54" s="251">
        <v>15</v>
      </c>
      <c r="AI54" s="251">
        <f t="shared" si="2"/>
        <v>546</v>
      </c>
      <c r="AJ54" s="251" t="str">
        <f t="shared" ca="1" si="7"/>
        <v>drexel und weiss</v>
      </c>
      <c r="AL54" s="251">
        <f t="shared" ca="1" si="6"/>
        <v>1862</v>
      </c>
      <c r="AM54" s="251" t="e">
        <f t="shared" ca="1" si="5"/>
        <v>#N/A</v>
      </c>
      <c r="AN54" s="251" t="e">
        <f t="shared" ca="1" si="3"/>
        <v>#N/A</v>
      </c>
      <c r="AO54" s="251" t="e">
        <f t="shared" ca="1" si="4"/>
        <v>#N/A</v>
      </c>
    </row>
    <row r="55" spans="1:41" x14ac:dyDescent="0.2">
      <c r="A55">
        <f t="shared" si="1"/>
        <v>2</v>
      </c>
      <c r="B55">
        <v>46</v>
      </c>
      <c r="C55" s="1078">
        <v>2</v>
      </c>
      <c r="D55" s="1181" t="s">
        <v>5334</v>
      </c>
      <c r="E55" s="1077" t="s">
        <v>4998</v>
      </c>
      <c r="F55" s="1185">
        <v>1</v>
      </c>
      <c r="G55" s="1186">
        <v>16</v>
      </c>
      <c r="H55" s="1186">
        <v>3</v>
      </c>
      <c r="I55" s="1186">
        <v>19.5</v>
      </c>
      <c r="J55" s="1186">
        <v>3.5</v>
      </c>
      <c r="K55" s="1186">
        <v>23.2</v>
      </c>
      <c r="L55" s="1186">
        <v>4</v>
      </c>
      <c r="M55" s="1186">
        <v>26</v>
      </c>
      <c r="N55" s="1186">
        <v>4.5</v>
      </c>
      <c r="O55" s="1186">
        <v>31.2</v>
      </c>
      <c r="P55" s="1186">
        <v>5.3</v>
      </c>
      <c r="Q55" s="1186">
        <v>20.100000000000001</v>
      </c>
      <c r="R55" s="1186">
        <v>2.5</v>
      </c>
      <c r="S55" s="1186">
        <v>26.1</v>
      </c>
      <c r="T55" s="1186">
        <v>3.2</v>
      </c>
      <c r="U55" s="1186">
        <v>32</v>
      </c>
      <c r="V55" s="1186">
        <v>3.6</v>
      </c>
      <c r="W55" s="1186"/>
      <c r="X55" s="1186"/>
      <c r="Y55" s="1186"/>
      <c r="Z55" s="1186"/>
      <c r="AA55" s="1186"/>
      <c r="AB55" s="1186"/>
      <c r="AC55" s="1186"/>
      <c r="AD55" s="1187"/>
      <c r="AH55" s="251">
        <v>16</v>
      </c>
      <c r="AI55" s="251">
        <f t="shared" si="2"/>
        <v>551</v>
      </c>
      <c r="AJ55" s="251" t="str">
        <f t="shared" ca="1" si="7"/>
        <v>ELCO</v>
      </c>
      <c r="AL55" s="251">
        <f t="shared" ca="1" si="6"/>
        <v>1863</v>
      </c>
      <c r="AM55" s="251" t="e">
        <f t="shared" ca="1" si="5"/>
        <v>#N/A</v>
      </c>
      <c r="AN55" s="251" t="e">
        <f t="shared" ca="1" si="3"/>
        <v>#N/A</v>
      </c>
      <c r="AO55" s="251" t="e">
        <f t="shared" ca="1" si="4"/>
        <v>#N/A</v>
      </c>
    </row>
    <row r="56" spans="1:41" x14ac:dyDescent="0.2">
      <c r="A56">
        <f t="shared" si="1"/>
        <v>2</v>
      </c>
      <c r="B56">
        <v>47</v>
      </c>
      <c r="C56" s="1078">
        <v>2</v>
      </c>
      <c r="D56" s="1181" t="s">
        <v>5334</v>
      </c>
      <c r="E56" s="1077" t="s">
        <v>4999</v>
      </c>
      <c r="F56" s="1185">
        <v>1</v>
      </c>
      <c r="G56" s="1186">
        <v>21.5</v>
      </c>
      <c r="H56" s="1186">
        <v>3</v>
      </c>
      <c r="I56" s="1186">
        <v>25.6</v>
      </c>
      <c r="J56" s="1186">
        <v>3.5</v>
      </c>
      <c r="K56" s="1186">
        <v>29.8</v>
      </c>
      <c r="L56" s="1186">
        <v>4</v>
      </c>
      <c r="M56" s="1186">
        <v>32.9</v>
      </c>
      <c r="N56" s="1186">
        <v>4.4000000000000004</v>
      </c>
      <c r="O56" s="1186">
        <v>39</v>
      </c>
      <c r="P56" s="1186">
        <v>5.2</v>
      </c>
      <c r="Q56" s="1186">
        <v>27.5</v>
      </c>
      <c r="R56" s="1186">
        <v>2.5</v>
      </c>
      <c r="S56" s="1186">
        <v>34.5</v>
      </c>
      <c r="T56" s="1186">
        <v>3.2</v>
      </c>
      <c r="U56" s="1186">
        <v>42</v>
      </c>
      <c r="V56" s="1186">
        <v>3.6</v>
      </c>
      <c r="W56" s="1186"/>
      <c r="X56" s="1186"/>
      <c r="Y56" s="1186"/>
      <c r="Z56" s="1186"/>
      <c r="AA56" s="1186"/>
      <c r="AB56" s="1186"/>
      <c r="AC56" s="1186"/>
      <c r="AD56" s="1186"/>
      <c r="AH56" s="251">
        <v>17</v>
      </c>
      <c r="AI56" s="251">
        <f t="shared" si="2"/>
        <v>600</v>
      </c>
      <c r="AJ56" s="251" t="str">
        <f t="shared" ca="1" si="7"/>
        <v>Faivre Energie SA</v>
      </c>
      <c r="AL56" s="251">
        <f t="shared" ca="1" si="6"/>
        <v>1864</v>
      </c>
      <c r="AM56" s="251" t="e">
        <f t="shared" ca="1" si="5"/>
        <v>#N/A</v>
      </c>
      <c r="AN56" s="251" t="e">
        <f t="shared" ca="1" si="3"/>
        <v>#N/A</v>
      </c>
      <c r="AO56" s="251" t="e">
        <f t="shared" ca="1" si="4"/>
        <v>#N/A</v>
      </c>
    </row>
    <row r="57" spans="1:41" x14ac:dyDescent="0.2">
      <c r="A57">
        <f t="shared" si="1"/>
        <v>2</v>
      </c>
      <c r="B57">
        <v>48</v>
      </c>
      <c r="C57" s="1078">
        <v>3</v>
      </c>
      <c r="D57" s="1181" t="s">
        <v>5334</v>
      </c>
      <c r="E57" s="1077" t="s">
        <v>5000</v>
      </c>
      <c r="F57" s="1185">
        <v>4</v>
      </c>
      <c r="G57" s="1186"/>
      <c r="H57" s="1186"/>
      <c r="I57" s="1186"/>
      <c r="J57" s="1186"/>
      <c r="K57" s="1186"/>
      <c r="L57" s="1186"/>
      <c r="M57" s="1186"/>
      <c r="N57" s="1186"/>
      <c r="O57" s="1186"/>
      <c r="P57" s="1186"/>
      <c r="Q57" s="1186"/>
      <c r="R57" s="1186"/>
      <c r="S57" s="1186"/>
      <c r="T57" s="1186"/>
      <c r="U57" s="1186"/>
      <c r="V57" s="1186"/>
      <c r="W57" s="1186">
        <v>5.95</v>
      </c>
      <c r="X57" s="1186">
        <v>4.25</v>
      </c>
      <c r="Y57" s="1186">
        <v>5.17</v>
      </c>
      <c r="Z57" s="1186">
        <v>2.87</v>
      </c>
      <c r="AA57" s="1186"/>
      <c r="AB57" s="1186"/>
      <c r="AC57" s="1186"/>
      <c r="AD57" s="1186"/>
      <c r="AH57" s="251">
        <v>18</v>
      </c>
      <c r="AI57" s="251">
        <f t="shared" si="2"/>
        <v>665</v>
      </c>
      <c r="AJ57" s="251" t="str">
        <f t="shared" ca="1" si="7"/>
        <v>FDS Distribution</v>
      </c>
      <c r="AL57" s="251">
        <f t="shared" ca="1" si="6"/>
        <v>1865</v>
      </c>
      <c r="AM57" s="251" t="e">
        <f t="shared" ca="1" si="5"/>
        <v>#N/A</v>
      </c>
      <c r="AN57" s="251" t="e">
        <f t="shared" ca="1" si="3"/>
        <v>#N/A</v>
      </c>
      <c r="AO57" s="251" t="e">
        <f t="shared" ca="1" si="4"/>
        <v>#N/A</v>
      </c>
    </row>
    <row r="58" spans="1:41" x14ac:dyDescent="0.2">
      <c r="A58">
        <f t="shared" si="1"/>
        <v>2</v>
      </c>
      <c r="B58">
        <v>49</v>
      </c>
      <c r="C58" s="1078">
        <v>3</v>
      </c>
      <c r="D58" s="1181" t="s">
        <v>5334</v>
      </c>
      <c r="E58" s="1077" t="s">
        <v>5709</v>
      </c>
      <c r="F58" s="1185">
        <v>4</v>
      </c>
      <c r="G58" s="1186"/>
      <c r="H58" s="1186"/>
      <c r="I58" s="1186"/>
      <c r="J58" s="1186"/>
      <c r="K58" s="1186"/>
      <c r="L58" s="1186"/>
      <c r="M58" s="1186"/>
      <c r="N58" s="1186"/>
      <c r="O58" s="1186"/>
      <c r="P58" s="1186"/>
      <c r="Q58" s="1186"/>
      <c r="R58" s="1186"/>
      <c r="S58" s="1186"/>
      <c r="T58" s="1186"/>
      <c r="U58" s="1186"/>
      <c r="V58" s="1186"/>
      <c r="W58" s="1186">
        <v>6</v>
      </c>
      <c r="X58" s="1186">
        <v>3.66</v>
      </c>
      <c r="Y58" s="1186">
        <v>5.27</v>
      </c>
      <c r="Z58" s="1186">
        <v>2.76</v>
      </c>
      <c r="AA58" s="1186"/>
      <c r="AB58" s="1186"/>
      <c r="AC58" s="1186"/>
      <c r="AD58" s="1186"/>
      <c r="AH58" s="251">
        <v>19</v>
      </c>
      <c r="AI58" s="251">
        <f t="shared" si="2"/>
        <v>678</v>
      </c>
      <c r="AJ58" s="251" t="str">
        <f t="shared" ca="1" si="7"/>
        <v>FDS Distribution-Templari</v>
      </c>
      <c r="AL58" s="251">
        <f t="shared" ca="1" si="6"/>
        <v>1866</v>
      </c>
      <c r="AM58" s="251" t="e">
        <f t="shared" ca="1" si="5"/>
        <v>#N/A</v>
      </c>
      <c r="AN58" s="251" t="e">
        <f t="shared" ca="1" si="3"/>
        <v>#N/A</v>
      </c>
      <c r="AO58" s="251" t="e">
        <f t="shared" ca="1" si="4"/>
        <v>#N/A</v>
      </c>
    </row>
    <row r="59" spans="1:41" x14ac:dyDescent="0.2">
      <c r="A59">
        <f t="shared" si="1"/>
        <v>2</v>
      </c>
      <c r="B59">
        <v>50</v>
      </c>
      <c r="C59" s="1078">
        <v>3</v>
      </c>
      <c r="D59" s="1181" t="s">
        <v>5334</v>
      </c>
      <c r="E59" s="1077" t="s">
        <v>5001</v>
      </c>
      <c r="F59" s="1185">
        <v>4</v>
      </c>
      <c r="G59" s="1186"/>
      <c r="H59" s="1186"/>
      <c r="I59" s="1186"/>
      <c r="J59" s="1186"/>
      <c r="K59" s="1186"/>
      <c r="L59" s="1186"/>
      <c r="M59" s="1186"/>
      <c r="N59" s="1186"/>
      <c r="O59" s="1186"/>
      <c r="P59" s="1186"/>
      <c r="Q59" s="1186"/>
      <c r="R59" s="1186"/>
      <c r="S59" s="1186"/>
      <c r="T59" s="1186"/>
      <c r="U59" s="1186"/>
      <c r="V59" s="1186"/>
      <c r="W59" s="1186">
        <v>8.65</v>
      </c>
      <c r="X59" s="1186">
        <v>3.93</v>
      </c>
      <c r="Y59" s="1186">
        <v>8.18</v>
      </c>
      <c r="Z59" s="1186">
        <v>2.92</v>
      </c>
      <c r="AA59" s="1186"/>
      <c r="AB59" s="1186"/>
      <c r="AC59" s="1186"/>
      <c r="AD59" s="1186"/>
      <c r="AH59" s="251">
        <v>20</v>
      </c>
      <c r="AI59" s="251">
        <f t="shared" si="2"/>
        <v>704</v>
      </c>
      <c r="AJ59" s="251" t="str">
        <f t="shared" ca="1" si="7"/>
        <v>Fischerkälte-Mitsubishi Electric</v>
      </c>
      <c r="AL59" s="251">
        <f t="shared" ca="1" si="6"/>
        <v>1867</v>
      </c>
      <c r="AM59" s="251" t="e">
        <f t="shared" ca="1" si="5"/>
        <v>#N/A</v>
      </c>
      <c r="AN59" s="251" t="e">
        <f t="shared" ca="1" si="3"/>
        <v>#N/A</v>
      </c>
      <c r="AO59" s="251" t="e">
        <f t="shared" ca="1" si="4"/>
        <v>#N/A</v>
      </c>
    </row>
    <row r="60" spans="1:41" x14ac:dyDescent="0.2">
      <c r="A60">
        <f t="shared" si="1"/>
        <v>2</v>
      </c>
      <c r="B60">
        <v>51</v>
      </c>
      <c r="C60" s="1078">
        <v>3</v>
      </c>
      <c r="D60" s="1181" t="s">
        <v>5334</v>
      </c>
      <c r="E60" s="1077" t="s">
        <v>5002</v>
      </c>
      <c r="F60" s="1185">
        <v>4</v>
      </c>
      <c r="G60" s="1186"/>
      <c r="H60" s="1186"/>
      <c r="I60" s="1186"/>
      <c r="J60" s="1186"/>
      <c r="K60" s="1186"/>
      <c r="L60" s="1186"/>
      <c r="M60" s="1186"/>
      <c r="N60" s="1186"/>
      <c r="O60" s="1186"/>
      <c r="P60" s="1186"/>
      <c r="Q60" s="1186"/>
      <c r="R60" s="1186"/>
      <c r="S60" s="1186"/>
      <c r="T60" s="1186"/>
      <c r="U60" s="1186"/>
      <c r="V60" s="1186"/>
      <c r="W60" s="1186">
        <v>13.56</v>
      </c>
      <c r="X60" s="1186">
        <v>4.12</v>
      </c>
      <c r="Y60" s="1186">
        <v>12.53</v>
      </c>
      <c r="Z60" s="1186">
        <v>3</v>
      </c>
      <c r="AA60" s="1186"/>
      <c r="AB60" s="1186"/>
      <c r="AC60" s="1186"/>
      <c r="AD60" s="1186"/>
      <c r="AH60" s="251">
        <v>21</v>
      </c>
      <c r="AI60" s="251">
        <f t="shared" si="2"/>
        <v>714</v>
      </c>
      <c r="AJ60" s="251" t="str">
        <f t="shared" ca="1" si="7"/>
        <v>Heim AG</v>
      </c>
      <c r="AL60" s="251">
        <f t="shared" ca="1" si="6"/>
        <v>1868</v>
      </c>
      <c r="AM60" s="251" t="e">
        <f t="shared" ca="1" si="5"/>
        <v>#N/A</v>
      </c>
      <c r="AN60" s="251" t="e">
        <f t="shared" ca="1" si="3"/>
        <v>#N/A</v>
      </c>
      <c r="AO60" s="251" t="e">
        <f t="shared" ca="1" si="4"/>
        <v>#N/A</v>
      </c>
    </row>
    <row r="61" spans="1:41" x14ac:dyDescent="0.2">
      <c r="A61">
        <f t="shared" si="1"/>
        <v>2</v>
      </c>
      <c r="B61">
        <v>52</v>
      </c>
      <c r="C61" s="1078">
        <v>3</v>
      </c>
      <c r="D61" s="1181" t="s">
        <v>5334</v>
      </c>
      <c r="E61" s="1077" t="s">
        <v>5003</v>
      </c>
      <c r="F61" s="1185">
        <v>4</v>
      </c>
      <c r="G61" s="1186"/>
      <c r="H61" s="1186"/>
      <c r="I61" s="1186"/>
      <c r="J61" s="1186"/>
      <c r="K61" s="1186"/>
      <c r="L61" s="1186"/>
      <c r="M61" s="1186"/>
      <c r="N61" s="1186"/>
      <c r="O61" s="1186"/>
      <c r="P61" s="1186"/>
      <c r="Q61" s="1186"/>
      <c r="R61" s="1186"/>
      <c r="S61" s="1186"/>
      <c r="T61" s="1186"/>
      <c r="U61" s="1186"/>
      <c r="V61" s="1186"/>
      <c r="W61" s="1186">
        <v>17.2</v>
      </c>
      <c r="X61" s="1186">
        <v>3.74</v>
      </c>
      <c r="Y61" s="1186">
        <v>17</v>
      </c>
      <c r="Z61" s="1186">
        <v>2.79</v>
      </c>
      <c r="AA61" s="1186"/>
      <c r="AB61" s="1186"/>
      <c r="AC61" s="1186"/>
      <c r="AD61" s="1186"/>
      <c r="AH61" s="251">
        <v>22</v>
      </c>
      <c r="AI61" s="251">
        <f t="shared" si="2"/>
        <v>886</v>
      </c>
      <c r="AJ61" s="251" t="str">
        <f t="shared" ca="1" si="7"/>
        <v>Heliotherm</v>
      </c>
      <c r="AL61" s="251">
        <f t="shared" ca="1" si="6"/>
        <v>1869</v>
      </c>
      <c r="AM61" s="251" t="e">
        <f t="shared" ca="1" si="5"/>
        <v>#N/A</v>
      </c>
      <c r="AN61" s="251" t="e">
        <f t="shared" ca="1" si="3"/>
        <v>#N/A</v>
      </c>
      <c r="AO61" s="251" t="e">
        <f t="shared" ca="1" si="4"/>
        <v>#N/A</v>
      </c>
    </row>
    <row r="62" spans="1:41" x14ac:dyDescent="0.2">
      <c r="A62">
        <f t="shared" si="1"/>
        <v>2</v>
      </c>
      <c r="B62">
        <v>53</v>
      </c>
      <c r="C62" s="1078">
        <v>3</v>
      </c>
      <c r="D62" s="1181" t="s">
        <v>5334</v>
      </c>
      <c r="E62" s="1077" t="s">
        <v>5004</v>
      </c>
      <c r="F62" s="1185">
        <v>1</v>
      </c>
      <c r="G62" s="1186"/>
      <c r="H62" s="1186"/>
      <c r="I62" s="1186"/>
      <c r="J62" s="1186"/>
      <c r="K62" s="1186"/>
      <c r="L62" s="1186"/>
      <c r="M62" s="1186"/>
      <c r="N62" s="1186"/>
      <c r="O62" s="1186"/>
      <c r="P62" s="1186"/>
      <c r="Q62" s="1186"/>
      <c r="R62" s="1186"/>
      <c r="S62" s="1186"/>
      <c r="T62" s="1186"/>
      <c r="U62" s="1186"/>
      <c r="V62" s="1186"/>
      <c r="W62" s="1186">
        <v>4.7</v>
      </c>
      <c r="X62" s="1186">
        <v>4.7</v>
      </c>
      <c r="Y62" s="1186">
        <v>4.16</v>
      </c>
      <c r="Z62" s="1186">
        <v>2.58</v>
      </c>
      <c r="AA62" s="1186"/>
      <c r="AB62" s="1186"/>
      <c r="AC62" s="1186"/>
      <c r="AD62" s="1186"/>
      <c r="AH62" s="251">
        <v>23</v>
      </c>
      <c r="AI62" s="251">
        <f t="shared" si="2"/>
        <v>905</v>
      </c>
      <c r="AJ62" s="251" t="str">
        <f t="shared" ca="1" si="7"/>
        <v>Heliotherm-TCA</v>
      </c>
      <c r="AL62" s="251">
        <f t="shared" ca="1" si="6"/>
        <v>1870</v>
      </c>
      <c r="AM62" s="251" t="e">
        <f t="shared" ca="1" si="5"/>
        <v>#N/A</v>
      </c>
      <c r="AN62" s="251" t="e">
        <f t="shared" ca="1" si="3"/>
        <v>#N/A</v>
      </c>
      <c r="AO62" s="251" t="e">
        <f t="shared" ca="1" si="4"/>
        <v>#N/A</v>
      </c>
    </row>
    <row r="63" spans="1:41" x14ac:dyDescent="0.2">
      <c r="A63">
        <f t="shared" si="1"/>
        <v>2</v>
      </c>
      <c r="B63">
        <v>54</v>
      </c>
      <c r="C63" s="1081">
        <v>3</v>
      </c>
      <c r="D63" s="1181" t="s">
        <v>5334</v>
      </c>
      <c r="E63" s="1082" t="s">
        <v>5005</v>
      </c>
      <c r="F63" s="1188">
        <v>1</v>
      </c>
      <c r="G63" s="1189"/>
      <c r="H63" s="1189"/>
      <c r="I63" s="1189"/>
      <c r="J63" s="1189"/>
      <c r="K63" s="1189"/>
      <c r="L63" s="1189"/>
      <c r="M63" s="1189"/>
      <c r="N63" s="1189"/>
      <c r="O63" s="1189"/>
      <c r="P63" s="1189"/>
      <c r="Q63" s="1189"/>
      <c r="R63" s="1189"/>
      <c r="S63" s="1189"/>
      <c r="T63" s="1189"/>
      <c r="U63" s="1189"/>
      <c r="V63" s="1189"/>
      <c r="W63" s="1189">
        <v>7.7</v>
      </c>
      <c r="X63" s="1189">
        <v>4.9000000000000004</v>
      </c>
      <c r="Y63" s="1189">
        <v>6.49</v>
      </c>
      <c r="Z63" s="1189">
        <v>2.91</v>
      </c>
      <c r="AA63" s="1189"/>
      <c r="AB63" s="1189"/>
      <c r="AC63" s="1189"/>
      <c r="AD63" s="1189"/>
      <c r="AH63" s="251">
        <v>24</v>
      </c>
      <c r="AI63" s="251">
        <f t="shared" si="2"/>
        <v>920</v>
      </c>
      <c r="AJ63" s="251" t="str">
        <f t="shared" ca="1" si="7"/>
        <v>Hoval</v>
      </c>
      <c r="AL63" s="251">
        <f t="shared" ca="1" si="6"/>
        <v>1871</v>
      </c>
      <c r="AM63" s="251" t="e">
        <f t="shared" ca="1" si="5"/>
        <v>#N/A</v>
      </c>
      <c r="AN63" s="251" t="e">
        <f t="shared" ca="1" si="3"/>
        <v>#N/A</v>
      </c>
      <c r="AO63" s="251" t="e">
        <f t="shared" ca="1" si="4"/>
        <v>#N/A</v>
      </c>
    </row>
    <row r="64" spans="1:41" x14ac:dyDescent="0.2">
      <c r="A64">
        <f t="shared" si="1"/>
        <v>2</v>
      </c>
      <c r="B64">
        <v>55</v>
      </c>
      <c r="C64" s="1190">
        <v>3</v>
      </c>
      <c r="D64" s="1181" t="s">
        <v>5334</v>
      </c>
      <c r="E64" s="1191" t="s">
        <v>5006</v>
      </c>
      <c r="F64" s="1192">
        <v>1</v>
      </c>
      <c r="G64" s="1193"/>
      <c r="H64" s="1193"/>
      <c r="I64" s="1193"/>
      <c r="J64" s="1193"/>
      <c r="K64" s="1193"/>
      <c r="L64" s="1193"/>
      <c r="M64" s="1193"/>
      <c r="N64" s="1193"/>
      <c r="O64" s="1193"/>
      <c r="P64" s="1193"/>
      <c r="Q64" s="1193"/>
      <c r="R64" s="1193"/>
      <c r="S64" s="1193"/>
      <c r="T64" s="1193"/>
      <c r="U64" s="1193"/>
      <c r="V64" s="1193"/>
      <c r="W64" s="1193">
        <v>9.34</v>
      </c>
      <c r="X64" s="1193">
        <v>5.05</v>
      </c>
      <c r="Y64" s="1193">
        <v>8.3000000000000007</v>
      </c>
      <c r="Z64" s="1193">
        <v>2.82</v>
      </c>
      <c r="AA64" s="1193"/>
      <c r="AB64" s="1193"/>
      <c r="AC64" s="1193"/>
      <c r="AD64" s="1193"/>
      <c r="AH64" s="251">
        <v>25</v>
      </c>
      <c r="AI64" s="251">
        <f t="shared" si="2"/>
        <v>1004</v>
      </c>
      <c r="AJ64" s="251" t="str">
        <f t="shared" ca="1" si="7"/>
        <v>HSB</v>
      </c>
      <c r="AL64" s="251">
        <f t="shared" ca="1" si="6"/>
        <v>1872</v>
      </c>
      <c r="AM64" s="251" t="e">
        <f t="shared" ca="1" si="5"/>
        <v>#N/A</v>
      </c>
      <c r="AN64" s="251" t="e">
        <f t="shared" ca="1" si="3"/>
        <v>#N/A</v>
      </c>
      <c r="AO64" s="251" t="e">
        <f t="shared" ca="1" si="4"/>
        <v>#N/A</v>
      </c>
    </row>
    <row r="65" spans="1:41" x14ac:dyDescent="0.2">
      <c r="A65">
        <f t="shared" si="1"/>
        <v>2</v>
      </c>
      <c r="B65">
        <v>56</v>
      </c>
      <c r="C65" s="1078">
        <v>3</v>
      </c>
      <c r="D65" s="1181" t="s">
        <v>5334</v>
      </c>
      <c r="E65" s="1191" t="s">
        <v>5007</v>
      </c>
      <c r="F65" s="1185">
        <v>1</v>
      </c>
      <c r="G65" s="1186"/>
      <c r="H65" s="1186"/>
      <c r="I65" s="1186"/>
      <c r="J65" s="1186"/>
      <c r="K65" s="1186"/>
      <c r="L65" s="1186"/>
      <c r="M65" s="1186"/>
      <c r="N65" s="1186"/>
      <c r="O65" s="1186"/>
      <c r="P65" s="1186"/>
      <c r="Q65" s="1186"/>
      <c r="R65" s="1186"/>
      <c r="S65" s="1186"/>
      <c r="T65" s="1186"/>
      <c r="U65" s="1186"/>
      <c r="V65" s="1186"/>
      <c r="W65" s="1186">
        <v>12.18</v>
      </c>
      <c r="X65" s="1186">
        <v>5</v>
      </c>
      <c r="Y65" s="1186">
        <v>10.63</v>
      </c>
      <c r="Z65" s="1186">
        <v>2.97</v>
      </c>
      <c r="AA65" s="1186"/>
      <c r="AB65" s="1186"/>
      <c r="AC65" s="1186"/>
      <c r="AD65" s="1186"/>
      <c r="AH65" s="251">
        <v>26</v>
      </c>
      <c r="AI65" s="251">
        <f t="shared" si="2"/>
        <v>1035</v>
      </c>
      <c r="AJ65" s="251" t="str">
        <f t="shared" ca="1" si="7"/>
        <v>IDM</v>
      </c>
      <c r="AL65" s="251">
        <f t="shared" ca="1" si="6"/>
        <v>1873</v>
      </c>
      <c r="AM65" s="251" t="e">
        <f t="shared" ca="1" si="5"/>
        <v>#N/A</v>
      </c>
      <c r="AN65" s="251" t="e">
        <f t="shared" ca="1" si="3"/>
        <v>#N/A</v>
      </c>
      <c r="AO65" s="251" t="e">
        <f t="shared" ca="1" si="4"/>
        <v>#N/A</v>
      </c>
    </row>
    <row r="66" spans="1:41" x14ac:dyDescent="0.2">
      <c r="A66">
        <f t="shared" si="1"/>
        <v>2</v>
      </c>
      <c r="B66">
        <v>57</v>
      </c>
      <c r="C66" s="1078">
        <v>3</v>
      </c>
      <c r="D66" s="1181" t="s">
        <v>5334</v>
      </c>
      <c r="E66" s="1191" t="s">
        <v>5008</v>
      </c>
      <c r="F66" s="1185">
        <v>1</v>
      </c>
      <c r="G66" s="1186"/>
      <c r="H66" s="1186"/>
      <c r="I66" s="1186"/>
      <c r="J66" s="1186"/>
      <c r="K66" s="1186"/>
      <c r="L66" s="1186"/>
      <c r="M66" s="1186"/>
      <c r="N66" s="1186"/>
      <c r="O66" s="1186"/>
      <c r="P66" s="1186"/>
      <c r="Q66" s="1186"/>
      <c r="R66" s="1186"/>
      <c r="S66" s="1186"/>
      <c r="T66" s="1186"/>
      <c r="U66" s="1186"/>
      <c r="V66" s="1186"/>
      <c r="W66" s="1186">
        <v>13.5</v>
      </c>
      <c r="X66" s="1186">
        <v>5.08</v>
      </c>
      <c r="Y66" s="1186">
        <v>11.76</v>
      </c>
      <c r="Z66" s="1186">
        <v>2.94</v>
      </c>
      <c r="AA66" s="1186"/>
      <c r="AB66" s="1186"/>
      <c r="AC66" s="1186"/>
      <c r="AD66" s="1186"/>
      <c r="AH66" s="251">
        <v>27</v>
      </c>
      <c r="AI66" s="251">
        <f t="shared" si="2"/>
        <v>1054</v>
      </c>
      <c r="AJ66" s="251" t="str">
        <f t="shared" ca="1" si="7"/>
        <v>Iseli Energie AG</v>
      </c>
      <c r="AL66" s="251">
        <f t="shared" ca="1" si="6"/>
        <v>1874</v>
      </c>
      <c r="AM66" s="251" t="e">
        <f t="shared" ca="1" si="5"/>
        <v>#N/A</v>
      </c>
      <c r="AN66" s="251" t="e">
        <f t="shared" ca="1" si="3"/>
        <v>#N/A</v>
      </c>
      <c r="AO66" s="251" t="e">
        <f t="shared" ca="1" si="4"/>
        <v>#N/A</v>
      </c>
    </row>
    <row r="67" spans="1:41" x14ac:dyDescent="0.2">
      <c r="A67">
        <f t="shared" si="1"/>
        <v>2</v>
      </c>
      <c r="B67">
        <v>58</v>
      </c>
      <c r="C67" s="1078">
        <v>3</v>
      </c>
      <c r="D67" s="1181" t="s">
        <v>5334</v>
      </c>
      <c r="E67" s="1191" t="s">
        <v>5009</v>
      </c>
      <c r="F67" s="1185">
        <v>1</v>
      </c>
      <c r="G67" s="1186"/>
      <c r="H67" s="1186"/>
      <c r="I67" s="1186"/>
      <c r="J67" s="1186"/>
      <c r="K67" s="1186"/>
      <c r="L67" s="1186"/>
      <c r="M67" s="1186"/>
      <c r="N67" s="1186"/>
      <c r="O67" s="1186"/>
      <c r="P67" s="1186"/>
      <c r="Q67" s="1186"/>
      <c r="R67" s="1186"/>
      <c r="S67" s="1186"/>
      <c r="T67" s="1186"/>
      <c r="U67" s="1186"/>
      <c r="V67" s="1186"/>
      <c r="W67" s="1186">
        <v>16.86</v>
      </c>
      <c r="X67" s="1186">
        <v>4.93</v>
      </c>
      <c r="Y67" s="1186">
        <v>15.59</v>
      </c>
      <c r="Z67" s="1186">
        <v>2.88</v>
      </c>
      <c r="AA67" s="1186"/>
      <c r="AB67" s="1186"/>
      <c r="AC67" s="1186"/>
      <c r="AD67" s="1186"/>
      <c r="AH67" s="251">
        <v>28</v>
      </c>
      <c r="AI67" s="251">
        <f t="shared" si="2"/>
        <v>1058</v>
      </c>
      <c r="AJ67" s="251" t="str">
        <f t="shared" ca="1" si="7"/>
        <v>Kibernetik AG</v>
      </c>
      <c r="AL67" s="251">
        <f t="shared" ca="1" si="6"/>
        <v>1875</v>
      </c>
      <c r="AM67" s="251" t="e">
        <f t="shared" ca="1" si="5"/>
        <v>#N/A</v>
      </c>
      <c r="AN67" s="251" t="e">
        <f t="shared" ca="1" si="3"/>
        <v>#N/A</v>
      </c>
      <c r="AO67" s="251" t="e">
        <f t="shared" ca="1" si="4"/>
        <v>#N/A</v>
      </c>
    </row>
    <row r="68" spans="1:41" x14ac:dyDescent="0.2">
      <c r="A68">
        <f t="shared" si="1"/>
        <v>2</v>
      </c>
      <c r="B68">
        <v>59</v>
      </c>
      <c r="C68" s="1081">
        <v>3</v>
      </c>
      <c r="D68" s="1181" t="s">
        <v>5334</v>
      </c>
      <c r="E68" s="1082" t="s">
        <v>5010</v>
      </c>
      <c r="F68" s="1188">
        <v>1</v>
      </c>
      <c r="G68" s="1189"/>
      <c r="H68" s="1189"/>
      <c r="I68" s="1189"/>
      <c r="J68" s="1189"/>
      <c r="K68" s="1189"/>
      <c r="L68" s="1189"/>
      <c r="M68" s="1189"/>
      <c r="N68" s="1189"/>
      <c r="O68" s="1189"/>
      <c r="P68" s="1189"/>
      <c r="Q68" s="1189"/>
      <c r="R68" s="1189"/>
      <c r="S68" s="1189"/>
      <c r="T68" s="1189"/>
      <c r="U68" s="1189"/>
      <c r="V68" s="1189"/>
      <c r="W68" s="1189">
        <v>18.600000000000001</v>
      </c>
      <c r="X68" s="1189">
        <v>4.87</v>
      </c>
      <c r="Y68" s="1189">
        <v>16.36</v>
      </c>
      <c r="Z68" s="1189">
        <v>2.88</v>
      </c>
      <c r="AA68" s="1189"/>
      <c r="AB68" s="1189"/>
      <c r="AC68" s="1189"/>
      <c r="AD68" s="1189"/>
      <c r="AH68" s="251">
        <v>29</v>
      </c>
      <c r="AI68" s="251">
        <f t="shared" si="2"/>
        <v>1117</v>
      </c>
      <c r="AJ68" s="251" t="str">
        <f t="shared" ca="1" si="7"/>
        <v>KNV Technik</v>
      </c>
      <c r="AL68" s="251">
        <f t="shared" ca="1" si="6"/>
        <v>1876</v>
      </c>
      <c r="AM68" s="251" t="e">
        <f t="shared" ca="1" si="5"/>
        <v>#N/A</v>
      </c>
      <c r="AN68" s="251" t="e">
        <f t="shared" ca="1" si="3"/>
        <v>#N/A</v>
      </c>
      <c r="AO68" s="251" t="e">
        <f t="shared" ca="1" si="4"/>
        <v>#N/A</v>
      </c>
    </row>
    <row r="69" spans="1:41" x14ac:dyDescent="0.2">
      <c r="A69">
        <f t="shared" si="1"/>
        <v>2</v>
      </c>
      <c r="B69">
        <v>60</v>
      </c>
      <c r="C69" s="1190">
        <v>3</v>
      </c>
      <c r="D69" s="1181" t="s">
        <v>5334</v>
      </c>
      <c r="E69" s="1191" t="s">
        <v>5011</v>
      </c>
      <c r="F69" s="1192">
        <v>4</v>
      </c>
      <c r="G69" s="1193"/>
      <c r="H69" s="1193"/>
      <c r="I69" s="1193"/>
      <c r="J69" s="1193"/>
      <c r="K69" s="1193"/>
      <c r="L69" s="1193"/>
      <c r="M69" s="1193"/>
      <c r="N69" s="1193"/>
      <c r="O69" s="1193"/>
      <c r="P69" s="1193"/>
      <c r="Q69" s="1193"/>
      <c r="R69" s="1193"/>
      <c r="S69" s="1193"/>
      <c r="T69" s="1193"/>
      <c r="U69" s="1193"/>
      <c r="V69" s="1193"/>
      <c r="W69" s="1193">
        <v>5.95</v>
      </c>
      <c r="X69" s="1193">
        <v>4.25</v>
      </c>
      <c r="Y69" s="1193">
        <v>5.17</v>
      </c>
      <c r="Z69" s="1193">
        <v>2.87</v>
      </c>
      <c r="AA69" s="1193"/>
      <c r="AB69" s="1193"/>
      <c r="AC69" s="1193"/>
      <c r="AD69" s="1193"/>
      <c r="AH69" s="251">
        <v>30</v>
      </c>
      <c r="AI69" s="251">
        <f t="shared" si="2"/>
        <v>1155</v>
      </c>
      <c r="AJ69" s="251" t="str">
        <f t="shared" ca="1" si="7"/>
        <v>LG-Solexis</v>
      </c>
      <c r="AL69" s="251">
        <f t="shared" ca="1" si="6"/>
        <v>1877</v>
      </c>
      <c r="AM69" s="251" t="e">
        <f t="shared" ca="1" si="5"/>
        <v>#N/A</v>
      </c>
      <c r="AN69" s="251" t="e">
        <f t="shared" ca="1" si="3"/>
        <v>#N/A</v>
      </c>
      <c r="AO69" s="251" t="e">
        <f t="shared" ca="1" si="4"/>
        <v>#N/A</v>
      </c>
    </row>
    <row r="70" spans="1:41" x14ac:dyDescent="0.2">
      <c r="A70">
        <f t="shared" si="1"/>
        <v>2</v>
      </c>
      <c r="B70">
        <v>61</v>
      </c>
      <c r="C70" s="1078">
        <v>3</v>
      </c>
      <c r="D70" s="1181" t="s">
        <v>5334</v>
      </c>
      <c r="E70" s="1077" t="s">
        <v>5710</v>
      </c>
      <c r="F70" s="1185">
        <v>4</v>
      </c>
      <c r="G70" s="1186"/>
      <c r="H70" s="1186"/>
      <c r="I70" s="1186"/>
      <c r="J70" s="1186"/>
      <c r="K70" s="1186"/>
      <c r="L70" s="1186"/>
      <c r="M70" s="1186"/>
      <c r="N70" s="1186"/>
      <c r="O70" s="1186"/>
      <c r="P70" s="1186"/>
      <c r="Q70" s="1186"/>
      <c r="R70" s="1186"/>
      <c r="S70" s="1186"/>
      <c r="T70" s="1186"/>
      <c r="U70" s="1186"/>
      <c r="V70" s="1186"/>
      <c r="W70" s="1186">
        <v>6</v>
      </c>
      <c r="X70" s="1186">
        <v>3.66</v>
      </c>
      <c r="Y70" s="1186">
        <v>5.27</v>
      </c>
      <c r="Z70" s="1186">
        <v>2.76</v>
      </c>
      <c r="AA70" s="1186"/>
      <c r="AB70" s="1186"/>
      <c r="AC70" s="1186"/>
      <c r="AD70" s="1186"/>
      <c r="AH70" s="251">
        <v>31</v>
      </c>
      <c r="AI70" s="251">
        <f t="shared" si="2"/>
        <v>1169</v>
      </c>
      <c r="AJ70" s="251" t="str">
        <f t="shared" ca="1" si="7"/>
        <v>OVUM</v>
      </c>
      <c r="AL70" s="251">
        <f t="shared" ca="1" si="6"/>
        <v>1878</v>
      </c>
      <c r="AM70" s="251" t="e">
        <f t="shared" ca="1" si="5"/>
        <v>#N/A</v>
      </c>
      <c r="AN70" s="251" t="e">
        <f t="shared" ca="1" si="3"/>
        <v>#N/A</v>
      </c>
      <c r="AO70" s="251" t="e">
        <f t="shared" ca="1" si="4"/>
        <v>#N/A</v>
      </c>
    </row>
    <row r="71" spans="1:41" x14ac:dyDescent="0.2">
      <c r="A71">
        <f t="shared" si="1"/>
        <v>2</v>
      </c>
      <c r="B71">
        <v>62</v>
      </c>
      <c r="C71" s="1078">
        <v>3</v>
      </c>
      <c r="D71" s="1181" t="s">
        <v>5334</v>
      </c>
      <c r="E71" s="1077" t="s">
        <v>4525</v>
      </c>
      <c r="F71" s="1185">
        <v>4</v>
      </c>
      <c r="G71" s="1186"/>
      <c r="H71" s="1186"/>
      <c r="I71" s="1186"/>
      <c r="J71" s="1186"/>
      <c r="K71" s="1186"/>
      <c r="L71" s="1186"/>
      <c r="M71" s="1186"/>
      <c r="N71" s="1186"/>
      <c r="O71" s="1186"/>
      <c r="P71" s="1186"/>
      <c r="Q71" s="1186"/>
      <c r="R71" s="1186"/>
      <c r="S71" s="1186"/>
      <c r="T71" s="1186"/>
      <c r="U71" s="1186"/>
      <c r="V71" s="1186"/>
      <c r="W71" s="1186">
        <v>8.65</v>
      </c>
      <c r="X71" s="1186">
        <v>3.93</v>
      </c>
      <c r="Y71" s="1186">
        <v>8.18</v>
      </c>
      <c r="Z71" s="1186">
        <v>2.92</v>
      </c>
      <c r="AA71" s="1186"/>
      <c r="AB71" s="1186"/>
      <c r="AC71" s="1186"/>
      <c r="AD71" s="1186"/>
      <c r="AH71" s="251">
        <v>32</v>
      </c>
      <c r="AI71" s="251">
        <f t="shared" si="2"/>
        <v>1178</v>
      </c>
      <c r="AJ71" s="251" t="str">
        <f t="shared" ca="1" si="7"/>
        <v>Meier Tobler AG</v>
      </c>
      <c r="AL71" s="251">
        <f t="shared" ca="1" si="6"/>
        <v>1879</v>
      </c>
      <c r="AM71" s="251" t="e">
        <f t="shared" ca="1" si="5"/>
        <v>#N/A</v>
      </c>
      <c r="AN71" s="251" t="e">
        <f t="shared" ca="1" si="3"/>
        <v>#N/A</v>
      </c>
      <c r="AO71" s="251" t="e">
        <f t="shared" ca="1" si="4"/>
        <v>#N/A</v>
      </c>
    </row>
    <row r="72" spans="1:41" x14ac:dyDescent="0.2">
      <c r="A72">
        <f t="shared" si="1"/>
        <v>2</v>
      </c>
      <c r="B72">
        <v>63</v>
      </c>
      <c r="C72" s="1078">
        <v>3</v>
      </c>
      <c r="D72" s="1181" t="s">
        <v>5334</v>
      </c>
      <c r="E72" s="1077" t="s">
        <v>5012</v>
      </c>
      <c r="F72" s="1185">
        <v>4</v>
      </c>
      <c r="G72" s="1186"/>
      <c r="H72" s="1186"/>
      <c r="I72" s="1186"/>
      <c r="J72" s="1186"/>
      <c r="K72" s="1186"/>
      <c r="L72" s="1186"/>
      <c r="M72" s="1186"/>
      <c r="N72" s="1186"/>
      <c r="O72" s="1186"/>
      <c r="P72" s="1186"/>
      <c r="Q72" s="1186"/>
      <c r="R72" s="1186"/>
      <c r="S72" s="1186"/>
      <c r="T72" s="1186"/>
      <c r="U72" s="1186"/>
      <c r="V72" s="1186"/>
      <c r="W72" s="1186">
        <v>13.56</v>
      </c>
      <c r="X72" s="1186">
        <v>4.12</v>
      </c>
      <c r="Y72" s="1186">
        <v>12.53</v>
      </c>
      <c r="Z72" s="1186">
        <v>3</v>
      </c>
      <c r="AA72" s="1186"/>
      <c r="AB72" s="1186"/>
      <c r="AC72" s="1186"/>
      <c r="AD72" s="1186"/>
      <c r="AH72" s="251">
        <v>33</v>
      </c>
      <c r="AI72" s="251">
        <f t="shared" ref="AI72:AI103" si="8">MATCH(AH72,$A$10:$A$2000,0)</f>
        <v>1316</v>
      </c>
      <c r="AJ72" s="251" t="str">
        <f t="shared" ca="1" si="7"/>
        <v>NIBE Wärmetechnik</v>
      </c>
      <c r="AL72" s="251">
        <f t="shared" ca="1" si="6"/>
        <v>1880</v>
      </c>
      <c r="AM72" s="251" t="e">
        <f t="shared" ca="1" si="5"/>
        <v>#N/A</v>
      </c>
      <c r="AN72" s="251" t="e">
        <f t="shared" ref="AN72:AN103" ca="1" si="9">IF(INDEX($C$10:$C$2000,AM72,1)=2,"L/W ",IF(INDEX($C$10:$C$2000,AM72,1)=3,"S/W ",IF(INDEX($C$10:$C$2000,AM72,1)=4,"W/W ","")))&amp;OFFSET($E$9,AM72,0)</f>
        <v>#N/A</v>
      </c>
      <c r="AO72" s="251" t="e">
        <f t="shared" ref="AO72:AO103" ca="1" si="10">(INDEX($C$10:$C$2000,AM72,1))</f>
        <v>#N/A</v>
      </c>
    </row>
    <row r="73" spans="1:41" x14ac:dyDescent="0.2">
      <c r="A73">
        <f t="shared" si="1"/>
        <v>2</v>
      </c>
      <c r="B73">
        <v>64</v>
      </c>
      <c r="C73" s="1078">
        <v>3</v>
      </c>
      <c r="D73" s="1181" t="s">
        <v>5334</v>
      </c>
      <c r="E73" s="1077" t="s">
        <v>5013</v>
      </c>
      <c r="F73" s="1185">
        <v>1</v>
      </c>
      <c r="G73" s="1186"/>
      <c r="H73" s="1186"/>
      <c r="I73" s="1186"/>
      <c r="J73" s="1186"/>
      <c r="K73" s="1186"/>
      <c r="L73" s="1186"/>
      <c r="M73" s="1186"/>
      <c r="N73" s="1186"/>
      <c r="O73" s="1186"/>
      <c r="P73" s="1186"/>
      <c r="Q73" s="1186"/>
      <c r="R73" s="1186"/>
      <c r="S73" s="1186"/>
      <c r="T73" s="1186"/>
      <c r="U73" s="1186"/>
      <c r="V73" s="1186"/>
      <c r="W73" s="1186">
        <v>4.7</v>
      </c>
      <c r="X73" s="1186">
        <v>4.7</v>
      </c>
      <c r="Y73" s="1186">
        <v>4.16</v>
      </c>
      <c r="Z73" s="1186">
        <v>2.58</v>
      </c>
      <c r="AA73" s="1186"/>
      <c r="AB73" s="1186"/>
      <c r="AC73" s="1186"/>
      <c r="AD73" s="1186"/>
      <c r="AH73" s="251">
        <v>34</v>
      </c>
      <c r="AI73" s="251">
        <f t="shared" si="8"/>
        <v>1371</v>
      </c>
      <c r="AJ73" s="251" t="str">
        <f t="shared" ca="1" si="7"/>
        <v>Ochsner Wärmepumpen</v>
      </c>
      <c r="AL73" s="251">
        <f t="shared" ca="1" si="6"/>
        <v>1881</v>
      </c>
      <c r="AM73" s="251" t="e">
        <f t="shared" ca="1" si="5"/>
        <v>#N/A</v>
      </c>
      <c r="AN73" s="251" t="e">
        <f t="shared" ca="1" si="9"/>
        <v>#N/A</v>
      </c>
      <c r="AO73" s="251" t="e">
        <f t="shared" ca="1" si="10"/>
        <v>#N/A</v>
      </c>
    </row>
    <row r="74" spans="1:41" x14ac:dyDescent="0.2">
      <c r="A74">
        <f t="shared" si="1"/>
        <v>2</v>
      </c>
      <c r="B74">
        <v>65</v>
      </c>
      <c r="C74" s="1078">
        <v>3</v>
      </c>
      <c r="D74" s="1181" t="s">
        <v>5334</v>
      </c>
      <c r="E74" s="1077" t="s">
        <v>5014</v>
      </c>
      <c r="F74" s="1185">
        <v>1</v>
      </c>
      <c r="G74" s="1186"/>
      <c r="H74" s="1186"/>
      <c r="I74" s="1186"/>
      <c r="J74" s="1186"/>
      <c r="K74" s="1186"/>
      <c r="L74" s="1186"/>
      <c r="M74" s="1186"/>
      <c r="N74" s="1186"/>
      <c r="O74" s="1186"/>
      <c r="P74" s="1186"/>
      <c r="Q74" s="1186"/>
      <c r="R74" s="1186"/>
      <c r="S74" s="1186"/>
      <c r="T74" s="1186"/>
      <c r="U74" s="1186"/>
      <c r="V74" s="1186"/>
      <c r="W74" s="1186">
        <v>7.7</v>
      </c>
      <c r="X74" s="1186">
        <v>4.9000000000000004</v>
      </c>
      <c r="Y74" s="1186">
        <v>6.49</v>
      </c>
      <c r="Z74" s="1186">
        <v>2.91</v>
      </c>
      <c r="AA74" s="1186"/>
      <c r="AB74" s="1186"/>
      <c r="AC74" s="1186"/>
      <c r="AD74" s="1186"/>
      <c r="AH74" s="251">
        <v>35</v>
      </c>
      <c r="AI74" s="251">
        <f t="shared" si="8"/>
        <v>1398</v>
      </c>
      <c r="AJ74" s="251" t="str">
        <f t="shared" ca="1" si="7"/>
        <v>Panasonic</v>
      </c>
      <c r="AL74" s="251">
        <f t="shared" ca="1" si="6"/>
        <v>1882</v>
      </c>
      <c r="AM74" s="251" t="e">
        <f t="shared" ca="1" si="5"/>
        <v>#N/A</v>
      </c>
      <c r="AN74" s="251" t="e">
        <f t="shared" ca="1" si="9"/>
        <v>#N/A</v>
      </c>
      <c r="AO74" s="251" t="e">
        <f t="shared" ca="1" si="10"/>
        <v>#N/A</v>
      </c>
    </row>
    <row r="75" spans="1:41" x14ac:dyDescent="0.2">
      <c r="A75">
        <f t="shared" si="1"/>
        <v>2</v>
      </c>
      <c r="B75">
        <v>66</v>
      </c>
      <c r="C75" s="1078">
        <v>3</v>
      </c>
      <c r="D75" s="1181" t="s">
        <v>5334</v>
      </c>
      <c r="E75" s="1077" t="s">
        <v>5015</v>
      </c>
      <c r="F75" s="1185">
        <v>1</v>
      </c>
      <c r="G75" s="1186"/>
      <c r="H75" s="1186"/>
      <c r="I75" s="1186"/>
      <c r="J75" s="1186"/>
      <c r="K75" s="1186"/>
      <c r="L75" s="1186"/>
      <c r="M75" s="1186"/>
      <c r="N75" s="1186"/>
      <c r="O75" s="1186"/>
      <c r="P75" s="1186"/>
      <c r="Q75" s="1186"/>
      <c r="R75" s="1186"/>
      <c r="S75" s="1186"/>
      <c r="T75" s="1186"/>
      <c r="U75" s="1186"/>
      <c r="V75" s="1186"/>
      <c r="W75" s="1186">
        <v>9.34</v>
      </c>
      <c r="X75" s="1186">
        <v>5.05</v>
      </c>
      <c r="Y75" s="1186">
        <v>8.3000000000000007</v>
      </c>
      <c r="Z75" s="1186">
        <v>2.82</v>
      </c>
      <c r="AA75" s="1186"/>
      <c r="AB75" s="1186"/>
      <c r="AC75" s="1186"/>
      <c r="AD75" s="1186"/>
      <c r="AH75" s="251">
        <v>36</v>
      </c>
      <c r="AI75" s="251">
        <f t="shared" si="8"/>
        <v>1410</v>
      </c>
      <c r="AJ75" s="251" t="str">
        <f t="shared" ca="1" si="7"/>
        <v>Philippe Marechal /ES Energy Save</v>
      </c>
      <c r="AL75" s="251">
        <f t="shared" ca="1" si="6"/>
        <v>1883</v>
      </c>
      <c r="AM75" s="251" t="e">
        <f t="shared" ca="1" si="5"/>
        <v>#N/A</v>
      </c>
      <c r="AN75" s="251" t="e">
        <f t="shared" ca="1" si="9"/>
        <v>#N/A</v>
      </c>
      <c r="AO75" s="251" t="e">
        <f t="shared" ca="1" si="10"/>
        <v>#N/A</v>
      </c>
    </row>
    <row r="76" spans="1:41" x14ac:dyDescent="0.2">
      <c r="A76">
        <f t="shared" ref="A76:A139" si="11">A75+(D76&lt;&gt;D75)*1</f>
        <v>2</v>
      </c>
      <c r="B76">
        <v>67</v>
      </c>
      <c r="C76" s="1078">
        <v>3</v>
      </c>
      <c r="D76" s="1181" t="s">
        <v>5334</v>
      </c>
      <c r="E76" s="1077" t="s">
        <v>5016</v>
      </c>
      <c r="F76" s="1185">
        <v>1</v>
      </c>
      <c r="G76" s="1186"/>
      <c r="H76" s="1186"/>
      <c r="I76" s="1186"/>
      <c r="J76" s="1186"/>
      <c r="K76" s="1186"/>
      <c r="L76" s="1186"/>
      <c r="M76" s="1186"/>
      <c r="N76" s="1186"/>
      <c r="O76" s="1186"/>
      <c r="P76" s="1186"/>
      <c r="Q76" s="1186"/>
      <c r="R76" s="1186"/>
      <c r="S76" s="1186"/>
      <c r="T76" s="1186"/>
      <c r="U76" s="1186"/>
      <c r="V76" s="1186"/>
      <c r="W76" s="1186">
        <v>12.18</v>
      </c>
      <c r="X76" s="1186">
        <v>5</v>
      </c>
      <c r="Y76" s="1186">
        <v>10.63</v>
      </c>
      <c r="Z76" s="1186">
        <v>2.97</v>
      </c>
      <c r="AA76" s="1186"/>
      <c r="AB76" s="1186"/>
      <c r="AC76" s="1186"/>
      <c r="AD76" s="1186"/>
      <c r="AH76" s="251">
        <v>37</v>
      </c>
      <c r="AI76" s="251">
        <f t="shared" si="8"/>
        <v>1414</v>
      </c>
      <c r="AJ76" s="251" t="str">
        <f t="shared" ca="1" si="7"/>
        <v>Regli Energy Systems</v>
      </c>
      <c r="AL76" s="251">
        <f t="shared" ca="1" si="6"/>
        <v>1884</v>
      </c>
      <c r="AM76" s="251" t="e">
        <f t="shared" ca="1" si="5"/>
        <v>#N/A</v>
      </c>
      <c r="AN76" s="251" t="e">
        <f t="shared" ca="1" si="9"/>
        <v>#N/A</v>
      </c>
      <c r="AO76" s="251" t="e">
        <f t="shared" ca="1" si="10"/>
        <v>#N/A</v>
      </c>
    </row>
    <row r="77" spans="1:41" x14ac:dyDescent="0.2">
      <c r="A77">
        <f t="shared" si="11"/>
        <v>2</v>
      </c>
      <c r="B77">
        <v>68</v>
      </c>
      <c r="C77" s="1078">
        <v>3</v>
      </c>
      <c r="D77" s="1181" t="s">
        <v>5334</v>
      </c>
      <c r="E77" s="1077" t="s">
        <v>5017</v>
      </c>
      <c r="F77" s="1185">
        <v>1</v>
      </c>
      <c r="G77" s="1186"/>
      <c r="H77" s="1186"/>
      <c r="I77" s="1186"/>
      <c r="J77" s="1186"/>
      <c r="K77" s="1186"/>
      <c r="L77" s="1186"/>
      <c r="M77" s="1186"/>
      <c r="N77" s="1186"/>
      <c r="O77" s="1186"/>
      <c r="P77" s="1186"/>
      <c r="Q77" s="1186"/>
      <c r="R77" s="1186"/>
      <c r="S77" s="1186"/>
      <c r="T77" s="1186"/>
      <c r="U77" s="1186"/>
      <c r="V77" s="1186"/>
      <c r="W77" s="1186">
        <v>13.5</v>
      </c>
      <c r="X77" s="1186">
        <v>5.08</v>
      </c>
      <c r="Y77" s="1186">
        <v>11.76</v>
      </c>
      <c r="Z77" s="1186">
        <v>2.94</v>
      </c>
      <c r="AA77" s="1186"/>
      <c r="AB77" s="1186"/>
      <c r="AC77" s="1186"/>
      <c r="AD77" s="1186"/>
      <c r="AH77" s="251">
        <v>38</v>
      </c>
      <c r="AI77" s="251">
        <f t="shared" si="8"/>
        <v>1420</v>
      </c>
      <c r="AJ77" s="251" t="str">
        <f t="shared" ca="1" si="7"/>
        <v>Robert Bosch AG</v>
      </c>
      <c r="AL77" s="251">
        <f t="shared" ca="1" si="6"/>
        <v>1885</v>
      </c>
      <c r="AM77" s="251" t="e">
        <f t="shared" ca="1" si="5"/>
        <v>#N/A</v>
      </c>
      <c r="AN77" s="251" t="e">
        <f t="shared" ca="1" si="9"/>
        <v>#N/A</v>
      </c>
      <c r="AO77" s="251" t="e">
        <f t="shared" ca="1" si="10"/>
        <v>#N/A</v>
      </c>
    </row>
    <row r="78" spans="1:41" x14ac:dyDescent="0.2">
      <c r="A78">
        <f t="shared" si="11"/>
        <v>2</v>
      </c>
      <c r="B78">
        <v>69</v>
      </c>
      <c r="C78" s="1078">
        <v>3</v>
      </c>
      <c r="D78" s="1181" t="s">
        <v>5334</v>
      </c>
      <c r="E78" s="1077" t="s">
        <v>5018</v>
      </c>
      <c r="F78" s="1185">
        <v>1</v>
      </c>
      <c r="G78" s="1186"/>
      <c r="H78" s="1186"/>
      <c r="I78" s="1186"/>
      <c r="J78" s="1186"/>
      <c r="K78" s="1186"/>
      <c r="L78" s="1186"/>
      <c r="M78" s="1186"/>
      <c r="N78" s="1186"/>
      <c r="O78" s="1186"/>
      <c r="P78" s="1186"/>
      <c r="Q78" s="1186"/>
      <c r="R78" s="1186"/>
      <c r="S78" s="1186"/>
      <c r="T78" s="1186"/>
      <c r="U78" s="1186"/>
      <c r="V78" s="1186"/>
      <c r="W78" s="1186">
        <v>16.86</v>
      </c>
      <c r="X78" s="1186">
        <v>4.93</v>
      </c>
      <c r="Y78" s="1186">
        <v>15.59</v>
      </c>
      <c r="Z78" s="1186">
        <v>2.88</v>
      </c>
      <c r="AA78" s="1186"/>
      <c r="AB78" s="1186"/>
      <c r="AC78" s="1186"/>
      <c r="AD78" s="1186"/>
      <c r="AH78" s="251">
        <v>39</v>
      </c>
      <c r="AI78" s="251">
        <f t="shared" si="8"/>
        <v>1448</v>
      </c>
      <c r="AJ78" s="251" t="str">
        <f t="shared" ca="1" si="7"/>
        <v>Samsung</v>
      </c>
      <c r="AL78" s="251">
        <f t="shared" ca="1" si="6"/>
        <v>1886</v>
      </c>
      <c r="AM78" s="251" t="e">
        <f t="shared" ca="1" si="5"/>
        <v>#N/A</v>
      </c>
      <c r="AN78" s="251" t="e">
        <f t="shared" ca="1" si="9"/>
        <v>#N/A</v>
      </c>
      <c r="AO78" s="251" t="e">
        <f t="shared" ca="1" si="10"/>
        <v>#N/A</v>
      </c>
    </row>
    <row r="79" spans="1:41" x14ac:dyDescent="0.2">
      <c r="A79">
        <f t="shared" si="11"/>
        <v>2</v>
      </c>
      <c r="B79">
        <v>70</v>
      </c>
      <c r="C79" s="1078">
        <v>3</v>
      </c>
      <c r="D79" s="1181" t="s">
        <v>5334</v>
      </c>
      <c r="E79" s="1077" t="s">
        <v>5019</v>
      </c>
      <c r="F79" s="1185">
        <v>1</v>
      </c>
      <c r="G79" s="1186"/>
      <c r="H79" s="1186"/>
      <c r="I79" s="1186"/>
      <c r="J79" s="1186"/>
      <c r="K79" s="1186"/>
      <c r="L79" s="1186"/>
      <c r="M79" s="1186"/>
      <c r="N79" s="1186"/>
      <c r="O79" s="1186"/>
      <c r="P79" s="1186"/>
      <c r="Q79" s="1186"/>
      <c r="R79" s="1186"/>
      <c r="S79" s="1186"/>
      <c r="T79" s="1186"/>
      <c r="U79" s="1186"/>
      <c r="V79" s="1186"/>
      <c r="W79" s="1186">
        <v>18.600000000000001</v>
      </c>
      <c r="X79" s="1186">
        <v>4.87</v>
      </c>
      <c r="Y79" s="1186">
        <v>16.36</v>
      </c>
      <c r="Z79" s="1186">
        <v>2.88</v>
      </c>
      <c r="AA79" s="1186"/>
      <c r="AB79" s="1186"/>
      <c r="AC79" s="1186"/>
      <c r="AD79" s="1186"/>
      <c r="AH79" s="251">
        <v>40</v>
      </c>
      <c r="AI79" s="251">
        <f t="shared" si="8"/>
        <v>1500</v>
      </c>
      <c r="AJ79" s="251" t="str">
        <f t="shared" ca="1" si="7"/>
        <v>STIEBEL ELTRON</v>
      </c>
      <c r="AL79" s="251">
        <f t="shared" ca="1" si="6"/>
        <v>1887</v>
      </c>
      <c r="AM79" s="251" t="e">
        <f t="shared" ca="1" si="5"/>
        <v>#N/A</v>
      </c>
      <c r="AN79" s="251" t="e">
        <f t="shared" ca="1" si="9"/>
        <v>#N/A</v>
      </c>
      <c r="AO79" s="251" t="e">
        <f t="shared" ca="1" si="10"/>
        <v>#N/A</v>
      </c>
    </row>
    <row r="80" spans="1:41" x14ac:dyDescent="0.2">
      <c r="A80">
        <f t="shared" si="11"/>
        <v>2</v>
      </c>
      <c r="B80">
        <v>71</v>
      </c>
      <c r="C80" s="1078">
        <v>3</v>
      </c>
      <c r="D80" s="1181" t="s">
        <v>5334</v>
      </c>
      <c r="E80" s="1077" t="s">
        <v>5020</v>
      </c>
      <c r="F80" s="1185">
        <v>1</v>
      </c>
      <c r="G80" s="1186"/>
      <c r="H80" s="1186"/>
      <c r="I80" s="1186"/>
      <c r="J80" s="1186"/>
      <c r="K80" s="1186"/>
      <c r="L80" s="1186"/>
      <c r="M80" s="1186"/>
      <c r="N80" s="1186"/>
      <c r="O80" s="1186"/>
      <c r="P80" s="1186"/>
      <c r="Q80" s="1186"/>
      <c r="R80" s="1186"/>
      <c r="S80" s="1186"/>
      <c r="T80" s="1186"/>
      <c r="U80" s="1186"/>
      <c r="V80" s="1186"/>
      <c r="W80" s="1186">
        <v>22.35</v>
      </c>
      <c r="X80" s="1186">
        <v>4.95</v>
      </c>
      <c r="Y80" s="1186">
        <v>20.16</v>
      </c>
      <c r="Z80" s="1186">
        <v>3.08</v>
      </c>
      <c r="AA80" s="1186"/>
      <c r="AB80" s="1186"/>
      <c r="AC80" s="1186"/>
      <c r="AD80" s="1186"/>
      <c r="AH80" s="251">
        <v>41</v>
      </c>
      <c r="AI80" s="251">
        <f t="shared" si="8"/>
        <v>1547</v>
      </c>
      <c r="AJ80" s="251" t="str">
        <f t="shared" ca="1" si="7"/>
        <v>Thermic Energy</v>
      </c>
      <c r="AL80" s="251">
        <f t="shared" ca="1" si="6"/>
        <v>1888</v>
      </c>
      <c r="AM80" s="251" t="e">
        <f t="shared" ca="1" si="5"/>
        <v>#N/A</v>
      </c>
      <c r="AN80" s="251" t="e">
        <f t="shared" ca="1" si="9"/>
        <v>#N/A</v>
      </c>
      <c r="AO80" s="251" t="e">
        <f t="shared" ca="1" si="10"/>
        <v>#N/A</v>
      </c>
    </row>
    <row r="81" spans="1:41" x14ac:dyDescent="0.2">
      <c r="A81">
        <f t="shared" si="11"/>
        <v>2</v>
      </c>
      <c r="B81">
        <v>72</v>
      </c>
      <c r="C81" s="1078">
        <v>3</v>
      </c>
      <c r="D81" s="1181" t="s">
        <v>5334</v>
      </c>
      <c r="E81" s="1077" t="s">
        <v>5021</v>
      </c>
      <c r="F81" s="1185">
        <v>1</v>
      </c>
      <c r="G81" s="1186"/>
      <c r="H81" s="1186"/>
      <c r="I81" s="1186"/>
      <c r="J81" s="1186"/>
      <c r="K81" s="1186"/>
      <c r="L81" s="1186"/>
      <c r="M81" s="1186"/>
      <c r="N81" s="1186"/>
      <c r="O81" s="1186"/>
      <c r="P81" s="1186"/>
      <c r="Q81" s="1186"/>
      <c r="R81" s="1186"/>
      <c r="S81" s="1186"/>
      <c r="T81" s="1186"/>
      <c r="U81" s="1186"/>
      <c r="V81" s="1186"/>
      <c r="W81" s="1186">
        <v>25.6</v>
      </c>
      <c r="X81" s="1186">
        <v>4.92</v>
      </c>
      <c r="Y81" s="1186">
        <v>23.65</v>
      </c>
      <c r="Z81" s="1186">
        <v>2.95</v>
      </c>
      <c r="AA81" s="1186"/>
      <c r="AB81" s="1186"/>
      <c r="AC81" s="1186"/>
      <c r="AD81" s="1186"/>
      <c r="AH81" s="251">
        <v>42</v>
      </c>
      <c r="AI81" s="251">
        <f t="shared" si="8"/>
        <v>1549</v>
      </c>
      <c r="AJ81" s="251" t="str">
        <f t="shared" ca="1" si="7"/>
        <v>TP Energietechnik GmbH</v>
      </c>
      <c r="AL81" s="251">
        <f t="shared" ca="1" si="6"/>
        <v>1889</v>
      </c>
      <c r="AM81" s="251" t="e">
        <f t="shared" ca="1" si="5"/>
        <v>#N/A</v>
      </c>
      <c r="AN81" s="251" t="e">
        <f t="shared" ca="1" si="9"/>
        <v>#N/A</v>
      </c>
      <c r="AO81" s="251" t="e">
        <f t="shared" ca="1" si="10"/>
        <v>#N/A</v>
      </c>
    </row>
    <row r="82" spans="1:41" x14ac:dyDescent="0.2">
      <c r="A82">
        <f t="shared" si="11"/>
        <v>2</v>
      </c>
      <c r="B82">
        <v>73</v>
      </c>
      <c r="C82" s="1078">
        <v>3</v>
      </c>
      <c r="D82" s="1181" t="s">
        <v>5334</v>
      </c>
      <c r="E82" s="1077" t="s">
        <v>5022</v>
      </c>
      <c r="F82" s="1185">
        <v>1</v>
      </c>
      <c r="G82" s="1186"/>
      <c r="H82" s="1186"/>
      <c r="I82" s="1186"/>
      <c r="J82" s="1186"/>
      <c r="K82" s="1186"/>
      <c r="L82" s="1186"/>
      <c r="M82" s="1186"/>
      <c r="N82" s="1186"/>
      <c r="O82" s="1186"/>
      <c r="P82" s="1186"/>
      <c r="Q82" s="1186"/>
      <c r="R82" s="1186"/>
      <c r="S82" s="1186"/>
      <c r="T82" s="1186"/>
      <c r="U82" s="1186"/>
      <c r="V82" s="1186"/>
      <c r="W82" s="1186">
        <v>29.6</v>
      </c>
      <c r="X82" s="1186">
        <v>4.88</v>
      </c>
      <c r="Y82" s="1186">
        <v>26.55</v>
      </c>
      <c r="Z82" s="1186">
        <v>3.01</v>
      </c>
      <c r="AA82" s="1186"/>
      <c r="AB82" s="1186"/>
      <c r="AC82" s="1186"/>
      <c r="AD82" s="1186"/>
      <c r="AH82" s="251">
        <v>43</v>
      </c>
      <c r="AI82" s="251">
        <f t="shared" si="8"/>
        <v>1562</v>
      </c>
      <c r="AJ82" s="251" t="str">
        <f t="shared" ca="1" si="7"/>
        <v>Vaillant</v>
      </c>
      <c r="AL82" s="251">
        <f t="shared" ca="1" si="6"/>
        <v>1890</v>
      </c>
      <c r="AM82" s="251" t="e">
        <f t="shared" ref="AM82:AM145" ca="1" si="12">IF(AL82&lt;$AH$13,AL82,"")</f>
        <v>#N/A</v>
      </c>
      <c r="AN82" s="251" t="e">
        <f t="shared" ca="1" si="9"/>
        <v>#N/A</v>
      </c>
      <c r="AO82" s="251" t="e">
        <f t="shared" ca="1" si="10"/>
        <v>#N/A</v>
      </c>
    </row>
    <row r="83" spans="1:41" x14ac:dyDescent="0.2">
      <c r="A83">
        <f t="shared" si="11"/>
        <v>2</v>
      </c>
      <c r="B83">
        <v>74</v>
      </c>
      <c r="C83" s="1078">
        <v>3</v>
      </c>
      <c r="D83" s="1181" t="s">
        <v>5334</v>
      </c>
      <c r="E83" s="1077" t="s">
        <v>5023</v>
      </c>
      <c r="F83" s="1185">
        <v>1</v>
      </c>
      <c r="G83" s="1186"/>
      <c r="H83" s="1186"/>
      <c r="I83" s="1186"/>
      <c r="J83" s="1186"/>
      <c r="K83" s="1186"/>
      <c r="L83" s="1186"/>
      <c r="M83" s="1186"/>
      <c r="N83" s="1186"/>
      <c r="O83" s="1186"/>
      <c r="P83" s="1186"/>
      <c r="Q83" s="1186"/>
      <c r="R83" s="1186"/>
      <c r="S83" s="1186"/>
      <c r="T83" s="1186"/>
      <c r="U83" s="1186"/>
      <c r="V83" s="1186"/>
      <c r="W83" s="1186">
        <v>25.9</v>
      </c>
      <c r="X83" s="1186">
        <v>4.37</v>
      </c>
      <c r="Y83" s="1186">
        <v>24.9</v>
      </c>
      <c r="Z83" s="1186">
        <v>2.8</v>
      </c>
      <c r="AA83" s="1186"/>
      <c r="AB83" s="1186"/>
      <c r="AC83" s="1186"/>
      <c r="AD83" s="1186"/>
      <c r="AH83" s="251">
        <v>44</v>
      </c>
      <c r="AI83" s="251">
        <f t="shared" si="8"/>
        <v>1587</v>
      </c>
      <c r="AJ83" s="251" t="str">
        <f t="shared" ca="1" si="7"/>
        <v>Vaillant-SAPAC</v>
      </c>
      <c r="AL83" s="251">
        <f t="shared" ca="1" si="6"/>
        <v>1891</v>
      </c>
      <c r="AM83" s="251" t="e">
        <f t="shared" ca="1" si="12"/>
        <v>#N/A</v>
      </c>
      <c r="AN83" s="251" t="e">
        <f t="shared" ca="1" si="9"/>
        <v>#N/A</v>
      </c>
      <c r="AO83" s="251" t="e">
        <f t="shared" ca="1" si="10"/>
        <v>#N/A</v>
      </c>
    </row>
    <row r="84" spans="1:41" x14ac:dyDescent="0.2">
      <c r="A84">
        <f t="shared" si="11"/>
        <v>2</v>
      </c>
      <c r="B84">
        <v>75</v>
      </c>
      <c r="C84" s="1078">
        <v>3</v>
      </c>
      <c r="D84" s="1181" t="s">
        <v>5334</v>
      </c>
      <c r="E84" s="1077" t="s">
        <v>5024</v>
      </c>
      <c r="F84" s="1185">
        <v>1</v>
      </c>
      <c r="G84" s="1186"/>
      <c r="H84" s="1186"/>
      <c r="I84" s="1186"/>
      <c r="J84" s="1186"/>
      <c r="K84" s="1186"/>
      <c r="L84" s="1186"/>
      <c r="M84" s="1186"/>
      <c r="N84" s="1186"/>
      <c r="O84" s="1186"/>
      <c r="P84" s="1186"/>
      <c r="Q84" s="1186"/>
      <c r="R84" s="1186"/>
      <c r="S84" s="1186"/>
      <c r="T84" s="1186"/>
      <c r="U84" s="1186"/>
      <c r="V84" s="1186"/>
      <c r="W84" s="1186">
        <v>37.200000000000003</v>
      </c>
      <c r="X84" s="1186">
        <v>4.8</v>
      </c>
      <c r="Y84" s="1186">
        <v>35</v>
      </c>
      <c r="Z84" s="1186">
        <v>2.9</v>
      </c>
      <c r="AA84" s="1186"/>
      <c r="AB84" s="1186"/>
      <c r="AC84" s="1186"/>
      <c r="AD84" s="1186"/>
      <c r="AH84" s="251">
        <v>45</v>
      </c>
      <c r="AI84" s="251">
        <f t="shared" si="8"/>
        <v>1591</v>
      </c>
      <c r="AJ84" s="251" t="str">
        <f t="shared" ca="1" si="7"/>
        <v>Vaillant</v>
      </c>
      <c r="AL84" s="251">
        <f t="shared" ca="1" si="6"/>
        <v>1892</v>
      </c>
      <c r="AM84" s="251" t="e">
        <f t="shared" ca="1" si="12"/>
        <v>#N/A</v>
      </c>
      <c r="AN84" s="251" t="e">
        <f t="shared" ca="1" si="9"/>
        <v>#N/A</v>
      </c>
      <c r="AO84" s="251" t="e">
        <f t="shared" ca="1" si="10"/>
        <v>#N/A</v>
      </c>
    </row>
    <row r="85" spans="1:41" x14ac:dyDescent="0.2">
      <c r="A85">
        <f t="shared" si="11"/>
        <v>2</v>
      </c>
      <c r="B85">
        <v>76</v>
      </c>
      <c r="C85" s="1078">
        <v>3</v>
      </c>
      <c r="D85" s="1181" t="s">
        <v>5334</v>
      </c>
      <c r="E85" s="1077" t="s">
        <v>5025</v>
      </c>
      <c r="F85" s="1185">
        <v>1</v>
      </c>
      <c r="G85" s="1186"/>
      <c r="H85" s="1186"/>
      <c r="I85" s="1186"/>
      <c r="J85" s="1186"/>
      <c r="K85" s="1186"/>
      <c r="L85" s="1186"/>
      <c r="M85" s="1186"/>
      <c r="N85" s="1186"/>
      <c r="O85" s="1186"/>
      <c r="P85" s="1186"/>
      <c r="Q85" s="1186"/>
      <c r="R85" s="1186"/>
      <c r="S85" s="1186"/>
      <c r="T85" s="1186"/>
      <c r="U85" s="1186"/>
      <c r="V85" s="1186"/>
      <c r="W85" s="1186">
        <v>45</v>
      </c>
      <c r="X85" s="1186">
        <v>4.8</v>
      </c>
      <c r="Y85" s="1186">
        <v>41.1</v>
      </c>
      <c r="Z85" s="1186">
        <v>2.9</v>
      </c>
      <c r="AA85" s="1186"/>
      <c r="AB85" s="1186"/>
      <c r="AC85" s="1186"/>
      <c r="AD85" s="1186"/>
      <c r="AH85" s="251">
        <v>46</v>
      </c>
      <c r="AI85" s="251">
        <f t="shared" si="8"/>
        <v>1592</v>
      </c>
      <c r="AJ85" s="251" t="str">
        <f t="shared" ca="1" si="7"/>
        <v>Viessmann</v>
      </c>
      <c r="AL85" s="251">
        <f t="shared" ca="1" si="6"/>
        <v>1893</v>
      </c>
      <c r="AM85" s="251" t="e">
        <f t="shared" ca="1" si="12"/>
        <v>#N/A</v>
      </c>
      <c r="AN85" s="251" t="e">
        <f t="shared" ca="1" si="9"/>
        <v>#N/A</v>
      </c>
      <c r="AO85" s="251" t="e">
        <f t="shared" ca="1" si="10"/>
        <v>#N/A</v>
      </c>
    </row>
    <row r="86" spans="1:41" x14ac:dyDescent="0.2">
      <c r="A86">
        <f t="shared" si="11"/>
        <v>2</v>
      </c>
      <c r="B86">
        <v>77</v>
      </c>
      <c r="C86" s="1078">
        <v>3</v>
      </c>
      <c r="D86" s="1181" t="s">
        <v>5334</v>
      </c>
      <c r="E86" s="1077" t="s">
        <v>5026</v>
      </c>
      <c r="F86" s="1185">
        <v>1</v>
      </c>
      <c r="G86" s="1186"/>
      <c r="H86" s="1186"/>
      <c r="I86" s="1186"/>
      <c r="J86" s="1186"/>
      <c r="K86" s="1186"/>
      <c r="L86" s="1186"/>
      <c r="M86" s="1186"/>
      <c r="N86" s="1186"/>
      <c r="O86" s="1186"/>
      <c r="P86" s="1186"/>
      <c r="Q86" s="1186"/>
      <c r="R86" s="1186"/>
      <c r="S86" s="1186"/>
      <c r="T86" s="1186"/>
      <c r="U86" s="1186"/>
      <c r="V86" s="1186"/>
      <c r="W86" s="1186">
        <v>53.8</v>
      </c>
      <c r="X86" s="1186">
        <v>4.5</v>
      </c>
      <c r="Y86" s="1186">
        <v>52.5</v>
      </c>
      <c r="Z86" s="1186">
        <v>3.1</v>
      </c>
      <c r="AA86" s="1186"/>
      <c r="AB86" s="1186"/>
      <c r="AC86" s="1186"/>
      <c r="AD86" s="1186"/>
      <c r="AH86" s="251">
        <v>47</v>
      </c>
      <c r="AI86" s="251">
        <f t="shared" si="8"/>
        <v>1677</v>
      </c>
      <c r="AJ86" s="251" t="str">
        <f t="shared" ca="1" si="7"/>
        <v>Walter Bösch GmbH</v>
      </c>
      <c r="AL86" s="251">
        <f t="shared" ca="1" si="6"/>
        <v>1894</v>
      </c>
      <c r="AM86" s="251" t="e">
        <f t="shared" ca="1" si="12"/>
        <v>#N/A</v>
      </c>
      <c r="AN86" s="251" t="e">
        <f t="shared" ca="1" si="9"/>
        <v>#N/A</v>
      </c>
      <c r="AO86" s="251" t="e">
        <f t="shared" ca="1" si="10"/>
        <v>#N/A</v>
      </c>
    </row>
    <row r="87" spans="1:41" x14ac:dyDescent="0.2">
      <c r="A87">
        <f t="shared" si="11"/>
        <v>2</v>
      </c>
      <c r="B87">
        <v>78</v>
      </c>
      <c r="C87" s="1078">
        <v>3</v>
      </c>
      <c r="D87" s="1181" t="s">
        <v>5334</v>
      </c>
      <c r="E87" s="1077" t="s">
        <v>5027</v>
      </c>
      <c r="F87" s="1185">
        <v>1</v>
      </c>
      <c r="G87" s="1186"/>
      <c r="H87" s="1186"/>
      <c r="I87" s="1186"/>
      <c r="J87" s="1186"/>
      <c r="K87" s="1186"/>
      <c r="L87" s="1186"/>
      <c r="M87" s="1186"/>
      <c r="N87" s="1186"/>
      <c r="O87" s="1186"/>
      <c r="P87" s="1186"/>
      <c r="Q87" s="1186"/>
      <c r="R87" s="1186"/>
      <c r="S87" s="1186"/>
      <c r="T87" s="1186"/>
      <c r="U87" s="1186"/>
      <c r="V87" s="1186"/>
      <c r="W87" s="1186">
        <v>57.6</v>
      </c>
      <c r="X87" s="1186">
        <v>4.8</v>
      </c>
      <c r="Y87" s="1186">
        <v>54</v>
      </c>
      <c r="Z87" s="1186">
        <v>3</v>
      </c>
      <c r="AA87" s="1186"/>
      <c r="AB87" s="1186"/>
      <c r="AC87" s="1186"/>
      <c r="AD87" s="1186"/>
      <c r="AH87" s="251">
        <v>48</v>
      </c>
      <c r="AI87" s="251">
        <f t="shared" si="8"/>
        <v>1759</v>
      </c>
      <c r="AJ87" s="251" t="str">
        <f t="shared" ca="1" si="7"/>
        <v>Waterkotte</v>
      </c>
      <c r="AL87" s="251">
        <f t="shared" ca="1" si="6"/>
        <v>1895</v>
      </c>
      <c r="AM87" s="251" t="e">
        <f t="shared" ca="1" si="12"/>
        <v>#N/A</v>
      </c>
      <c r="AN87" s="251" t="e">
        <f t="shared" ca="1" si="9"/>
        <v>#N/A</v>
      </c>
      <c r="AO87" s="251" t="e">
        <f t="shared" ca="1" si="10"/>
        <v>#N/A</v>
      </c>
    </row>
    <row r="88" spans="1:41" x14ac:dyDescent="0.2">
      <c r="A88">
        <f t="shared" si="11"/>
        <v>2</v>
      </c>
      <c r="B88">
        <v>79</v>
      </c>
      <c r="C88" s="1078">
        <v>3</v>
      </c>
      <c r="D88" s="1181" t="s">
        <v>5334</v>
      </c>
      <c r="E88" s="1077" t="s">
        <v>5028</v>
      </c>
      <c r="F88" s="1185">
        <v>1</v>
      </c>
      <c r="G88" s="1186"/>
      <c r="H88" s="1186"/>
      <c r="I88" s="1186"/>
      <c r="J88" s="1186"/>
      <c r="K88" s="1186"/>
      <c r="L88" s="1186"/>
      <c r="M88" s="1186"/>
      <c r="N88" s="1186"/>
      <c r="O88" s="1186"/>
      <c r="P88" s="1186"/>
      <c r="Q88" s="1186"/>
      <c r="R88" s="1186"/>
      <c r="S88" s="1186"/>
      <c r="T88" s="1186"/>
      <c r="U88" s="1186"/>
      <c r="V88" s="1186"/>
      <c r="W88" s="1186">
        <v>68.5</v>
      </c>
      <c r="X88" s="1186">
        <v>4.5999999999999996</v>
      </c>
      <c r="Y88" s="1186">
        <v>64.900000000000006</v>
      </c>
      <c r="Z88" s="1186">
        <v>2.9</v>
      </c>
      <c r="AA88" s="1186"/>
      <c r="AB88" s="1186"/>
      <c r="AC88" s="1186"/>
      <c r="AD88" s="1186"/>
      <c r="AH88" s="251">
        <v>49</v>
      </c>
      <c r="AI88" s="251">
        <f t="shared" si="8"/>
        <v>1790</v>
      </c>
      <c r="AJ88" s="251" t="str">
        <f t="shared" ca="1" si="7"/>
        <v>Weishaupt</v>
      </c>
      <c r="AL88" s="251">
        <f t="shared" ca="1" si="6"/>
        <v>1896</v>
      </c>
      <c r="AM88" s="251" t="e">
        <f t="shared" ca="1" si="12"/>
        <v>#N/A</v>
      </c>
      <c r="AN88" s="251" t="e">
        <f t="shared" ca="1" si="9"/>
        <v>#N/A</v>
      </c>
      <c r="AO88" s="251" t="e">
        <f t="shared" ca="1" si="10"/>
        <v>#N/A</v>
      </c>
    </row>
    <row r="89" spans="1:41" x14ac:dyDescent="0.2">
      <c r="A89">
        <f t="shared" si="11"/>
        <v>2</v>
      </c>
      <c r="B89">
        <v>80</v>
      </c>
      <c r="C89" s="1078">
        <v>3</v>
      </c>
      <c r="D89" s="1181" t="s">
        <v>5334</v>
      </c>
      <c r="E89" s="1077" t="s">
        <v>5029</v>
      </c>
      <c r="F89" s="1185">
        <v>2</v>
      </c>
      <c r="G89" s="1186"/>
      <c r="H89" s="1186"/>
      <c r="I89" s="1186"/>
      <c r="J89" s="1186"/>
      <c r="K89" s="1186"/>
      <c r="L89" s="1186"/>
      <c r="M89" s="1186"/>
      <c r="N89" s="1186"/>
      <c r="O89" s="1186"/>
      <c r="P89" s="1186"/>
      <c r="Q89" s="1186"/>
      <c r="R89" s="1186"/>
      <c r="S89" s="1186"/>
      <c r="T89" s="1186"/>
      <c r="U89" s="1186"/>
      <c r="V89" s="1186"/>
      <c r="W89" s="1186">
        <v>88</v>
      </c>
      <c r="X89" s="1186">
        <v>4.0999999999999996</v>
      </c>
      <c r="Y89" s="1186">
        <v>86</v>
      </c>
      <c r="Z89" s="1186">
        <v>2.6</v>
      </c>
      <c r="AA89" s="1186"/>
      <c r="AB89" s="1186"/>
      <c r="AC89" s="1186"/>
      <c r="AD89" s="1186"/>
      <c r="AH89" s="251">
        <v>50</v>
      </c>
      <c r="AI89" s="251">
        <f t="shared" si="8"/>
        <v>1827</v>
      </c>
      <c r="AJ89" s="251" t="str">
        <f t="shared" ca="1" si="7"/>
        <v>Weider Wärmepumpen GmbH</v>
      </c>
      <c r="AL89" s="251">
        <f t="shared" ca="1" si="6"/>
        <v>1897</v>
      </c>
      <c r="AM89" s="251" t="e">
        <f t="shared" ca="1" si="12"/>
        <v>#N/A</v>
      </c>
      <c r="AN89" s="251" t="e">
        <f t="shared" ca="1" si="9"/>
        <v>#N/A</v>
      </c>
      <c r="AO89" s="251" t="e">
        <f t="shared" ca="1" si="10"/>
        <v>#N/A</v>
      </c>
    </row>
    <row r="90" spans="1:41" x14ac:dyDescent="0.2">
      <c r="A90">
        <f t="shared" si="11"/>
        <v>2</v>
      </c>
      <c r="B90">
        <v>81</v>
      </c>
      <c r="C90" s="1078">
        <v>3</v>
      </c>
      <c r="D90" s="1181" t="s">
        <v>5334</v>
      </c>
      <c r="E90" s="1077" t="s">
        <v>5030</v>
      </c>
      <c r="F90" s="1185">
        <v>2</v>
      </c>
      <c r="G90" s="1186"/>
      <c r="H90" s="1186"/>
      <c r="I90" s="1186"/>
      <c r="J90" s="1186"/>
      <c r="K90" s="1186"/>
      <c r="L90" s="1186"/>
      <c r="M90" s="1186"/>
      <c r="N90" s="1186"/>
      <c r="O90" s="1186"/>
      <c r="P90" s="1186"/>
      <c r="Q90" s="1186"/>
      <c r="R90" s="1186"/>
      <c r="S90" s="1186"/>
      <c r="T90" s="1186"/>
      <c r="U90" s="1186"/>
      <c r="V90" s="1186"/>
      <c r="W90" s="1186">
        <v>28.3</v>
      </c>
      <c r="X90" s="1186">
        <v>4.07</v>
      </c>
      <c r="Y90" s="1186">
        <v>27.4</v>
      </c>
      <c r="Z90" s="1186">
        <v>2.9</v>
      </c>
      <c r="AA90" s="1186"/>
      <c r="AB90" s="1186"/>
      <c r="AC90" s="1186"/>
      <c r="AD90" s="1186"/>
      <c r="AH90" s="251">
        <v>51</v>
      </c>
      <c r="AI90" s="251">
        <f t="shared" si="8"/>
        <v>1832</v>
      </c>
      <c r="AJ90" s="251" t="str">
        <f t="shared" ca="1" si="7"/>
        <v>Wolf (Schweiz) AG</v>
      </c>
      <c r="AL90" s="251">
        <f t="shared" ca="1" si="6"/>
        <v>1898</v>
      </c>
      <c r="AM90" s="251" t="e">
        <f t="shared" ca="1" si="12"/>
        <v>#N/A</v>
      </c>
      <c r="AN90" s="251" t="e">
        <f t="shared" ca="1" si="9"/>
        <v>#N/A</v>
      </c>
      <c r="AO90" s="251" t="e">
        <f t="shared" ca="1" si="10"/>
        <v>#N/A</v>
      </c>
    </row>
    <row r="91" spans="1:41" x14ac:dyDescent="0.2">
      <c r="A91">
        <f t="shared" si="11"/>
        <v>2</v>
      </c>
      <c r="B91">
        <v>82</v>
      </c>
      <c r="C91" s="1078">
        <v>3</v>
      </c>
      <c r="D91" s="1181" t="s">
        <v>5334</v>
      </c>
      <c r="E91" s="1077" t="s">
        <v>5031</v>
      </c>
      <c r="F91" s="1185">
        <v>2</v>
      </c>
      <c r="G91" s="1186"/>
      <c r="H91" s="1186"/>
      <c r="I91" s="1186"/>
      <c r="J91" s="1186"/>
      <c r="K91" s="1186"/>
      <c r="L91" s="1186"/>
      <c r="M91" s="1186"/>
      <c r="N91" s="1186"/>
      <c r="O91" s="1186"/>
      <c r="P91" s="1186"/>
      <c r="Q91" s="1186"/>
      <c r="R91" s="1186"/>
      <c r="S91" s="1186"/>
      <c r="T91" s="1186"/>
      <c r="U91" s="1186"/>
      <c r="V91" s="1186"/>
      <c r="W91" s="1186">
        <v>23</v>
      </c>
      <c r="X91" s="1186">
        <v>4.6500000000000004</v>
      </c>
      <c r="Y91" s="1186">
        <v>22</v>
      </c>
      <c r="Z91" s="1186">
        <v>3.1</v>
      </c>
      <c r="AA91" s="1186"/>
      <c r="AB91" s="1186"/>
      <c r="AC91" s="1186"/>
      <c r="AD91" s="1186"/>
      <c r="AH91" s="251">
        <v>52</v>
      </c>
      <c r="AI91" s="251">
        <f t="shared" si="8"/>
        <v>1848</v>
      </c>
      <c r="AJ91" s="251">
        <f t="shared" ca="1" si="7"/>
        <v>0</v>
      </c>
      <c r="AL91" s="251">
        <f t="shared" ca="1" si="6"/>
        <v>1899</v>
      </c>
      <c r="AM91" s="251" t="e">
        <f t="shared" ca="1" si="12"/>
        <v>#N/A</v>
      </c>
      <c r="AN91" s="251" t="e">
        <f t="shared" ca="1" si="9"/>
        <v>#N/A</v>
      </c>
      <c r="AO91" s="251" t="e">
        <f t="shared" ca="1" si="10"/>
        <v>#N/A</v>
      </c>
    </row>
    <row r="92" spans="1:41" x14ac:dyDescent="0.2">
      <c r="A92">
        <f t="shared" si="11"/>
        <v>2</v>
      </c>
      <c r="B92">
        <v>83</v>
      </c>
      <c r="C92" s="1078">
        <v>3</v>
      </c>
      <c r="D92" s="1181" t="s">
        <v>5334</v>
      </c>
      <c r="E92" s="1077" t="s">
        <v>5032</v>
      </c>
      <c r="F92" s="1185">
        <v>2</v>
      </c>
      <c r="G92" s="1186"/>
      <c r="H92" s="1186"/>
      <c r="I92" s="1186"/>
      <c r="J92" s="1186"/>
      <c r="K92" s="1186"/>
      <c r="L92" s="1186"/>
      <c r="M92" s="1186"/>
      <c r="N92" s="1186"/>
      <c r="O92" s="1186"/>
      <c r="P92" s="1186"/>
      <c r="Q92" s="1186"/>
      <c r="R92" s="1186"/>
      <c r="S92" s="1186"/>
      <c r="T92" s="1186"/>
      <c r="U92" s="1186"/>
      <c r="V92" s="1186"/>
      <c r="W92" s="1186">
        <v>30.72</v>
      </c>
      <c r="X92" s="1186">
        <v>4.4400000000000004</v>
      </c>
      <c r="Y92" s="1186">
        <v>29.4</v>
      </c>
      <c r="Z92" s="1186">
        <v>2.9</v>
      </c>
      <c r="AA92" s="1186"/>
      <c r="AB92" s="1186"/>
      <c r="AC92" s="1186"/>
      <c r="AD92" s="1186"/>
      <c r="AH92" s="251">
        <v>53</v>
      </c>
      <c r="AI92" s="251" t="e">
        <f t="shared" si="8"/>
        <v>#N/A</v>
      </c>
      <c r="AJ92" s="251" t="e">
        <f t="shared" ca="1" si="7"/>
        <v>#N/A</v>
      </c>
      <c r="AL92" s="251">
        <f t="shared" ca="1" si="6"/>
        <v>1900</v>
      </c>
      <c r="AM92" s="251" t="e">
        <f t="shared" ca="1" si="12"/>
        <v>#N/A</v>
      </c>
      <c r="AN92" s="251" t="e">
        <f t="shared" ca="1" si="9"/>
        <v>#N/A</v>
      </c>
      <c r="AO92" s="251" t="e">
        <f t="shared" ca="1" si="10"/>
        <v>#N/A</v>
      </c>
    </row>
    <row r="93" spans="1:41" x14ac:dyDescent="0.2">
      <c r="A93">
        <f t="shared" si="11"/>
        <v>2</v>
      </c>
      <c r="B93">
        <v>84</v>
      </c>
      <c r="C93" s="1078">
        <v>3</v>
      </c>
      <c r="D93" s="1181" t="s">
        <v>5334</v>
      </c>
      <c r="E93" s="1077" t="s">
        <v>5033</v>
      </c>
      <c r="F93" s="1185">
        <v>2</v>
      </c>
      <c r="G93" s="1186"/>
      <c r="H93" s="1186"/>
      <c r="I93" s="1186"/>
      <c r="J93" s="1186"/>
      <c r="K93" s="1186"/>
      <c r="L93" s="1186"/>
      <c r="M93" s="1186"/>
      <c r="N93" s="1186"/>
      <c r="O93" s="1186"/>
      <c r="P93" s="1186"/>
      <c r="Q93" s="1186"/>
      <c r="R93" s="1186"/>
      <c r="S93" s="1186"/>
      <c r="T93" s="1186"/>
      <c r="U93" s="1186"/>
      <c r="V93" s="1186"/>
      <c r="W93" s="1186">
        <v>39.94</v>
      </c>
      <c r="X93" s="1186">
        <v>4.49</v>
      </c>
      <c r="Y93" s="1186">
        <v>37.799999999999997</v>
      </c>
      <c r="Z93" s="1186">
        <v>3.1</v>
      </c>
      <c r="AA93" s="1186"/>
      <c r="AB93" s="1186"/>
      <c r="AC93" s="1186"/>
      <c r="AD93" s="1186"/>
      <c r="AH93" s="251">
        <v>54</v>
      </c>
      <c r="AI93" s="251" t="e">
        <f t="shared" si="8"/>
        <v>#N/A</v>
      </c>
      <c r="AJ93" s="251" t="e">
        <f t="shared" ca="1" si="7"/>
        <v>#N/A</v>
      </c>
      <c r="AL93" s="251">
        <f t="shared" ca="1" si="6"/>
        <v>1901</v>
      </c>
      <c r="AM93" s="251" t="e">
        <f t="shared" ca="1" si="12"/>
        <v>#N/A</v>
      </c>
      <c r="AN93" s="251" t="e">
        <f t="shared" ca="1" si="9"/>
        <v>#N/A</v>
      </c>
      <c r="AO93" s="251" t="e">
        <f t="shared" ca="1" si="10"/>
        <v>#N/A</v>
      </c>
    </row>
    <row r="94" spans="1:41" x14ac:dyDescent="0.2">
      <c r="A94">
        <f t="shared" si="11"/>
        <v>2</v>
      </c>
      <c r="B94">
        <v>85</v>
      </c>
      <c r="C94" s="1078">
        <v>3</v>
      </c>
      <c r="D94" s="1181" t="s">
        <v>5334</v>
      </c>
      <c r="E94" s="1077" t="s">
        <v>5034</v>
      </c>
      <c r="F94" s="1185">
        <v>2</v>
      </c>
      <c r="G94" s="1186"/>
      <c r="H94" s="1186"/>
      <c r="I94" s="1186"/>
      <c r="J94" s="1186"/>
      <c r="K94" s="1186"/>
      <c r="L94" s="1186"/>
      <c r="M94" s="1186"/>
      <c r="N94" s="1186"/>
      <c r="O94" s="1186"/>
      <c r="P94" s="1186"/>
      <c r="Q94" s="1186"/>
      <c r="R94" s="1186"/>
      <c r="S94" s="1186"/>
      <c r="T94" s="1186"/>
      <c r="U94" s="1186"/>
      <c r="V94" s="1186"/>
      <c r="W94" s="1186">
        <v>59.22</v>
      </c>
      <c r="X94" s="1186">
        <v>4.32</v>
      </c>
      <c r="Y94" s="1186">
        <v>54.1</v>
      </c>
      <c r="Z94" s="1186">
        <v>3</v>
      </c>
      <c r="AA94" s="1186"/>
      <c r="AB94" s="1186"/>
      <c r="AC94" s="1186"/>
      <c r="AD94" s="1186"/>
      <c r="AH94" s="251">
        <v>55</v>
      </c>
      <c r="AI94" s="251" t="e">
        <f t="shared" si="8"/>
        <v>#N/A</v>
      </c>
      <c r="AJ94" s="251" t="e">
        <f t="shared" ca="1" si="7"/>
        <v>#N/A</v>
      </c>
      <c r="AL94" s="251">
        <f t="shared" ca="1" si="6"/>
        <v>1902</v>
      </c>
      <c r="AM94" s="251" t="e">
        <f t="shared" ca="1" si="12"/>
        <v>#N/A</v>
      </c>
      <c r="AN94" s="251" t="e">
        <f t="shared" ca="1" si="9"/>
        <v>#N/A</v>
      </c>
      <c r="AO94" s="251" t="e">
        <f t="shared" ca="1" si="10"/>
        <v>#N/A</v>
      </c>
    </row>
    <row r="95" spans="1:41" x14ac:dyDescent="0.2">
      <c r="A95">
        <f t="shared" si="11"/>
        <v>2</v>
      </c>
      <c r="B95">
        <v>86</v>
      </c>
      <c r="C95" s="1078">
        <v>3</v>
      </c>
      <c r="D95" s="1181" t="s">
        <v>5334</v>
      </c>
      <c r="E95" s="1077" t="s">
        <v>5035</v>
      </c>
      <c r="F95" s="1185">
        <v>2</v>
      </c>
      <c r="G95" s="1186"/>
      <c r="H95" s="1186"/>
      <c r="I95" s="1186"/>
      <c r="J95" s="1186"/>
      <c r="K95" s="1186"/>
      <c r="L95" s="1186"/>
      <c r="M95" s="1186"/>
      <c r="N95" s="1186"/>
      <c r="O95" s="1186"/>
      <c r="P95" s="1186"/>
      <c r="Q95" s="1186"/>
      <c r="R95" s="1186"/>
      <c r="S95" s="1186"/>
      <c r="T95" s="1186"/>
      <c r="U95" s="1186"/>
      <c r="V95" s="1186"/>
      <c r="W95" s="1186">
        <v>28.3</v>
      </c>
      <c r="X95" s="1186">
        <v>4.07</v>
      </c>
      <c r="Y95" s="1186">
        <v>27.4</v>
      </c>
      <c r="Z95" s="1186">
        <v>2.9</v>
      </c>
      <c r="AA95" s="1186"/>
      <c r="AB95" s="1186"/>
      <c r="AC95" s="1186"/>
      <c r="AD95" s="1186"/>
      <c r="AH95" s="251">
        <v>56</v>
      </c>
      <c r="AI95" s="251" t="e">
        <f t="shared" si="8"/>
        <v>#N/A</v>
      </c>
      <c r="AJ95" s="251" t="e">
        <f t="shared" ca="1" si="7"/>
        <v>#N/A</v>
      </c>
      <c r="AL95" s="251">
        <f t="shared" ca="1" si="6"/>
        <v>1903</v>
      </c>
      <c r="AM95" s="251" t="e">
        <f t="shared" ca="1" si="12"/>
        <v>#N/A</v>
      </c>
      <c r="AN95" s="251" t="e">
        <f t="shared" ca="1" si="9"/>
        <v>#N/A</v>
      </c>
      <c r="AO95" s="251" t="e">
        <f t="shared" ca="1" si="10"/>
        <v>#N/A</v>
      </c>
    </row>
    <row r="96" spans="1:41" x14ac:dyDescent="0.2">
      <c r="A96">
        <f t="shared" si="11"/>
        <v>2</v>
      </c>
      <c r="B96">
        <v>87</v>
      </c>
      <c r="C96" s="1081">
        <v>3</v>
      </c>
      <c r="D96" s="1181" t="s">
        <v>5334</v>
      </c>
      <c r="E96" s="1082" t="s">
        <v>5036</v>
      </c>
      <c r="F96" s="1188">
        <v>2</v>
      </c>
      <c r="G96" s="1189"/>
      <c r="H96" s="1189"/>
      <c r="I96" s="1189"/>
      <c r="J96" s="1189"/>
      <c r="K96" s="1189"/>
      <c r="L96" s="1189"/>
      <c r="M96" s="1189"/>
      <c r="N96" s="1189"/>
      <c r="O96" s="1189"/>
      <c r="P96" s="1189"/>
      <c r="Q96" s="1189"/>
      <c r="R96" s="1189"/>
      <c r="S96" s="1189"/>
      <c r="T96" s="1189"/>
      <c r="U96" s="1189"/>
      <c r="V96" s="1189"/>
      <c r="W96" s="1189">
        <v>42.9</v>
      </c>
      <c r="X96" s="1189">
        <v>4.0199999999999996</v>
      </c>
      <c r="Y96" s="1189">
        <v>42.7</v>
      </c>
      <c r="Z96" s="1189">
        <v>2.9</v>
      </c>
      <c r="AA96" s="1189"/>
      <c r="AB96" s="1189"/>
      <c r="AC96" s="1189"/>
      <c r="AD96" s="1189"/>
      <c r="AH96" s="251">
        <v>57</v>
      </c>
      <c r="AI96" s="251" t="e">
        <f t="shared" si="8"/>
        <v>#N/A</v>
      </c>
      <c r="AJ96" s="251" t="e">
        <f t="shared" ca="1" si="7"/>
        <v>#N/A</v>
      </c>
      <c r="AL96" s="251">
        <f t="shared" ca="1" si="6"/>
        <v>1904</v>
      </c>
      <c r="AM96" s="251" t="e">
        <f t="shared" ca="1" si="12"/>
        <v>#N/A</v>
      </c>
      <c r="AN96" s="251" t="e">
        <f t="shared" ca="1" si="9"/>
        <v>#N/A</v>
      </c>
      <c r="AO96" s="251" t="e">
        <f t="shared" ca="1" si="10"/>
        <v>#N/A</v>
      </c>
    </row>
    <row r="97" spans="1:41" x14ac:dyDescent="0.2">
      <c r="A97">
        <f t="shared" si="11"/>
        <v>3</v>
      </c>
      <c r="B97">
        <v>88</v>
      </c>
      <c r="C97" s="1190">
        <v>2</v>
      </c>
      <c r="D97" s="1181" t="s">
        <v>5405</v>
      </c>
      <c r="E97" s="1191" t="s">
        <v>5406</v>
      </c>
      <c r="F97" s="1192">
        <v>4</v>
      </c>
      <c r="G97" s="1193">
        <v>10.38</v>
      </c>
      <c r="H97" s="1193">
        <v>2.13</v>
      </c>
      <c r="I97" s="1193">
        <v>10.38</v>
      </c>
      <c r="J97" s="1193">
        <v>2.4300000000000002</v>
      </c>
      <c r="K97" s="1193">
        <v>7.75</v>
      </c>
      <c r="L97" s="1193">
        <v>3.11</v>
      </c>
      <c r="M97" s="1193">
        <v>10.8</v>
      </c>
      <c r="N97" s="1193">
        <v>4.3</v>
      </c>
      <c r="O97" s="1193">
        <v>10.8</v>
      </c>
      <c r="P97" s="1193">
        <v>5.45</v>
      </c>
      <c r="Q97" s="1193">
        <v>9.27</v>
      </c>
      <c r="R97" s="1193">
        <v>1.82</v>
      </c>
      <c r="S97" s="1193">
        <v>9.2899999999999991</v>
      </c>
      <c r="T97" s="1193">
        <v>2.64</v>
      </c>
      <c r="U97" s="1193">
        <v>9.48</v>
      </c>
      <c r="V97" s="1193">
        <v>3.08</v>
      </c>
      <c r="W97" s="1193"/>
      <c r="X97" s="1193"/>
      <c r="Y97" s="1193"/>
      <c r="Z97" s="1193"/>
      <c r="AA97" s="1193"/>
      <c r="AB97" s="1193"/>
      <c r="AC97" s="1193"/>
      <c r="AD97" s="1193"/>
      <c r="AH97" s="251">
        <v>58</v>
      </c>
      <c r="AI97" s="251" t="e">
        <f t="shared" si="8"/>
        <v>#N/A</v>
      </c>
      <c r="AJ97" s="251" t="e">
        <f t="shared" ca="1" si="7"/>
        <v>#N/A</v>
      </c>
      <c r="AL97" s="251">
        <f t="shared" ca="1" si="6"/>
        <v>1905</v>
      </c>
      <c r="AM97" s="251" t="e">
        <f t="shared" ca="1" si="12"/>
        <v>#N/A</v>
      </c>
      <c r="AN97" s="251" t="e">
        <f t="shared" ca="1" si="9"/>
        <v>#N/A</v>
      </c>
      <c r="AO97" s="251" t="e">
        <f t="shared" ca="1" si="10"/>
        <v>#N/A</v>
      </c>
    </row>
    <row r="98" spans="1:41" x14ac:dyDescent="0.2">
      <c r="A98">
        <f t="shared" si="11"/>
        <v>3</v>
      </c>
      <c r="B98">
        <v>89</v>
      </c>
      <c r="C98" s="1078">
        <v>2</v>
      </c>
      <c r="D98" s="1191" t="s">
        <v>5405</v>
      </c>
      <c r="E98" s="1077" t="s">
        <v>5407</v>
      </c>
      <c r="F98" s="1185">
        <v>4</v>
      </c>
      <c r="G98" s="1186">
        <v>10.38</v>
      </c>
      <c r="H98" s="1186">
        <v>2.13</v>
      </c>
      <c r="I98" s="1186">
        <v>10.38</v>
      </c>
      <c r="J98" s="1186">
        <v>2.4300000000000002</v>
      </c>
      <c r="K98" s="1186">
        <v>7.75</v>
      </c>
      <c r="L98" s="1186">
        <v>3.11</v>
      </c>
      <c r="M98" s="1186">
        <v>10.8</v>
      </c>
      <c r="N98" s="1186">
        <v>4.3</v>
      </c>
      <c r="O98" s="1186">
        <v>10.8</v>
      </c>
      <c r="P98" s="1186">
        <v>5.45</v>
      </c>
      <c r="Q98" s="1186">
        <v>9.27</v>
      </c>
      <c r="R98" s="1186">
        <v>1.82</v>
      </c>
      <c r="S98" s="1186">
        <v>9.2899999999999991</v>
      </c>
      <c r="T98" s="1186">
        <v>2.64</v>
      </c>
      <c r="U98" s="1186">
        <v>9.48</v>
      </c>
      <c r="V98" s="1186">
        <v>3.08</v>
      </c>
      <c r="W98" s="1186"/>
      <c r="X98" s="1186"/>
      <c r="Y98" s="1186"/>
      <c r="Z98" s="1186"/>
      <c r="AA98" s="1186"/>
      <c r="AB98" s="1186"/>
      <c r="AC98" s="1186"/>
      <c r="AD98" s="1187"/>
      <c r="AH98" s="251">
        <v>59</v>
      </c>
      <c r="AI98" s="251" t="e">
        <f t="shared" si="8"/>
        <v>#N/A</v>
      </c>
      <c r="AJ98" s="251" t="e">
        <f t="shared" ca="1" si="7"/>
        <v>#N/A</v>
      </c>
      <c r="AL98" s="251">
        <f t="shared" ca="1" si="6"/>
        <v>1906</v>
      </c>
      <c r="AM98" s="251" t="e">
        <f t="shared" ca="1" si="12"/>
        <v>#N/A</v>
      </c>
      <c r="AN98" s="251" t="e">
        <f t="shared" ca="1" si="9"/>
        <v>#N/A</v>
      </c>
      <c r="AO98" s="251" t="e">
        <f t="shared" ca="1" si="10"/>
        <v>#N/A</v>
      </c>
    </row>
    <row r="99" spans="1:41" x14ac:dyDescent="0.2">
      <c r="A99">
        <f t="shared" si="11"/>
        <v>3</v>
      </c>
      <c r="B99">
        <v>90</v>
      </c>
      <c r="C99" s="1078">
        <v>2</v>
      </c>
      <c r="D99" s="1191" t="s">
        <v>5405</v>
      </c>
      <c r="E99" s="1077" t="s">
        <v>5408</v>
      </c>
      <c r="F99" s="1185">
        <v>4</v>
      </c>
      <c r="G99" s="1186">
        <v>12.1</v>
      </c>
      <c r="H99" s="1186">
        <v>2.19</v>
      </c>
      <c r="I99" s="1186">
        <v>12.2</v>
      </c>
      <c r="J99" s="1186">
        <v>2.38</v>
      </c>
      <c r="K99" s="1186">
        <v>7.75</v>
      </c>
      <c r="L99" s="1186">
        <v>3.11</v>
      </c>
      <c r="M99" s="1186">
        <v>13</v>
      </c>
      <c r="N99" s="1186">
        <v>4.18</v>
      </c>
      <c r="O99" s="1186">
        <v>20.440000000000001</v>
      </c>
      <c r="P99" s="1186">
        <v>4.9400000000000004</v>
      </c>
      <c r="Q99" s="1186">
        <v>10.1</v>
      </c>
      <c r="R99" s="1186">
        <v>1.79</v>
      </c>
      <c r="S99" s="1186">
        <v>10.6</v>
      </c>
      <c r="T99" s="1186">
        <v>2.41</v>
      </c>
      <c r="U99" s="1186">
        <v>17.63</v>
      </c>
      <c r="V99" s="1186">
        <v>3.78</v>
      </c>
      <c r="W99" s="1186"/>
      <c r="X99" s="1186"/>
      <c r="Y99" s="1186"/>
      <c r="Z99" s="1186"/>
      <c r="AA99" s="1186"/>
      <c r="AB99" s="1186"/>
      <c r="AC99" s="1186"/>
      <c r="AD99" s="1187"/>
      <c r="AH99" s="251">
        <v>60</v>
      </c>
      <c r="AI99" s="251" t="e">
        <f t="shared" si="8"/>
        <v>#N/A</v>
      </c>
      <c r="AJ99" s="251" t="e">
        <f t="shared" ca="1" si="7"/>
        <v>#N/A</v>
      </c>
      <c r="AL99" s="251">
        <f t="shared" ca="1" si="6"/>
        <v>1907</v>
      </c>
      <c r="AM99" s="251" t="e">
        <f t="shared" ca="1" si="12"/>
        <v>#N/A</v>
      </c>
      <c r="AN99" s="251" t="e">
        <f t="shared" ca="1" si="9"/>
        <v>#N/A</v>
      </c>
      <c r="AO99" s="251" t="e">
        <f t="shared" ca="1" si="10"/>
        <v>#N/A</v>
      </c>
    </row>
    <row r="100" spans="1:41" x14ac:dyDescent="0.2">
      <c r="A100">
        <f t="shared" si="11"/>
        <v>3</v>
      </c>
      <c r="B100">
        <v>91</v>
      </c>
      <c r="C100" s="1078">
        <v>2</v>
      </c>
      <c r="D100" s="1077" t="s">
        <v>5405</v>
      </c>
      <c r="E100" s="1077" t="s">
        <v>5409</v>
      </c>
      <c r="F100" s="1185">
        <v>4</v>
      </c>
      <c r="G100" s="1186">
        <v>12.1</v>
      </c>
      <c r="H100" s="1186">
        <v>2.19</v>
      </c>
      <c r="I100" s="1186">
        <v>12.2</v>
      </c>
      <c r="J100" s="1186">
        <v>2.38</v>
      </c>
      <c r="K100" s="1186">
        <v>7.75</v>
      </c>
      <c r="L100" s="1186">
        <v>3.11</v>
      </c>
      <c r="M100" s="1186">
        <v>13</v>
      </c>
      <c r="N100" s="1186">
        <v>4.18</v>
      </c>
      <c r="O100" s="1186">
        <v>20.440000000000001</v>
      </c>
      <c r="P100" s="1186">
        <v>4.9400000000000004</v>
      </c>
      <c r="Q100" s="1186">
        <v>10.1</v>
      </c>
      <c r="R100" s="1186">
        <v>1.79</v>
      </c>
      <c r="S100" s="1186">
        <v>10.6</v>
      </c>
      <c r="T100" s="1186">
        <v>2.41</v>
      </c>
      <c r="U100" s="1186">
        <v>17.63</v>
      </c>
      <c r="V100" s="1186">
        <v>3.78</v>
      </c>
      <c r="W100" s="1186"/>
      <c r="X100" s="1186"/>
      <c r="Y100" s="1186"/>
      <c r="Z100" s="1186"/>
      <c r="AA100" s="1186"/>
      <c r="AB100" s="1186"/>
      <c r="AC100" s="1186"/>
      <c r="AD100" s="1187"/>
      <c r="AH100" s="251">
        <v>61</v>
      </c>
      <c r="AI100" s="251" t="e">
        <f t="shared" si="8"/>
        <v>#N/A</v>
      </c>
      <c r="AJ100" s="251" t="e">
        <f t="shared" ca="1" si="7"/>
        <v>#N/A</v>
      </c>
      <c r="AL100" s="251">
        <f t="shared" ca="1" si="6"/>
        <v>1908</v>
      </c>
      <c r="AM100" s="251" t="e">
        <f t="shared" ca="1" si="12"/>
        <v>#N/A</v>
      </c>
      <c r="AN100" s="251" t="e">
        <f t="shared" ca="1" si="9"/>
        <v>#N/A</v>
      </c>
      <c r="AO100" s="251" t="e">
        <f t="shared" ca="1" si="10"/>
        <v>#N/A</v>
      </c>
    </row>
    <row r="101" spans="1:41" x14ac:dyDescent="0.2">
      <c r="A101">
        <f t="shared" si="11"/>
        <v>3</v>
      </c>
      <c r="B101">
        <v>92</v>
      </c>
      <c r="C101" s="1078">
        <v>2</v>
      </c>
      <c r="D101" s="1077" t="s">
        <v>5405</v>
      </c>
      <c r="E101" s="1077" t="s">
        <v>5410</v>
      </c>
      <c r="F101" s="1185">
        <v>4</v>
      </c>
      <c r="G101" s="1186">
        <v>12.16</v>
      </c>
      <c r="H101" s="1186">
        <v>2.17</v>
      </c>
      <c r="I101" s="1186">
        <v>12.98</v>
      </c>
      <c r="J101" s="1186">
        <v>2.4</v>
      </c>
      <c r="K101" s="1186">
        <v>7.75</v>
      </c>
      <c r="L101" s="1186">
        <v>3.11</v>
      </c>
      <c r="M101" s="1186">
        <v>15.17</v>
      </c>
      <c r="N101" s="1186">
        <v>4.0999999999999996</v>
      </c>
      <c r="O101" s="1186">
        <v>18.18</v>
      </c>
      <c r="P101" s="1186">
        <v>4.66</v>
      </c>
      <c r="Q101" s="1186">
        <v>12</v>
      </c>
      <c r="R101" s="1186">
        <v>1.74</v>
      </c>
      <c r="S101" s="1186">
        <v>12.24</v>
      </c>
      <c r="T101" s="1186">
        <v>2.48</v>
      </c>
      <c r="U101" s="1186">
        <v>14.49</v>
      </c>
      <c r="V101" s="1186">
        <v>3.36</v>
      </c>
      <c r="W101" s="1186"/>
      <c r="X101" s="1186"/>
      <c r="Y101" s="1186"/>
      <c r="Z101" s="1186"/>
      <c r="AA101" s="1186"/>
      <c r="AB101" s="1186"/>
      <c r="AC101" s="1186"/>
      <c r="AD101" s="1187"/>
      <c r="AH101" s="251">
        <v>62</v>
      </c>
      <c r="AI101" s="251" t="e">
        <f t="shared" si="8"/>
        <v>#N/A</v>
      </c>
      <c r="AJ101" s="251" t="e">
        <f t="shared" ca="1" si="7"/>
        <v>#N/A</v>
      </c>
      <c r="AL101" s="251">
        <f t="shared" ca="1" si="6"/>
        <v>1909</v>
      </c>
      <c r="AM101" s="251" t="e">
        <f t="shared" ca="1" si="12"/>
        <v>#N/A</v>
      </c>
      <c r="AN101" s="251" t="e">
        <f t="shared" ca="1" si="9"/>
        <v>#N/A</v>
      </c>
      <c r="AO101" s="251" t="e">
        <f t="shared" ca="1" si="10"/>
        <v>#N/A</v>
      </c>
    </row>
    <row r="102" spans="1:41" x14ac:dyDescent="0.2">
      <c r="A102">
        <f t="shared" si="11"/>
        <v>3</v>
      </c>
      <c r="B102">
        <v>93</v>
      </c>
      <c r="C102" s="1078">
        <v>2</v>
      </c>
      <c r="D102" s="1077" t="s">
        <v>5405</v>
      </c>
      <c r="E102" s="1077" t="s">
        <v>5411</v>
      </c>
      <c r="F102" s="1185">
        <v>4</v>
      </c>
      <c r="G102" s="1186">
        <v>12.16</v>
      </c>
      <c r="H102" s="1186">
        <v>2.17</v>
      </c>
      <c r="I102" s="1186">
        <v>12.98</v>
      </c>
      <c r="J102" s="1186">
        <v>2.4</v>
      </c>
      <c r="K102" s="1186">
        <v>7.75</v>
      </c>
      <c r="L102" s="1186">
        <v>3.11</v>
      </c>
      <c r="M102" s="1186">
        <v>15.17</v>
      </c>
      <c r="N102" s="1186">
        <v>4.0999999999999996</v>
      </c>
      <c r="O102" s="1186">
        <v>18.18</v>
      </c>
      <c r="P102" s="1186">
        <v>4.66</v>
      </c>
      <c r="Q102" s="1186">
        <v>12</v>
      </c>
      <c r="R102" s="1186">
        <v>1.74</v>
      </c>
      <c r="S102" s="1186">
        <v>12.24</v>
      </c>
      <c r="T102" s="1186">
        <v>2.48</v>
      </c>
      <c r="U102" s="1186">
        <v>14.49</v>
      </c>
      <c r="V102" s="1186">
        <v>3.36</v>
      </c>
      <c r="W102" s="1186"/>
      <c r="X102" s="1186"/>
      <c r="Y102" s="1186"/>
      <c r="Z102" s="1186"/>
      <c r="AA102" s="1186"/>
      <c r="AB102" s="1186"/>
      <c r="AC102" s="1186"/>
      <c r="AD102" s="1187"/>
      <c r="AH102" s="251">
        <v>63</v>
      </c>
      <c r="AI102" s="251" t="e">
        <f t="shared" si="8"/>
        <v>#N/A</v>
      </c>
      <c r="AJ102" s="251" t="e">
        <f t="shared" ca="1" si="7"/>
        <v>#N/A</v>
      </c>
      <c r="AL102" s="251">
        <f t="shared" ca="1" si="6"/>
        <v>1910</v>
      </c>
      <c r="AM102" s="251" t="e">
        <f t="shared" ca="1" si="12"/>
        <v>#N/A</v>
      </c>
      <c r="AN102" s="251" t="e">
        <f t="shared" ca="1" si="9"/>
        <v>#N/A</v>
      </c>
      <c r="AO102" s="251" t="e">
        <f t="shared" ca="1" si="10"/>
        <v>#N/A</v>
      </c>
    </row>
    <row r="103" spans="1:41" x14ac:dyDescent="0.2">
      <c r="A103">
        <f t="shared" si="11"/>
        <v>3</v>
      </c>
      <c r="B103">
        <v>94</v>
      </c>
      <c r="C103" s="1078">
        <v>2</v>
      </c>
      <c r="D103" s="1077" t="s">
        <v>5405</v>
      </c>
      <c r="E103" s="1077" t="s">
        <v>5412</v>
      </c>
      <c r="F103" s="1185">
        <v>4</v>
      </c>
      <c r="G103" s="1186">
        <v>8.9</v>
      </c>
      <c r="H103" s="1186">
        <v>2.0299999999999998</v>
      </c>
      <c r="I103" s="1186">
        <v>10.38</v>
      </c>
      <c r="J103" s="1186">
        <v>2.4300000000000002</v>
      </c>
      <c r="K103" s="1186">
        <v>7.75</v>
      </c>
      <c r="L103" s="1186">
        <v>3.11</v>
      </c>
      <c r="M103" s="1186">
        <v>10.8</v>
      </c>
      <c r="N103" s="1186">
        <v>4.3</v>
      </c>
      <c r="O103" s="1186">
        <v>13.16</v>
      </c>
      <c r="P103" s="1186">
        <v>4.51</v>
      </c>
      <c r="Q103" s="1186">
        <v>9.27</v>
      </c>
      <c r="R103" s="1186">
        <v>1.82</v>
      </c>
      <c r="S103" s="1186">
        <v>9.2899999999999991</v>
      </c>
      <c r="T103" s="1186">
        <v>2.64</v>
      </c>
      <c r="U103" s="1186">
        <v>10.92</v>
      </c>
      <c r="V103" s="1186">
        <v>3.5</v>
      </c>
      <c r="W103" s="1186"/>
      <c r="X103" s="1186"/>
      <c r="Y103" s="1186"/>
      <c r="Z103" s="1186"/>
      <c r="AA103" s="1186"/>
      <c r="AB103" s="1186"/>
      <c r="AC103" s="1186"/>
      <c r="AD103" s="1187"/>
      <c r="AH103" s="251">
        <v>64</v>
      </c>
      <c r="AI103" s="251" t="e">
        <f t="shared" si="8"/>
        <v>#N/A</v>
      </c>
      <c r="AJ103" s="251" t="e">
        <f t="shared" ca="1" si="7"/>
        <v>#N/A</v>
      </c>
      <c r="AL103" s="251">
        <f t="shared" ca="1" si="6"/>
        <v>1911</v>
      </c>
      <c r="AM103" s="251" t="e">
        <f t="shared" ca="1" si="12"/>
        <v>#N/A</v>
      </c>
      <c r="AN103" s="251" t="e">
        <f t="shared" ca="1" si="9"/>
        <v>#N/A</v>
      </c>
      <c r="AO103" s="251" t="e">
        <f t="shared" ca="1" si="10"/>
        <v>#N/A</v>
      </c>
    </row>
    <row r="104" spans="1:41" x14ac:dyDescent="0.2">
      <c r="A104">
        <f t="shared" si="11"/>
        <v>3</v>
      </c>
      <c r="B104">
        <v>95</v>
      </c>
      <c r="C104" s="1078">
        <v>2</v>
      </c>
      <c r="D104" s="1077" t="s">
        <v>5405</v>
      </c>
      <c r="E104" s="1077" t="s">
        <v>5413</v>
      </c>
      <c r="F104" s="1185">
        <v>4</v>
      </c>
      <c r="G104" s="1186">
        <v>8.9</v>
      </c>
      <c r="H104" s="1186">
        <v>2.0299999999999998</v>
      </c>
      <c r="I104" s="1186">
        <v>10.38</v>
      </c>
      <c r="J104" s="1186">
        <v>2.4300000000000002</v>
      </c>
      <c r="K104" s="1186">
        <v>7.75</v>
      </c>
      <c r="L104" s="1186">
        <v>3.11</v>
      </c>
      <c r="M104" s="1186">
        <v>10.8</v>
      </c>
      <c r="N104" s="1186">
        <v>4.3</v>
      </c>
      <c r="O104" s="1186">
        <v>13.16</v>
      </c>
      <c r="P104" s="1186">
        <v>4.51</v>
      </c>
      <c r="Q104" s="1186">
        <v>9.27</v>
      </c>
      <c r="R104" s="1186">
        <v>1.82</v>
      </c>
      <c r="S104" s="1186">
        <v>9.2899999999999991</v>
      </c>
      <c r="T104" s="1186">
        <v>2.64</v>
      </c>
      <c r="U104" s="1186">
        <v>10.92</v>
      </c>
      <c r="V104" s="1186">
        <v>3.5</v>
      </c>
      <c r="W104" s="1186"/>
      <c r="X104" s="1186"/>
      <c r="Y104" s="1186"/>
      <c r="Z104" s="1186"/>
      <c r="AA104" s="1186"/>
      <c r="AB104" s="1186"/>
      <c r="AC104" s="1186"/>
      <c r="AD104" s="1187"/>
      <c r="AH104" s="251">
        <v>65</v>
      </c>
      <c r="AI104" s="251" t="e">
        <f t="shared" ref="AI104:AI135" si="13">MATCH(AH104,$A$10:$A$2000,0)</f>
        <v>#N/A</v>
      </c>
      <c r="AJ104" s="251" t="e">
        <f t="shared" ca="1" si="7"/>
        <v>#N/A</v>
      </c>
      <c r="AL104" s="251">
        <f t="shared" ca="1" si="6"/>
        <v>1912</v>
      </c>
      <c r="AM104" s="251" t="e">
        <f t="shared" ca="1" si="12"/>
        <v>#N/A</v>
      </c>
      <c r="AN104" s="251" t="e">
        <f t="shared" ref="AN104:AN135" ca="1" si="14">IF(INDEX($C$10:$C$2000,AM104,1)=2,"L/W ",IF(INDEX($C$10:$C$2000,AM104,1)=3,"S/W ",IF(INDEX($C$10:$C$2000,AM104,1)=4,"W/W ","")))&amp;OFFSET($E$9,AM104,0)</f>
        <v>#N/A</v>
      </c>
      <c r="AO104" s="251" t="e">
        <f t="shared" ref="AO104:AO135" ca="1" si="15">(INDEX($C$10:$C$2000,AM104,1))</f>
        <v>#N/A</v>
      </c>
    </row>
    <row r="105" spans="1:41" x14ac:dyDescent="0.2">
      <c r="A105">
        <f t="shared" si="11"/>
        <v>3</v>
      </c>
      <c r="B105">
        <v>96</v>
      </c>
      <c r="C105" s="1078">
        <v>2</v>
      </c>
      <c r="D105" s="1077" t="s">
        <v>5405</v>
      </c>
      <c r="E105" s="1077" t="s">
        <v>5414</v>
      </c>
      <c r="F105" s="1185">
        <v>4</v>
      </c>
      <c r="G105" s="1186">
        <v>9.69</v>
      </c>
      <c r="H105" s="1186">
        <v>2.06</v>
      </c>
      <c r="I105" s="1186">
        <v>12.2</v>
      </c>
      <c r="J105" s="1186">
        <v>2.38</v>
      </c>
      <c r="K105" s="1186">
        <v>7.75</v>
      </c>
      <c r="L105" s="1186">
        <v>3.11</v>
      </c>
      <c r="M105" s="1186">
        <v>13</v>
      </c>
      <c r="N105" s="1186">
        <v>4.18</v>
      </c>
      <c r="O105" s="1186">
        <v>15.62</v>
      </c>
      <c r="P105" s="1186">
        <v>4.7300000000000004</v>
      </c>
      <c r="Q105" s="1186">
        <v>10.1</v>
      </c>
      <c r="R105" s="1186">
        <v>1.79</v>
      </c>
      <c r="S105" s="1186">
        <v>10.6</v>
      </c>
      <c r="T105" s="1186">
        <v>2.41</v>
      </c>
      <c r="U105" s="1186">
        <v>13.08</v>
      </c>
      <c r="V105" s="1186">
        <v>3.53</v>
      </c>
      <c r="W105" s="1186"/>
      <c r="X105" s="1186"/>
      <c r="Y105" s="1186"/>
      <c r="Z105" s="1186"/>
      <c r="AA105" s="1186"/>
      <c r="AB105" s="1186"/>
      <c r="AC105" s="1186"/>
      <c r="AD105" s="1187"/>
      <c r="AH105" s="251">
        <v>66</v>
      </c>
      <c r="AI105" s="251" t="e">
        <f t="shared" si="13"/>
        <v>#N/A</v>
      </c>
      <c r="AJ105" s="251" t="e">
        <f t="shared" ref="AJ105:AJ168" ca="1" si="16">OFFSET($D$9,AI105,0)</f>
        <v>#N/A</v>
      </c>
      <c r="AL105" s="251">
        <f t="shared" ca="1" si="6"/>
        <v>1913</v>
      </c>
      <c r="AM105" s="251" t="e">
        <f t="shared" ca="1" si="12"/>
        <v>#N/A</v>
      </c>
      <c r="AN105" s="251" t="e">
        <f t="shared" ca="1" si="14"/>
        <v>#N/A</v>
      </c>
      <c r="AO105" s="251" t="e">
        <f t="shared" ca="1" si="15"/>
        <v>#N/A</v>
      </c>
    </row>
    <row r="106" spans="1:41" x14ac:dyDescent="0.2">
      <c r="A106">
        <f t="shared" si="11"/>
        <v>3</v>
      </c>
      <c r="B106">
        <v>97</v>
      </c>
      <c r="C106" s="1078">
        <v>2</v>
      </c>
      <c r="D106" s="1077" t="s">
        <v>5405</v>
      </c>
      <c r="E106" s="1077" t="s">
        <v>5415</v>
      </c>
      <c r="F106" s="1185">
        <v>4</v>
      </c>
      <c r="G106" s="1186">
        <v>9.69</v>
      </c>
      <c r="H106" s="1186">
        <v>2.06</v>
      </c>
      <c r="I106" s="1186">
        <v>12.2</v>
      </c>
      <c r="J106" s="1186">
        <v>2.38</v>
      </c>
      <c r="K106" s="1186">
        <v>7.75</v>
      </c>
      <c r="L106" s="1186">
        <v>3.11</v>
      </c>
      <c r="M106" s="1186">
        <v>13</v>
      </c>
      <c r="N106" s="1186">
        <v>4.18</v>
      </c>
      <c r="O106" s="1186">
        <v>15.62</v>
      </c>
      <c r="P106" s="1186">
        <v>4.7300000000000004</v>
      </c>
      <c r="Q106" s="1186">
        <v>10.1</v>
      </c>
      <c r="R106" s="1186">
        <v>1.79</v>
      </c>
      <c r="S106" s="1186">
        <v>10.6</v>
      </c>
      <c r="T106" s="1186">
        <v>2.41</v>
      </c>
      <c r="U106" s="1186">
        <v>13.08</v>
      </c>
      <c r="V106" s="1186">
        <v>3.53</v>
      </c>
      <c r="W106" s="1186"/>
      <c r="X106" s="1186"/>
      <c r="Y106" s="1186"/>
      <c r="Z106" s="1186"/>
      <c r="AA106" s="1186"/>
      <c r="AB106" s="1186"/>
      <c r="AC106" s="1186"/>
      <c r="AD106" s="1187"/>
      <c r="AH106" s="251">
        <v>67</v>
      </c>
      <c r="AI106" s="251" t="e">
        <f t="shared" si="13"/>
        <v>#N/A</v>
      </c>
      <c r="AJ106" s="251" t="e">
        <f t="shared" ca="1" si="16"/>
        <v>#N/A</v>
      </c>
      <c r="AL106" s="251">
        <f t="shared" ref="AL106:AL169" ca="1" si="17">AL105+1</f>
        <v>1914</v>
      </c>
      <c r="AM106" s="251" t="e">
        <f t="shared" ca="1" si="12"/>
        <v>#N/A</v>
      </c>
      <c r="AN106" s="251" t="e">
        <f t="shared" ca="1" si="14"/>
        <v>#N/A</v>
      </c>
      <c r="AO106" s="251" t="e">
        <f t="shared" ca="1" si="15"/>
        <v>#N/A</v>
      </c>
    </row>
    <row r="107" spans="1:41" x14ac:dyDescent="0.2">
      <c r="A107">
        <f t="shared" si="11"/>
        <v>3</v>
      </c>
      <c r="B107">
        <v>98</v>
      </c>
      <c r="C107" s="1078">
        <v>2</v>
      </c>
      <c r="D107" s="1077" t="s">
        <v>5405</v>
      </c>
      <c r="E107" s="1077" t="s">
        <v>5416</v>
      </c>
      <c r="F107" s="1185">
        <v>4</v>
      </c>
      <c r="G107" s="1186">
        <v>10.63</v>
      </c>
      <c r="H107" s="1186">
        <v>1.97</v>
      </c>
      <c r="I107" s="1186">
        <v>12.98</v>
      </c>
      <c r="J107" s="1186">
        <v>2.4</v>
      </c>
      <c r="K107" s="1186">
        <v>7.75</v>
      </c>
      <c r="L107" s="1186">
        <v>3.11</v>
      </c>
      <c r="M107" s="1186">
        <v>15.17</v>
      </c>
      <c r="N107" s="1186">
        <v>4.0999999999999996</v>
      </c>
      <c r="O107" s="1186">
        <v>17.71</v>
      </c>
      <c r="P107" s="1186">
        <v>4.72</v>
      </c>
      <c r="Q107" s="1186">
        <v>12</v>
      </c>
      <c r="R107" s="1186">
        <v>1.74</v>
      </c>
      <c r="S107" s="1186">
        <v>12.24</v>
      </c>
      <c r="T107" s="1186">
        <v>2.48</v>
      </c>
      <c r="U107" s="1186">
        <v>14.6</v>
      </c>
      <c r="V107" s="1186">
        <v>3.19</v>
      </c>
      <c r="W107" s="1186"/>
      <c r="X107" s="1186"/>
      <c r="Y107" s="1186"/>
      <c r="Z107" s="1186"/>
      <c r="AA107" s="1186"/>
      <c r="AB107" s="1186"/>
      <c r="AC107" s="1186"/>
      <c r="AD107" s="1187"/>
      <c r="AH107" s="251">
        <v>68</v>
      </c>
      <c r="AI107" s="251" t="e">
        <f t="shared" si="13"/>
        <v>#N/A</v>
      </c>
      <c r="AJ107" s="251" t="e">
        <f t="shared" ca="1" si="16"/>
        <v>#N/A</v>
      </c>
      <c r="AL107" s="251">
        <f t="shared" ca="1" si="17"/>
        <v>1915</v>
      </c>
      <c r="AM107" s="251" t="e">
        <f t="shared" ca="1" si="12"/>
        <v>#N/A</v>
      </c>
      <c r="AN107" s="251" t="e">
        <f t="shared" ca="1" si="14"/>
        <v>#N/A</v>
      </c>
      <c r="AO107" s="251" t="e">
        <f t="shared" ca="1" si="15"/>
        <v>#N/A</v>
      </c>
    </row>
    <row r="108" spans="1:41" x14ac:dyDescent="0.2">
      <c r="A108">
        <f t="shared" si="11"/>
        <v>3</v>
      </c>
      <c r="B108">
        <v>99</v>
      </c>
      <c r="C108" s="1078">
        <v>2</v>
      </c>
      <c r="D108" s="1077" t="s">
        <v>5405</v>
      </c>
      <c r="E108" s="1077" t="s">
        <v>5417</v>
      </c>
      <c r="F108" s="1185">
        <v>4</v>
      </c>
      <c r="G108" s="1186">
        <v>10.63</v>
      </c>
      <c r="H108" s="1186">
        <v>1.97</v>
      </c>
      <c r="I108" s="1186">
        <v>12.98</v>
      </c>
      <c r="J108" s="1186">
        <v>2.4</v>
      </c>
      <c r="K108" s="1186">
        <v>7.75</v>
      </c>
      <c r="L108" s="1186">
        <v>3.11</v>
      </c>
      <c r="M108" s="1186">
        <v>15.17</v>
      </c>
      <c r="N108" s="1186">
        <v>4.0999999999999996</v>
      </c>
      <c r="O108" s="1186">
        <v>17.71</v>
      </c>
      <c r="P108" s="1186">
        <v>4.72</v>
      </c>
      <c r="Q108" s="1186">
        <v>12</v>
      </c>
      <c r="R108" s="1186">
        <v>1.74</v>
      </c>
      <c r="S108" s="1186">
        <v>12.24</v>
      </c>
      <c r="T108" s="1186">
        <v>2.48</v>
      </c>
      <c r="U108" s="1186">
        <v>14.6</v>
      </c>
      <c r="V108" s="1186">
        <v>3.19</v>
      </c>
      <c r="W108" s="1186"/>
      <c r="X108" s="1186"/>
      <c r="Y108" s="1186"/>
      <c r="Z108" s="1186"/>
      <c r="AA108" s="1186"/>
      <c r="AB108" s="1186"/>
      <c r="AC108" s="1186"/>
      <c r="AD108" s="1187"/>
      <c r="AH108" s="251">
        <v>69</v>
      </c>
      <c r="AI108" s="251" t="e">
        <f t="shared" si="13"/>
        <v>#N/A</v>
      </c>
      <c r="AJ108" s="251" t="e">
        <f t="shared" ca="1" si="16"/>
        <v>#N/A</v>
      </c>
      <c r="AL108" s="251">
        <f t="shared" ca="1" si="17"/>
        <v>1916</v>
      </c>
      <c r="AM108" s="251" t="e">
        <f t="shared" ca="1" si="12"/>
        <v>#N/A</v>
      </c>
      <c r="AN108" s="251" t="e">
        <f t="shared" ca="1" si="14"/>
        <v>#N/A</v>
      </c>
      <c r="AO108" s="251" t="e">
        <f t="shared" ca="1" si="15"/>
        <v>#N/A</v>
      </c>
    </row>
    <row r="109" spans="1:41" x14ac:dyDescent="0.2">
      <c r="A109">
        <f t="shared" si="11"/>
        <v>3</v>
      </c>
      <c r="B109">
        <v>100</v>
      </c>
      <c r="C109" s="1078">
        <v>2</v>
      </c>
      <c r="D109" s="1077" t="s">
        <v>5405</v>
      </c>
      <c r="E109" s="1077" t="s">
        <v>5418</v>
      </c>
      <c r="F109" s="1185">
        <v>4</v>
      </c>
      <c r="G109" s="1186">
        <v>3.62</v>
      </c>
      <c r="H109" s="1186">
        <v>2.48</v>
      </c>
      <c r="I109" s="1186">
        <v>4.4000000000000004</v>
      </c>
      <c r="J109" s="1186">
        <v>2.76</v>
      </c>
      <c r="K109" s="1186">
        <v>4.1500000000000004</v>
      </c>
      <c r="L109" s="1186">
        <v>4.04</v>
      </c>
      <c r="M109" s="1186">
        <v>4.5</v>
      </c>
      <c r="N109" s="1186">
        <v>4.74</v>
      </c>
      <c r="O109" s="1186">
        <v>4.7</v>
      </c>
      <c r="P109" s="1186">
        <v>7.22</v>
      </c>
      <c r="Q109" s="1186">
        <v>3.9</v>
      </c>
      <c r="R109" s="1186">
        <v>1.85</v>
      </c>
      <c r="S109" s="1186">
        <v>4.5</v>
      </c>
      <c r="T109" s="1186">
        <v>2.64</v>
      </c>
      <c r="U109" s="1186">
        <v>4.68</v>
      </c>
      <c r="V109" s="1186">
        <v>3.36</v>
      </c>
      <c r="W109" s="1186"/>
      <c r="X109" s="1186"/>
      <c r="Y109" s="1186"/>
      <c r="Z109" s="1186"/>
      <c r="AA109" s="1186"/>
      <c r="AB109" s="1186"/>
      <c r="AC109" s="1186"/>
      <c r="AD109" s="1187"/>
      <c r="AH109" s="251">
        <v>70</v>
      </c>
      <c r="AI109" s="251" t="e">
        <f t="shared" si="13"/>
        <v>#N/A</v>
      </c>
      <c r="AJ109" s="251" t="e">
        <f t="shared" ca="1" si="16"/>
        <v>#N/A</v>
      </c>
      <c r="AL109" s="251">
        <f t="shared" ca="1" si="17"/>
        <v>1917</v>
      </c>
      <c r="AM109" s="251" t="e">
        <f t="shared" ca="1" si="12"/>
        <v>#N/A</v>
      </c>
      <c r="AN109" s="251" t="e">
        <f t="shared" ca="1" si="14"/>
        <v>#N/A</v>
      </c>
      <c r="AO109" s="251" t="e">
        <f t="shared" ca="1" si="15"/>
        <v>#N/A</v>
      </c>
    </row>
    <row r="110" spans="1:41" x14ac:dyDescent="0.2">
      <c r="A110">
        <f t="shared" si="11"/>
        <v>3</v>
      </c>
      <c r="B110">
        <v>101</v>
      </c>
      <c r="C110" s="1078">
        <v>2</v>
      </c>
      <c r="D110" s="1077" t="s">
        <v>5405</v>
      </c>
      <c r="E110" s="1077" t="s">
        <v>5419</v>
      </c>
      <c r="F110" s="1185">
        <v>4</v>
      </c>
      <c r="G110" s="1186">
        <v>3.62</v>
      </c>
      <c r="H110" s="1186">
        <v>2.48</v>
      </c>
      <c r="I110" s="1186">
        <v>4.4000000000000004</v>
      </c>
      <c r="J110" s="1186">
        <v>2.76</v>
      </c>
      <c r="K110" s="1186">
        <v>4.1500000000000004</v>
      </c>
      <c r="L110" s="1186">
        <v>4.04</v>
      </c>
      <c r="M110" s="1186">
        <v>4.5</v>
      </c>
      <c r="N110" s="1186">
        <v>4.74</v>
      </c>
      <c r="O110" s="1186">
        <v>4.7</v>
      </c>
      <c r="P110" s="1186">
        <v>7.22</v>
      </c>
      <c r="Q110" s="1186">
        <v>3.9</v>
      </c>
      <c r="R110" s="1186">
        <v>1.85</v>
      </c>
      <c r="S110" s="1186">
        <v>4.5</v>
      </c>
      <c r="T110" s="1186">
        <v>2.64</v>
      </c>
      <c r="U110" s="1186">
        <v>4.68</v>
      </c>
      <c r="V110" s="1186">
        <v>3.36</v>
      </c>
      <c r="W110" s="1186"/>
      <c r="X110" s="1186"/>
      <c r="Y110" s="1186"/>
      <c r="Z110" s="1186"/>
      <c r="AA110" s="1186"/>
      <c r="AB110" s="1186"/>
      <c r="AC110" s="1186"/>
      <c r="AD110" s="1187"/>
      <c r="AH110" s="251">
        <v>71</v>
      </c>
      <c r="AI110" s="251" t="e">
        <f t="shared" si="13"/>
        <v>#N/A</v>
      </c>
      <c r="AJ110" s="251" t="e">
        <f t="shared" ca="1" si="16"/>
        <v>#N/A</v>
      </c>
      <c r="AL110" s="251">
        <f t="shared" ca="1" si="17"/>
        <v>1918</v>
      </c>
      <c r="AM110" s="251" t="e">
        <f t="shared" ca="1" si="12"/>
        <v>#N/A</v>
      </c>
      <c r="AN110" s="251" t="e">
        <f t="shared" ca="1" si="14"/>
        <v>#N/A</v>
      </c>
      <c r="AO110" s="251" t="e">
        <f t="shared" ca="1" si="15"/>
        <v>#N/A</v>
      </c>
    </row>
    <row r="111" spans="1:41" x14ac:dyDescent="0.2">
      <c r="A111">
        <f t="shared" si="11"/>
        <v>3</v>
      </c>
      <c r="B111">
        <v>102</v>
      </c>
      <c r="C111" s="1078">
        <v>2</v>
      </c>
      <c r="D111" s="1077" t="s">
        <v>5405</v>
      </c>
      <c r="E111" s="1077" t="s">
        <v>5420</v>
      </c>
      <c r="F111" s="1185">
        <v>4</v>
      </c>
      <c r="G111" s="1186">
        <v>4.07</v>
      </c>
      <c r="H111" s="1186">
        <v>2.4700000000000002</v>
      </c>
      <c r="I111" s="1186">
        <v>5</v>
      </c>
      <c r="J111" s="1186">
        <v>2.63</v>
      </c>
      <c r="K111" s="1186">
        <v>5.01</v>
      </c>
      <c r="L111" s="1186">
        <v>3.08</v>
      </c>
      <c r="M111" s="1186">
        <v>5.5</v>
      </c>
      <c r="N111" s="1186">
        <v>4.6500000000000004</v>
      </c>
      <c r="O111" s="1186">
        <v>5.74</v>
      </c>
      <c r="P111" s="1186">
        <v>6.91</v>
      </c>
      <c r="Q111" s="1186">
        <v>4.25</v>
      </c>
      <c r="R111" s="1186">
        <v>1.89</v>
      </c>
      <c r="S111" s="1186">
        <v>5.5</v>
      </c>
      <c r="T111" s="1186">
        <v>2.67</v>
      </c>
      <c r="U111" s="1186">
        <v>5.72</v>
      </c>
      <c r="V111" s="1186">
        <v>3.38</v>
      </c>
      <c r="W111" s="1186"/>
      <c r="X111" s="1186"/>
      <c r="Y111" s="1186"/>
      <c r="Z111" s="1186"/>
      <c r="AA111" s="1186"/>
      <c r="AB111" s="1186"/>
      <c r="AC111" s="1186"/>
      <c r="AD111" s="1187"/>
      <c r="AH111" s="251">
        <v>72</v>
      </c>
      <c r="AI111" s="251" t="e">
        <f t="shared" si="13"/>
        <v>#N/A</v>
      </c>
      <c r="AJ111" s="251" t="e">
        <f t="shared" ca="1" si="16"/>
        <v>#N/A</v>
      </c>
      <c r="AL111" s="251">
        <f t="shared" ca="1" si="17"/>
        <v>1919</v>
      </c>
      <c r="AM111" s="251" t="e">
        <f t="shared" ca="1" si="12"/>
        <v>#N/A</v>
      </c>
      <c r="AN111" s="251" t="e">
        <f t="shared" ca="1" si="14"/>
        <v>#N/A</v>
      </c>
      <c r="AO111" s="251" t="e">
        <f t="shared" ca="1" si="15"/>
        <v>#N/A</v>
      </c>
    </row>
    <row r="112" spans="1:41" x14ac:dyDescent="0.2">
      <c r="A112">
        <f t="shared" si="11"/>
        <v>3</v>
      </c>
      <c r="B112">
        <v>103</v>
      </c>
      <c r="C112" s="1078">
        <v>2</v>
      </c>
      <c r="D112" s="1077" t="s">
        <v>5405</v>
      </c>
      <c r="E112" s="1077" t="s">
        <v>5421</v>
      </c>
      <c r="F112" s="1185">
        <v>4</v>
      </c>
      <c r="G112" s="1186">
        <v>4.07</v>
      </c>
      <c r="H112" s="1186">
        <v>2.4700000000000002</v>
      </c>
      <c r="I112" s="1186">
        <v>5</v>
      </c>
      <c r="J112" s="1186">
        <v>2.63</v>
      </c>
      <c r="K112" s="1186">
        <v>5.01</v>
      </c>
      <c r="L112" s="1186">
        <v>3.08</v>
      </c>
      <c r="M112" s="1186">
        <v>5.5</v>
      </c>
      <c r="N112" s="1186">
        <v>4.6500000000000004</v>
      </c>
      <c r="O112" s="1186">
        <v>5.74</v>
      </c>
      <c r="P112" s="1186">
        <v>6.91</v>
      </c>
      <c r="Q112" s="1186">
        <v>4.25</v>
      </c>
      <c r="R112" s="1186">
        <v>1.89</v>
      </c>
      <c r="S112" s="1186">
        <v>5.5</v>
      </c>
      <c r="T112" s="1186">
        <v>2.67</v>
      </c>
      <c r="U112" s="1186">
        <v>5.72</v>
      </c>
      <c r="V112" s="1186">
        <v>3.38</v>
      </c>
      <c r="W112" s="1186"/>
      <c r="X112" s="1186"/>
      <c r="Y112" s="1186"/>
      <c r="Z112" s="1186"/>
      <c r="AA112" s="1186"/>
      <c r="AB112" s="1186"/>
      <c r="AC112" s="1186"/>
      <c r="AD112" s="1187"/>
      <c r="AH112" s="251">
        <v>73</v>
      </c>
      <c r="AI112" s="251" t="e">
        <f t="shared" si="13"/>
        <v>#N/A</v>
      </c>
      <c r="AJ112" s="251" t="e">
        <f t="shared" ca="1" si="16"/>
        <v>#N/A</v>
      </c>
      <c r="AL112" s="251">
        <f t="shared" ca="1" si="17"/>
        <v>1920</v>
      </c>
      <c r="AM112" s="251" t="e">
        <f t="shared" ca="1" si="12"/>
        <v>#N/A</v>
      </c>
      <c r="AN112" s="251" t="e">
        <f t="shared" ca="1" si="14"/>
        <v>#N/A</v>
      </c>
      <c r="AO112" s="251" t="e">
        <f t="shared" ca="1" si="15"/>
        <v>#N/A</v>
      </c>
    </row>
    <row r="113" spans="1:41" x14ac:dyDescent="0.2">
      <c r="A113">
        <f t="shared" si="11"/>
        <v>3</v>
      </c>
      <c r="B113">
        <v>104</v>
      </c>
      <c r="C113" s="1078">
        <v>2</v>
      </c>
      <c r="D113" s="1077" t="s">
        <v>5405</v>
      </c>
      <c r="E113" s="1077" t="s">
        <v>5422</v>
      </c>
      <c r="F113" s="1185">
        <v>4</v>
      </c>
      <c r="G113" s="1186">
        <v>5.0599999999999996</v>
      </c>
      <c r="H113" s="1186">
        <v>2.1800000000000002</v>
      </c>
      <c r="I113" s="1186">
        <v>5.7</v>
      </c>
      <c r="J113" s="1186">
        <v>2.68</v>
      </c>
      <c r="K113" s="1186">
        <v>5.56</v>
      </c>
      <c r="L113" s="1186">
        <v>3.46</v>
      </c>
      <c r="M113" s="1186">
        <v>7.5</v>
      </c>
      <c r="N113" s="1186">
        <v>4.43</v>
      </c>
      <c r="O113" s="1186">
        <v>7.89</v>
      </c>
      <c r="P113" s="1186">
        <v>6.12</v>
      </c>
      <c r="Q113" s="1186">
        <v>5.3</v>
      </c>
      <c r="R113" s="1186">
        <v>1.9</v>
      </c>
      <c r="S113" s="1186">
        <v>7</v>
      </c>
      <c r="T113" s="1186">
        <v>2.66</v>
      </c>
      <c r="U113" s="1186">
        <v>7.37</v>
      </c>
      <c r="V113" s="1186">
        <v>3.33</v>
      </c>
      <c r="W113" s="1186"/>
      <c r="X113" s="1186"/>
      <c r="Y113" s="1186"/>
      <c r="Z113" s="1186"/>
      <c r="AA113" s="1186"/>
      <c r="AB113" s="1186"/>
      <c r="AC113" s="1186"/>
      <c r="AD113" s="1187"/>
      <c r="AH113" s="251">
        <v>74</v>
      </c>
      <c r="AI113" s="251" t="e">
        <f t="shared" si="13"/>
        <v>#N/A</v>
      </c>
      <c r="AJ113" s="251" t="e">
        <f t="shared" ca="1" si="16"/>
        <v>#N/A</v>
      </c>
      <c r="AL113" s="251">
        <f t="shared" ca="1" si="17"/>
        <v>1921</v>
      </c>
      <c r="AM113" s="251" t="e">
        <f t="shared" ca="1" si="12"/>
        <v>#N/A</v>
      </c>
      <c r="AN113" s="251" t="e">
        <f t="shared" ca="1" si="14"/>
        <v>#N/A</v>
      </c>
      <c r="AO113" s="251" t="e">
        <f t="shared" ca="1" si="15"/>
        <v>#N/A</v>
      </c>
    </row>
    <row r="114" spans="1:41" x14ac:dyDescent="0.2">
      <c r="A114">
        <f t="shared" si="11"/>
        <v>3</v>
      </c>
      <c r="B114">
        <v>105</v>
      </c>
      <c r="C114" s="1078">
        <v>2</v>
      </c>
      <c r="D114" s="1077" t="s">
        <v>5405</v>
      </c>
      <c r="E114" s="1077" t="s">
        <v>5423</v>
      </c>
      <c r="F114" s="1185">
        <v>4</v>
      </c>
      <c r="G114" s="1186">
        <v>5.0599999999999996</v>
      </c>
      <c r="H114" s="1186">
        <v>2.1800000000000002</v>
      </c>
      <c r="I114" s="1186">
        <v>5.7</v>
      </c>
      <c r="J114" s="1186">
        <v>2.68</v>
      </c>
      <c r="K114" s="1186">
        <v>5.56</v>
      </c>
      <c r="L114" s="1186">
        <v>3.46</v>
      </c>
      <c r="M114" s="1186">
        <v>7.5</v>
      </c>
      <c r="N114" s="1186">
        <v>4.43</v>
      </c>
      <c r="O114" s="1186">
        <v>7.89</v>
      </c>
      <c r="P114" s="1186">
        <v>6.12</v>
      </c>
      <c r="Q114" s="1186">
        <v>5.3</v>
      </c>
      <c r="R114" s="1186">
        <v>1.9</v>
      </c>
      <c r="S114" s="1186">
        <v>7</v>
      </c>
      <c r="T114" s="1186">
        <v>2.66</v>
      </c>
      <c r="U114" s="1186">
        <v>7.37</v>
      </c>
      <c r="V114" s="1186">
        <v>3.33</v>
      </c>
      <c r="W114" s="1186"/>
      <c r="X114" s="1186"/>
      <c r="Y114" s="1186"/>
      <c r="Z114" s="1186"/>
      <c r="AA114" s="1186"/>
      <c r="AB114" s="1186"/>
      <c r="AC114" s="1186"/>
      <c r="AD114" s="1187"/>
      <c r="AH114" s="251">
        <v>75</v>
      </c>
      <c r="AI114" s="251" t="e">
        <f t="shared" si="13"/>
        <v>#N/A</v>
      </c>
      <c r="AJ114" s="251" t="e">
        <f t="shared" ca="1" si="16"/>
        <v>#N/A</v>
      </c>
      <c r="AL114" s="251">
        <f t="shared" ca="1" si="17"/>
        <v>1922</v>
      </c>
      <c r="AM114" s="251" t="e">
        <f t="shared" ca="1" si="12"/>
        <v>#N/A</v>
      </c>
      <c r="AN114" s="251" t="e">
        <f t="shared" ca="1" si="14"/>
        <v>#N/A</v>
      </c>
      <c r="AO114" s="251" t="e">
        <f t="shared" ca="1" si="15"/>
        <v>#N/A</v>
      </c>
    </row>
    <row r="115" spans="1:41" x14ac:dyDescent="0.2">
      <c r="A115">
        <f t="shared" si="11"/>
        <v>3</v>
      </c>
      <c r="B115">
        <v>106</v>
      </c>
      <c r="C115" s="1078">
        <v>2</v>
      </c>
      <c r="D115" s="1077" t="s">
        <v>5405</v>
      </c>
      <c r="E115" s="1077" t="s">
        <v>5424</v>
      </c>
      <c r="F115" s="1185">
        <v>4</v>
      </c>
      <c r="G115" s="1186">
        <v>11.47</v>
      </c>
      <c r="H115" s="1186">
        <v>2.2599999999999998</v>
      </c>
      <c r="I115" s="1186">
        <v>14.09</v>
      </c>
      <c r="J115" s="1186">
        <v>2.91</v>
      </c>
      <c r="K115" s="1186">
        <v>13.98</v>
      </c>
      <c r="L115" s="1186">
        <v>3.01</v>
      </c>
      <c r="M115" s="1186">
        <v>16.12</v>
      </c>
      <c r="N115" s="1186">
        <v>4.2699999999999996</v>
      </c>
      <c r="O115" s="1186">
        <v>17.61</v>
      </c>
      <c r="P115" s="1186">
        <v>5.13</v>
      </c>
      <c r="Q115" s="1186">
        <v>12.85</v>
      </c>
      <c r="R115" s="1186">
        <v>2.09</v>
      </c>
      <c r="S115" s="1186">
        <v>12.88</v>
      </c>
      <c r="T115" s="1186">
        <v>2.71</v>
      </c>
      <c r="U115" s="1186">
        <v>14.28</v>
      </c>
      <c r="V115" s="1186">
        <v>3.43</v>
      </c>
      <c r="W115" s="1186"/>
      <c r="X115" s="1186"/>
      <c r="Y115" s="1186"/>
      <c r="Z115" s="1186"/>
      <c r="AA115" s="1186"/>
      <c r="AB115" s="1186"/>
      <c r="AC115" s="1186"/>
      <c r="AD115" s="1187"/>
      <c r="AH115" s="251">
        <v>76</v>
      </c>
      <c r="AI115" s="251" t="e">
        <f t="shared" si="13"/>
        <v>#N/A</v>
      </c>
      <c r="AJ115" s="251" t="e">
        <f t="shared" ca="1" si="16"/>
        <v>#N/A</v>
      </c>
      <c r="AL115" s="251">
        <f t="shared" ca="1" si="17"/>
        <v>1923</v>
      </c>
      <c r="AM115" s="251" t="e">
        <f t="shared" ca="1" si="12"/>
        <v>#N/A</v>
      </c>
      <c r="AN115" s="251" t="e">
        <f t="shared" ca="1" si="14"/>
        <v>#N/A</v>
      </c>
      <c r="AO115" s="251" t="e">
        <f t="shared" ca="1" si="15"/>
        <v>#N/A</v>
      </c>
    </row>
    <row r="116" spans="1:41" x14ac:dyDescent="0.2">
      <c r="A116">
        <f t="shared" si="11"/>
        <v>3</v>
      </c>
      <c r="B116">
        <v>107</v>
      </c>
      <c r="C116" s="1078">
        <v>2</v>
      </c>
      <c r="D116" s="1077" t="s">
        <v>5405</v>
      </c>
      <c r="E116" s="1077" t="s">
        <v>5425</v>
      </c>
      <c r="F116" s="1185">
        <v>4</v>
      </c>
      <c r="G116" s="1186">
        <v>11.47</v>
      </c>
      <c r="H116" s="1186">
        <v>2.2599999999999998</v>
      </c>
      <c r="I116" s="1186">
        <v>14.09</v>
      </c>
      <c r="J116" s="1186">
        <v>2.91</v>
      </c>
      <c r="K116" s="1186">
        <v>13.98</v>
      </c>
      <c r="L116" s="1186">
        <v>3.01</v>
      </c>
      <c r="M116" s="1186">
        <v>16.12</v>
      </c>
      <c r="N116" s="1186">
        <v>4.2699999999999996</v>
      </c>
      <c r="O116" s="1186">
        <v>17.61</v>
      </c>
      <c r="P116" s="1186">
        <v>5.13</v>
      </c>
      <c r="Q116" s="1186">
        <v>12.85</v>
      </c>
      <c r="R116" s="1186">
        <v>2.09</v>
      </c>
      <c r="S116" s="1186">
        <v>12.88</v>
      </c>
      <c r="T116" s="1186">
        <v>2.71</v>
      </c>
      <c r="U116" s="1186">
        <v>14.28</v>
      </c>
      <c r="V116" s="1186">
        <v>3.43</v>
      </c>
      <c r="W116" s="1186"/>
      <c r="X116" s="1186"/>
      <c r="Y116" s="1186"/>
      <c r="Z116" s="1186"/>
      <c r="AA116" s="1186"/>
      <c r="AB116" s="1186"/>
      <c r="AC116" s="1186"/>
      <c r="AD116" s="1187"/>
      <c r="AH116" s="251">
        <v>77</v>
      </c>
      <c r="AI116" s="251" t="e">
        <f t="shared" si="13"/>
        <v>#N/A</v>
      </c>
      <c r="AJ116" s="251" t="e">
        <f t="shared" ca="1" si="16"/>
        <v>#N/A</v>
      </c>
      <c r="AL116" s="251">
        <f t="shared" ca="1" si="17"/>
        <v>1924</v>
      </c>
      <c r="AM116" s="251" t="e">
        <f t="shared" ca="1" si="12"/>
        <v>#N/A</v>
      </c>
      <c r="AN116" s="251" t="e">
        <f t="shared" ca="1" si="14"/>
        <v>#N/A</v>
      </c>
      <c r="AO116" s="251" t="e">
        <f t="shared" ca="1" si="15"/>
        <v>#N/A</v>
      </c>
    </row>
    <row r="117" spans="1:41" x14ac:dyDescent="0.2">
      <c r="A117">
        <f t="shared" si="11"/>
        <v>3</v>
      </c>
      <c r="B117">
        <v>108</v>
      </c>
      <c r="C117" s="1078">
        <v>2</v>
      </c>
      <c r="D117" s="1077" t="s">
        <v>5405</v>
      </c>
      <c r="E117" s="1077" t="s">
        <v>5426</v>
      </c>
      <c r="F117" s="1185">
        <v>4</v>
      </c>
      <c r="G117" s="1186">
        <v>12.86</v>
      </c>
      <c r="H117" s="1186">
        <v>2.25</v>
      </c>
      <c r="I117" s="1186">
        <v>16.36</v>
      </c>
      <c r="J117" s="1186">
        <v>2.88</v>
      </c>
      <c r="K117" s="1186">
        <v>16.25</v>
      </c>
      <c r="L117" s="1186">
        <v>3</v>
      </c>
      <c r="M117" s="1186">
        <v>18.29</v>
      </c>
      <c r="N117" s="1186">
        <v>4.26</v>
      </c>
      <c r="O117" s="1186">
        <v>19.77</v>
      </c>
      <c r="P117" s="1186">
        <v>5.14</v>
      </c>
      <c r="Q117" s="1186">
        <v>14.64</v>
      </c>
      <c r="R117" s="1186">
        <v>2.1</v>
      </c>
      <c r="S117" s="1186">
        <v>15.37</v>
      </c>
      <c r="T117" s="1186">
        <v>2.84</v>
      </c>
      <c r="U117" s="1186">
        <v>16.760000000000002</v>
      </c>
      <c r="V117" s="1186">
        <v>3.56</v>
      </c>
      <c r="W117" s="1186"/>
      <c r="X117" s="1186"/>
      <c r="Y117" s="1186"/>
      <c r="Z117" s="1186"/>
      <c r="AA117" s="1186"/>
      <c r="AB117" s="1186"/>
      <c r="AC117" s="1186"/>
      <c r="AD117" s="1187"/>
      <c r="AH117" s="251">
        <v>78</v>
      </c>
      <c r="AI117" s="251" t="e">
        <f t="shared" si="13"/>
        <v>#N/A</v>
      </c>
      <c r="AJ117" s="251" t="e">
        <f t="shared" ca="1" si="16"/>
        <v>#N/A</v>
      </c>
      <c r="AL117" s="251">
        <f t="shared" ca="1" si="17"/>
        <v>1925</v>
      </c>
      <c r="AM117" s="251" t="e">
        <f t="shared" ca="1" si="12"/>
        <v>#N/A</v>
      </c>
      <c r="AN117" s="251" t="e">
        <f t="shared" ca="1" si="14"/>
        <v>#N/A</v>
      </c>
      <c r="AO117" s="251" t="e">
        <f t="shared" ca="1" si="15"/>
        <v>#N/A</v>
      </c>
    </row>
    <row r="118" spans="1:41" x14ac:dyDescent="0.2">
      <c r="A118">
        <f t="shared" si="11"/>
        <v>3</v>
      </c>
      <c r="B118">
        <v>109</v>
      </c>
      <c r="C118" s="1078">
        <v>2</v>
      </c>
      <c r="D118" s="1077" t="s">
        <v>5405</v>
      </c>
      <c r="E118" s="1077" t="s">
        <v>5427</v>
      </c>
      <c r="F118" s="1185">
        <v>4</v>
      </c>
      <c r="G118" s="1186">
        <v>12.86</v>
      </c>
      <c r="H118" s="1186">
        <v>2.25</v>
      </c>
      <c r="I118" s="1186">
        <v>16.36</v>
      </c>
      <c r="J118" s="1186">
        <v>2.88</v>
      </c>
      <c r="K118" s="1186">
        <v>16.25</v>
      </c>
      <c r="L118" s="1186">
        <v>3</v>
      </c>
      <c r="M118" s="1186">
        <v>18.29</v>
      </c>
      <c r="N118" s="1186">
        <v>4.26</v>
      </c>
      <c r="O118" s="1186">
        <v>19.77</v>
      </c>
      <c r="P118" s="1186">
        <v>5.14</v>
      </c>
      <c r="Q118" s="1186">
        <v>14.64</v>
      </c>
      <c r="R118" s="1186">
        <v>2.1</v>
      </c>
      <c r="S118" s="1186">
        <v>15.37</v>
      </c>
      <c r="T118" s="1186">
        <v>2.84</v>
      </c>
      <c r="U118" s="1186">
        <v>16.760000000000002</v>
      </c>
      <c r="V118" s="1186">
        <v>3.56</v>
      </c>
      <c r="W118" s="1186"/>
      <c r="X118" s="1186"/>
      <c r="Y118" s="1186"/>
      <c r="Z118" s="1186"/>
      <c r="AA118" s="1186"/>
      <c r="AB118" s="1186"/>
      <c r="AC118" s="1186"/>
      <c r="AD118" s="1187"/>
      <c r="AH118" s="251">
        <v>79</v>
      </c>
      <c r="AI118" s="251" t="e">
        <f t="shared" si="13"/>
        <v>#N/A</v>
      </c>
      <c r="AJ118" s="251" t="e">
        <f t="shared" ca="1" si="16"/>
        <v>#N/A</v>
      </c>
      <c r="AL118" s="251">
        <f t="shared" ca="1" si="17"/>
        <v>1926</v>
      </c>
      <c r="AM118" s="251" t="e">
        <f t="shared" ca="1" si="12"/>
        <v>#N/A</v>
      </c>
      <c r="AN118" s="251" t="e">
        <f t="shared" ca="1" si="14"/>
        <v>#N/A</v>
      </c>
      <c r="AO118" s="251" t="e">
        <f t="shared" ca="1" si="15"/>
        <v>#N/A</v>
      </c>
    </row>
    <row r="119" spans="1:41" x14ac:dyDescent="0.2">
      <c r="A119">
        <f t="shared" si="11"/>
        <v>3</v>
      </c>
      <c r="B119">
        <v>110</v>
      </c>
      <c r="C119" s="1078">
        <v>2</v>
      </c>
      <c r="D119" s="1077" t="s">
        <v>5405</v>
      </c>
      <c r="E119" s="1077" t="s">
        <v>5428</v>
      </c>
      <c r="F119" s="1185">
        <v>4</v>
      </c>
      <c r="G119" s="1186">
        <v>7.14</v>
      </c>
      <c r="H119" s="1186">
        <v>2.62</v>
      </c>
      <c r="I119" s="1186">
        <v>8.4700000000000006</v>
      </c>
      <c r="J119" s="1186">
        <v>3</v>
      </c>
      <c r="K119" s="1186">
        <v>9.1</v>
      </c>
      <c r="L119" s="1186">
        <v>3.22</v>
      </c>
      <c r="M119" s="1186">
        <v>10</v>
      </c>
      <c r="N119" s="1186">
        <v>4.5199999999999996</v>
      </c>
      <c r="O119" s="1186">
        <v>10.53</v>
      </c>
      <c r="P119" s="1186">
        <v>5.01</v>
      </c>
      <c r="Q119" s="1186">
        <v>8.4600000000000009</v>
      </c>
      <c r="R119" s="1186">
        <v>2.17</v>
      </c>
      <c r="S119" s="1186">
        <v>9.2799999999999994</v>
      </c>
      <c r="T119" s="1186">
        <v>2.82</v>
      </c>
      <c r="U119" s="1186">
        <v>9.7799999999999994</v>
      </c>
      <c r="V119" s="1186">
        <v>2.93</v>
      </c>
      <c r="W119" s="1186"/>
      <c r="X119" s="1186"/>
      <c r="Y119" s="1186"/>
      <c r="Z119" s="1186"/>
      <c r="AA119" s="1186"/>
      <c r="AB119" s="1186"/>
      <c r="AC119" s="1186"/>
      <c r="AD119" s="1187"/>
      <c r="AH119" s="251">
        <v>80</v>
      </c>
      <c r="AI119" s="251" t="e">
        <f t="shared" si="13"/>
        <v>#N/A</v>
      </c>
      <c r="AJ119" s="251" t="e">
        <f t="shared" ca="1" si="16"/>
        <v>#N/A</v>
      </c>
      <c r="AL119" s="251">
        <f t="shared" ca="1" si="17"/>
        <v>1927</v>
      </c>
      <c r="AM119" s="251" t="e">
        <f t="shared" ca="1" si="12"/>
        <v>#N/A</v>
      </c>
      <c r="AN119" s="251" t="e">
        <f t="shared" ca="1" si="14"/>
        <v>#N/A</v>
      </c>
      <c r="AO119" s="251" t="e">
        <f t="shared" ca="1" si="15"/>
        <v>#N/A</v>
      </c>
    </row>
    <row r="120" spans="1:41" x14ac:dyDescent="0.2">
      <c r="A120">
        <f t="shared" si="11"/>
        <v>3</v>
      </c>
      <c r="B120">
        <v>111</v>
      </c>
      <c r="C120" s="1078">
        <v>2</v>
      </c>
      <c r="D120" s="1077" t="s">
        <v>5405</v>
      </c>
      <c r="E120" s="1077" t="s">
        <v>5429</v>
      </c>
      <c r="F120" s="1185">
        <v>4</v>
      </c>
      <c r="G120" s="1186">
        <v>10.029999999999999</v>
      </c>
      <c r="H120" s="1186">
        <v>2.65</v>
      </c>
      <c r="I120" s="1186">
        <v>10.86</v>
      </c>
      <c r="J120" s="1186">
        <v>2.79</v>
      </c>
      <c r="K120" s="1186">
        <v>12.2</v>
      </c>
      <c r="L120" s="1186">
        <v>3.19</v>
      </c>
      <c r="M120" s="1186">
        <v>12</v>
      </c>
      <c r="N120" s="1186">
        <v>4.76</v>
      </c>
      <c r="O120" s="1186">
        <v>12.41</v>
      </c>
      <c r="P120" s="1186">
        <v>5.37</v>
      </c>
      <c r="Q120" s="1186">
        <v>11.95</v>
      </c>
      <c r="R120" s="1186">
        <v>2.19</v>
      </c>
      <c r="S120" s="1186">
        <v>12.93</v>
      </c>
      <c r="T120" s="1186">
        <v>3</v>
      </c>
      <c r="U120" s="1186">
        <v>13.27</v>
      </c>
      <c r="V120" s="1186">
        <v>3.04</v>
      </c>
      <c r="W120" s="1186"/>
      <c r="X120" s="1186"/>
      <c r="Y120" s="1186"/>
      <c r="Z120" s="1186"/>
      <c r="AA120" s="1186"/>
      <c r="AB120" s="1186"/>
      <c r="AC120" s="1186"/>
      <c r="AD120" s="1187"/>
      <c r="AH120" s="251">
        <v>81</v>
      </c>
      <c r="AI120" s="251" t="e">
        <f t="shared" si="13"/>
        <v>#N/A</v>
      </c>
      <c r="AJ120" s="251" t="e">
        <f t="shared" ca="1" si="16"/>
        <v>#N/A</v>
      </c>
      <c r="AL120" s="251">
        <f t="shared" ca="1" si="17"/>
        <v>1928</v>
      </c>
      <c r="AM120" s="251" t="e">
        <f t="shared" ca="1" si="12"/>
        <v>#N/A</v>
      </c>
      <c r="AN120" s="251" t="e">
        <f t="shared" ca="1" si="14"/>
        <v>#N/A</v>
      </c>
      <c r="AO120" s="251" t="e">
        <f t="shared" ca="1" si="15"/>
        <v>#N/A</v>
      </c>
    </row>
    <row r="121" spans="1:41" x14ac:dyDescent="0.2">
      <c r="A121">
        <f t="shared" si="11"/>
        <v>3</v>
      </c>
      <c r="B121">
        <v>112</v>
      </c>
      <c r="C121" s="1078">
        <v>2</v>
      </c>
      <c r="D121" s="1077" t="s">
        <v>5405</v>
      </c>
      <c r="E121" s="1077" t="s">
        <v>5430</v>
      </c>
      <c r="F121" s="1185">
        <v>4</v>
      </c>
      <c r="G121" s="1186">
        <v>11.03</v>
      </c>
      <c r="H121" s="1186">
        <v>2.4</v>
      </c>
      <c r="I121" s="1186">
        <v>12.09</v>
      </c>
      <c r="J121" s="1186">
        <v>2.62</v>
      </c>
      <c r="K121" s="1186">
        <v>12.2</v>
      </c>
      <c r="L121" s="1186">
        <v>3.11</v>
      </c>
      <c r="M121" s="1186">
        <v>15.82</v>
      </c>
      <c r="N121" s="1186">
        <v>3.23</v>
      </c>
      <c r="O121" s="1186">
        <v>16.399999999999999</v>
      </c>
      <c r="P121" s="1186">
        <v>3.5</v>
      </c>
      <c r="Q121" s="1186">
        <v>13.64</v>
      </c>
      <c r="R121" s="1186">
        <v>2.0299999999999998</v>
      </c>
      <c r="S121" s="1186">
        <v>16.78</v>
      </c>
      <c r="T121" s="1186">
        <v>2.41</v>
      </c>
      <c r="U121" s="1186">
        <v>17.260000000000002</v>
      </c>
      <c r="V121" s="1186">
        <v>2.4500000000000002</v>
      </c>
      <c r="W121" s="1186"/>
      <c r="X121" s="1186"/>
      <c r="Y121" s="1186"/>
      <c r="Z121" s="1186"/>
      <c r="AA121" s="1186"/>
      <c r="AB121" s="1186"/>
      <c r="AC121" s="1186"/>
      <c r="AD121" s="1187"/>
      <c r="AH121" s="251">
        <v>82</v>
      </c>
      <c r="AI121" s="251" t="e">
        <f t="shared" si="13"/>
        <v>#N/A</v>
      </c>
      <c r="AJ121" s="251" t="e">
        <f t="shared" ca="1" si="16"/>
        <v>#N/A</v>
      </c>
      <c r="AL121" s="251">
        <f t="shared" ca="1" si="17"/>
        <v>1929</v>
      </c>
      <c r="AM121" s="251" t="e">
        <f t="shared" ca="1" si="12"/>
        <v>#N/A</v>
      </c>
      <c r="AN121" s="251" t="e">
        <f t="shared" ca="1" si="14"/>
        <v>#N/A</v>
      </c>
      <c r="AO121" s="251" t="e">
        <f t="shared" ca="1" si="15"/>
        <v>#N/A</v>
      </c>
    </row>
    <row r="122" spans="1:41" x14ac:dyDescent="0.2">
      <c r="A122">
        <f t="shared" si="11"/>
        <v>4</v>
      </c>
      <c r="B122">
        <v>113</v>
      </c>
      <c r="C122" s="1078">
        <v>2</v>
      </c>
      <c r="D122" s="1077" t="s">
        <v>5431</v>
      </c>
      <c r="E122" s="1077" t="s">
        <v>5432</v>
      </c>
      <c r="F122" s="1185">
        <v>4</v>
      </c>
      <c r="G122" s="1186">
        <v>5.19</v>
      </c>
      <c r="H122" s="1186">
        <v>2.63</v>
      </c>
      <c r="I122" s="1186">
        <v>6.32</v>
      </c>
      <c r="J122" s="1186">
        <v>2.99</v>
      </c>
      <c r="K122" s="1186">
        <v>5.85</v>
      </c>
      <c r="L122" s="1186">
        <v>3.56</v>
      </c>
      <c r="M122" s="1186">
        <v>8</v>
      </c>
      <c r="N122" s="1186">
        <v>4.6399999999999997</v>
      </c>
      <c r="O122" s="1186">
        <v>8.48</v>
      </c>
      <c r="P122" s="1186">
        <v>5.12</v>
      </c>
      <c r="Q122" s="1186">
        <v>6.21</v>
      </c>
      <c r="R122" s="1186">
        <v>2.08</v>
      </c>
      <c r="S122" s="1186">
        <v>6.94</v>
      </c>
      <c r="T122" s="1186">
        <v>2.88</v>
      </c>
      <c r="U122" s="1186">
        <v>7.41</v>
      </c>
      <c r="V122" s="1186">
        <v>3.03</v>
      </c>
      <c r="W122" s="1186"/>
      <c r="X122" s="1186"/>
      <c r="Y122" s="1186"/>
      <c r="Z122" s="1186"/>
      <c r="AA122" s="1186"/>
      <c r="AB122" s="1186"/>
      <c r="AC122" s="1186"/>
      <c r="AD122" s="1187"/>
      <c r="AH122" s="251">
        <v>83</v>
      </c>
      <c r="AI122" s="251" t="e">
        <f t="shared" si="13"/>
        <v>#N/A</v>
      </c>
      <c r="AJ122" s="251" t="e">
        <f t="shared" ca="1" si="16"/>
        <v>#N/A</v>
      </c>
      <c r="AL122" s="251">
        <f t="shared" ca="1" si="17"/>
        <v>1930</v>
      </c>
      <c r="AM122" s="251" t="e">
        <f t="shared" ca="1" si="12"/>
        <v>#N/A</v>
      </c>
      <c r="AN122" s="251" t="e">
        <f t="shared" ca="1" si="14"/>
        <v>#N/A</v>
      </c>
      <c r="AO122" s="251" t="e">
        <f t="shared" ca="1" si="15"/>
        <v>#N/A</v>
      </c>
    </row>
    <row r="123" spans="1:41" x14ac:dyDescent="0.2">
      <c r="A123">
        <f t="shared" si="11"/>
        <v>4</v>
      </c>
      <c r="B123">
        <v>114</v>
      </c>
      <c r="C123" s="1078">
        <v>2</v>
      </c>
      <c r="D123" s="1077" t="s">
        <v>5431</v>
      </c>
      <c r="E123" s="1077" t="s">
        <v>5433</v>
      </c>
      <c r="F123" s="1185">
        <v>4</v>
      </c>
      <c r="G123" s="1186">
        <v>7.14</v>
      </c>
      <c r="H123" s="1186">
        <v>2.62</v>
      </c>
      <c r="I123" s="1186">
        <v>8.4700000000000006</v>
      </c>
      <c r="J123" s="1186">
        <v>3</v>
      </c>
      <c r="K123" s="1186">
        <v>9.1</v>
      </c>
      <c r="L123" s="1186">
        <v>3.22</v>
      </c>
      <c r="M123" s="1186">
        <v>10</v>
      </c>
      <c r="N123" s="1186">
        <v>4.5199999999999996</v>
      </c>
      <c r="O123" s="1186">
        <v>10.53</v>
      </c>
      <c r="P123" s="1186">
        <v>5.01</v>
      </c>
      <c r="Q123" s="1186">
        <v>8.4600000000000009</v>
      </c>
      <c r="R123" s="1186">
        <v>2.17</v>
      </c>
      <c r="S123" s="1186">
        <v>9.2799999999999994</v>
      </c>
      <c r="T123" s="1186">
        <v>2.82</v>
      </c>
      <c r="U123" s="1186">
        <v>9.7799999999999994</v>
      </c>
      <c r="V123" s="1186">
        <v>2.93</v>
      </c>
      <c r="W123" s="1186"/>
      <c r="X123" s="1186"/>
      <c r="Y123" s="1186"/>
      <c r="Z123" s="1186"/>
      <c r="AA123" s="1186"/>
      <c r="AB123" s="1186"/>
      <c r="AC123" s="1186"/>
      <c r="AD123" s="1187"/>
      <c r="AH123" s="251">
        <v>84</v>
      </c>
      <c r="AI123" s="251" t="e">
        <f t="shared" si="13"/>
        <v>#N/A</v>
      </c>
      <c r="AJ123" s="251" t="e">
        <f t="shared" ca="1" si="16"/>
        <v>#N/A</v>
      </c>
      <c r="AL123" s="251">
        <f t="shared" ca="1" si="17"/>
        <v>1931</v>
      </c>
      <c r="AM123" s="251" t="e">
        <f t="shared" ca="1" si="12"/>
        <v>#N/A</v>
      </c>
      <c r="AN123" s="251" t="e">
        <f t="shared" ca="1" si="14"/>
        <v>#N/A</v>
      </c>
      <c r="AO123" s="251" t="e">
        <f t="shared" ca="1" si="15"/>
        <v>#N/A</v>
      </c>
    </row>
    <row r="124" spans="1:41" x14ac:dyDescent="0.2">
      <c r="A124">
        <f t="shared" si="11"/>
        <v>4</v>
      </c>
      <c r="B124">
        <v>115</v>
      </c>
      <c r="C124" s="1078">
        <v>2</v>
      </c>
      <c r="D124" s="1077" t="s">
        <v>5431</v>
      </c>
      <c r="E124" s="1077" t="s">
        <v>5434</v>
      </c>
      <c r="F124" s="1185">
        <v>4</v>
      </c>
      <c r="G124" s="1186">
        <v>10.029999999999999</v>
      </c>
      <c r="H124" s="1186">
        <v>2.65</v>
      </c>
      <c r="I124" s="1186">
        <v>10.86</v>
      </c>
      <c r="J124" s="1186">
        <v>2.79</v>
      </c>
      <c r="K124" s="1186">
        <v>10.89</v>
      </c>
      <c r="L124" s="1186">
        <v>4.07</v>
      </c>
      <c r="M124" s="1186">
        <v>12</v>
      </c>
      <c r="N124" s="1186">
        <v>4.76</v>
      </c>
      <c r="O124" s="1186">
        <v>12.41</v>
      </c>
      <c r="P124" s="1186">
        <v>5.37</v>
      </c>
      <c r="Q124" s="1186">
        <v>11.95</v>
      </c>
      <c r="R124" s="1186">
        <v>2.19</v>
      </c>
      <c r="S124" s="1186">
        <v>12.93</v>
      </c>
      <c r="T124" s="1186">
        <v>3</v>
      </c>
      <c r="U124" s="1186">
        <v>13.27</v>
      </c>
      <c r="V124" s="1186">
        <v>3.04</v>
      </c>
      <c r="W124" s="1186"/>
      <c r="X124" s="1186"/>
      <c r="Y124" s="1186"/>
      <c r="Z124" s="1186"/>
      <c r="AA124" s="1186"/>
      <c r="AB124" s="1186"/>
      <c r="AC124" s="1186"/>
      <c r="AD124" s="1187"/>
      <c r="AH124" s="251">
        <v>85</v>
      </c>
      <c r="AI124" s="251" t="e">
        <f t="shared" si="13"/>
        <v>#N/A</v>
      </c>
      <c r="AJ124" s="251" t="e">
        <f t="shared" ca="1" si="16"/>
        <v>#N/A</v>
      </c>
      <c r="AL124" s="251">
        <f t="shared" ca="1" si="17"/>
        <v>1932</v>
      </c>
      <c r="AM124" s="251" t="e">
        <f t="shared" ca="1" si="12"/>
        <v>#N/A</v>
      </c>
      <c r="AN124" s="251" t="e">
        <f t="shared" ca="1" si="14"/>
        <v>#N/A</v>
      </c>
      <c r="AO124" s="251" t="e">
        <f t="shared" ca="1" si="15"/>
        <v>#N/A</v>
      </c>
    </row>
    <row r="125" spans="1:41" x14ac:dyDescent="0.2">
      <c r="A125">
        <f t="shared" si="11"/>
        <v>4</v>
      </c>
      <c r="B125">
        <v>116</v>
      </c>
      <c r="C125" s="1078">
        <v>2</v>
      </c>
      <c r="D125" s="1077" t="s">
        <v>5431</v>
      </c>
      <c r="E125" s="1077" t="s">
        <v>5435</v>
      </c>
      <c r="F125" s="1185">
        <v>4</v>
      </c>
      <c r="G125" s="1186">
        <v>11.03</v>
      </c>
      <c r="H125" s="1186">
        <v>2.4</v>
      </c>
      <c r="I125" s="1186">
        <v>12.09</v>
      </c>
      <c r="J125" s="1186">
        <v>2.62</v>
      </c>
      <c r="K125" s="1186">
        <v>12.2</v>
      </c>
      <c r="L125" s="1186">
        <v>3.11</v>
      </c>
      <c r="M125" s="1186">
        <v>15.82</v>
      </c>
      <c r="N125" s="1186">
        <v>3.23</v>
      </c>
      <c r="O125" s="1186">
        <v>16.399999999999999</v>
      </c>
      <c r="P125" s="1186">
        <v>3.5</v>
      </c>
      <c r="Q125" s="1186">
        <v>13.64</v>
      </c>
      <c r="R125" s="1186">
        <v>2.0299999999999998</v>
      </c>
      <c r="S125" s="1186">
        <v>16.78</v>
      </c>
      <c r="T125" s="1186">
        <v>2.41</v>
      </c>
      <c r="U125" s="1186">
        <v>17.260000000000002</v>
      </c>
      <c r="V125" s="1186">
        <v>2.4500000000000002</v>
      </c>
      <c r="W125" s="1186"/>
      <c r="X125" s="1186"/>
      <c r="Y125" s="1186"/>
      <c r="Z125" s="1186"/>
      <c r="AA125" s="1186"/>
      <c r="AB125" s="1186"/>
      <c r="AC125" s="1186"/>
      <c r="AD125" s="1187"/>
      <c r="AH125" s="251">
        <v>86</v>
      </c>
      <c r="AI125" s="251" t="e">
        <f t="shared" si="13"/>
        <v>#N/A</v>
      </c>
      <c r="AJ125" s="251" t="e">
        <f t="shared" ca="1" si="16"/>
        <v>#N/A</v>
      </c>
      <c r="AL125" s="251">
        <f t="shared" ca="1" si="17"/>
        <v>1933</v>
      </c>
      <c r="AM125" s="251" t="e">
        <f t="shared" ca="1" si="12"/>
        <v>#N/A</v>
      </c>
      <c r="AN125" s="251" t="e">
        <f t="shared" ca="1" si="14"/>
        <v>#N/A</v>
      </c>
      <c r="AO125" s="251" t="e">
        <f t="shared" ca="1" si="15"/>
        <v>#N/A</v>
      </c>
    </row>
    <row r="126" spans="1:41" x14ac:dyDescent="0.2">
      <c r="A126">
        <f t="shared" si="11"/>
        <v>5</v>
      </c>
      <c r="B126">
        <v>117</v>
      </c>
      <c r="C126" s="1078">
        <v>2</v>
      </c>
      <c r="D126" s="1077" t="s">
        <v>3911</v>
      </c>
      <c r="E126" s="1077" t="s">
        <v>3979</v>
      </c>
      <c r="F126" s="1185"/>
      <c r="G126" s="1186"/>
      <c r="H126" s="1186"/>
      <c r="I126" s="1186">
        <v>4.7</v>
      </c>
      <c r="J126" s="1186">
        <v>2.7</v>
      </c>
      <c r="K126" s="1186">
        <v>2.9</v>
      </c>
      <c r="L126" s="1186">
        <v>3.4</v>
      </c>
      <c r="M126" s="1186">
        <v>4.7</v>
      </c>
      <c r="N126" s="1186">
        <v>4.5</v>
      </c>
      <c r="O126" s="1186"/>
      <c r="P126" s="1186"/>
      <c r="Q126" s="1186">
        <v>3.7</v>
      </c>
      <c r="R126" s="1186">
        <v>1.7</v>
      </c>
      <c r="S126" s="1186">
        <v>4.5</v>
      </c>
      <c r="T126" s="1186">
        <v>2.5</v>
      </c>
      <c r="U126" s="1186"/>
      <c r="V126" s="1186"/>
      <c r="W126" s="1186"/>
      <c r="X126" s="1186"/>
      <c r="Y126" s="1186"/>
      <c r="Z126" s="1186"/>
      <c r="AA126" s="1186"/>
      <c r="AB126" s="1186"/>
      <c r="AC126" s="1186"/>
      <c r="AD126" s="1187"/>
      <c r="AH126" s="251">
        <v>87</v>
      </c>
      <c r="AI126" s="251" t="e">
        <f t="shared" si="13"/>
        <v>#N/A</v>
      </c>
      <c r="AJ126" s="251" t="e">
        <f t="shared" ca="1" si="16"/>
        <v>#N/A</v>
      </c>
      <c r="AL126" s="251">
        <f t="shared" ca="1" si="17"/>
        <v>1934</v>
      </c>
      <c r="AM126" s="251" t="e">
        <f t="shared" ca="1" si="12"/>
        <v>#N/A</v>
      </c>
      <c r="AN126" s="251" t="e">
        <f t="shared" ca="1" si="14"/>
        <v>#N/A</v>
      </c>
      <c r="AO126" s="251" t="e">
        <f t="shared" ca="1" si="15"/>
        <v>#N/A</v>
      </c>
    </row>
    <row r="127" spans="1:41" x14ac:dyDescent="0.2">
      <c r="A127">
        <f t="shared" si="11"/>
        <v>5</v>
      </c>
      <c r="B127">
        <v>118</v>
      </c>
      <c r="C127" s="1078">
        <v>2</v>
      </c>
      <c r="D127" s="1077" t="s">
        <v>3911</v>
      </c>
      <c r="E127" s="1077" t="s">
        <v>3980</v>
      </c>
      <c r="F127" s="1185"/>
      <c r="G127" s="1186"/>
      <c r="H127" s="1186"/>
      <c r="I127" s="1186">
        <v>5</v>
      </c>
      <c r="J127" s="1186">
        <v>2.7</v>
      </c>
      <c r="K127" s="1186">
        <v>2.9</v>
      </c>
      <c r="L127" s="1186">
        <v>3.4</v>
      </c>
      <c r="M127" s="1186">
        <v>6</v>
      </c>
      <c r="N127" s="1186">
        <v>4.2</v>
      </c>
      <c r="O127" s="1186"/>
      <c r="P127" s="1186"/>
      <c r="Q127" s="1186">
        <v>3.8</v>
      </c>
      <c r="R127" s="1186">
        <v>1.6</v>
      </c>
      <c r="S127" s="1186">
        <v>4.5</v>
      </c>
      <c r="T127" s="1186">
        <v>2.5</v>
      </c>
      <c r="U127" s="1186"/>
      <c r="V127" s="1186"/>
      <c r="W127" s="1186"/>
      <c r="X127" s="1186"/>
      <c r="Y127" s="1186"/>
      <c r="Z127" s="1186"/>
      <c r="AA127" s="1186"/>
      <c r="AB127" s="1186"/>
      <c r="AC127" s="1186"/>
      <c r="AD127" s="1187"/>
      <c r="AH127" s="251">
        <v>88</v>
      </c>
      <c r="AI127" s="251" t="e">
        <f t="shared" si="13"/>
        <v>#N/A</v>
      </c>
      <c r="AJ127" s="251" t="e">
        <f t="shared" ca="1" si="16"/>
        <v>#N/A</v>
      </c>
      <c r="AL127" s="251">
        <f t="shared" ca="1" si="17"/>
        <v>1935</v>
      </c>
      <c r="AM127" s="251" t="e">
        <f t="shared" ca="1" si="12"/>
        <v>#N/A</v>
      </c>
      <c r="AN127" s="251" t="e">
        <f t="shared" ca="1" si="14"/>
        <v>#N/A</v>
      </c>
      <c r="AO127" s="251" t="e">
        <f t="shared" ca="1" si="15"/>
        <v>#N/A</v>
      </c>
    </row>
    <row r="128" spans="1:41" x14ac:dyDescent="0.2">
      <c r="A128">
        <f t="shared" si="11"/>
        <v>5</v>
      </c>
      <c r="B128">
        <v>119</v>
      </c>
      <c r="C128" s="1078">
        <v>2</v>
      </c>
      <c r="D128" s="1077" t="s">
        <v>3911</v>
      </c>
      <c r="E128" s="1077" t="s">
        <v>3981</v>
      </c>
      <c r="F128" s="1185"/>
      <c r="G128" s="1186"/>
      <c r="H128" s="1186"/>
      <c r="I128" s="1186">
        <v>4.7</v>
      </c>
      <c r="J128" s="1186">
        <v>2.7</v>
      </c>
      <c r="K128" s="1186">
        <v>2.9</v>
      </c>
      <c r="L128" s="1186">
        <v>3.4</v>
      </c>
      <c r="M128" s="1186">
        <v>6</v>
      </c>
      <c r="N128" s="1186">
        <v>4.2</v>
      </c>
      <c r="O128" s="1186"/>
      <c r="P128" s="1186"/>
      <c r="Q128" s="1186">
        <v>3.9</v>
      </c>
      <c r="R128" s="1186">
        <v>1.7</v>
      </c>
      <c r="S128" s="1186">
        <v>4.5</v>
      </c>
      <c r="T128" s="1186">
        <v>2.5</v>
      </c>
      <c r="U128" s="1186"/>
      <c r="V128" s="1186"/>
      <c r="W128" s="1186"/>
      <c r="X128" s="1186"/>
      <c r="Y128" s="1186"/>
      <c r="Z128" s="1186"/>
      <c r="AA128" s="1186"/>
      <c r="AB128" s="1186"/>
      <c r="AC128" s="1186"/>
      <c r="AD128" s="1187"/>
      <c r="AH128" s="251">
        <v>89</v>
      </c>
      <c r="AI128" s="251" t="e">
        <f t="shared" si="13"/>
        <v>#N/A</v>
      </c>
      <c r="AJ128" s="251" t="e">
        <f t="shared" ca="1" si="16"/>
        <v>#N/A</v>
      </c>
      <c r="AL128" s="251">
        <f t="shared" ca="1" si="17"/>
        <v>1936</v>
      </c>
      <c r="AM128" s="251" t="e">
        <f t="shared" ca="1" si="12"/>
        <v>#N/A</v>
      </c>
      <c r="AN128" s="251" t="e">
        <f t="shared" ca="1" si="14"/>
        <v>#N/A</v>
      </c>
      <c r="AO128" s="251" t="e">
        <f t="shared" ca="1" si="15"/>
        <v>#N/A</v>
      </c>
    </row>
    <row r="129" spans="1:41" x14ac:dyDescent="0.2">
      <c r="A129">
        <f t="shared" si="11"/>
        <v>5</v>
      </c>
      <c r="B129">
        <v>120</v>
      </c>
      <c r="C129" s="1078">
        <v>2</v>
      </c>
      <c r="D129" s="1077" t="s">
        <v>3911</v>
      </c>
      <c r="E129" s="1077" t="s">
        <v>3982</v>
      </c>
      <c r="F129" s="1185"/>
      <c r="G129" s="1186"/>
      <c r="H129" s="1186"/>
      <c r="I129" s="1186">
        <v>4.7</v>
      </c>
      <c r="J129" s="1186">
        <v>2.7</v>
      </c>
      <c r="K129" s="1186">
        <v>2.9</v>
      </c>
      <c r="L129" s="1186">
        <v>3.4</v>
      </c>
      <c r="M129" s="1186">
        <v>4.7</v>
      </c>
      <c r="N129" s="1186">
        <v>4.5</v>
      </c>
      <c r="O129" s="1186"/>
      <c r="P129" s="1186"/>
      <c r="Q129" s="1186">
        <v>3.7</v>
      </c>
      <c r="R129" s="1186">
        <v>1.7</v>
      </c>
      <c r="S129" s="1186">
        <v>4.5</v>
      </c>
      <c r="T129" s="1186">
        <v>2.5</v>
      </c>
      <c r="U129" s="1186"/>
      <c r="V129" s="1186"/>
      <c r="W129" s="1186"/>
      <c r="X129" s="1186"/>
      <c r="Y129" s="1186"/>
      <c r="Z129" s="1186"/>
      <c r="AA129" s="1186"/>
      <c r="AB129" s="1186"/>
      <c r="AC129" s="1186"/>
      <c r="AD129" s="1187"/>
      <c r="AH129" s="251">
        <v>90</v>
      </c>
      <c r="AI129" s="251" t="e">
        <f t="shared" si="13"/>
        <v>#N/A</v>
      </c>
      <c r="AJ129" s="251" t="e">
        <f t="shared" ca="1" si="16"/>
        <v>#N/A</v>
      </c>
      <c r="AL129" s="251">
        <f t="shared" ca="1" si="17"/>
        <v>1937</v>
      </c>
      <c r="AM129" s="251" t="e">
        <f t="shared" ca="1" si="12"/>
        <v>#N/A</v>
      </c>
      <c r="AN129" s="251" t="e">
        <f t="shared" ca="1" si="14"/>
        <v>#N/A</v>
      </c>
      <c r="AO129" s="251" t="e">
        <f t="shared" ca="1" si="15"/>
        <v>#N/A</v>
      </c>
    </row>
    <row r="130" spans="1:41" x14ac:dyDescent="0.2">
      <c r="A130">
        <f t="shared" si="11"/>
        <v>5</v>
      </c>
      <c r="B130">
        <v>121</v>
      </c>
      <c r="C130" s="1078">
        <v>2</v>
      </c>
      <c r="D130" s="1077" t="s">
        <v>3911</v>
      </c>
      <c r="E130" s="1077" t="s">
        <v>3983</v>
      </c>
      <c r="F130" s="1185"/>
      <c r="G130" s="1186"/>
      <c r="H130" s="1186"/>
      <c r="I130" s="1186">
        <v>6.6</v>
      </c>
      <c r="J130" s="1186">
        <v>2.4</v>
      </c>
      <c r="K130" s="1186">
        <v>6.5</v>
      </c>
      <c r="L130" s="1186">
        <v>3.2</v>
      </c>
      <c r="M130" s="1186">
        <v>7.7</v>
      </c>
      <c r="N130" s="1186">
        <v>4.2</v>
      </c>
      <c r="O130" s="1186"/>
      <c r="P130" s="1186"/>
      <c r="Q130" s="1186">
        <v>5</v>
      </c>
      <c r="R130" s="1186">
        <v>1.6</v>
      </c>
      <c r="S130" s="1186">
        <v>5</v>
      </c>
      <c r="T130" s="1186">
        <v>2.6</v>
      </c>
      <c r="U130" s="1186"/>
      <c r="V130" s="1186"/>
      <c r="W130" s="1186"/>
      <c r="X130" s="1186"/>
      <c r="Y130" s="1186"/>
      <c r="Z130" s="1186"/>
      <c r="AA130" s="1186"/>
      <c r="AB130" s="1186"/>
      <c r="AC130" s="1186"/>
      <c r="AD130" s="1187"/>
      <c r="AH130" s="251">
        <v>91</v>
      </c>
      <c r="AI130" s="251" t="e">
        <f t="shared" si="13"/>
        <v>#N/A</v>
      </c>
      <c r="AJ130" s="251" t="e">
        <f t="shared" ca="1" si="16"/>
        <v>#N/A</v>
      </c>
      <c r="AL130" s="251">
        <f t="shared" ca="1" si="17"/>
        <v>1938</v>
      </c>
      <c r="AM130" s="251" t="e">
        <f t="shared" ca="1" si="12"/>
        <v>#N/A</v>
      </c>
      <c r="AN130" s="251" t="e">
        <f t="shared" ca="1" si="14"/>
        <v>#N/A</v>
      </c>
      <c r="AO130" s="251" t="e">
        <f t="shared" ca="1" si="15"/>
        <v>#N/A</v>
      </c>
    </row>
    <row r="131" spans="1:41" x14ac:dyDescent="0.2">
      <c r="A131">
        <f t="shared" si="11"/>
        <v>5</v>
      </c>
      <c r="B131">
        <v>122</v>
      </c>
      <c r="C131" s="1078">
        <v>2</v>
      </c>
      <c r="D131" s="1077" t="s">
        <v>3911</v>
      </c>
      <c r="E131" s="1077" t="s">
        <v>3984</v>
      </c>
      <c r="F131" s="1185"/>
      <c r="G131" s="1186"/>
      <c r="H131" s="1186"/>
      <c r="I131" s="1186">
        <v>6.6</v>
      </c>
      <c r="J131" s="1186">
        <v>2.4</v>
      </c>
      <c r="K131" s="1186">
        <v>6.5</v>
      </c>
      <c r="L131" s="1186">
        <v>3.1</v>
      </c>
      <c r="M131" s="1186">
        <v>7.7</v>
      </c>
      <c r="N131" s="1186">
        <v>4.0999999999999996</v>
      </c>
      <c r="O131" s="1186"/>
      <c r="P131" s="1186"/>
      <c r="Q131" s="1186">
        <v>5</v>
      </c>
      <c r="R131" s="1186">
        <v>1.6</v>
      </c>
      <c r="S131" s="1186">
        <v>5</v>
      </c>
      <c r="T131" s="1186">
        <v>2.6</v>
      </c>
      <c r="U131" s="1186"/>
      <c r="V131" s="1186"/>
      <c r="W131" s="1186"/>
      <c r="X131" s="1186"/>
      <c r="Y131" s="1186"/>
      <c r="Z131" s="1186"/>
      <c r="AA131" s="1186"/>
      <c r="AB131" s="1186"/>
      <c r="AC131" s="1186"/>
      <c r="AD131" s="1187"/>
      <c r="AH131" s="251">
        <v>92</v>
      </c>
      <c r="AI131" s="251" t="e">
        <f t="shared" si="13"/>
        <v>#N/A</v>
      </c>
      <c r="AJ131" s="251" t="e">
        <f t="shared" ca="1" si="16"/>
        <v>#N/A</v>
      </c>
      <c r="AL131" s="251">
        <f t="shared" ca="1" si="17"/>
        <v>1939</v>
      </c>
      <c r="AM131" s="251" t="e">
        <f t="shared" ca="1" si="12"/>
        <v>#N/A</v>
      </c>
      <c r="AN131" s="251" t="e">
        <f t="shared" ca="1" si="14"/>
        <v>#N/A</v>
      </c>
      <c r="AO131" s="251" t="e">
        <f t="shared" ca="1" si="15"/>
        <v>#N/A</v>
      </c>
    </row>
    <row r="132" spans="1:41" x14ac:dyDescent="0.2">
      <c r="A132">
        <f t="shared" si="11"/>
        <v>5</v>
      </c>
      <c r="B132">
        <v>123</v>
      </c>
      <c r="C132" s="1078">
        <v>2</v>
      </c>
      <c r="D132" s="1077" t="s">
        <v>3911</v>
      </c>
      <c r="E132" s="1077" t="s">
        <v>3985</v>
      </c>
      <c r="F132" s="1185"/>
      <c r="G132" s="1186"/>
      <c r="H132" s="1186"/>
      <c r="I132" s="1186">
        <v>13</v>
      </c>
      <c r="J132" s="1186">
        <v>2.4</v>
      </c>
      <c r="K132" s="1186">
        <v>7.7</v>
      </c>
      <c r="L132" s="1186">
        <v>3.1</v>
      </c>
      <c r="M132" s="1186">
        <v>15.2</v>
      </c>
      <c r="N132" s="1186">
        <v>4.0999999999999996</v>
      </c>
      <c r="O132" s="1186"/>
      <c r="P132" s="1186"/>
      <c r="Q132" s="1186">
        <v>12</v>
      </c>
      <c r="R132" s="1186">
        <v>1.7</v>
      </c>
      <c r="S132" s="1186">
        <v>12.7</v>
      </c>
      <c r="T132" s="1186">
        <v>2.5</v>
      </c>
      <c r="U132" s="1186"/>
      <c r="V132" s="1186"/>
      <c r="W132" s="1186"/>
      <c r="X132" s="1186"/>
      <c r="Y132" s="1186"/>
      <c r="Z132" s="1186"/>
      <c r="AA132" s="1186"/>
      <c r="AB132" s="1186"/>
      <c r="AC132" s="1186"/>
      <c r="AD132" s="1187"/>
      <c r="AH132" s="251">
        <v>93</v>
      </c>
      <c r="AI132" s="251" t="e">
        <f t="shared" si="13"/>
        <v>#N/A</v>
      </c>
      <c r="AJ132" s="251" t="e">
        <f t="shared" ca="1" si="16"/>
        <v>#N/A</v>
      </c>
      <c r="AL132" s="251">
        <f t="shared" ca="1" si="17"/>
        <v>1940</v>
      </c>
      <c r="AM132" s="251" t="e">
        <f t="shared" ca="1" si="12"/>
        <v>#N/A</v>
      </c>
      <c r="AN132" s="251" t="e">
        <f t="shared" ca="1" si="14"/>
        <v>#N/A</v>
      </c>
      <c r="AO132" s="251" t="e">
        <f t="shared" ca="1" si="15"/>
        <v>#N/A</v>
      </c>
    </row>
    <row r="133" spans="1:41" x14ac:dyDescent="0.2">
      <c r="A133">
        <f t="shared" si="11"/>
        <v>5</v>
      </c>
      <c r="B133">
        <v>124</v>
      </c>
      <c r="C133" s="1078">
        <v>2</v>
      </c>
      <c r="D133" s="1077" t="s">
        <v>3911</v>
      </c>
      <c r="E133" s="1077" t="s">
        <v>3986</v>
      </c>
      <c r="F133" s="1185"/>
      <c r="G133" s="1186"/>
      <c r="H133" s="1186"/>
      <c r="I133" s="1186">
        <v>10.4</v>
      </c>
      <c r="J133" s="1186">
        <v>2.4</v>
      </c>
      <c r="K133" s="1186">
        <v>7.8</v>
      </c>
      <c r="L133" s="1186">
        <v>3.1</v>
      </c>
      <c r="M133" s="1186">
        <v>10.8</v>
      </c>
      <c r="N133" s="1186">
        <v>4.3</v>
      </c>
      <c r="O133" s="1186"/>
      <c r="P133" s="1186"/>
      <c r="Q133" s="1186">
        <v>9.3000000000000007</v>
      </c>
      <c r="R133" s="1186">
        <v>1.8</v>
      </c>
      <c r="S133" s="1186">
        <v>9.3000000000000007</v>
      </c>
      <c r="T133" s="1186">
        <v>2.6</v>
      </c>
      <c r="U133" s="1186"/>
      <c r="V133" s="1186"/>
      <c r="W133" s="1186"/>
      <c r="X133" s="1186"/>
      <c r="Y133" s="1186"/>
      <c r="Z133" s="1186"/>
      <c r="AA133" s="1186"/>
      <c r="AB133" s="1186"/>
      <c r="AC133" s="1186"/>
      <c r="AD133" s="1187"/>
      <c r="AH133" s="251">
        <v>94</v>
      </c>
      <c r="AI133" s="251" t="e">
        <f t="shared" si="13"/>
        <v>#N/A</v>
      </c>
      <c r="AJ133" s="251" t="e">
        <f t="shared" ca="1" si="16"/>
        <v>#N/A</v>
      </c>
      <c r="AL133" s="251">
        <f t="shared" ca="1" si="17"/>
        <v>1941</v>
      </c>
      <c r="AM133" s="251" t="e">
        <f t="shared" ca="1" si="12"/>
        <v>#N/A</v>
      </c>
      <c r="AN133" s="251" t="e">
        <f t="shared" ca="1" si="14"/>
        <v>#N/A</v>
      </c>
      <c r="AO133" s="251" t="e">
        <f t="shared" ca="1" si="15"/>
        <v>#N/A</v>
      </c>
    </row>
    <row r="134" spans="1:41" x14ac:dyDescent="0.2">
      <c r="A134">
        <f t="shared" si="11"/>
        <v>5</v>
      </c>
      <c r="B134">
        <v>125</v>
      </c>
      <c r="C134" s="1081">
        <v>2</v>
      </c>
      <c r="D134" s="1082" t="s">
        <v>3911</v>
      </c>
      <c r="E134" s="1082" t="s">
        <v>3987</v>
      </c>
      <c r="F134" s="1188"/>
      <c r="G134" s="1189"/>
      <c r="H134" s="1189"/>
      <c r="I134" s="1189">
        <v>12.2</v>
      </c>
      <c r="J134" s="1189">
        <v>2.4</v>
      </c>
      <c r="K134" s="1189">
        <v>7.8</v>
      </c>
      <c r="L134" s="1189">
        <v>3.1</v>
      </c>
      <c r="M134" s="1189">
        <v>13</v>
      </c>
      <c r="N134" s="1189">
        <v>4.2</v>
      </c>
      <c r="O134" s="1189"/>
      <c r="P134" s="1189"/>
      <c r="Q134" s="1189">
        <v>10.1</v>
      </c>
      <c r="R134" s="1189">
        <v>1.8</v>
      </c>
      <c r="S134" s="1189">
        <v>10.6</v>
      </c>
      <c r="T134" s="1189">
        <v>2.4</v>
      </c>
      <c r="U134" s="1189"/>
      <c r="V134" s="1189"/>
      <c r="W134" s="1189"/>
      <c r="X134" s="1189"/>
      <c r="Y134" s="1189"/>
      <c r="Z134" s="1189"/>
      <c r="AA134" s="1189"/>
      <c r="AB134" s="1189"/>
      <c r="AC134" s="1189"/>
      <c r="AD134" s="1194"/>
      <c r="AH134" s="251">
        <v>95</v>
      </c>
      <c r="AI134" s="251" t="e">
        <f t="shared" si="13"/>
        <v>#N/A</v>
      </c>
      <c r="AJ134" s="251" t="e">
        <f t="shared" ca="1" si="16"/>
        <v>#N/A</v>
      </c>
      <c r="AL134" s="251">
        <f t="shared" ca="1" si="17"/>
        <v>1942</v>
      </c>
      <c r="AM134" s="251" t="e">
        <f t="shared" ca="1" si="12"/>
        <v>#N/A</v>
      </c>
      <c r="AN134" s="251" t="e">
        <f t="shared" ca="1" si="14"/>
        <v>#N/A</v>
      </c>
      <c r="AO134" s="251" t="e">
        <f t="shared" ca="1" si="15"/>
        <v>#N/A</v>
      </c>
    </row>
    <row r="135" spans="1:41" x14ac:dyDescent="0.2">
      <c r="A135">
        <f t="shared" si="11"/>
        <v>5</v>
      </c>
      <c r="B135">
        <v>126</v>
      </c>
      <c r="C135" s="1190">
        <v>2</v>
      </c>
      <c r="D135" s="1191" t="s">
        <v>3911</v>
      </c>
      <c r="E135" s="1191" t="s">
        <v>3988</v>
      </c>
      <c r="F135" s="1192"/>
      <c r="G135" s="1193"/>
      <c r="H135" s="1193"/>
      <c r="I135" s="1193">
        <v>10.4</v>
      </c>
      <c r="J135" s="1193">
        <v>2.4</v>
      </c>
      <c r="K135" s="1193">
        <v>7.8</v>
      </c>
      <c r="L135" s="1193">
        <v>3.1</v>
      </c>
      <c r="M135" s="1193">
        <v>10.8</v>
      </c>
      <c r="N135" s="1193">
        <v>4.3</v>
      </c>
      <c r="O135" s="1193"/>
      <c r="P135" s="1193"/>
      <c r="Q135" s="1193">
        <v>9.3000000000000007</v>
      </c>
      <c r="R135" s="1193">
        <v>1.8</v>
      </c>
      <c r="S135" s="1193">
        <v>9.3000000000000007</v>
      </c>
      <c r="T135" s="1193">
        <v>2.6</v>
      </c>
      <c r="U135" s="1193"/>
      <c r="V135" s="1193"/>
      <c r="W135" s="1193"/>
      <c r="X135" s="1193"/>
      <c r="Y135" s="1193"/>
      <c r="Z135" s="1193"/>
      <c r="AA135" s="1193"/>
      <c r="AB135" s="1193"/>
      <c r="AC135" s="1193"/>
      <c r="AD135" s="1195"/>
      <c r="AH135" s="251">
        <v>96</v>
      </c>
      <c r="AI135" s="251" t="e">
        <f t="shared" si="13"/>
        <v>#N/A</v>
      </c>
      <c r="AJ135" s="251" t="e">
        <f t="shared" ca="1" si="16"/>
        <v>#N/A</v>
      </c>
      <c r="AL135" s="251">
        <f t="shared" ca="1" si="17"/>
        <v>1943</v>
      </c>
      <c r="AM135" s="251" t="e">
        <f t="shared" ca="1" si="12"/>
        <v>#N/A</v>
      </c>
      <c r="AN135" s="251" t="e">
        <f t="shared" ca="1" si="14"/>
        <v>#N/A</v>
      </c>
      <c r="AO135" s="251" t="e">
        <f t="shared" ca="1" si="15"/>
        <v>#N/A</v>
      </c>
    </row>
    <row r="136" spans="1:41" x14ac:dyDescent="0.2">
      <c r="A136">
        <f t="shared" si="11"/>
        <v>5</v>
      </c>
      <c r="B136">
        <v>127</v>
      </c>
      <c r="C136" s="1078">
        <v>2</v>
      </c>
      <c r="D136" s="1077" t="s">
        <v>3911</v>
      </c>
      <c r="E136" s="1077" t="s">
        <v>3989</v>
      </c>
      <c r="F136" s="1185"/>
      <c r="G136" s="1186"/>
      <c r="H136" s="1186"/>
      <c r="I136" s="1186">
        <v>12.2</v>
      </c>
      <c r="J136" s="1186">
        <v>2.4</v>
      </c>
      <c r="K136" s="1186">
        <v>7.8</v>
      </c>
      <c r="L136" s="1186">
        <v>3.1</v>
      </c>
      <c r="M136" s="1186">
        <v>13</v>
      </c>
      <c r="N136" s="1186">
        <v>4.2</v>
      </c>
      <c r="O136" s="1186"/>
      <c r="P136" s="1186"/>
      <c r="Q136" s="1186">
        <v>10</v>
      </c>
      <c r="R136" s="1186">
        <v>1.8</v>
      </c>
      <c r="S136" s="1186">
        <v>10.6</v>
      </c>
      <c r="T136" s="1186">
        <v>2.4</v>
      </c>
      <c r="U136" s="1186"/>
      <c r="V136" s="1186"/>
      <c r="W136" s="1186"/>
      <c r="X136" s="1186"/>
      <c r="Y136" s="1186"/>
      <c r="Z136" s="1186"/>
      <c r="AA136" s="1186"/>
      <c r="AB136" s="1186"/>
      <c r="AC136" s="1186"/>
      <c r="AD136" s="1187"/>
      <c r="AH136" s="251">
        <v>97</v>
      </c>
      <c r="AI136" s="251" t="e">
        <f t="shared" ref="AI136:AI167" si="18">MATCH(AH136,$A$10:$A$2000,0)</f>
        <v>#N/A</v>
      </c>
      <c r="AJ136" s="251" t="e">
        <f t="shared" ca="1" si="16"/>
        <v>#N/A</v>
      </c>
      <c r="AL136" s="251">
        <f t="shared" ca="1" si="17"/>
        <v>1944</v>
      </c>
      <c r="AM136" s="251" t="e">
        <f t="shared" ca="1" si="12"/>
        <v>#N/A</v>
      </c>
      <c r="AN136" s="251" t="e">
        <f t="shared" ref="AN136:AN167" ca="1" si="19">IF(INDEX($C$10:$C$2000,AM136,1)=2,"L/W ",IF(INDEX($C$10:$C$2000,AM136,1)=3,"S/W ",IF(INDEX($C$10:$C$2000,AM136,1)=4,"W/W ","")))&amp;OFFSET($E$9,AM136,0)</f>
        <v>#N/A</v>
      </c>
      <c r="AO136" s="251" t="e">
        <f t="shared" ref="AO136:AO167" ca="1" si="20">(INDEX($C$10:$C$2000,AM136,1))</f>
        <v>#N/A</v>
      </c>
    </row>
    <row r="137" spans="1:41" x14ac:dyDescent="0.2">
      <c r="A137">
        <f t="shared" si="11"/>
        <v>5</v>
      </c>
      <c r="B137">
        <v>128</v>
      </c>
      <c r="C137" s="1078">
        <v>2</v>
      </c>
      <c r="D137" s="1077" t="s">
        <v>3911</v>
      </c>
      <c r="E137" s="1077" t="s">
        <v>3990</v>
      </c>
      <c r="F137" s="1185"/>
      <c r="G137" s="1186"/>
      <c r="H137" s="1186"/>
      <c r="I137" s="1186">
        <v>13</v>
      </c>
      <c r="J137" s="1186">
        <v>2.4</v>
      </c>
      <c r="K137" s="1186">
        <v>7.8</v>
      </c>
      <c r="L137" s="1186">
        <v>3.1</v>
      </c>
      <c r="M137" s="1186">
        <v>15.2</v>
      </c>
      <c r="N137" s="1186">
        <v>4.0999999999999996</v>
      </c>
      <c r="O137" s="1186"/>
      <c r="P137" s="1186"/>
      <c r="Q137" s="1186">
        <v>12</v>
      </c>
      <c r="R137" s="1186">
        <v>1.7</v>
      </c>
      <c r="S137" s="1186">
        <v>12.7</v>
      </c>
      <c r="T137" s="1186">
        <v>2.5</v>
      </c>
      <c r="U137" s="1186"/>
      <c r="V137" s="1186"/>
      <c r="W137" s="1186"/>
      <c r="X137" s="1186"/>
      <c r="Y137" s="1186"/>
      <c r="Z137" s="1186"/>
      <c r="AA137" s="1186"/>
      <c r="AB137" s="1186"/>
      <c r="AC137" s="1186"/>
      <c r="AD137" s="1187"/>
      <c r="AH137" s="251">
        <v>98</v>
      </c>
      <c r="AI137" s="251" t="e">
        <f t="shared" si="18"/>
        <v>#N/A</v>
      </c>
      <c r="AJ137" s="251" t="e">
        <f t="shared" ca="1" si="16"/>
        <v>#N/A</v>
      </c>
      <c r="AL137" s="251">
        <f t="shared" ca="1" si="17"/>
        <v>1945</v>
      </c>
      <c r="AM137" s="251" t="e">
        <f t="shared" ca="1" si="12"/>
        <v>#N/A</v>
      </c>
      <c r="AN137" s="251" t="e">
        <f t="shared" ca="1" si="19"/>
        <v>#N/A</v>
      </c>
      <c r="AO137" s="251" t="e">
        <f t="shared" ca="1" si="20"/>
        <v>#N/A</v>
      </c>
    </row>
    <row r="138" spans="1:41" x14ac:dyDescent="0.2">
      <c r="A138">
        <f t="shared" si="11"/>
        <v>6</v>
      </c>
      <c r="B138">
        <v>129</v>
      </c>
      <c r="C138" s="1078">
        <v>2</v>
      </c>
      <c r="D138" s="1077" t="s">
        <v>3912</v>
      </c>
      <c r="E138" s="1077" t="s">
        <v>3991</v>
      </c>
      <c r="F138" s="1185"/>
      <c r="G138" s="1178"/>
      <c r="H138" s="1178"/>
      <c r="I138" s="1178">
        <v>3.9</v>
      </c>
      <c r="J138" s="1178">
        <v>3</v>
      </c>
      <c r="K138" s="1178">
        <v>4.8</v>
      </c>
      <c r="L138" s="1178">
        <v>3.7</v>
      </c>
      <c r="M138" s="1178">
        <v>6.3</v>
      </c>
      <c r="N138" s="1178">
        <v>4.7</v>
      </c>
      <c r="O138" s="1178"/>
      <c r="P138" s="1178"/>
      <c r="Q138" s="1178">
        <v>3.5</v>
      </c>
      <c r="R138" s="1178">
        <v>2</v>
      </c>
      <c r="S138" s="1178">
        <v>5.7</v>
      </c>
      <c r="T138" s="1178">
        <v>3</v>
      </c>
      <c r="U138" s="1186"/>
      <c r="V138" s="1186"/>
      <c r="W138" s="1186"/>
      <c r="X138" s="1186"/>
      <c r="Y138" s="1186"/>
      <c r="Z138" s="1186"/>
      <c r="AA138" s="1186"/>
      <c r="AB138" s="1186"/>
      <c r="AC138" s="1186"/>
      <c r="AD138" s="1187"/>
      <c r="AH138" s="251">
        <v>99</v>
      </c>
      <c r="AI138" s="251" t="e">
        <f t="shared" si="18"/>
        <v>#N/A</v>
      </c>
      <c r="AJ138" s="251" t="e">
        <f t="shared" ca="1" si="16"/>
        <v>#N/A</v>
      </c>
      <c r="AL138" s="251">
        <f t="shared" ca="1" si="17"/>
        <v>1946</v>
      </c>
      <c r="AM138" s="251" t="e">
        <f t="shared" ca="1" si="12"/>
        <v>#N/A</v>
      </c>
      <c r="AN138" s="251" t="e">
        <f t="shared" ca="1" si="19"/>
        <v>#N/A</v>
      </c>
      <c r="AO138" s="251" t="e">
        <f t="shared" ca="1" si="20"/>
        <v>#N/A</v>
      </c>
    </row>
    <row r="139" spans="1:41" x14ac:dyDescent="0.2">
      <c r="A139">
        <f t="shared" si="11"/>
        <v>6</v>
      </c>
      <c r="B139">
        <v>130</v>
      </c>
      <c r="C139" s="1078">
        <v>2</v>
      </c>
      <c r="D139" s="1077" t="s">
        <v>3912</v>
      </c>
      <c r="E139" s="1077" t="s">
        <v>3992</v>
      </c>
      <c r="F139" s="1185"/>
      <c r="G139" s="1178"/>
      <c r="H139" s="1178"/>
      <c r="I139" s="1178">
        <v>4.4000000000000004</v>
      </c>
      <c r="J139" s="1178">
        <v>2.7</v>
      </c>
      <c r="K139" s="1178">
        <v>5</v>
      </c>
      <c r="L139" s="1178">
        <v>2.9</v>
      </c>
      <c r="M139" s="1178">
        <v>6</v>
      </c>
      <c r="N139" s="1178">
        <v>4.4000000000000004</v>
      </c>
      <c r="O139" s="1178"/>
      <c r="P139" s="1178"/>
      <c r="Q139" s="1178">
        <v>4.4000000000000004</v>
      </c>
      <c r="R139" s="1178">
        <v>1.5</v>
      </c>
      <c r="S139" s="1178">
        <v>6</v>
      </c>
      <c r="T139" s="1178">
        <v>2.2999999999999998</v>
      </c>
      <c r="U139" s="1186"/>
      <c r="V139" s="1186"/>
      <c r="W139" s="1186"/>
      <c r="X139" s="1186"/>
      <c r="Y139" s="1186"/>
      <c r="Z139" s="1186"/>
      <c r="AA139" s="1186"/>
      <c r="AB139" s="1186"/>
      <c r="AC139" s="1186"/>
      <c r="AD139" s="1187"/>
      <c r="AH139" s="251">
        <v>100</v>
      </c>
      <c r="AI139" s="251" t="e">
        <f t="shared" si="18"/>
        <v>#N/A</v>
      </c>
      <c r="AJ139" s="251" t="e">
        <f t="shared" ca="1" si="16"/>
        <v>#N/A</v>
      </c>
      <c r="AL139" s="251">
        <f t="shared" ca="1" si="17"/>
        <v>1947</v>
      </c>
      <c r="AM139" s="251" t="e">
        <f t="shared" ca="1" si="12"/>
        <v>#N/A</v>
      </c>
      <c r="AN139" s="251" t="e">
        <f t="shared" ca="1" si="19"/>
        <v>#N/A</v>
      </c>
      <c r="AO139" s="251" t="e">
        <f t="shared" ca="1" si="20"/>
        <v>#N/A</v>
      </c>
    </row>
    <row r="140" spans="1:41" x14ac:dyDescent="0.2">
      <c r="A140">
        <f t="shared" ref="A140:A203" si="21">A139+(D140&lt;&gt;D139)*1</f>
        <v>6</v>
      </c>
      <c r="B140">
        <v>131</v>
      </c>
      <c r="C140" s="1078">
        <v>2</v>
      </c>
      <c r="D140" s="1077" t="s">
        <v>3912</v>
      </c>
      <c r="E140" s="1077" t="s">
        <v>3993</v>
      </c>
      <c r="F140" s="1185"/>
      <c r="G140" s="1178"/>
      <c r="H140" s="1178"/>
      <c r="I140" s="1178">
        <v>4.9000000000000004</v>
      </c>
      <c r="J140" s="1178">
        <v>3</v>
      </c>
      <c r="K140" s="1178">
        <v>6</v>
      </c>
      <c r="L140" s="1178">
        <v>3.7</v>
      </c>
      <c r="M140" s="1178">
        <v>7.8</v>
      </c>
      <c r="N140" s="1178">
        <v>4.7</v>
      </c>
      <c r="O140" s="1178"/>
      <c r="P140" s="1178"/>
      <c r="Q140" s="1178">
        <v>4.4000000000000004</v>
      </c>
      <c r="R140" s="1178">
        <v>2</v>
      </c>
      <c r="S140" s="1178">
        <v>7</v>
      </c>
      <c r="T140" s="1178">
        <v>3</v>
      </c>
      <c r="U140" s="1186"/>
      <c r="V140" s="1186"/>
      <c r="W140" s="1186"/>
      <c r="X140" s="1186"/>
      <c r="Y140" s="1186"/>
      <c r="Z140" s="1186"/>
      <c r="AA140" s="1186"/>
      <c r="AB140" s="1186"/>
      <c r="AC140" s="1186"/>
      <c r="AD140" s="1187"/>
      <c r="AH140" s="251">
        <v>101</v>
      </c>
      <c r="AI140" s="251" t="e">
        <f t="shared" si="18"/>
        <v>#N/A</v>
      </c>
      <c r="AJ140" s="251" t="e">
        <f t="shared" ca="1" si="16"/>
        <v>#N/A</v>
      </c>
      <c r="AL140" s="251">
        <f t="shared" ca="1" si="17"/>
        <v>1948</v>
      </c>
      <c r="AM140" s="251" t="e">
        <f t="shared" ca="1" si="12"/>
        <v>#N/A</v>
      </c>
      <c r="AN140" s="251" t="e">
        <f t="shared" ca="1" si="19"/>
        <v>#N/A</v>
      </c>
      <c r="AO140" s="251" t="e">
        <f t="shared" ca="1" si="20"/>
        <v>#N/A</v>
      </c>
    </row>
    <row r="141" spans="1:41" x14ac:dyDescent="0.2">
      <c r="A141">
        <f t="shared" si="21"/>
        <v>6</v>
      </c>
      <c r="B141">
        <v>132</v>
      </c>
      <c r="C141" s="1078">
        <v>2</v>
      </c>
      <c r="D141" s="1077" t="s">
        <v>3912</v>
      </c>
      <c r="E141" s="1077" t="s">
        <v>3993</v>
      </c>
      <c r="F141" s="1185"/>
      <c r="G141" s="1178"/>
      <c r="H141" s="1178"/>
      <c r="I141" s="1178">
        <v>4.9000000000000004</v>
      </c>
      <c r="J141" s="1178">
        <v>3</v>
      </c>
      <c r="K141" s="1178">
        <v>6</v>
      </c>
      <c r="L141" s="1178">
        <v>3.6</v>
      </c>
      <c r="M141" s="1178">
        <v>7.8</v>
      </c>
      <c r="N141" s="1178">
        <v>4.5999999999999996</v>
      </c>
      <c r="O141" s="1178"/>
      <c r="P141" s="1178"/>
      <c r="Q141" s="1178">
        <v>4.5</v>
      </c>
      <c r="R141" s="1178">
        <v>2</v>
      </c>
      <c r="S141" s="1178">
        <v>7</v>
      </c>
      <c r="T141" s="1178">
        <v>3</v>
      </c>
      <c r="U141" s="1186"/>
      <c r="V141" s="1186"/>
      <c r="W141" s="1186"/>
      <c r="X141" s="1186"/>
      <c r="Y141" s="1186"/>
      <c r="Z141" s="1186"/>
      <c r="AA141" s="1186"/>
      <c r="AB141" s="1186"/>
      <c r="AC141" s="1186"/>
      <c r="AD141" s="1187"/>
      <c r="AH141" s="251">
        <v>102</v>
      </c>
      <c r="AI141" s="251" t="e">
        <f t="shared" si="18"/>
        <v>#N/A</v>
      </c>
      <c r="AJ141" s="251" t="e">
        <f t="shared" ca="1" si="16"/>
        <v>#N/A</v>
      </c>
      <c r="AL141" s="251">
        <f t="shared" ca="1" si="17"/>
        <v>1949</v>
      </c>
      <c r="AM141" s="251" t="e">
        <f t="shared" ca="1" si="12"/>
        <v>#N/A</v>
      </c>
      <c r="AN141" s="251" t="e">
        <f t="shared" ca="1" si="19"/>
        <v>#N/A</v>
      </c>
      <c r="AO141" s="251" t="e">
        <f t="shared" ca="1" si="20"/>
        <v>#N/A</v>
      </c>
    </row>
    <row r="142" spans="1:41" x14ac:dyDescent="0.2">
      <c r="A142">
        <f t="shared" si="21"/>
        <v>6</v>
      </c>
      <c r="B142">
        <v>133</v>
      </c>
      <c r="C142" s="1078">
        <v>2</v>
      </c>
      <c r="D142" s="1077" t="s">
        <v>3912</v>
      </c>
      <c r="E142" s="1077" t="s">
        <v>3994</v>
      </c>
      <c r="F142" s="1185"/>
      <c r="G142" s="1178"/>
      <c r="H142" s="1178"/>
      <c r="I142" s="1178">
        <v>7</v>
      </c>
      <c r="J142" s="1178">
        <v>2.9</v>
      </c>
      <c r="K142" s="1178">
        <v>7.5</v>
      </c>
      <c r="L142" s="1178">
        <v>3.4</v>
      </c>
      <c r="M142" s="1178">
        <v>8</v>
      </c>
      <c r="N142" s="1178">
        <v>4.4000000000000004</v>
      </c>
      <c r="O142" s="1178"/>
      <c r="P142" s="1178"/>
      <c r="Q142" s="1178">
        <v>7</v>
      </c>
      <c r="R142" s="1178">
        <v>1.7</v>
      </c>
      <c r="S142" s="1178">
        <v>8</v>
      </c>
      <c r="T142" s="1178">
        <v>2.8</v>
      </c>
      <c r="U142" s="1186"/>
      <c r="V142" s="1186"/>
      <c r="W142" s="1186"/>
      <c r="X142" s="1186"/>
      <c r="Y142" s="1186"/>
      <c r="Z142" s="1186"/>
      <c r="AA142" s="1186"/>
      <c r="AB142" s="1186"/>
      <c r="AC142" s="1186"/>
      <c r="AD142" s="1187"/>
      <c r="AH142" s="251">
        <v>103</v>
      </c>
      <c r="AI142" s="251" t="e">
        <f t="shared" si="18"/>
        <v>#N/A</v>
      </c>
      <c r="AJ142" s="251" t="e">
        <f t="shared" ca="1" si="16"/>
        <v>#N/A</v>
      </c>
      <c r="AL142" s="251">
        <f t="shared" ca="1" si="17"/>
        <v>1950</v>
      </c>
      <c r="AM142" s="251" t="e">
        <f t="shared" ca="1" si="12"/>
        <v>#N/A</v>
      </c>
      <c r="AN142" s="251" t="e">
        <f t="shared" ca="1" si="19"/>
        <v>#N/A</v>
      </c>
      <c r="AO142" s="251" t="e">
        <f t="shared" ca="1" si="20"/>
        <v>#N/A</v>
      </c>
    </row>
    <row r="143" spans="1:41" x14ac:dyDescent="0.2">
      <c r="A143">
        <f t="shared" si="21"/>
        <v>6</v>
      </c>
      <c r="B143">
        <v>134</v>
      </c>
      <c r="C143" s="1078">
        <v>2</v>
      </c>
      <c r="D143" s="1077" t="s">
        <v>3912</v>
      </c>
      <c r="E143" s="1077" t="s">
        <v>3995</v>
      </c>
      <c r="F143" s="1185"/>
      <c r="G143" s="1178"/>
      <c r="H143" s="1178"/>
      <c r="I143" s="1178">
        <v>8</v>
      </c>
      <c r="J143" s="1178">
        <v>3.1</v>
      </c>
      <c r="K143" s="1178">
        <v>8</v>
      </c>
      <c r="L143" s="1178">
        <v>3.6</v>
      </c>
      <c r="M143" s="1178">
        <v>8</v>
      </c>
      <c r="N143" s="1178">
        <v>4.7</v>
      </c>
      <c r="O143" s="1178"/>
      <c r="P143" s="1178"/>
      <c r="Q143" s="1178">
        <v>8</v>
      </c>
      <c r="R143" s="1178">
        <v>1.9</v>
      </c>
      <c r="S143" s="1178">
        <v>8</v>
      </c>
      <c r="T143" s="1178">
        <v>2.8</v>
      </c>
      <c r="U143" s="1186"/>
      <c r="V143" s="1186"/>
      <c r="W143" s="1186"/>
      <c r="X143" s="1186"/>
      <c r="Y143" s="1186"/>
      <c r="Z143" s="1186"/>
      <c r="AA143" s="1186"/>
      <c r="AB143" s="1186"/>
      <c r="AC143" s="1186"/>
      <c r="AD143" s="1187"/>
      <c r="AH143" s="251">
        <v>104</v>
      </c>
      <c r="AI143" s="251" t="e">
        <f t="shared" si="18"/>
        <v>#N/A</v>
      </c>
      <c r="AJ143" s="251" t="e">
        <f t="shared" ca="1" si="16"/>
        <v>#N/A</v>
      </c>
      <c r="AL143" s="251">
        <f t="shared" ca="1" si="17"/>
        <v>1951</v>
      </c>
      <c r="AM143" s="251" t="e">
        <f t="shared" ca="1" si="12"/>
        <v>#N/A</v>
      </c>
      <c r="AN143" s="251" t="e">
        <f t="shared" ca="1" si="19"/>
        <v>#N/A</v>
      </c>
      <c r="AO143" s="251" t="e">
        <f t="shared" ca="1" si="20"/>
        <v>#N/A</v>
      </c>
    </row>
    <row r="144" spans="1:41" x14ac:dyDescent="0.2">
      <c r="A144">
        <f t="shared" si="21"/>
        <v>6</v>
      </c>
      <c r="B144">
        <v>135</v>
      </c>
      <c r="C144" s="1078">
        <v>2</v>
      </c>
      <c r="D144" s="1077" t="s">
        <v>3912</v>
      </c>
      <c r="E144" s="1077" t="s">
        <v>3996</v>
      </c>
      <c r="F144" s="1185"/>
      <c r="G144" s="1178"/>
      <c r="H144" s="1178"/>
      <c r="I144" s="1178">
        <v>7</v>
      </c>
      <c r="J144" s="1178">
        <v>3.2</v>
      </c>
      <c r="K144" s="1178">
        <v>8.8000000000000007</v>
      </c>
      <c r="L144" s="1178">
        <v>3.9</v>
      </c>
      <c r="M144" s="1178">
        <v>11.5</v>
      </c>
      <c r="N144" s="1178">
        <v>4.9000000000000004</v>
      </c>
      <c r="O144" s="1178"/>
      <c r="P144" s="1178"/>
      <c r="Q144" s="1178">
        <v>6.6</v>
      </c>
      <c r="R144" s="1178">
        <v>2.2000000000000002</v>
      </c>
      <c r="S144" s="1178">
        <v>10.5</v>
      </c>
      <c r="T144" s="1178">
        <v>3.2</v>
      </c>
      <c r="U144" s="1186"/>
      <c r="V144" s="1186"/>
      <c r="W144" s="1186"/>
      <c r="X144" s="1186"/>
      <c r="Y144" s="1186"/>
      <c r="Z144" s="1186"/>
      <c r="AA144" s="1186"/>
      <c r="AB144" s="1186"/>
      <c r="AC144" s="1186"/>
      <c r="AD144" s="1187"/>
      <c r="AH144" s="251">
        <v>105</v>
      </c>
      <c r="AI144" s="251" t="e">
        <f t="shared" si="18"/>
        <v>#N/A</v>
      </c>
      <c r="AJ144" s="251" t="e">
        <f t="shared" ca="1" si="16"/>
        <v>#N/A</v>
      </c>
      <c r="AL144" s="251">
        <f t="shared" ca="1" si="17"/>
        <v>1952</v>
      </c>
      <c r="AM144" s="251" t="e">
        <f t="shared" ca="1" si="12"/>
        <v>#N/A</v>
      </c>
      <c r="AN144" s="251" t="e">
        <f t="shared" ca="1" si="19"/>
        <v>#N/A</v>
      </c>
      <c r="AO144" s="251" t="e">
        <f t="shared" ca="1" si="20"/>
        <v>#N/A</v>
      </c>
    </row>
    <row r="145" spans="1:41" x14ac:dyDescent="0.2">
      <c r="A145">
        <f t="shared" si="21"/>
        <v>6</v>
      </c>
      <c r="B145">
        <v>136</v>
      </c>
      <c r="C145" s="1078">
        <v>2</v>
      </c>
      <c r="D145" s="1077" t="s">
        <v>3912</v>
      </c>
      <c r="E145" s="1077" t="s">
        <v>3997</v>
      </c>
      <c r="F145" s="1185"/>
      <c r="G145" s="1178"/>
      <c r="H145" s="1178"/>
      <c r="I145" s="1178">
        <v>8.5</v>
      </c>
      <c r="J145" s="1178">
        <v>2.8</v>
      </c>
      <c r="K145" s="1178">
        <v>10</v>
      </c>
      <c r="L145" s="1178">
        <v>3.3</v>
      </c>
      <c r="M145" s="1178">
        <v>11.2</v>
      </c>
      <c r="N145" s="1178">
        <v>4.5</v>
      </c>
      <c r="O145" s="1178"/>
      <c r="P145" s="1178"/>
      <c r="Q145" s="1178">
        <v>8.5</v>
      </c>
      <c r="R145" s="1178">
        <v>1.7</v>
      </c>
      <c r="S145" s="1178">
        <v>11.2</v>
      </c>
      <c r="T145" s="1178">
        <v>2.6</v>
      </c>
      <c r="U145" s="1186"/>
      <c r="V145" s="1186"/>
      <c r="W145" s="1186"/>
      <c r="X145" s="1186"/>
      <c r="Y145" s="1186"/>
      <c r="Z145" s="1186"/>
      <c r="AA145" s="1186"/>
      <c r="AB145" s="1186"/>
      <c r="AC145" s="1186"/>
      <c r="AD145" s="1187"/>
      <c r="AH145" s="251">
        <v>106</v>
      </c>
      <c r="AI145" s="251" t="e">
        <f t="shared" si="18"/>
        <v>#N/A</v>
      </c>
      <c r="AJ145" s="251" t="e">
        <f t="shared" ca="1" si="16"/>
        <v>#N/A</v>
      </c>
      <c r="AL145" s="251">
        <f t="shared" ca="1" si="17"/>
        <v>1953</v>
      </c>
      <c r="AM145" s="251" t="e">
        <f t="shared" ca="1" si="12"/>
        <v>#N/A</v>
      </c>
      <c r="AN145" s="251" t="e">
        <f t="shared" ca="1" si="19"/>
        <v>#N/A</v>
      </c>
      <c r="AO145" s="251" t="e">
        <f t="shared" ca="1" si="20"/>
        <v>#N/A</v>
      </c>
    </row>
    <row r="146" spans="1:41" x14ac:dyDescent="0.2">
      <c r="A146">
        <f t="shared" si="21"/>
        <v>6</v>
      </c>
      <c r="B146">
        <v>137</v>
      </c>
      <c r="C146" s="1078">
        <v>2</v>
      </c>
      <c r="D146" s="1077" t="s">
        <v>3912</v>
      </c>
      <c r="E146" s="1077" t="s">
        <v>3998</v>
      </c>
      <c r="F146" s="1185"/>
      <c r="G146" s="1178"/>
      <c r="H146" s="1178"/>
      <c r="I146" s="1178">
        <v>11.2</v>
      </c>
      <c r="J146" s="1178">
        <v>2.8</v>
      </c>
      <c r="K146" s="1178">
        <v>11.2</v>
      </c>
      <c r="L146" s="1178">
        <v>3.3</v>
      </c>
      <c r="M146" s="1178">
        <v>11.2</v>
      </c>
      <c r="N146" s="1178">
        <v>4.5</v>
      </c>
      <c r="O146" s="1178"/>
      <c r="P146" s="1178"/>
      <c r="Q146" s="1178">
        <v>11.4</v>
      </c>
      <c r="R146" s="1178">
        <v>2</v>
      </c>
      <c r="S146" s="1178">
        <v>11.6</v>
      </c>
      <c r="T146" s="1178">
        <v>2.8</v>
      </c>
      <c r="U146" s="1186"/>
      <c r="V146" s="1186"/>
      <c r="W146" s="1186"/>
      <c r="X146" s="1186"/>
      <c r="Y146" s="1186"/>
      <c r="Z146" s="1186"/>
      <c r="AA146" s="1186"/>
      <c r="AB146" s="1186"/>
      <c r="AC146" s="1186"/>
      <c r="AD146" s="1187"/>
      <c r="AH146" s="251">
        <v>107</v>
      </c>
      <c r="AI146" s="251" t="e">
        <f t="shared" si="18"/>
        <v>#N/A</v>
      </c>
      <c r="AJ146" s="251" t="e">
        <f t="shared" ca="1" si="16"/>
        <v>#N/A</v>
      </c>
      <c r="AL146" s="251">
        <f t="shared" ca="1" si="17"/>
        <v>1954</v>
      </c>
      <c r="AM146" s="251" t="e">
        <f t="shared" ref="AM146:AM209" ca="1" si="22">IF(AL146&lt;$AH$13,AL146,"")</f>
        <v>#N/A</v>
      </c>
      <c r="AN146" s="251" t="e">
        <f t="shared" ca="1" si="19"/>
        <v>#N/A</v>
      </c>
      <c r="AO146" s="251" t="e">
        <f t="shared" ca="1" si="20"/>
        <v>#N/A</v>
      </c>
    </row>
    <row r="147" spans="1:41" x14ac:dyDescent="0.2">
      <c r="A147">
        <f t="shared" si="21"/>
        <v>6</v>
      </c>
      <c r="B147">
        <v>138</v>
      </c>
      <c r="C147" s="1078">
        <v>2</v>
      </c>
      <c r="D147" s="1077" t="s">
        <v>3912</v>
      </c>
      <c r="E147" s="1077" t="s">
        <v>3999</v>
      </c>
      <c r="F147" s="1185"/>
      <c r="G147" s="1178"/>
      <c r="H147" s="1178"/>
      <c r="I147" s="1178">
        <v>10</v>
      </c>
      <c r="J147" s="1178">
        <v>3</v>
      </c>
      <c r="K147" s="1178">
        <v>11.3</v>
      </c>
      <c r="L147" s="1178">
        <v>3.5</v>
      </c>
      <c r="M147" s="1178">
        <v>15.7</v>
      </c>
      <c r="N147" s="1178">
        <v>4.5999999999999996</v>
      </c>
      <c r="O147" s="1178"/>
      <c r="P147" s="1178"/>
      <c r="Q147" s="1178">
        <v>9.4</v>
      </c>
      <c r="R147" s="1178">
        <v>2.2000000000000002</v>
      </c>
      <c r="S147" s="1178">
        <v>14.4</v>
      </c>
      <c r="T147" s="1178">
        <v>3.1</v>
      </c>
      <c r="U147" s="1186"/>
      <c r="V147" s="1186"/>
      <c r="W147" s="1186"/>
      <c r="X147" s="1186"/>
      <c r="Y147" s="1186"/>
      <c r="Z147" s="1186"/>
      <c r="AA147" s="1186"/>
      <c r="AB147" s="1186"/>
      <c r="AC147" s="1186"/>
      <c r="AD147" s="1187"/>
      <c r="AH147" s="251">
        <v>108</v>
      </c>
      <c r="AI147" s="251" t="e">
        <f t="shared" si="18"/>
        <v>#N/A</v>
      </c>
      <c r="AJ147" s="251" t="e">
        <f t="shared" ca="1" si="16"/>
        <v>#N/A</v>
      </c>
      <c r="AL147" s="251">
        <f t="shared" ca="1" si="17"/>
        <v>1955</v>
      </c>
      <c r="AM147" s="251" t="e">
        <f t="shared" ca="1" si="22"/>
        <v>#N/A</v>
      </c>
      <c r="AN147" s="251" t="e">
        <f t="shared" ca="1" si="19"/>
        <v>#N/A</v>
      </c>
      <c r="AO147" s="251" t="e">
        <f t="shared" ca="1" si="20"/>
        <v>#N/A</v>
      </c>
    </row>
    <row r="148" spans="1:41" x14ac:dyDescent="0.2">
      <c r="A148">
        <f t="shared" si="21"/>
        <v>6</v>
      </c>
      <c r="B148">
        <v>139</v>
      </c>
      <c r="C148" s="1078">
        <v>2</v>
      </c>
      <c r="D148" s="1077" t="s">
        <v>3912</v>
      </c>
      <c r="E148" s="1077" t="s">
        <v>4000</v>
      </c>
      <c r="F148" s="1185"/>
      <c r="G148" s="1178"/>
      <c r="H148" s="1178"/>
      <c r="I148" s="1178">
        <v>11.2</v>
      </c>
      <c r="J148" s="1178">
        <v>2.9</v>
      </c>
      <c r="K148" s="1178">
        <v>12</v>
      </c>
      <c r="L148" s="1178">
        <v>3.2</v>
      </c>
      <c r="M148" s="1178">
        <v>16</v>
      </c>
      <c r="N148" s="1178">
        <v>4.0999999999999996</v>
      </c>
      <c r="O148" s="1178"/>
      <c r="P148" s="1178"/>
      <c r="Q148" s="1178">
        <v>11.2</v>
      </c>
      <c r="R148" s="1178">
        <v>1.7</v>
      </c>
      <c r="S148" s="1178">
        <v>15.2</v>
      </c>
      <c r="T148" s="1178">
        <v>2.5</v>
      </c>
      <c r="U148" s="1186"/>
      <c r="V148" s="1186"/>
      <c r="W148" s="1186"/>
      <c r="X148" s="1186"/>
      <c r="Y148" s="1186"/>
      <c r="Z148" s="1186"/>
      <c r="AA148" s="1186"/>
      <c r="AB148" s="1186"/>
      <c r="AC148" s="1186"/>
      <c r="AD148" s="1187"/>
      <c r="AH148" s="251">
        <v>109</v>
      </c>
      <c r="AI148" s="251" t="e">
        <f t="shared" si="18"/>
        <v>#N/A</v>
      </c>
      <c r="AJ148" s="251" t="e">
        <f t="shared" ca="1" si="16"/>
        <v>#N/A</v>
      </c>
      <c r="AL148" s="251">
        <f t="shared" ca="1" si="17"/>
        <v>1956</v>
      </c>
      <c r="AM148" s="251" t="e">
        <f t="shared" ca="1" si="22"/>
        <v>#N/A</v>
      </c>
      <c r="AN148" s="251" t="e">
        <f t="shared" ca="1" si="19"/>
        <v>#N/A</v>
      </c>
      <c r="AO148" s="251" t="e">
        <f t="shared" ca="1" si="20"/>
        <v>#N/A</v>
      </c>
    </row>
    <row r="149" spans="1:41" x14ac:dyDescent="0.2">
      <c r="A149">
        <f t="shared" si="21"/>
        <v>6</v>
      </c>
      <c r="B149">
        <v>140</v>
      </c>
      <c r="C149" s="1078">
        <v>2</v>
      </c>
      <c r="D149" s="1077" t="s">
        <v>3912</v>
      </c>
      <c r="E149" s="1077" t="s">
        <v>4001</v>
      </c>
      <c r="F149" s="1185"/>
      <c r="G149" s="1178"/>
      <c r="H149" s="1178"/>
      <c r="I149" s="1178">
        <v>14</v>
      </c>
      <c r="J149" s="1178">
        <v>2.6</v>
      </c>
      <c r="K149" s="1178">
        <v>14</v>
      </c>
      <c r="L149" s="1178">
        <v>3</v>
      </c>
      <c r="M149" s="1178">
        <v>14</v>
      </c>
      <c r="N149" s="1178">
        <v>4.2</v>
      </c>
      <c r="O149" s="1178"/>
      <c r="P149" s="1178"/>
      <c r="Q149" s="1178">
        <v>14</v>
      </c>
      <c r="R149" s="1178">
        <v>1.6</v>
      </c>
      <c r="S149" s="1178">
        <v>14</v>
      </c>
      <c r="T149" s="1178">
        <v>2.5</v>
      </c>
      <c r="U149" s="1186"/>
      <c r="V149" s="1186"/>
      <c r="W149" s="1186"/>
      <c r="X149" s="1186"/>
      <c r="Y149" s="1186"/>
      <c r="Z149" s="1186"/>
      <c r="AA149" s="1186"/>
      <c r="AB149" s="1186"/>
      <c r="AC149" s="1186"/>
      <c r="AD149" s="1187"/>
      <c r="AH149" s="251">
        <v>110</v>
      </c>
      <c r="AI149" s="251" t="e">
        <f t="shared" si="18"/>
        <v>#N/A</v>
      </c>
      <c r="AJ149" s="251" t="e">
        <f t="shared" ca="1" si="16"/>
        <v>#N/A</v>
      </c>
      <c r="AL149" s="251">
        <f t="shared" ca="1" si="17"/>
        <v>1957</v>
      </c>
      <c r="AM149" s="251" t="e">
        <f t="shared" ca="1" si="22"/>
        <v>#N/A</v>
      </c>
      <c r="AN149" s="251" t="e">
        <f t="shared" ca="1" si="19"/>
        <v>#N/A</v>
      </c>
      <c r="AO149" s="251" t="e">
        <f t="shared" ca="1" si="20"/>
        <v>#N/A</v>
      </c>
    </row>
    <row r="150" spans="1:41" x14ac:dyDescent="0.2">
      <c r="A150">
        <f t="shared" si="21"/>
        <v>6</v>
      </c>
      <c r="B150">
        <v>141</v>
      </c>
      <c r="C150" s="1078">
        <v>2</v>
      </c>
      <c r="D150" s="1077" t="s">
        <v>3912</v>
      </c>
      <c r="E150" s="1077" t="s">
        <v>4002</v>
      </c>
      <c r="F150" s="1185"/>
      <c r="G150" s="1178"/>
      <c r="H150" s="1178"/>
      <c r="I150" s="1178">
        <v>11.5</v>
      </c>
      <c r="J150" s="1178">
        <v>2.9</v>
      </c>
      <c r="K150" s="1178">
        <v>14.5</v>
      </c>
      <c r="L150" s="1178">
        <v>3.5</v>
      </c>
      <c r="M150" s="1178">
        <v>17.5</v>
      </c>
      <c r="N150" s="1178">
        <v>4.2</v>
      </c>
      <c r="O150" s="1178"/>
      <c r="P150" s="1178"/>
      <c r="Q150" s="1178">
        <v>10.9</v>
      </c>
      <c r="R150" s="1178">
        <v>2.2999999999999998</v>
      </c>
      <c r="S150" s="1178">
        <v>15.9</v>
      </c>
      <c r="T150" s="1178">
        <v>2.9</v>
      </c>
      <c r="U150" s="1186"/>
      <c r="V150" s="1186"/>
      <c r="W150" s="1186"/>
      <c r="X150" s="1186"/>
      <c r="Y150" s="1186"/>
      <c r="Z150" s="1186"/>
      <c r="AA150" s="1186"/>
      <c r="AB150" s="1186"/>
      <c r="AC150" s="1186"/>
      <c r="AD150" s="1187"/>
      <c r="AH150" s="251">
        <v>111</v>
      </c>
      <c r="AI150" s="251" t="e">
        <f t="shared" si="18"/>
        <v>#N/A</v>
      </c>
      <c r="AJ150" s="251" t="e">
        <f t="shared" ca="1" si="16"/>
        <v>#N/A</v>
      </c>
      <c r="AL150" s="251">
        <f t="shared" ca="1" si="17"/>
        <v>1958</v>
      </c>
      <c r="AM150" s="251" t="e">
        <f t="shared" ca="1" si="22"/>
        <v>#N/A</v>
      </c>
      <c r="AN150" s="251" t="e">
        <f t="shared" ca="1" si="19"/>
        <v>#N/A</v>
      </c>
      <c r="AO150" s="251" t="e">
        <f t="shared" ca="1" si="20"/>
        <v>#N/A</v>
      </c>
    </row>
    <row r="151" spans="1:41" x14ac:dyDescent="0.2">
      <c r="A151">
        <f t="shared" si="21"/>
        <v>6</v>
      </c>
      <c r="B151">
        <v>142</v>
      </c>
      <c r="C151" s="1078">
        <v>3</v>
      </c>
      <c r="D151" s="1077" t="s">
        <v>3912</v>
      </c>
      <c r="E151" s="1077" t="s">
        <v>4003</v>
      </c>
      <c r="F151" s="1185">
        <v>1</v>
      </c>
      <c r="G151" s="1178"/>
      <c r="H151" s="1178"/>
      <c r="I151" s="1178"/>
      <c r="J151" s="1178"/>
      <c r="K151" s="1178"/>
      <c r="L151" s="1178"/>
      <c r="M151" s="1178"/>
      <c r="N151" s="1178"/>
      <c r="O151" s="1178"/>
      <c r="P151" s="1178"/>
      <c r="Q151" s="1178"/>
      <c r="R151" s="1178"/>
      <c r="S151" s="1178"/>
      <c r="T151" s="1178"/>
      <c r="U151" s="1186"/>
      <c r="V151" s="1186"/>
      <c r="W151" s="1186">
        <v>5.9</v>
      </c>
      <c r="X151" s="1186">
        <v>4.5999999999999996</v>
      </c>
      <c r="Y151" s="1186">
        <v>5.2</v>
      </c>
      <c r="Z151" s="1186">
        <v>2.8</v>
      </c>
      <c r="AA151" s="1186"/>
      <c r="AB151" s="1186"/>
      <c r="AC151" s="1186"/>
      <c r="AD151" s="1187"/>
      <c r="AH151" s="251">
        <v>112</v>
      </c>
      <c r="AI151" s="251" t="e">
        <f t="shared" si="18"/>
        <v>#N/A</v>
      </c>
      <c r="AJ151" s="251" t="e">
        <f t="shared" ca="1" si="16"/>
        <v>#N/A</v>
      </c>
      <c r="AL151" s="251">
        <f t="shared" ca="1" si="17"/>
        <v>1959</v>
      </c>
      <c r="AM151" s="251" t="e">
        <f t="shared" ca="1" si="22"/>
        <v>#N/A</v>
      </c>
      <c r="AN151" s="251" t="e">
        <f t="shared" ca="1" si="19"/>
        <v>#N/A</v>
      </c>
      <c r="AO151" s="251" t="e">
        <f t="shared" ca="1" si="20"/>
        <v>#N/A</v>
      </c>
    </row>
    <row r="152" spans="1:41" x14ac:dyDescent="0.2">
      <c r="A152">
        <f t="shared" si="21"/>
        <v>6</v>
      </c>
      <c r="B152">
        <v>143</v>
      </c>
      <c r="C152" s="1078">
        <v>3</v>
      </c>
      <c r="D152" s="1077" t="s">
        <v>3912</v>
      </c>
      <c r="E152" s="1077" t="s">
        <v>4004</v>
      </c>
      <c r="F152" s="1185">
        <v>4</v>
      </c>
      <c r="G152" s="1178"/>
      <c r="H152" s="1178"/>
      <c r="I152" s="1178"/>
      <c r="J152" s="1178"/>
      <c r="K152" s="1178"/>
      <c r="L152" s="1178"/>
      <c r="M152" s="1178"/>
      <c r="N152" s="1178"/>
      <c r="O152" s="1178"/>
      <c r="P152" s="1178"/>
      <c r="Q152" s="1178"/>
      <c r="R152" s="1178"/>
      <c r="S152" s="1178"/>
      <c r="T152" s="1178"/>
      <c r="U152" s="1186"/>
      <c r="V152" s="1186"/>
      <c r="W152" s="1186">
        <v>6.1</v>
      </c>
      <c r="X152" s="1186">
        <v>4.8</v>
      </c>
      <c r="Y152" s="1186">
        <v>5.2</v>
      </c>
      <c r="Z152" s="1186">
        <v>3</v>
      </c>
      <c r="AA152" s="1186"/>
      <c r="AB152" s="1186"/>
      <c r="AC152" s="1186"/>
      <c r="AD152" s="1187"/>
      <c r="AH152" s="251">
        <v>113</v>
      </c>
      <c r="AI152" s="251" t="e">
        <f t="shared" si="18"/>
        <v>#N/A</v>
      </c>
      <c r="AJ152" s="251" t="e">
        <f t="shared" ca="1" si="16"/>
        <v>#N/A</v>
      </c>
      <c r="AL152" s="251">
        <f t="shared" ca="1" si="17"/>
        <v>1960</v>
      </c>
      <c r="AM152" s="251" t="e">
        <f t="shared" ca="1" si="22"/>
        <v>#N/A</v>
      </c>
      <c r="AN152" s="251" t="e">
        <f t="shared" ca="1" si="19"/>
        <v>#N/A</v>
      </c>
      <c r="AO152" s="251" t="e">
        <f t="shared" ca="1" si="20"/>
        <v>#N/A</v>
      </c>
    </row>
    <row r="153" spans="1:41" x14ac:dyDescent="0.2">
      <c r="A153">
        <f t="shared" si="21"/>
        <v>6</v>
      </c>
      <c r="B153">
        <v>144</v>
      </c>
      <c r="C153" s="1078">
        <v>3</v>
      </c>
      <c r="D153" s="1077" t="s">
        <v>3912</v>
      </c>
      <c r="E153" s="1077" t="s">
        <v>4005</v>
      </c>
      <c r="F153" s="1185">
        <v>1</v>
      </c>
      <c r="G153" s="1178"/>
      <c r="H153" s="1178"/>
      <c r="I153" s="1178"/>
      <c r="J153" s="1178"/>
      <c r="K153" s="1178"/>
      <c r="L153" s="1178"/>
      <c r="M153" s="1178"/>
      <c r="N153" s="1178"/>
      <c r="O153" s="1178"/>
      <c r="P153" s="1178"/>
      <c r="Q153" s="1178"/>
      <c r="R153" s="1178"/>
      <c r="S153" s="1178"/>
      <c r="T153" s="1178"/>
      <c r="U153" s="1186"/>
      <c r="V153" s="1186"/>
      <c r="W153" s="1186">
        <v>8.1999999999999993</v>
      </c>
      <c r="X153" s="1186">
        <v>4.5999999999999996</v>
      </c>
      <c r="Y153" s="1186">
        <v>7.6</v>
      </c>
      <c r="Z153" s="1186">
        <v>3</v>
      </c>
      <c r="AA153" s="1186"/>
      <c r="AB153" s="1186"/>
      <c r="AC153" s="1186"/>
      <c r="AD153" s="1187"/>
      <c r="AH153" s="251">
        <v>114</v>
      </c>
      <c r="AI153" s="251" t="e">
        <f t="shared" si="18"/>
        <v>#N/A</v>
      </c>
      <c r="AJ153" s="251" t="e">
        <f t="shared" ca="1" si="16"/>
        <v>#N/A</v>
      </c>
      <c r="AL153" s="251">
        <f t="shared" ca="1" si="17"/>
        <v>1961</v>
      </c>
      <c r="AM153" s="251" t="e">
        <f t="shared" ca="1" si="22"/>
        <v>#N/A</v>
      </c>
      <c r="AN153" s="251" t="e">
        <f t="shared" ca="1" si="19"/>
        <v>#N/A</v>
      </c>
      <c r="AO153" s="251" t="e">
        <f t="shared" ca="1" si="20"/>
        <v>#N/A</v>
      </c>
    </row>
    <row r="154" spans="1:41" x14ac:dyDescent="0.2">
      <c r="A154">
        <f t="shared" si="21"/>
        <v>6</v>
      </c>
      <c r="B154">
        <v>145</v>
      </c>
      <c r="C154" s="1078">
        <v>3</v>
      </c>
      <c r="D154" s="1077" t="s">
        <v>3912</v>
      </c>
      <c r="E154" s="1077" t="s">
        <v>4006</v>
      </c>
      <c r="F154" s="1185">
        <v>1</v>
      </c>
      <c r="G154" s="1178"/>
      <c r="H154" s="1178"/>
      <c r="I154" s="1178"/>
      <c r="J154" s="1178"/>
      <c r="K154" s="1178"/>
      <c r="L154" s="1178"/>
      <c r="M154" s="1178"/>
      <c r="N154" s="1178"/>
      <c r="O154" s="1178"/>
      <c r="P154" s="1178"/>
      <c r="Q154" s="1178"/>
      <c r="R154" s="1178"/>
      <c r="S154" s="1178"/>
      <c r="T154" s="1178"/>
      <c r="U154" s="1186"/>
      <c r="V154" s="1186"/>
      <c r="W154" s="1186">
        <v>8.1999999999999993</v>
      </c>
      <c r="X154" s="1186">
        <v>4.5999999999999996</v>
      </c>
      <c r="Y154" s="1186">
        <v>7.6</v>
      </c>
      <c r="Z154" s="1186">
        <v>3</v>
      </c>
      <c r="AA154" s="1186"/>
      <c r="AB154" s="1186"/>
      <c r="AC154" s="1186"/>
      <c r="AD154" s="1187"/>
      <c r="AH154" s="251">
        <v>115</v>
      </c>
      <c r="AI154" s="251" t="e">
        <f t="shared" si="18"/>
        <v>#N/A</v>
      </c>
      <c r="AJ154" s="251" t="e">
        <f t="shared" ca="1" si="16"/>
        <v>#N/A</v>
      </c>
      <c r="AL154" s="251">
        <f t="shared" ca="1" si="17"/>
        <v>1962</v>
      </c>
      <c r="AM154" s="251" t="e">
        <f t="shared" ca="1" si="22"/>
        <v>#N/A</v>
      </c>
      <c r="AN154" s="251" t="e">
        <f t="shared" ca="1" si="19"/>
        <v>#N/A</v>
      </c>
      <c r="AO154" s="251" t="e">
        <f t="shared" ca="1" si="20"/>
        <v>#N/A</v>
      </c>
    </row>
    <row r="155" spans="1:41" x14ac:dyDescent="0.2">
      <c r="A155">
        <f t="shared" si="21"/>
        <v>6</v>
      </c>
      <c r="B155">
        <v>146</v>
      </c>
      <c r="C155" s="1078">
        <v>3</v>
      </c>
      <c r="D155" s="1077" t="s">
        <v>3912</v>
      </c>
      <c r="E155" s="1077" t="s">
        <v>4007</v>
      </c>
      <c r="F155" s="1185">
        <v>1</v>
      </c>
      <c r="G155" s="1178"/>
      <c r="H155" s="1178"/>
      <c r="I155" s="1178"/>
      <c r="J155" s="1178"/>
      <c r="K155" s="1178"/>
      <c r="L155" s="1178"/>
      <c r="M155" s="1178"/>
      <c r="N155" s="1178"/>
      <c r="O155" s="1178"/>
      <c r="P155" s="1178"/>
      <c r="Q155" s="1178"/>
      <c r="R155" s="1178"/>
      <c r="S155" s="1178"/>
      <c r="T155" s="1178"/>
      <c r="U155" s="1178"/>
      <c r="V155" s="1178"/>
      <c r="W155" s="1178">
        <v>10</v>
      </c>
      <c r="X155" s="1178">
        <v>4.5999999999999996</v>
      </c>
      <c r="Y155" s="1178">
        <v>9.3000000000000007</v>
      </c>
      <c r="Z155" s="1178">
        <v>3</v>
      </c>
      <c r="AA155" s="1178"/>
      <c r="AB155" s="1178"/>
      <c r="AC155" s="1178"/>
      <c r="AD155" s="1179"/>
      <c r="AH155" s="251">
        <v>116</v>
      </c>
      <c r="AI155" s="251" t="e">
        <f t="shared" si="18"/>
        <v>#N/A</v>
      </c>
      <c r="AJ155" s="251" t="e">
        <f t="shared" ca="1" si="16"/>
        <v>#N/A</v>
      </c>
      <c r="AL155" s="251">
        <f t="shared" ca="1" si="17"/>
        <v>1963</v>
      </c>
      <c r="AM155" s="251" t="e">
        <f t="shared" ca="1" si="22"/>
        <v>#N/A</v>
      </c>
      <c r="AN155" s="251" t="e">
        <f t="shared" ca="1" si="19"/>
        <v>#N/A</v>
      </c>
      <c r="AO155" s="251" t="e">
        <f t="shared" ca="1" si="20"/>
        <v>#N/A</v>
      </c>
    </row>
    <row r="156" spans="1:41" x14ac:dyDescent="0.2">
      <c r="A156">
        <f t="shared" si="21"/>
        <v>6</v>
      </c>
      <c r="B156">
        <v>147</v>
      </c>
      <c r="C156" s="1078">
        <v>3</v>
      </c>
      <c r="D156" s="1077" t="s">
        <v>3912</v>
      </c>
      <c r="E156" s="1077" t="s">
        <v>4008</v>
      </c>
      <c r="F156" s="1185">
        <v>1</v>
      </c>
      <c r="G156" s="1178"/>
      <c r="H156" s="1178"/>
      <c r="I156" s="1178"/>
      <c r="J156" s="1178"/>
      <c r="K156" s="1178"/>
      <c r="L156" s="1178"/>
      <c r="M156" s="1178"/>
      <c r="N156" s="1178"/>
      <c r="O156" s="1178"/>
      <c r="P156" s="1178"/>
      <c r="Q156" s="1178"/>
      <c r="R156" s="1178"/>
      <c r="S156" s="1178"/>
      <c r="T156" s="1178"/>
      <c r="U156" s="1178"/>
      <c r="V156" s="1178"/>
      <c r="W156" s="1178">
        <v>10</v>
      </c>
      <c r="X156" s="1178">
        <v>4.5999999999999996</v>
      </c>
      <c r="Y156" s="1178">
        <v>9.3000000000000007</v>
      </c>
      <c r="Z156" s="1178">
        <v>3</v>
      </c>
      <c r="AA156" s="1178"/>
      <c r="AB156" s="1178"/>
      <c r="AC156" s="1178"/>
      <c r="AD156" s="1179"/>
      <c r="AH156" s="251">
        <v>117</v>
      </c>
      <c r="AI156" s="251" t="e">
        <f t="shared" si="18"/>
        <v>#N/A</v>
      </c>
      <c r="AJ156" s="251" t="e">
        <f t="shared" ca="1" si="16"/>
        <v>#N/A</v>
      </c>
      <c r="AL156" s="251">
        <f t="shared" ca="1" si="17"/>
        <v>1964</v>
      </c>
      <c r="AM156" s="251" t="e">
        <f t="shared" ca="1" si="22"/>
        <v>#N/A</v>
      </c>
      <c r="AN156" s="251" t="e">
        <f t="shared" ca="1" si="19"/>
        <v>#N/A</v>
      </c>
      <c r="AO156" s="251" t="e">
        <f t="shared" ca="1" si="20"/>
        <v>#N/A</v>
      </c>
    </row>
    <row r="157" spans="1:41" x14ac:dyDescent="0.2">
      <c r="A157">
        <f t="shared" si="21"/>
        <v>6</v>
      </c>
      <c r="B157">
        <v>148</v>
      </c>
      <c r="C157" s="1078">
        <v>3</v>
      </c>
      <c r="D157" s="1077" t="s">
        <v>3912</v>
      </c>
      <c r="E157" s="1077" t="s">
        <v>4009</v>
      </c>
      <c r="F157" s="1185">
        <v>1</v>
      </c>
      <c r="G157" s="1178"/>
      <c r="H157" s="1178"/>
      <c r="I157" s="1178"/>
      <c r="J157" s="1178"/>
      <c r="K157" s="1178"/>
      <c r="L157" s="1178"/>
      <c r="M157" s="1178"/>
      <c r="N157" s="1178"/>
      <c r="O157" s="1178"/>
      <c r="P157" s="1178"/>
      <c r="Q157" s="1178"/>
      <c r="R157" s="1178"/>
      <c r="S157" s="1178"/>
      <c r="T157" s="1178"/>
      <c r="U157" s="1178"/>
      <c r="V157" s="1178"/>
      <c r="W157" s="1178">
        <v>11.8</v>
      </c>
      <c r="X157" s="1178">
        <v>4.5999999999999996</v>
      </c>
      <c r="Y157" s="1178">
        <v>11</v>
      </c>
      <c r="Z157" s="1178">
        <v>3</v>
      </c>
      <c r="AA157" s="1178"/>
      <c r="AB157" s="1178"/>
      <c r="AC157" s="1178"/>
      <c r="AD157" s="1179"/>
      <c r="AH157" s="251">
        <v>118</v>
      </c>
      <c r="AI157" s="251" t="e">
        <f t="shared" si="18"/>
        <v>#N/A</v>
      </c>
      <c r="AJ157" s="251" t="e">
        <f t="shared" ca="1" si="16"/>
        <v>#N/A</v>
      </c>
      <c r="AL157" s="251">
        <f t="shared" ca="1" si="17"/>
        <v>1965</v>
      </c>
      <c r="AM157" s="251" t="e">
        <f t="shared" ca="1" si="22"/>
        <v>#N/A</v>
      </c>
      <c r="AN157" s="251" t="e">
        <f t="shared" ca="1" si="19"/>
        <v>#N/A</v>
      </c>
      <c r="AO157" s="251" t="e">
        <f t="shared" ca="1" si="20"/>
        <v>#N/A</v>
      </c>
    </row>
    <row r="158" spans="1:41" x14ac:dyDescent="0.2">
      <c r="A158">
        <f t="shared" si="21"/>
        <v>6</v>
      </c>
      <c r="B158">
        <v>149</v>
      </c>
      <c r="C158" s="1078">
        <v>3</v>
      </c>
      <c r="D158" s="1077" t="s">
        <v>3912</v>
      </c>
      <c r="E158" s="1077" t="s">
        <v>4010</v>
      </c>
      <c r="F158" s="1185">
        <v>1</v>
      </c>
      <c r="G158" s="1178"/>
      <c r="H158" s="1178"/>
      <c r="I158" s="1178"/>
      <c r="J158" s="1178"/>
      <c r="K158" s="1178"/>
      <c r="L158" s="1178"/>
      <c r="M158" s="1178"/>
      <c r="N158" s="1178"/>
      <c r="O158" s="1178"/>
      <c r="P158" s="1178"/>
      <c r="Q158" s="1178"/>
      <c r="R158" s="1178"/>
      <c r="S158" s="1178"/>
      <c r="T158" s="1178"/>
      <c r="U158" s="1178"/>
      <c r="V158" s="1178"/>
      <c r="W158" s="1178">
        <v>11.8</v>
      </c>
      <c r="X158" s="1178">
        <v>4.5999999999999996</v>
      </c>
      <c r="Y158" s="1178">
        <v>11</v>
      </c>
      <c r="Z158" s="1178">
        <v>3</v>
      </c>
      <c r="AA158" s="1178"/>
      <c r="AB158" s="1178"/>
      <c r="AC158" s="1178"/>
      <c r="AD158" s="1179"/>
      <c r="AH158" s="251">
        <v>119</v>
      </c>
      <c r="AI158" s="251" t="e">
        <f t="shared" si="18"/>
        <v>#N/A</v>
      </c>
      <c r="AJ158" s="251" t="e">
        <f t="shared" ca="1" si="16"/>
        <v>#N/A</v>
      </c>
      <c r="AL158" s="251">
        <f t="shared" ca="1" si="17"/>
        <v>1966</v>
      </c>
      <c r="AM158" s="251" t="e">
        <f t="shared" ca="1" si="22"/>
        <v>#N/A</v>
      </c>
      <c r="AN158" s="251" t="e">
        <f t="shared" ca="1" si="19"/>
        <v>#N/A</v>
      </c>
      <c r="AO158" s="251" t="e">
        <f t="shared" ca="1" si="20"/>
        <v>#N/A</v>
      </c>
    </row>
    <row r="159" spans="1:41" x14ac:dyDescent="0.2">
      <c r="A159">
        <f t="shared" si="21"/>
        <v>6</v>
      </c>
      <c r="B159">
        <v>150</v>
      </c>
      <c r="C159" s="1078">
        <v>3</v>
      </c>
      <c r="D159" s="1077" t="s">
        <v>3912</v>
      </c>
      <c r="E159" s="1077" t="s">
        <v>4011</v>
      </c>
      <c r="F159" s="1185">
        <v>1</v>
      </c>
      <c r="G159" s="1178"/>
      <c r="H159" s="1178"/>
      <c r="I159" s="1178"/>
      <c r="J159" s="1178"/>
      <c r="K159" s="1178"/>
      <c r="L159" s="1178"/>
      <c r="M159" s="1178"/>
      <c r="N159" s="1178"/>
      <c r="O159" s="1178"/>
      <c r="P159" s="1178"/>
      <c r="Q159" s="1178"/>
      <c r="R159" s="1178"/>
      <c r="S159" s="1178"/>
      <c r="T159" s="1178"/>
      <c r="U159" s="1178"/>
      <c r="V159" s="1178"/>
      <c r="W159" s="1178">
        <v>14.5</v>
      </c>
      <c r="X159" s="1178">
        <v>4.5</v>
      </c>
      <c r="Y159" s="1178">
        <v>13.4</v>
      </c>
      <c r="Z159" s="1178">
        <v>3</v>
      </c>
      <c r="AA159" s="1178"/>
      <c r="AB159" s="1178"/>
      <c r="AC159" s="1178"/>
      <c r="AD159" s="1179"/>
      <c r="AH159" s="251">
        <v>120</v>
      </c>
      <c r="AI159" s="251" t="e">
        <f t="shared" si="18"/>
        <v>#N/A</v>
      </c>
      <c r="AJ159" s="251" t="e">
        <f t="shared" ca="1" si="16"/>
        <v>#N/A</v>
      </c>
      <c r="AL159" s="251">
        <f t="shared" ca="1" si="17"/>
        <v>1967</v>
      </c>
      <c r="AM159" s="251" t="e">
        <f t="shared" ca="1" si="22"/>
        <v>#N/A</v>
      </c>
      <c r="AN159" s="251" t="e">
        <f t="shared" ca="1" si="19"/>
        <v>#N/A</v>
      </c>
      <c r="AO159" s="251" t="e">
        <f t="shared" ca="1" si="20"/>
        <v>#N/A</v>
      </c>
    </row>
    <row r="160" spans="1:41" x14ac:dyDescent="0.2">
      <c r="A160">
        <f t="shared" si="21"/>
        <v>6</v>
      </c>
      <c r="B160">
        <v>151</v>
      </c>
      <c r="C160" s="1078">
        <v>3</v>
      </c>
      <c r="D160" s="1077" t="s">
        <v>3912</v>
      </c>
      <c r="E160" s="1077" t="s">
        <v>4012</v>
      </c>
      <c r="F160" s="1185">
        <v>1</v>
      </c>
      <c r="G160" s="1178"/>
      <c r="H160" s="1178"/>
      <c r="I160" s="1178"/>
      <c r="J160" s="1178"/>
      <c r="K160" s="1178"/>
      <c r="L160" s="1178"/>
      <c r="M160" s="1178"/>
      <c r="N160" s="1178"/>
      <c r="O160" s="1178"/>
      <c r="P160" s="1178"/>
      <c r="Q160" s="1178"/>
      <c r="R160" s="1178"/>
      <c r="S160" s="1178"/>
      <c r="T160" s="1178"/>
      <c r="U160" s="1178"/>
      <c r="V160" s="1178"/>
      <c r="W160" s="1178">
        <v>16.8</v>
      </c>
      <c r="X160" s="1178">
        <v>4.5</v>
      </c>
      <c r="Y160" s="1178">
        <v>15.8</v>
      </c>
      <c r="Z160" s="1178">
        <v>3.1</v>
      </c>
      <c r="AA160" s="1178"/>
      <c r="AB160" s="1178"/>
      <c r="AC160" s="1178"/>
      <c r="AD160" s="1179"/>
      <c r="AH160" s="251">
        <v>121</v>
      </c>
      <c r="AI160" s="251" t="e">
        <f t="shared" si="18"/>
        <v>#N/A</v>
      </c>
      <c r="AJ160" s="251" t="e">
        <f t="shared" ca="1" si="16"/>
        <v>#N/A</v>
      </c>
      <c r="AL160" s="251">
        <f t="shared" ca="1" si="17"/>
        <v>1968</v>
      </c>
      <c r="AM160" s="251" t="e">
        <f t="shared" ca="1" si="22"/>
        <v>#N/A</v>
      </c>
      <c r="AN160" s="251" t="e">
        <f t="shared" ca="1" si="19"/>
        <v>#N/A</v>
      </c>
      <c r="AO160" s="251" t="e">
        <f t="shared" ca="1" si="20"/>
        <v>#N/A</v>
      </c>
    </row>
    <row r="161" spans="1:41" x14ac:dyDescent="0.2">
      <c r="A161">
        <f t="shared" si="21"/>
        <v>6</v>
      </c>
      <c r="B161">
        <v>152</v>
      </c>
      <c r="C161" s="1078">
        <v>3</v>
      </c>
      <c r="D161" s="1077" t="s">
        <v>3912</v>
      </c>
      <c r="E161" s="1077" t="s">
        <v>4013</v>
      </c>
      <c r="F161" s="1185">
        <v>3</v>
      </c>
      <c r="G161" s="1178"/>
      <c r="H161" s="1178"/>
      <c r="I161" s="1178"/>
      <c r="J161" s="1178"/>
      <c r="K161" s="1178"/>
      <c r="L161" s="1178"/>
      <c r="M161" s="1178"/>
      <c r="N161" s="1178"/>
      <c r="O161" s="1178"/>
      <c r="P161" s="1178"/>
      <c r="Q161" s="1178"/>
      <c r="R161" s="1178"/>
      <c r="S161" s="1178"/>
      <c r="T161" s="1178"/>
      <c r="U161" s="1178"/>
      <c r="V161" s="1178"/>
      <c r="W161" s="1178">
        <v>25</v>
      </c>
      <c r="X161" s="1178">
        <v>4.5999999999999996</v>
      </c>
      <c r="Y161" s="1178">
        <v>23.4</v>
      </c>
      <c r="Z161" s="1178">
        <v>3</v>
      </c>
      <c r="AA161" s="1178"/>
      <c r="AB161" s="1178"/>
      <c r="AC161" s="1178"/>
      <c r="AD161" s="1179"/>
      <c r="AH161" s="251">
        <v>122</v>
      </c>
      <c r="AI161" s="251" t="e">
        <f t="shared" si="18"/>
        <v>#N/A</v>
      </c>
      <c r="AJ161" s="251" t="e">
        <f t="shared" ca="1" si="16"/>
        <v>#N/A</v>
      </c>
      <c r="AL161" s="251">
        <f t="shared" ca="1" si="17"/>
        <v>1969</v>
      </c>
      <c r="AM161" s="251" t="e">
        <f t="shared" ca="1" si="22"/>
        <v>#N/A</v>
      </c>
      <c r="AN161" s="251" t="e">
        <f t="shared" ca="1" si="19"/>
        <v>#N/A</v>
      </c>
      <c r="AO161" s="251" t="e">
        <f t="shared" ca="1" si="20"/>
        <v>#N/A</v>
      </c>
    </row>
    <row r="162" spans="1:41" x14ac:dyDescent="0.2">
      <c r="A162">
        <f t="shared" si="21"/>
        <v>6</v>
      </c>
      <c r="B162">
        <v>153</v>
      </c>
      <c r="C162" s="1078">
        <v>3</v>
      </c>
      <c r="D162" s="1077" t="s">
        <v>3912</v>
      </c>
      <c r="E162" s="1077" t="s">
        <v>4014</v>
      </c>
      <c r="F162" s="1185">
        <v>3</v>
      </c>
      <c r="G162" s="1178"/>
      <c r="H162" s="1178"/>
      <c r="I162" s="1178"/>
      <c r="J162" s="1178"/>
      <c r="K162" s="1178"/>
      <c r="L162" s="1178"/>
      <c r="M162" s="1178"/>
      <c r="N162" s="1178"/>
      <c r="O162" s="1178"/>
      <c r="P162" s="1178"/>
      <c r="Q162" s="1178"/>
      <c r="R162" s="1178"/>
      <c r="S162" s="1178"/>
      <c r="T162" s="1178"/>
      <c r="U162" s="1178"/>
      <c r="V162" s="1178"/>
      <c r="W162" s="1178">
        <v>28.5</v>
      </c>
      <c r="X162" s="1178">
        <v>4.5999999999999996</v>
      </c>
      <c r="Y162" s="1178">
        <v>26.8</v>
      </c>
      <c r="Z162" s="1178">
        <v>3</v>
      </c>
      <c r="AA162" s="1178"/>
      <c r="AB162" s="1178"/>
      <c r="AC162" s="1178"/>
      <c r="AD162" s="1179"/>
      <c r="AH162" s="251">
        <v>123</v>
      </c>
      <c r="AI162" s="251" t="e">
        <f t="shared" si="18"/>
        <v>#N/A</v>
      </c>
      <c r="AJ162" s="251" t="e">
        <f t="shared" ca="1" si="16"/>
        <v>#N/A</v>
      </c>
      <c r="AL162" s="251">
        <f t="shared" ca="1" si="17"/>
        <v>1970</v>
      </c>
      <c r="AM162" s="251" t="e">
        <f t="shared" ca="1" si="22"/>
        <v>#N/A</v>
      </c>
      <c r="AN162" s="251" t="e">
        <f t="shared" ca="1" si="19"/>
        <v>#N/A</v>
      </c>
      <c r="AO162" s="251" t="e">
        <f t="shared" ca="1" si="20"/>
        <v>#N/A</v>
      </c>
    </row>
    <row r="163" spans="1:41" x14ac:dyDescent="0.2">
      <c r="A163">
        <f t="shared" si="21"/>
        <v>6</v>
      </c>
      <c r="B163">
        <v>154</v>
      </c>
      <c r="C163" s="1078">
        <v>3</v>
      </c>
      <c r="D163" s="1077" t="s">
        <v>3912</v>
      </c>
      <c r="E163" s="1077" t="s">
        <v>4015</v>
      </c>
      <c r="F163" s="1185">
        <v>3</v>
      </c>
      <c r="G163" s="1178"/>
      <c r="H163" s="1178"/>
      <c r="I163" s="1178"/>
      <c r="J163" s="1178"/>
      <c r="K163" s="1178"/>
      <c r="L163" s="1178"/>
      <c r="M163" s="1178"/>
      <c r="N163" s="1178"/>
      <c r="O163" s="1178"/>
      <c r="P163" s="1178"/>
      <c r="Q163" s="1178"/>
      <c r="R163" s="1178"/>
      <c r="S163" s="1178"/>
      <c r="T163" s="1178"/>
      <c r="U163" s="1178"/>
      <c r="V163" s="1178"/>
      <c r="W163" s="1178">
        <v>33.5</v>
      </c>
      <c r="X163" s="1178">
        <v>4.5</v>
      </c>
      <c r="Y163" s="1178">
        <v>31.7</v>
      </c>
      <c r="Z163" s="1178">
        <v>3.1</v>
      </c>
      <c r="AA163" s="1178"/>
      <c r="AB163" s="1178"/>
      <c r="AC163" s="1178"/>
      <c r="AD163" s="1179"/>
      <c r="AH163" s="251">
        <v>124</v>
      </c>
      <c r="AI163" s="251" t="e">
        <f t="shared" si="18"/>
        <v>#N/A</v>
      </c>
      <c r="AJ163" s="251" t="e">
        <f t="shared" ca="1" si="16"/>
        <v>#N/A</v>
      </c>
      <c r="AL163" s="251">
        <f t="shared" ca="1" si="17"/>
        <v>1971</v>
      </c>
      <c r="AM163" s="251" t="e">
        <f t="shared" ca="1" si="22"/>
        <v>#N/A</v>
      </c>
      <c r="AN163" s="251" t="e">
        <f t="shared" ca="1" si="19"/>
        <v>#N/A</v>
      </c>
      <c r="AO163" s="251" t="e">
        <f t="shared" ca="1" si="20"/>
        <v>#N/A</v>
      </c>
    </row>
    <row r="164" spans="1:41" x14ac:dyDescent="0.2">
      <c r="A164">
        <f t="shared" si="21"/>
        <v>7</v>
      </c>
      <c r="B164">
        <v>155</v>
      </c>
      <c r="C164" s="1078">
        <v>2</v>
      </c>
      <c r="D164" s="1077" t="s">
        <v>3599</v>
      </c>
      <c r="E164" s="1077" t="s">
        <v>4095</v>
      </c>
      <c r="F164" s="1185">
        <v>1</v>
      </c>
      <c r="G164" s="1178">
        <v>5.9</v>
      </c>
      <c r="H164" s="1178">
        <v>2.2999999999999998</v>
      </c>
      <c r="I164" s="1178">
        <v>7.3</v>
      </c>
      <c r="J164" s="1178">
        <v>3.1</v>
      </c>
      <c r="K164" s="1178">
        <v>9.5</v>
      </c>
      <c r="L164" s="1178">
        <v>4</v>
      </c>
      <c r="M164" s="1178">
        <v>11.3</v>
      </c>
      <c r="N164" s="1178">
        <v>4.7</v>
      </c>
      <c r="O164" s="1178">
        <v>13.6</v>
      </c>
      <c r="P164" s="1178">
        <v>5.3</v>
      </c>
      <c r="Q164" s="1178">
        <v>7.2</v>
      </c>
      <c r="R164" s="1178">
        <v>1.9</v>
      </c>
      <c r="S164" s="1178">
        <v>10</v>
      </c>
      <c r="T164" s="1178">
        <v>3</v>
      </c>
      <c r="U164" s="1178">
        <v>12.4</v>
      </c>
      <c r="V164" s="1178">
        <v>3.3</v>
      </c>
      <c r="W164" s="1178"/>
      <c r="X164" s="1178"/>
      <c r="Y164" s="1178"/>
      <c r="Z164" s="1178"/>
      <c r="AA164" s="1178"/>
      <c r="AB164" s="1178"/>
      <c r="AC164" s="1178"/>
      <c r="AD164" s="1179"/>
      <c r="AH164" s="251">
        <v>125</v>
      </c>
      <c r="AI164" s="251" t="e">
        <f t="shared" si="18"/>
        <v>#N/A</v>
      </c>
      <c r="AJ164" s="251" t="e">
        <f t="shared" ca="1" si="16"/>
        <v>#N/A</v>
      </c>
      <c r="AL164" s="251">
        <f t="shared" ca="1" si="17"/>
        <v>1972</v>
      </c>
      <c r="AM164" s="251" t="e">
        <f t="shared" ca="1" si="22"/>
        <v>#N/A</v>
      </c>
      <c r="AN164" s="251" t="e">
        <f t="shared" ca="1" si="19"/>
        <v>#N/A</v>
      </c>
      <c r="AO164" s="251" t="e">
        <f t="shared" ca="1" si="20"/>
        <v>#N/A</v>
      </c>
    </row>
    <row r="165" spans="1:41" x14ac:dyDescent="0.2">
      <c r="A165">
        <f t="shared" si="21"/>
        <v>7</v>
      </c>
      <c r="B165">
        <v>156</v>
      </c>
      <c r="C165" s="1078">
        <v>2</v>
      </c>
      <c r="D165" s="1077" t="s">
        <v>3599</v>
      </c>
      <c r="E165" s="1077" t="s">
        <v>4876</v>
      </c>
      <c r="F165" s="1185">
        <v>1</v>
      </c>
      <c r="G165" s="1178">
        <v>5.9</v>
      </c>
      <c r="H165" s="1178">
        <v>2.2999999999999998</v>
      </c>
      <c r="I165" s="1178">
        <v>7.3</v>
      </c>
      <c r="J165" s="1178">
        <v>3.1</v>
      </c>
      <c r="K165" s="1178">
        <v>9.5</v>
      </c>
      <c r="L165" s="1178">
        <v>4</v>
      </c>
      <c r="M165" s="1178">
        <v>11.3</v>
      </c>
      <c r="N165" s="1178">
        <v>4.7</v>
      </c>
      <c r="O165" s="1178">
        <v>13.6</v>
      </c>
      <c r="P165" s="1178">
        <v>5.3</v>
      </c>
      <c r="Q165" s="1178">
        <v>7.2</v>
      </c>
      <c r="R165" s="1178">
        <v>1.9</v>
      </c>
      <c r="S165" s="1178">
        <v>10</v>
      </c>
      <c r="T165" s="1178">
        <v>3</v>
      </c>
      <c r="U165" s="1178">
        <v>12.4</v>
      </c>
      <c r="V165" s="1178">
        <v>3.3</v>
      </c>
      <c r="W165" s="1178"/>
      <c r="X165" s="1178"/>
      <c r="Y165" s="1178"/>
      <c r="Z165" s="1178"/>
      <c r="AA165" s="1178"/>
      <c r="AB165" s="1178"/>
      <c r="AC165" s="1178"/>
      <c r="AD165" s="1179"/>
      <c r="AH165" s="251">
        <v>126</v>
      </c>
      <c r="AI165" s="251" t="e">
        <f t="shared" si="18"/>
        <v>#N/A</v>
      </c>
      <c r="AJ165" s="251" t="e">
        <f t="shared" ca="1" si="16"/>
        <v>#N/A</v>
      </c>
      <c r="AL165" s="251">
        <f t="shared" ca="1" si="17"/>
        <v>1973</v>
      </c>
      <c r="AM165" s="251" t="e">
        <f t="shared" ca="1" si="22"/>
        <v>#N/A</v>
      </c>
      <c r="AN165" s="251" t="e">
        <f t="shared" ca="1" si="19"/>
        <v>#N/A</v>
      </c>
      <c r="AO165" s="251" t="e">
        <f t="shared" ca="1" si="20"/>
        <v>#N/A</v>
      </c>
    </row>
    <row r="166" spans="1:41" x14ac:dyDescent="0.2">
      <c r="A166">
        <f t="shared" si="21"/>
        <v>7</v>
      </c>
      <c r="B166">
        <v>157</v>
      </c>
      <c r="C166" s="1078">
        <v>2</v>
      </c>
      <c r="D166" s="1077" t="s">
        <v>3599</v>
      </c>
      <c r="E166" s="1077" t="s">
        <v>4089</v>
      </c>
      <c r="F166" s="1185">
        <v>2</v>
      </c>
      <c r="G166" s="1178">
        <v>8.4</v>
      </c>
      <c r="H166" s="1178">
        <v>2.1</v>
      </c>
      <c r="I166" s="1178">
        <v>10.6</v>
      </c>
      <c r="J166" s="1178">
        <v>3.2</v>
      </c>
      <c r="K166" s="1178">
        <v>12.3</v>
      </c>
      <c r="L166" s="1178">
        <v>3.8</v>
      </c>
      <c r="M166" s="1178">
        <v>14.8</v>
      </c>
      <c r="N166" s="1178">
        <v>4.8</v>
      </c>
      <c r="O166" s="1178">
        <v>19.2</v>
      </c>
      <c r="P166" s="1178">
        <v>6.4</v>
      </c>
      <c r="Q166" s="1178">
        <v>10.5</v>
      </c>
      <c r="R166" s="1178">
        <v>2.1</v>
      </c>
      <c r="S166" s="1178">
        <v>14.5</v>
      </c>
      <c r="T166" s="1178">
        <v>3</v>
      </c>
      <c r="U166" s="1178">
        <v>18.399999999999999</v>
      </c>
      <c r="V166" s="1178">
        <v>3.9</v>
      </c>
      <c r="W166" s="1178"/>
      <c r="X166" s="1178"/>
      <c r="Y166" s="1178"/>
      <c r="Z166" s="1178"/>
      <c r="AA166" s="1178"/>
      <c r="AB166" s="1178"/>
      <c r="AC166" s="1178"/>
      <c r="AD166" s="1179"/>
      <c r="AH166" s="251">
        <v>127</v>
      </c>
      <c r="AI166" s="251" t="e">
        <f t="shared" si="18"/>
        <v>#N/A</v>
      </c>
      <c r="AJ166" s="251" t="e">
        <f t="shared" ca="1" si="16"/>
        <v>#N/A</v>
      </c>
      <c r="AL166" s="251">
        <f t="shared" ca="1" si="17"/>
        <v>1974</v>
      </c>
      <c r="AM166" s="251" t="e">
        <f t="shared" ca="1" si="22"/>
        <v>#N/A</v>
      </c>
      <c r="AN166" s="251" t="e">
        <f t="shared" ca="1" si="19"/>
        <v>#N/A</v>
      </c>
      <c r="AO166" s="251" t="e">
        <f t="shared" ca="1" si="20"/>
        <v>#N/A</v>
      </c>
    </row>
    <row r="167" spans="1:41" x14ac:dyDescent="0.2">
      <c r="A167">
        <f t="shared" si="21"/>
        <v>7</v>
      </c>
      <c r="B167">
        <v>158</v>
      </c>
      <c r="C167" s="1078">
        <v>2</v>
      </c>
      <c r="D167" s="1077" t="s">
        <v>3599</v>
      </c>
      <c r="E167" s="1077" t="s">
        <v>4875</v>
      </c>
      <c r="F167" s="1185">
        <v>2</v>
      </c>
      <c r="G167" s="1178">
        <v>8.4</v>
      </c>
      <c r="H167" s="1178">
        <v>2.1</v>
      </c>
      <c r="I167" s="1178">
        <v>10.6</v>
      </c>
      <c r="J167" s="1178">
        <v>3.2</v>
      </c>
      <c r="K167" s="1178">
        <v>12.3</v>
      </c>
      <c r="L167" s="1178">
        <v>3.8</v>
      </c>
      <c r="M167" s="1178">
        <v>14.8</v>
      </c>
      <c r="N167" s="1178">
        <v>4.8</v>
      </c>
      <c r="O167" s="1178">
        <v>19.2</v>
      </c>
      <c r="P167" s="1178">
        <v>6.4</v>
      </c>
      <c r="Q167" s="1178">
        <v>10.5</v>
      </c>
      <c r="R167" s="1178">
        <v>2.1</v>
      </c>
      <c r="S167" s="1178">
        <v>14.5</v>
      </c>
      <c r="T167" s="1178">
        <v>3</v>
      </c>
      <c r="U167" s="1178">
        <v>18.399999999999999</v>
      </c>
      <c r="V167" s="1178">
        <v>3.9</v>
      </c>
      <c r="W167" s="1178"/>
      <c r="X167" s="1178"/>
      <c r="Y167" s="1178"/>
      <c r="Z167" s="1178"/>
      <c r="AA167" s="1178"/>
      <c r="AB167" s="1178"/>
      <c r="AC167" s="1178"/>
      <c r="AD167" s="1179"/>
      <c r="AH167" s="251">
        <v>128</v>
      </c>
      <c r="AI167" s="251" t="e">
        <f t="shared" si="18"/>
        <v>#N/A</v>
      </c>
      <c r="AJ167" s="251" t="e">
        <f t="shared" ca="1" si="16"/>
        <v>#N/A</v>
      </c>
      <c r="AL167" s="251">
        <f t="shared" ca="1" si="17"/>
        <v>1975</v>
      </c>
      <c r="AM167" s="251" t="e">
        <f t="shared" ca="1" si="22"/>
        <v>#N/A</v>
      </c>
      <c r="AN167" s="251" t="e">
        <f t="shared" ca="1" si="19"/>
        <v>#N/A</v>
      </c>
      <c r="AO167" s="251" t="e">
        <f t="shared" ca="1" si="20"/>
        <v>#N/A</v>
      </c>
    </row>
    <row r="168" spans="1:41" x14ac:dyDescent="0.2">
      <c r="A168">
        <f t="shared" si="21"/>
        <v>7</v>
      </c>
      <c r="B168">
        <v>159</v>
      </c>
      <c r="C168" s="1078">
        <v>2</v>
      </c>
      <c r="D168" s="1077" t="s">
        <v>3599</v>
      </c>
      <c r="E168" s="1077" t="s">
        <v>4877</v>
      </c>
      <c r="F168" s="1185">
        <v>2</v>
      </c>
      <c r="G168" s="1178">
        <v>12</v>
      </c>
      <c r="H168" s="1178">
        <v>2.2000000000000002</v>
      </c>
      <c r="I168" s="1178">
        <v>16.3</v>
      </c>
      <c r="J168" s="1178">
        <v>3</v>
      </c>
      <c r="K168" s="1178">
        <v>19.5</v>
      </c>
      <c r="L168" s="1178">
        <v>3.7</v>
      </c>
      <c r="M168" s="1178">
        <v>24.5</v>
      </c>
      <c r="N168" s="1178">
        <v>4.3</v>
      </c>
      <c r="O168" s="1178">
        <v>27.8</v>
      </c>
      <c r="P168" s="1178">
        <v>4.7</v>
      </c>
      <c r="Q168" s="1178">
        <v>15</v>
      </c>
      <c r="R168" s="1178">
        <v>1.9</v>
      </c>
      <c r="S168" s="1178">
        <v>22.1</v>
      </c>
      <c r="T168" s="1178">
        <v>2.7</v>
      </c>
      <c r="U168" s="1178">
        <v>26.1</v>
      </c>
      <c r="V168" s="1178">
        <v>3.3</v>
      </c>
      <c r="W168" s="1178"/>
      <c r="X168" s="1178"/>
      <c r="Y168" s="1178"/>
      <c r="Z168" s="1178"/>
      <c r="AA168" s="1178"/>
      <c r="AB168" s="1178"/>
      <c r="AC168" s="1178"/>
      <c r="AD168" s="1179"/>
      <c r="AH168" s="251">
        <v>129</v>
      </c>
      <c r="AI168" s="251" t="e">
        <f t="shared" ref="AI168:AI199" si="23">MATCH(AH168,$A$10:$A$2000,0)</f>
        <v>#N/A</v>
      </c>
      <c r="AJ168" s="251" t="e">
        <f t="shared" ca="1" si="16"/>
        <v>#N/A</v>
      </c>
      <c r="AL168" s="251">
        <f t="shared" ca="1" si="17"/>
        <v>1976</v>
      </c>
      <c r="AM168" s="251" t="e">
        <f t="shared" ca="1" si="22"/>
        <v>#N/A</v>
      </c>
      <c r="AN168" s="251" t="e">
        <f t="shared" ref="AN168:AN199" ca="1" si="24">IF(INDEX($C$10:$C$2000,AM168,1)=2,"L/W ",IF(INDEX($C$10:$C$2000,AM168,1)=3,"S/W ",IF(INDEX($C$10:$C$2000,AM168,1)=4,"W/W ","")))&amp;OFFSET($E$9,AM168,0)</f>
        <v>#N/A</v>
      </c>
      <c r="AO168" s="251" t="e">
        <f t="shared" ref="AO168:AO199" ca="1" si="25">(INDEX($C$10:$C$2000,AM168,1))</f>
        <v>#N/A</v>
      </c>
    </row>
    <row r="169" spans="1:41" x14ac:dyDescent="0.2">
      <c r="A169">
        <f t="shared" si="21"/>
        <v>7</v>
      </c>
      <c r="B169">
        <v>160</v>
      </c>
      <c r="C169" s="1078">
        <v>2</v>
      </c>
      <c r="D169" s="1077" t="s">
        <v>3599</v>
      </c>
      <c r="E169" s="1077" t="s">
        <v>4809</v>
      </c>
      <c r="F169" s="1185">
        <v>2</v>
      </c>
      <c r="G169" s="1178">
        <v>18.5</v>
      </c>
      <c r="H169" s="1178">
        <v>2.78</v>
      </c>
      <c r="I169" s="1178">
        <v>22.3</v>
      </c>
      <c r="J169" s="1178">
        <v>3.1</v>
      </c>
      <c r="K169" s="1178">
        <v>14.21</v>
      </c>
      <c r="L169" s="1178">
        <v>3.59</v>
      </c>
      <c r="M169" s="1178">
        <v>17.63</v>
      </c>
      <c r="N169" s="1178">
        <v>4.33</v>
      </c>
      <c r="O169" s="1178">
        <v>23.5</v>
      </c>
      <c r="P169" s="1178">
        <v>5.35</v>
      </c>
      <c r="Q169" s="1178">
        <v>21.8</v>
      </c>
      <c r="R169" s="1178">
        <v>2.34</v>
      </c>
      <c r="S169" s="1178">
        <v>17.37</v>
      </c>
      <c r="T169" s="1178">
        <v>3.11</v>
      </c>
      <c r="U169" s="1178">
        <v>21.73</v>
      </c>
      <c r="V169" s="1178">
        <v>3.9</v>
      </c>
      <c r="W169" s="1178"/>
      <c r="X169" s="1178"/>
      <c r="Y169" s="1178"/>
      <c r="Z169" s="1178"/>
      <c r="AA169" s="1178"/>
      <c r="AB169" s="1178"/>
      <c r="AC169" s="1178"/>
      <c r="AD169" s="1179"/>
      <c r="AH169" s="251">
        <v>130</v>
      </c>
      <c r="AI169" s="251" t="e">
        <f t="shared" si="23"/>
        <v>#N/A</v>
      </c>
      <c r="AJ169" s="251" t="e">
        <f t="shared" ref="AJ169:AJ232" ca="1" si="26">OFFSET($D$9,AI169,0)</f>
        <v>#N/A</v>
      </c>
      <c r="AL169" s="251">
        <f t="shared" ca="1" si="17"/>
        <v>1977</v>
      </c>
      <c r="AM169" s="251" t="e">
        <f t="shared" ca="1" si="22"/>
        <v>#N/A</v>
      </c>
      <c r="AN169" s="251" t="e">
        <f t="shared" ca="1" si="24"/>
        <v>#N/A</v>
      </c>
      <c r="AO169" s="251" t="e">
        <f t="shared" ca="1" si="25"/>
        <v>#N/A</v>
      </c>
    </row>
    <row r="170" spans="1:41" x14ac:dyDescent="0.2">
      <c r="A170">
        <f t="shared" si="21"/>
        <v>7</v>
      </c>
      <c r="B170">
        <v>161</v>
      </c>
      <c r="C170" s="1078">
        <v>2</v>
      </c>
      <c r="D170" s="1077" t="s">
        <v>3599</v>
      </c>
      <c r="E170" s="1077" t="s">
        <v>4878</v>
      </c>
      <c r="F170" s="1185">
        <v>2</v>
      </c>
      <c r="G170" s="1178">
        <v>18.600000000000001</v>
      </c>
      <c r="H170" s="1178">
        <v>2.2999999999999998</v>
      </c>
      <c r="I170" s="1178">
        <v>22.6</v>
      </c>
      <c r="J170" s="1178">
        <v>2.9</v>
      </c>
      <c r="K170" s="1178">
        <v>27.6</v>
      </c>
      <c r="L170" s="1178">
        <v>3.6</v>
      </c>
      <c r="M170" s="1178">
        <v>32.700000000000003</v>
      </c>
      <c r="N170" s="1178">
        <v>4.0999999999999996</v>
      </c>
      <c r="O170" s="1178">
        <v>43.5</v>
      </c>
      <c r="P170" s="1178">
        <v>5</v>
      </c>
      <c r="Q170" s="1178">
        <v>21.2</v>
      </c>
      <c r="R170" s="1178">
        <v>1.7</v>
      </c>
      <c r="S170" s="1178">
        <v>31.6</v>
      </c>
      <c r="T170" s="1178">
        <v>2.7</v>
      </c>
      <c r="U170" s="1178">
        <v>40.799999999999997</v>
      </c>
      <c r="V170" s="1178">
        <v>3.3</v>
      </c>
      <c r="W170" s="1178"/>
      <c r="X170" s="1178"/>
      <c r="Y170" s="1178"/>
      <c r="Z170" s="1178"/>
      <c r="AA170" s="1178"/>
      <c r="AB170" s="1178"/>
      <c r="AC170" s="1178"/>
      <c r="AD170" s="1179"/>
      <c r="AH170" s="251">
        <v>131</v>
      </c>
      <c r="AI170" s="251" t="e">
        <f t="shared" si="23"/>
        <v>#N/A</v>
      </c>
      <c r="AJ170" s="251" t="e">
        <f t="shared" ca="1" si="26"/>
        <v>#N/A</v>
      </c>
      <c r="AL170" s="251">
        <f t="shared" ref="AL170:AL233" ca="1" si="27">AL169+1</f>
        <v>1978</v>
      </c>
      <c r="AM170" s="251" t="e">
        <f t="shared" ca="1" si="22"/>
        <v>#N/A</v>
      </c>
      <c r="AN170" s="251" t="e">
        <f t="shared" ca="1" si="24"/>
        <v>#N/A</v>
      </c>
      <c r="AO170" s="251" t="e">
        <f t="shared" ca="1" si="25"/>
        <v>#N/A</v>
      </c>
    </row>
    <row r="171" spans="1:41" x14ac:dyDescent="0.2">
      <c r="A171">
        <f t="shared" si="21"/>
        <v>7</v>
      </c>
      <c r="B171">
        <v>162</v>
      </c>
      <c r="C171" s="1078">
        <v>2</v>
      </c>
      <c r="D171" s="1077" t="s">
        <v>3599</v>
      </c>
      <c r="E171" s="1077" t="s">
        <v>4810</v>
      </c>
      <c r="F171" s="1185">
        <v>2</v>
      </c>
      <c r="G171" s="1178">
        <v>31.7</v>
      </c>
      <c r="H171" s="1178">
        <v>2.6</v>
      </c>
      <c r="I171" s="1178">
        <v>38</v>
      </c>
      <c r="J171" s="1178">
        <v>3</v>
      </c>
      <c r="K171" s="1178">
        <v>26.6</v>
      </c>
      <c r="L171" s="1178">
        <v>3.6</v>
      </c>
      <c r="M171" s="1178">
        <v>35.299999999999997</v>
      </c>
      <c r="N171" s="1178">
        <v>4.5</v>
      </c>
      <c r="O171" s="1178">
        <v>44.4</v>
      </c>
      <c r="P171" s="1178">
        <v>5.25</v>
      </c>
      <c r="Q171" s="1178">
        <v>36.799999999999997</v>
      </c>
      <c r="R171" s="1178">
        <v>2.2999999999999998</v>
      </c>
      <c r="S171" s="1178">
        <v>31.7</v>
      </c>
      <c r="T171" s="1178">
        <v>3.2</v>
      </c>
      <c r="U171" s="1178">
        <v>40.5</v>
      </c>
      <c r="V171" s="1178">
        <v>3.9</v>
      </c>
      <c r="W171" s="1178"/>
      <c r="X171" s="1178"/>
      <c r="Y171" s="1178"/>
      <c r="Z171" s="1178"/>
      <c r="AA171" s="1178"/>
      <c r="AB171" s="1178"/>
      <c r="AC171" s="1178"/>
      <c r="AD171" s="1179"/>
      <c r="AH171" s="251">
        <v>132</v>
      </c>
      <c r="AI171" s="251" t="e">
        <f t="shared" si="23"/>
        <v>#N/A</v>
      </c>
      <c r="AJ171" s="251" t="e">
        <f t="shared" ca="1" si="26"/>
        <v>#N/A</v>
      </c>
      <c r="AL171" s="251">
        <f t="shared" ca="1" si="27"/>
        <v>1979</v>
      </c>
      <c r="AM171" s="251" t="e">
        <f t="shared" ca="1" si="22"/>
        <v>#N/A</v>
      </c>
      <c r="AN171" s="251" t="e">
        <f t="shared" ca="1" si="24"/>
        <v>#N/A</v>
      </c>
      <c r="AO171" s="251" t="e">
        <f t="shared" ca="1" si="25"/>
        <v>#N/A</v>
      </c>
    </row>
    <row r="172" spans="1:41" x14ac:dyDescent="0.2">
      <c r="A172">
        <f t="shared" si="21"/>
        <v>7</v>
      </c>
      <c r="B172">
        <v>163</v>
      </c>
      <c r="C172" s="1078">
        <v>2</v>
      </c>
      <c r="D172" s="1077" t="s">
        <v>3599</v>
      </c>
      <c r="E172" s="1077" t="s">
        <v>4811</v>
      </c>
      <c r="F172" s="1185">
        <v>2</v>
      </c>
      <c r="G172" s="1178">
        <v>31.7</v>
      </c>
      <c r="H172" s="1178">
        <v>2.6</v>
      </c>
      <c r="I172" s="1178">
        <v>38</v>
      </c>
      <c r="J172" s="1178">
        <v>3</v>
      </c>
      <c r="K172" s="1178">
        <v>26.6</v>
      </c>
      <c r="L172" s="1178">
        <v>3.6</v>
      </c>
      <c r="M172" s="1178">
        <v>35.299999999999997</v>
      </c>
      <c r="N172" s="1178">
        <v>4.5</v>
      </c>
      <c r="O172" s="1178">
        <v>44.4</v>
      </c>
      <c r="P172" s="1178">
        <v>5.25</v>
      </c>
      <c r="Q172" s="1178">
        <v>36.799999999999997</v>
      </c>
      <c r="R172" s="1178">
        <v>2.2999999999999998</v>
      </c>
      <c r="S172" s="1178">
        <v>31.7</v>
      </c>
      <c r="T172" s="1178">
        <v>3.2</v>
      </c>
      <c r="U172" s="1178">
        <v>40.5</v>
      </c>
      <c r="V172" s="1178">
        <v>3.9</v>
      </c>
      <c r="W172" s="1178"/>
      <c r="X172" s="1178"/>
      <c r="Y172" s="1178"/>
      <c r="Z172" s="1178"/>
      <c r="AA172" s="1178"/>
      <c r="AB172" s="1178"/>
      <c r="AC172" s="1178"/>
      <c r="AD172" s="1179"/>
      <c r="AH172" s="251">
        <v>133</v>
      </c>
      <c r="AI172" s="251" t="e">
        <f t="shared" si="23"/>
        <v>#N/A</v>
      </c>
      <c r="AJ172" s="251" t="e">
        <f t="shared" ca="1" si="26"/>
        <v>#N/A</v>
      </c>
      <c r="AL172" s="251">
        <f t="shared" ca="1" si="27"/>
        <v>1980</v>
      </c>
      <c r="AM172" s="251" t="e">
        <f t="shared" ca="1" si="22"/>
        <v>#N/A</v>
      </c>
      <c r="AN172" s="251" t="e">
        <f t="shared" ca="1" si="24"/>
        <v>#N/A</v>
      </c>
      <c r="AO172" s="251" t="e">
        <f t="shared" ca="1" si="25"/>
        <v>#N/A</v>
      </c>
    </row>
    <row r="173" spans="1:41" x14ac:dyDescent="0.2">
      <c r="A173">
        <f t="shared" si="21"/>
        <v>7</v>
      </c>
      <c r="B173">
        <v>164</v>
      </c>
      <c r="C173" s="1078">
        <v>2</v>
      </c>
      <c r="D173" s="1077" t="s">
        <v>3599</v>
      </c>
      <c r="E173" s="1077" t="s">
        <v>4871</v>
      </c>
      <c r="F173" s="1185">
        <v>1</v>
      </c>
      <c r="G173" s="1178">
        <v>3</v>
      </c>
      <c r="H173" s="1178">
        <v>2.2000000000000002</v>
      </c>
      <c r="I173" s="1178">
        <v>3.9</v>
      </c>
      <c r="J173" s="1178">
        <v>2.9</v>
      </c>
      <c r="K173" s="1178">
        <v>5.0999999999999996</v>
      </c>
      <c r="L173" s="1178">
        <v>3.8</v>
      </c>
      <c r="M173" s="1178">
        <v>6.4</v>
      </c>
      <c r="N173" s="1178">
        <v>4.5999999999999996</v>
      </c>
      <c r="O173" s="1178">
        <v>8</v>
      </c>
      <c r="P173" s="1178">
        <v>5.7</v>
      </c>
      <c r="Q173" s="1178">
        <v>3.6</v>
      </c>
      <c r="R173" s="1178">
        <v>1.8</v>
      </c>
      <c r="S173" s="1178">
        <v>5.7</v>
      </c>
      <c r="T173" s="1178">
        <v>2.7</v>
      </c>
      <c r="U173" s="1178">
        <v>7.3</v>
      </c>
      <c r="V173" s="1178">
        <v>3.4</v>
      </c>
      <c r="W173" s="1178"/>
      <c r="X173" s="1178"/>
      <c r="Y173" s="1178"/>
      <c r="Z173" s="1178"/>
      <c r="AA173" s="1178"/>
      <c r="AB173" s="1178"/>
      <c r="AC173" s="1178"/>
      <c r="AD173" s="1179"/>
      <c r="AH173" s="251">
        <v>134</v>
      </c>
      <c r="AI173" s="251" t="e">
        <f t="shared" si="23"/>
        <v>#N/A</v>
      </c>
      <c r="AJ173" s="251" t="e">
        <f t="shared" ca="1" si="26"/>
        <v>#N/A</v>
      </c>
      <c r="AL173" s="251">
        <f t="shared" ca="1" si="27"/>
        <v>1981</v>
      </c>
      <c r="AM173" s="251" t="e">
        <f t="shared" ca="1" si="22"/>
        <v>#N/A</v>
      </c>
      <c r="AN173" s="251" t="e">
        <f t="shared" ca="1" si="24"/>
        <v>#N/A</v>
      </c>
      <c r="AO173" s="251" t="e">
        <f t="shared" ca="1" si="25"/>
        <v>#N/A</v>
      </c>
    </row>
    <row r="174" spans="1:41" x14ac:dyDescent="0.2">
      <c r="A174">
        <f t="shared" si="21"/>
        <v>7</v>
      </c>
      <c r="B174">
        <v>165</v>
      </c>
      <c r="C174" s="1078">
        <v>2</v>
      </c>
      <c r="D174" s="1077" t="s">
        <v>3599</v>
      </c>
      <c r="E174" s="1077" t="s">
        <v>4872</v>
      </c>
      <c r="F174" s="1185">
        <v>1</v>
      </c>
      <c r="G174" s="1178">
        <v>3</v>
      </c>
      <c r="H174" s="1178">
        <v>2.2000000000000002</v>
      </c>
      <c r="I174" s="1178">
        <v>3.9</v>
      </c>
      <c r="J174" s="1178">
        <v>2.9</v>
      </c>
      <c r="K174" s="1178">
        <v>5.0999999999999996</v>
      </c>
      <c r="L174" s="1178">
        <v>3.8</v>
      </c>
      <c r="M174" s="1178">
        <v>6.4</v>
      </c>
      <c r="N174" s="1178">
        <v>4.5999999999999996</v>
      </c>
      <c r="O174" s="1178">
        <v>8</v>
      </c>
      <c r="P174" s="1178">
        <v>5.7</v>
      </c>
      <c r="Q174" s="1178">
        <v>3.6</v>
      </c>
      <c r="R174" s="1178">
        <v>1.8</v>
      </c>
      <c r="S174" s="1178">
        <v>5.7</v>
      </c>
      <c r="T174" s="1178">
        <v>2.7</v>
      </c>
      <c r="U174" s="1178">
        <v>7.3</v>
      </c>
      <c r="V174" s="1178">
        <v>3.4</v>
      </c>
      <c r="W174" s="1178"/>
      <c r="X174" s="1178"/>
      <c r="Y174" s="1178"/>
      <c r="Z174" s="1178"/>
      <c r="AA174" s="1178"/>
      <c r="AB174" s="1178"/>
      <c r="AC174" s="1178"/>
      <c r="AD174" s="1179"/>
      <c r="AH174" s="251">
        <v>135</v>
      </c>
      <c r="AI174" s="251" t="e">
        <f t="shared" si="23"/>
        <v>#N/A</v>
      </c>
      <c r="AJ174" s="251" t="e">
        <f t="shared" ca="1" si="26"/>
        <v>#N/A</v>
      </c>
      <c r="AL174" s="251">
        <f t="shared" ca="1" si="27"/>
        <v>1982</v>
      </c>
      <c r="AM174" s="251" t="e">
        <f t="shared" ca="1" si="22"/>
        <v>#N/A</v>
      </c>
      <c r="AN174" s="251" t="e">
        <f t="shared" ca="1" si="24"/>
        <v>#N/A</v>
      </c>
      <c r="AO174" s="251" t="e">
        <f t="shared" ca="1" si="25"/>
        <v>#N/A</v>
      </c>
    </row>
    <row r="175" spans="1:41" x14ac:dyDescent="0.2">
      <c r="A175">
        <f t="shared" si="21"/>
        <v>7</v>
      </c>
      <c r="B175">
        <v>166</v>
      </c>
      <c r="C175" s="1078">
        <v>2</v>
      </c>
      <c r="D175" s="1077" t="s">
        <v>3599</v>
      </c>
      <c r="E175" s="1077" t="s">
        <v>4088</v>
      </c>
      <c r="F175" s="1185">
        <v>1</v>
      </c>
      <c r="G175" s="1178">
        <v>4.3</v>
      </c>
      <c r="H175" s="1178">
        <v>2.6</v>
      </c>
      <c r="I175" s="1178">
        <v>5.5</v>
      </c>
      <c r="J175" s="1178">
        <v>3.2</v>
      </c>
      <c r="K175" s="1178">
        <v>7.2</v>
      </c>
      <c r="L175" s="1178">
        <v>4.2</v>
      </c>
      <c r="M175" s="1178">
        <v>8.4</v>
      </c>
      <c r="N175" s="1178">
        <v>4.8</v>
      </c>
      <c r="O175" s="1178">
        <v>11.3</v>
      </c>
      <c r="P175" s="1178">
        <v>6.7</v>
      </c>
      <c r="Q175" s="1178">
        <v>5.3</v>
      </c>
      <c r="R175" s="1178">
        <v>2.1</v>
      </c>
      <c r="S175" s="1178">
        <v>8</v>
      </c>
      <c r="T175" s="1178">
        <v>3.1</v>
      </c>
      <c r="U175" s="1178">
        <v>9.5</v>
      </c>
      <c r="V175" s="1178">
        <v>3.7</v>
      </c>
      <c r="W175" s="1178"/>
      <c r="X175" s="1178"/>
      <c r="Y175" s="1178"/>
      <c r="Z175" s="1178"/>
      <c r="AA175" s="1178"/>
      <c r="AB175" s="1178"/>
      <c r="AC175" s="1178"/>
      <c r="AD175" s="1179"/>
      <c r="AH175" s="251">
        <v>136</v>
      </c>
      <c r="AI175" s="251" t="e">
        <f t="shared" si="23"/>
        <v>#N/A</v>
      </c>
      <c r="AJ175" s="251" t="e">
        <f t="shared" ca="1" si="26"/>
        <v>#N/A</v>
      </c>
      <c r="AL175" s="251">
        <f t="shared" ca="1" si="27"/>
        <v>1983</v>
      </c>
      <c r="AM175" s="251" t="e">
        <f t="shared" ca="1" si="22"/>
        <v>#N/A</v>
      </c>
      <c r="AN175" s="251" t="e">
        <f t="shared" ca="1" si="24"/>
        <v>#N/A</v>
      </c>
      <c r="AO175" s="251" t="e">
        <f t="shared" ca="1" si="25"/>
        <v>#N/A</v>
      </c>
    </row>
    <row r="176" spans="1:41" x14ac:dyDescent="0.2">
      <c r="A176">
        <f t="shared" si="21"/>
        <v>7</v>
      </c>
      <c r="B176">
        <v>167</v>
      </c>
      <c r="C176" s="1078">
        <v>2</v>
      </c>
      <c r="D176" s="1077" t="s">
        <v>3599</v>
      </c>
      <c r="E176" s="1077" t="s">
        <v>4874</v>
      </c>
      <c r="F176" s="1185">
        <v>1</v>
      </c>
      <c r="G176" s="1178">
        <v>4.3</v>
      </c>
      <c r="H176" s="1178">
        <v>2.6</v>
      </c>
      <c r="I176" s="1178">
        <v>5.5</v>
      </c>
      <c r="J176" s="1178">
        <v>3.2</v>
      </c>
      <c r="K176" s="1178">
        <v>7.2</v>
      </c>
      <c r="L176" s="1178">
        <v>4.2</v>
      </c>
      <c r="M176" s="1178">
        <v>8.4</v>
      </c>
      <c r="N176" s="1178">
        <v>4.8</v>
      </c>
      <c r="O176" s="1178">
        <v>11.3</v>
      </c>
      <c r="P176" s="1178">
        <v>6.7</v>
      </c>
      <c r="Q176" s="1178">
        <v>5.3</v>
      </c>
      <c r="R176" s="1178">
        <v>2.1</v>
      </c>
      <c r="S176" s="1178">
        <v>8</v>
      </c>
      <c r="T176" s="1178">
        <v>3.1</v>
      </c>
      <c r="U176" s="1178">
        <v>9.5</v>
      </c>
      <c r="V176" s="1178">
        <v>3.7</v>
      </c>
      <c r="W176" s="1178"/>
      <c r="X176" s="1178"/>
      <c r="Y176" s="1178"/>
      <c r="Z176" s="1178"/>
      <c r="AA176" s="1178"/>
      <c r="AB176" s="1178"/>
      <c r="AC176" s="1178"/>
      <c r="AD176" s="1179"/>
      <c r="AH176" s="251">
        <v>137</v>
      </c>
      <c r="AI176" s="251" t="e">
        <f t="shared" si="23"/>
        <v>#N/A</v>
      </c>
      <c r="AJ176" s="251" t="e">
        <f t="shared" ca="1" si="26"/>
        <v>#N/A</v>
      </c>
      <c r="AL176" s="251">
        <f t="shared" ca="1" si="27"/>
        <v>1984</v>
      </c>
      <c r="AM176" s="251" t="e">
        <f t="shared" ca="1" si="22"/>
        <v>#N/A</v>
      </c>
      <c r="AN176" s="251" t="e">
        <f t="shared" ca="1" si="24"/>
        <v>#N/A</v>
      </c>
      <c r="AO176" s="251" t="e">
        <f t="shared" ca="1" si="25"/>
        <v>#N/A</v>
      </c>
    </row>
    <row r="177" spans="1:41" x14ac:dyDescent="0.2">
      <c r="A177">
        <f t="shared" si="21"/>
        <v>7</v>
      </c>
      <c r="B177">
        <v>168</v>
      </c>
      <c r="C177" s="1078">
        <v>2</v>
      </c>
      <c r="D177" s="1077" t="s">
        <v>3599</v>
      </c>
      <c r="E177" s="1077" t="s">
        <v>4091</v>
      </c>
      <c r="F177" s="1185">
        <v>1</v>
      </c>
      <c r="G177" s="1178">
        <v>5.7</v>
      </c>
      <c r="H177" s="1178">
        <v>2.5</v>
      </c>
      <c r="I177" s="1178">
        <v>7</v>
      </c>
      <c r="J177" s="1178">
        <v>3</v>
      </c>
      <c r="K177" s="1178">
        <v>8.3000000000000007</v>
      </c>
      <c r="L177" s="1178">
        <v>3.6</v>
      </c>
      <c r="M177" s="1178">
        <v>10.7</v>
      </c>
      <c r="N177" s="1178">
        <v>4.2</v>
      </c>
      <c r="O177" s="1178">
        <v>12.9</v>
      </c>
      <c r="P177" s="1178">
        <v>5.4</v>
      </c>
      <c r="Q177" s="1178">
        <v>6.6</v>
      </c>
      <c r="R177" s="1178">
        <v>2</v>
      </c>
      <c r="S177" s="1178">
        <v>10.1</v>
      </c>
      <c r="T177" s="1178">
        <v>2.7</v>
      </c>
      <c r="U177" s="1178">
        <v>12.2</v>
      </c>
      <c r="V177" s="1178">
        <v>3.3</v>
      </c>
      <c r="W177" s="1178"/>
      <c r="X177" s="1178"/>
      <c r="Y177" s="1178"/>
      <c r="Z177" s="1178"/>
      <c r="AA177" s="1178"/>
      <c r="AB177" s="1178"/>
      <c r="AC177" s="1178"/>
      <c r="AD177" s="1179"/>
      <c r="AH177" s="251">
        <v>138</v>
      </c>
      <c r="AI177" s="251" t="e">
        <f t="shared" si="23"/>
        <v>#N/A</v>
      </c>
      <c r="AJ177" s="251" t="e">
        <f t="shared" ca="1" si="26"/>
        <v>#N/A</v>
      </c>
      <c r="AL177" s="251">
        <f t="shared" ca="1" si="27"/>
        <v>1985</v>
      </c>
      <c r="AM177" s="251" t="e">
        <f t="shared" ca="1" si="22"/>
        <v>#N/A</v>
      </c>
      <c r="AN177" s="251" t="e">
        <f t="shared" ca="1" si="24"/>
        <v>#N/A</v>
      </c>
      <c r="AO177" s="251" t="e">
        <f t="shared" ca="1" si="25"/>
        <v>#N/A</v>
      </c>
    </row>
    <row r="178" spans="1:41" x14ac:dyDescent="0.2">
      <c r="A178">
        <f t="shared" si="21"/>
        <v>7</v>
      </c>
      <c r="B178">
        <v>169</v>
      </c>
      <c r="C178" s="1078">
        <v>2</v>
      </c>
      <c r="D178" s="1077" t="s">
        <v>3599</v>
      </c>
      <c r="E178" s="1077" t="s">
        <v>4094</v>
      </c>
      <c r="F178" s="1185">
        <v>1</v>
      </c>
      <c r="G178" s="1178">
        <v>5.7</v>
      </c>
      <c r="H178" s="1178">
        <v>2.2000000000000002</v>
      </c>
      <c r="I178" s="1178">
        <v>7.1</v>
      </c>
      <c r="J178" s="1178">
        <v>3.1</v>
      </c>
      <c r="K178" s="1178">
        <v>9.4</v>
      </c>
      <c r="L178" s="1178">
        <v>4</v>
      </c>
      <c r="M178" s="1178">
        <v>11.5</v>
      </c>
      <c r="N178" s="1178">
        <v>4.8</v>
      </c>
      <c r="O178" s="1178">
        <v>14.3</v>
      </c>
      <c r="P178" s="1178">
        <v>6</v>
      </c>
      <c r="Q178" s="1178">
        <v>6.5</v>
      </c>
      <c r="R178" s="1178">
        <v>2</v>
      </c>
      <c r="S178" s="1178">
        <v>10.3</v>
      </c>
      <c r="T178" s="1178">
        <v>3.1</v>
      </c>
      <c r="U178" s="1178">
        <v>12.9</v>
      </c>
      <c r="V178" s="1178">
        <v>3.6</v>
      </c>
      <c r="W178" s="1178"/>
      <c r="X178" s="1178"/>
      <c r="Y178" s="1178"/>
      <c r="Z178" s="1178"/>
      <c r="AA178" s="1178"/>
      <c r="AB178" s="1178"/>
      <c r="AC178" s="1178"/>
      <c r="AD178" s="1179"/>
      <c r="AH178" s="251">
        <v>139</v>
      </c>
      <c r="AI178" s="251" t="e">
        <f t="shared" si="23"/>
        <v>#N/A</v>
      </c>
      <c r="AJ178" s="251" t="e">
        <f t="shared" ca="1" si="26"/>
        <v>#N/A</v>
      </c>
      <c r="AL178" s="251">
        <f t="shared" ca="1" si="27"/>
        <v>1986</v>
      </c>
      <c r="AM178" s="251" t="e">
        <f t="shared" ca="1" si="22"/>
        <v>#N/A</v>
      </c>
      <c r="AN178" s="251" t="e">
        <f t="shared" ca="1" si="24"/>
        <v>#N/A</v>
      </c>
      <c r="AO178" s="251" t="e">
        <f t="shared" ca="1" si="25"/>
        <v>#N/A</v>
      </c>
    </row>
    <row r="179" spans="1:41" x14ac:dyDescent="0.2">
      <c r="A179">
        <f t="shared" si="21"/>
        <v>7</v>
      </c>
      <c r="B179">
        <v>170</v>
      </c>
      <c r="C179" s="1078">
        <v>2</v>
      </c>
      <c r="D179" s="1077" t="s">
        <v>3599</v>
      </c>
      <c r="E179" s="1077" t="s">
        <v>4808</v>
      </c>
      <c r="F179" s="1185">
        <v>4</v>
      </c>
      <c r="G179" s="1178">
        <v>8.6999999999999993</v>
      </c>
      <c r="H179" s="1178">
        <v>2.6</v>
      </c>
      <c r="I179" s="1178">
        <v>10.7</v>
      </c>
      <c r="J179" s="1178">
        <v>3.1</v>
      </c>
      <c r="K179" s="1178">
        <v>6</v>
      </c>
      <c r="L179" s="1178">
        <v>4.2</v>
      </c>
      <c r="M179" s="1178">
        <v>7.1</v>
      </c>
      <c r="N179" s="1178">
        <v>5.0999999999999996</v>
      </c>
      <c r="O179" s="1178">
        <v>8.4</v>
      </c>
      <c r="P179" s="1178">
        <v>6.1</v>
      </c>
      <c r="Q179" s="1178">
        <v>9.4</v>
      </c>
      <c r="R179" s="1178">
        <v>2</v>
      </c>
      <c r="S179" s="1178">
        <v>7.1</v>
      </c>
      <c r="T179" s="1178">
        <v>3.2</v>
      </c>
      <c r="U179" s="1178">
        <v>13.2</v>
      </c>
      <c r="V179" s="1178">
        <v>3.6</v>
      </c>
      <c r="W179" s="1178"/>
      <c r="X179" s="1178"/>
      <c r="Y179" s="1178"/>
      <c r="Z179" s="1178"/>
      <c r="AA179" s="1178"/>
      <c r="AB179" s="1178"/>
      <c r="AC179" s="1178"/>
      <c r="AD179" s="1179"/>
      <c r="AH179" s="251">
        <v>140</v>
      </c>
      <c r="AI179" s="251" t="e">
        <f t="shared" si="23"/>
        <v>#N/A</v>
      </c>
      <c r="AJ179" s="251" t="e">
        <f t="shared" ca="1" si="26"/>
        <v>#N/A</v>
      </c>
      <c r="AL179" s="251">
        <f t="shared" ca="1" si="27"/>
        <v>1987</v>
      </c>
      <c r="AM179" s="251" t="e">
        <f t="shared" ca="1" si="22"/>
        <v>#N/A</v>
      </c>
      <c r="AN179" s="251" t="e">
        <f t="shared" ca="1" si="24"/>
        <v>#N/A</v>
      </c>
      <c r="AO179" s="251" t="e">
        <f t="shared" ca="1" si="25"/>
        <v>#N/A</v>
      </c>
    </row>
    <row r="180" spans="1:41" x14ac:dyDescent="0.2">
      <c r="A180">
        <f t="shared" si="21"/>
        <v>7</v>
      </c>
      <c r="B180">
        <v>171</v>
      </c>
      <c r="C180" s="1078">
        <v>2</v>
      </c>
      <c r="D180" s="1077" t="s">
        <v>3599</v>
      </c>
      <c r="E180" s="1077" t="s">
        <v>4099</v>
      </c>
      <c r="F180" s="1185">
        <v>1</v>
      </c>
      <c r="G180" s="1178">
        <v>8.6</v>
      </c>
      <c r="H180" s="1178">
        <v>2.2000000000000002</v>
      </c>
      <c r="I180" s="1178">
        <v>10.7</v>
      </c>
      <c r="J180" s="1178">
        <v>2.7</v>
      </c>
      <c r="K180" s="1178">
        <v>13.4</v>
      </c>
      <c r="L180" s="1178">
        <v>3.3</v>
      </c>
      <c r="M180" s="1178">
        <v>16.399999999999999</v>
      </c>
      <c r="N180" s="1178">
        <v>4</v>
      </c>
      <c r="O180" s="1178">
        <v>22.4</v>
      </c>
      <c r="P180" s="1178">
        <v>5.2</v>
      </c>
      <c r="Q180" s="1178">
        <v>9.1999999999999993</v>
      </c>
      <c r="R180" s="1178">
        <v>1.6</v>
      </c>
      <c r="S180" s="1178">
        <v>15.3</v>
      </c>
      <c r="T180" s="1178">
        <v>2.5</v>
      </c>
      <c r="U180" s="1178">
        <v>21.4</v>
      </c>
      <c r="V180" s="1178">
        <v>3.5</v>
      </c>
      <c r="W180" s="1178"/>
      <c r="X180" s="1178"/>
      <c r="Y180" s="1178"/>
      <c r="Z180" s="1178"/>
      <c r="AA180" s="1178"/>
      <c r="AB180" s="1178"/>
      <c r="AC180" s="1178"/>
      <c r="AD180" s="1179"/>
      <c r="AH180" s="251">
        <v>141</v>
      </c>
      <c r="AI180" s="251" t="e">
        <f t="shared" si="23"/>
        <v>#N/A</v>
      </c>
      <c r="AJ180" s="251" t="e">
        <f t="shared" ca="1" si="26"/>
        <v>#N/A</v>
      </c>
      <c r="AL180" s="251">
        <f t="shared" ca="1" si="27"/>
        <v>1988</v>
      </c>
      <c r="AM180" s="251" t="e">
        <f t="shared" ca="1" si="22"/>
        <v>#N/A</v>
      </c>
      <c r="AN180" s="251" t="e">
        <f t="shared" ca="1" si="24"/>
        <v>#N/A</v>
      </c>
      <c r="AO180" s="251" t="e">
        <f t="shared" ca="1" si="25"/>
        <v>#N/A</v>
      </c>
    </row>
    <row r="181" spans="1:41" x14ac:dyDescent="0.2">
      <c r="A181">
        <f t="shared" si="21"/>
        <v>7</v>
      </c>
      <c r="B181">
        <v>172</v>
      </c>
      <c r="C181" s="1078">
        <v>2</v>
      </c>
      <c r="D181" s="1077" t="s">
        <v>3599</v>
      </c>
      <c r="E181" s="1077" t="s">
        <v>4103</v>
      </c>
      <c r="F181" s="1185">
        <v>2</v>
      </c>
      <c r="G181" s="1178">
        <v>10.199999999999999</v>
      </c>
      <c r="H181" s="1178">
        <v>2.6</v>
      </c>
      <c r="I181" s="1178">
        <v>12.8</v>
      </c>
      <c r="J181" s="1178">
        <v>2.9</v>
      </c>
      <c r="K181" s="1178">
        <v>14.7</v>
      </c>
      <c r="L181" s="1178">
        <v>3.3</v>
      </c>
      <c r="M181" s="1178">
        <v>17.7</v>
      </c>
      <c r="N181" s="1178">
        <v>4</v>
      </c>
      <c r="O181" s="1178">
        <v>22.2</v>
      </c>
      <c r="P181" s="1178">
        <v>5</v>
      </c>
      <c r="Q181" s="1178">
        <v>12.2</v>
      </c>
      <c r="R181" s="1178">
        <v>1.9</v>
      </c>
      <c r="S181" s="1178">
        <v>17.399999999999999</v>
      </c>
      <c r="T181" s="1178">
        <v>2.4</v>
      </c>
      <c r="U181" s="1178">
        <v>24.2</v>
      </c>
      <c r="V181" s="1178">
        <v>2.8</v>
      </c>
      <c r="W181" s="1178"/>
      <c r="X181" s="1178"/>
      <c r="Y181" s="1178"/>
      <c r="Z181" s="1178"/>
      <c r="AA181" s="1178"/>
      <c r="AB181" s="1178"/>
      <c r="AC181" s="1178"/>
      <c r="AD181" s="1179"/>
      <c r="AH181" s="251">
        <v>142</v>
      </c>
      <c r="AI181" s="251" t="e">
        <f t="shared" si="23"/>
        <v>#N/A</v>
      </c>
      <c r="AJ181" s="251" t="e">
        <f t="shared" ca="1" si="26"/>
        <v>#N/A</v>
      </c>
      <c r="AL181" s="251">
        <f t="shared" ca="1" si="27"/>
        <v>1989</v>
      </c>
      <c r="AM181" s="251" t="e">
        <f t="shared" ca="1" si="22"/>
        <v>#N/A</v>
      </c>
      <c r="AN181" s="251" t="e">
        <f t="shared" ca="1" si="24"/>
        <v>#N/A</v>
      </c>
      <c r="AO181" s="251" t="e">
        <f t="shared" ca="1" si="25"/>
        <v>#N/A</v>
      </c>
    </row>
    <row r="182" spans="1:41" x14ac:dyDescent="0.2">
      <c r="A182">
        <f t="shared" si="21"/>
        <v>7</v>
      </c>
      <c r="B182">
        <v>173</v>
      </c>
      <c r="C182" s="1078">
        <v>2</v>
      </c>
      <c r="D182" s="1077" t="s">
        <v>3599</v>
      </c>
      <c r="E182" s="1077" t="s">
        <v>4105</v>
      </c>
      <c r="F182" s="1185">
        <v>2</v>
      </c>
      <c r="G182" s="1178">
        <v>12.9</v>
      </c>
      <c r="H182" s="1178">
        <v>2.2999999999999998</v>
      </c>
      <c r="I182" s="1178">
        <v>15.7</v>
      </c>
      <c r="J182" s="1178">
        <v>2.7</v>
      </c>
      <c r="K182" s="1178">
        <v>19.899999999999999</v>
      </c>
      <c r="L182" s="1178">
        <v>3.4</v>
      </c>
      <c r="M182" s="1178">
        <v>23.4</v>
      </c>
      <c r="N182" s="1178">
        <v>3.9</v>
      </c>
      <c r="O182" s="1178">
        <v>27.5</v>
      </c>
      <c r="P182" s="1178">
        <v>4.4000000000000004</v>
      </c>
      <c r="Q182" s="1178">
        <v>15.7</v>
      </c>
      <c r="R182" s="1178">
        <v>1.9</v>
      </c>
      <c r="S182" s="1178">
        <v>22.3</v>
      </c>
      <c r="T182" s="1178">
        <v>2.6</v>
      </c>
      <c r="U182" s="1178">
        <v>26.3</v>
      </c>
      <c r="V182" s="1178">
        <v>3</v>
      </c>
      <c r="W182" s="1178"/>
      <c r="X182" s="1178"/>
      <c r="Y182" s="1178"/>
      <c r="Z182" s="1178"/>
      <c r="AA182" s="1178"/>
      <c r="AB182" s="1178"/>
      <c r="AC182" s="1178"/>
      <c r="AD182" s="1179"/>
      <c r="AH182" s="251">
        <v>143</v>
      </c>
      <c r="AI182" s="251" t="e">
        <f t="shared" si="23"/>
        <v>#N/A</v>
      </c>
      <c r="AJ182" s="251" t="e">
        <f t="shared" ca="1" si="26"/>
        <v>#N/A</v>
      </c>
      <c r="AL182" s="251">
        <f t="shared" ca="1" si="27"/>
        <v>1990</v>
      </c>
      <c r="AM182" s="251" t="e">
        <f t="shared" ca="1" si="22"/>
        <v>#N/A</v>
      </c>
      <c r="AN182" s="251" t="e">
        <f t="shared" ca="1" si="24"/>
        <v>#N/A</v>
      </c>
      <c r="AO182" s="251" t="e">
        <f t="shared" ca="1" si="25"/>
        <v>#N/A</v>
      </c>
    </row>
    <row r="183" spans="1:41" x14ac:dyDescent="0.2">
      <c r="A183">
        <f t="shared" si="21"/>
        <v>7</v>
      </c>
      <c r="B183">
        <v>174</v>
      </c>
      <c r="C183" s="1078">
        <v>2</v>
      </c>
      <c r="D183" s="1077" t="s">
        <v>3599</v>
      </c>
      <c r="E183" s="1077" t="s">
        <v>4107</v>
      </c>
      <c r="F183" s="1185">
        <v>2</v>
      </c>
      <c r="G183" s="1178">
        <v>18.2</v>
      </c>
      <c r="H183" s="1178">
        <v>2.2999999999999998</v>
      </c>
      <c r="I183" s="1178">
        <v>21.6</v>
      </c>
      <c r="J183" s="1178">
        <v>2.8</v>
      </c>
      <c r="K183" s="1178">
        <v>25.2</v>
      </c>
      <c r="L183" s="1178">
        <v>3.3</v>
      </c>
      <c r="M183" s="1178">
        <v>27.8</v>
      </c>
      <c r="N183" s="1178">
        <v>3.5</v>
      </c>
      <c r="O183" s="1178">
        <v>30.5</v>
      </c>
      <c r="P183" s="1178">
        <v>4.0999999999999996</v>
      </c>
      <c r="Q183" s="1178">
        <v>21.4</v>
      </c>
      <c r="R183" s="1178">
        <v>1.9</v>
      </c>
      <c r="S183" s="1178">
        <v>25.6</v>
      </c>
      <c r="T183" s="1178">
        <v>2.4</v>
      </c>
      <c r="U183" s="1178">
        <v>29.7</v>
      </c>
      <c r="V183" s="1178">
        <v>2.7</v>
      </c>
      <c r="W183" s="1178"/>
      <c r="X183" s="1178"/>
      <c r="Y183" s="1178"/>
      <c r="Z183" s="1178"/>
      <c r="AA183" s="1178"/>
      <c r="AB183" s="1178"/>
      <c r="AC183" s="1178"/>
      <c r="AD183" s="1179"/>
      <c r="AH183" s="251">
        <v>144</v>
      </c>
      <c r="AI183" s="251" t="e">
        <f t="shared" si="23"/>
        <v>#N/A</v>
      </c>
      <c r="AJ183" s="251" t="e">
        <f t="shared" ca="1" si="26"/>
        <v>#N/A</v>
      </c>
      <c r="AL183" s="251">
        <f t="shared" ca="1" si="27"/>
        <v>1991</v>
      </c>
      <c r="AM183" s="251" t="e">
        <f t="shared" ca="1" si="22"/>
        <v>#N/A</v>
      </c>
      <c r="AN183" s="251" t="e">
        <f t="shared" ca="1" si="24"/>
        <v>#N/A</v>
      </c>
      <c r="AO183" s="251" t="e">
        <f t="shared" ca="1" si="25"/>
        <v>#N/A</v>
      </c>
    </row>
    <row r="184" spans="1:41" x14ac:dyDescent="0.2">
      <c r="A184">
        <f t="shared" si="21"/>
        <v>7</v>
      </c>
      <c r="B184">
        <v>175</v>
      </c>
      <c r="C184" s="1081">
        <v>2</v>
      </c>
      <c r="D184" s="1082" t="s">
        <v>3599</v>
      </c>
      <c r="E184" s="1082" t="s">
        <v>4086</v>
      </c>
      <c r="F184" s="1188">
        <v>1</v>
      </c>
      <c r="G184" s="1196">
        <v>4.2</v>
      </c>
      <c r="H184" s="1196">
        <v>2.4</v>
      </c>
      <c r="I184" s="1196">
        <v>5.4</v>
      </c>
      <c r="J184" s="1196">
        <v>3</v>
      </c>
      <c r="K184" s="1196">
        <v>6.8</v>
      </c>
      <c r="L184" s="1196">
        <v>3.9</v>
      </c>
      <c r="M184" s="1196">
        <v>8.5</v>
      </c>
      <c r="N184" s="1196">
        <v>4.7</v>
      </c>
      <c r="O184" s="1196">
        <v>10.6</v>
      </c>
      <c r="P184" s="1196">
        <v>6</v>
      </c>
      <c r="Q184" s="1196">
        <v>5</v>
      </c>
      <c r="R184" s="1196">
        <v>1.9</v>
      </c>
      <c r="S184" s="1196">
        <v>7.5</v>
      </c>
      <c r="T184" s="1196">
        <v>2.9</v>
      </c>
      <c r="U184" s="1196">
        <v>9.6</v>
      </c>
      <c r="V184" s="1196">
        <v>3.7</v>
      </c>
      <c r="W184" s="1196"/>
      <c r="X184" s="1196"/>
      <c r="Y184" s="1196"/>
      <c r="Z184" s="1196"/>
      <c r="AA184" s="1196"/>
      <c r="AB184" s="1196"/>
      <c r="AC184" s="1196"/>
      <c r="AD184" s="1197"/>
      <c r="AH184" s="251">
        <v>145</v>
      </c>
      <c r="AI184" s="251" t="e">
        <f t="shared" si="23"/>
        <v>#N/A</v>
      </c>
      <c r="AJ184" s="251" t="e">
        <f t="shared" ca="1" si="26"/>
        <v>#N/A</v>
      </c>
      <c r="AL184" s="251">
        <f t="shared" ca="1" si="27"/>
        <v>1992</v>
      </c>
      <c r="AM184" s="251" t="e">
        <f t="shared" ca="1" si="22"/>
        <v>#N/A</v>
      </c>
      <c r="AN184" s="251" t="e">
        <f t="shared" ca="1" si="24"/>
        <v>#N/A</v>
      </c>
      <c r="AO184" s="251" t="e">
        <f t="shared" ca="1" si="25"/>
        <v>#N/A</v>
      </c>
    </row>
    <row r="185" spans="1:41" x14ac:dyDescent="0.2">
      <c r="A185">
        <f t="shared" si="21"/>
        <v>7</v>
      </c>
      <c r="B185">
        <v>176</v>
      </c>
      <c r="C185" s="1190">
        <v>2</v>
      </c>
      <c r="D185" s="1191" t="s">
        <v>3599</v>
      </c>
      <c r="E185" s="1191" t="s">
        <v>4873</v>
      </c>
      <c r="F185" s="1192">
        <v>1</v>
      </c>
      <c r="G185" s="1198">
        <v>5.6</v>
      </c>
      <c r="H185" s="1198">
        <v>2.7</v>
      </c>
      <c r="I185" s="1198">
        <v>7.1</v>
      </c>
      <c r="J185" s="1198">
        <v>3.3</v>
      </c>
      <c r="K185" s="1198">
        <v>9.4</v>
      </c>
      <c r="L185" s="1198">
        <v>4.2</v>
      </c>
      <c r="M185" s="1198">
        <v>11.5</v>
      </c>
      <c r="N185" s="1198">
        <v>5</v>
      </c>
      <c r="O185" s="1198">
        <v>14.4</v>
      </c>
      <c r="P185" s="1198">
        <v>6.4</v>
      </c>
      <c r="Q185" s="1198">
        <v>7</v>
      </c>
      <c r="R185" s="1198">
        <v>2.2000000000000002</v>
      </c>
      <c r="S185" s="1198">
        <v>10.3</v>
      </c>
      <c r="T185" s="1198">
        <v>3.2</v>
      </c>
      <c r="U185" s="1198">
        <v>12.8</v>
      </c>
      <c r="V185" s="1198">
        <v>3.7</v>
      </c>
      <c r="W185" s="1198"/>
      <c r="X185" s="1198"/>
      <c r="Y185" s="1198"/>
      <c r="Z185" s="1198"/>
      <c r="AA185" s="1198"/>
      <c r="AB185" s="1198"/>
      <c r="AC185" s="1198"/>
      <c r="AD185" s="1199"/>
      <c r="AH185" s="251">
        <v>146</v>
      </c>
      <c r="AI185" s="251" t="e">
        <f t="shared" si="23"/>
        <v>#N/A</v>
      </c>
      <c r="AJ185" s="251" t="e">
        <f t="shared" ca="1" si="26"/>
        <v>#N/A</v>
      </c>
      <c r="AL185" s="251">
        <f t="shared" ca="1" si="27"/>
        <v>1993</v>
      </c>
      <c r="AM185" s="251" t="e">
        <f t="shared" ca="1" si="22"/>
        <v>#N/A</v>
      </c>
      <c r="AN185" s="251" t="e">
        <f t="shared" ca="1" si="24"/>
        <v>#N/A</v>
      </c>
      <c r="AO185" s="251" t="e">
        <f t="shared" ca="1" si="25"/>
        <v>#N/A</v>
      </c>
    </row>
    <row r="186" spans="1:41" x14ac:dyDescent="0.2">
      <c r="A186">
        <f t="shared" si="21"/>
        <v>7</v>
      </c>
      <c r="B186">
        <v>177</v>
      </c>
      <c r="C186" s="1078">
        <v>2</v>
      </c>
      <c r="D186" s="1077" t="s">
        <v>3599</v>
      </c>
      <c r="E186" s="1077" t="s">
        <v>4085</v>
      </c>
      <c r="F186" s="1185">
        <v>1</v>
      </c>
      <c r="G186" s="1178">
        <v>4.3</v>
      </c>
      <c r="H186" s="1178">
        <v>2.2999999999999998</v>
      </c>
      <c r="I186" s="1178">
        <v>5.3</v>
      </c>
      <c r="J186" s="1178">
        <v>2.8</v>
      </c>
      <c r="K186" s="1178">
        <v>6.6</v>
      </c>
      <c r="L186" s="1178">
        <v>3.5</v>
      </c>
      <c r="M186" s="1178">
        <v>7.7</v>
      </c>
      <c r="N186" s="1178">
        <v>4</v>
      </c>
      <c r="O186" s="1178">
        <v>8.1999999999999993</v>
      </c>
      <c r="P186" s="1178">
        <v>4.4000000000000004</v>
      </c>
      <c r="Q186" s="1178">
        <v>4.9000000000000004</v>
      </c>
      <c r="R186" s="1178">
        <v>1.8</v>
      </c>
      <c r="S186" s="1178">
        <v>7.1</v>
      </c>
      <c r="T186" s="1178">
        <v>2.5</v>
      </c>
      <c r="U186" s="1178">
        <v>9</v>
      </c>
      <c r="V186" s="1178">
        <v>3.2</v>
      </c>
      <c r="W186" s="1178"/>
      <c r="X186" s="1178"/>
      <c r="Y186" s="1178"/>
      <c r="Z186" s="1178"/>
      <c r="AA186" s="1178"/>
      <c r="AB186" s="1178"/>
      <c r="AC186" s="1178"/>
      <c r="AD186" s="1179"/>
      <c r="AH186" s="251">
        <v>147</v>
      </c>
      <c r="AI186" s="251" t="e">
        <f t="shared" si="23"/>
        <v>#N/A</v>
      </c>
      <c r="AJ186" s="251" t="e">
        <f t="shared" ca="1" si="26"/>
        <v>#N/A</v>
      </c>
      <c r="AL186" s="251">
        <f t="shared" ca="1" si="27"/>
        <v>1994</v>
      </c>
      <c r="AM186" s="251" t="e">
        <f t="shared" ca="1" si="22"/>
        <v>#N/A</v>
      </c>
      <c r="AN186" s="251" t="e">
        <f t="shared" ca="1" si="24"/>
        <v>#N/A</v>
      </c>
      <c r="AO186" s="251" t="e">
        <f t="shared" ca="1" si="25"/>
        <v>#N/A</v>
      </c>
    </row>
    <row r="187" spans="1:41" x14ac:dyDescent="0.2">
      <c r="A187">
        <f t="shared" si="21"/>
        <v>7</v>
      </c>
      <c r="B187">
        <v>178</v>
      </c>
      <c r="C187" s="1078">
        <v>2</v>
      </c>
      <c r="D187" s="1077" t="s">
        <v>3599</v>
      </c>
      <c r="E187" s="1077" t="s">
        <v>4812</v>
      </c>
      <c r="F187" s="1185">
        <v>4</v>
      </c>
      <c r="G187" s="1178">
        <v>3.2</v>
      </c>
      <c r="H187" s="1178">
        <v>2.5</v>
      </c>
      <c r="I187" s="1178">
        <v>6</v>
      </c>
      <c r="J187" s="1178">
        <v>3.03</v>
      </c>
      <c r="K187" s="1178">
        <v>4.2</v>
      </c>
      <c r="L187" s="1178">
        <v>4.16</v>
      </c>
      <c r="M187" s="1178">
        <v>4.7</v>
      </c>
      <c r="N187" s="1178">
        <v>4.76</v>
      </c>
      <c r="O187" s="1178">
        <v>6.5</v>
      </c>
      <c r="P187" s="1178">
        <v>6.4</v>
      </c>
      <c r="Q187" s="1178">
        <v>5.66</v>
      </c>
      <c r="R187" s="1178">
        <v>2</v>
      </c>
      <c r="S187" s="1178">
        <v>5.4</v>
      </c>
      <c r="T187" s="1178">
        <v>2.92</v>
      </c>
      <c r="U187" s="1178">
        <v>6.88</v>
      </c>
      <c r="V187" s="1178">
        <v>3.25</v>
      </c>
      <c r="W187" s="1178"/>
      <c r="X187" s="1178"/>
      <c r="Y187" s="1178"/>
      <c r="Z187" s="1178"/>
      <c r="AA187" s="1178"/>
      <c r="AB187" s="1178"/>
      <c r="AC187" s="1178"/>
      <c r="AD187" s="1179"/>
      <c r="AH187" s="251">
        <v>148</v>
      </c>
      <c r="AI187" s="251" t="e">
        <f t="shared" si="23"/>
        <v>#N/A</v>
      </c>
      <c r="AJ187" s="251" t="e">
        <f t="shared" ca="1" si="26"/>
        <v>#N/A</v>
      </c>
      <c r="AL187" s="251">
        <f t="shared" ca="1" si="27"/>
        <v>1995</v>
      </c>
      <c r="AM187" s="251" t="e">
        <f t="shared" ca="1" si="22"/>
        <v>#N/A</v>
      </c>
      <c r="AN187" s="251" t="e">
        <f t="shared" ca="1" si="24"/>
        <v>#N/A</v>
      </c>
      <c r="AO187" s="251" t="e">
        <f t="shared" ca="1" si="25"/>
        <v>#N/A</v>
      </c>
    </row>
    <row r="188" spans="1:41" x14ac:dyDescent="0.2">
      <c r="A188">
        <f t="shared" si="21"/>
        <v>7</v>
      </c>
      <c r="B188">
        <v>179</v>
      </c>
      <c r="C188" s="1078">
        <v>2</v>
      </c>
      <c r="D188" s="1077" t="s">
        <v>3599</v>
      </c>
      <c r="E188" s="1077" t="s">
        <v>4813</v>
      </c>
      <c r="F188" s="1185">
        <v>4</v>
      </c>
      <c r="G188" s="1178">
        <v>7.6</v>
      </c>
      <c r="H188" s="1178">
        <v>2.4</v>
      </c>
      <c r="I188" s="1178">
        <v>9.4</v>
      </c>
      <c r="J188" s="1178">
        <v>3.03</v>
      </c>
      <c r="K188" s="1178">
        <v>6.5</v>
      </c>
      <c r="L188" s="1178">
        <v>4.33</v>
      </c>
      <c r="M188" s="1178">
        <v>6.9</v>
      </c>
      <c r="N188" s="1178">
        <v>4.96</v>
      </c>
      <c r="O188" s="1178">
        <v>8.3000000000000007</v>
      </c>
      <c r="P188" s="1178">
        <v>6.2</v>
      </c>
      <c r="Q188" s="1178">
        <v>8.81</v>
      </c>
      <c r="R188" s="1178">
        <v>1.87</v>
      </c>
      <c r="S188" s="1178">
        <v>6.94</v>
      </c>
      <c r="T188" s="1178">
        <v>3.01</v>
      </c>
      <c r="U188" s="1178">
        <v>13.83</v>
      </c>
      <c r="V188" s="1178">
        <v>3.38</v>
      </c>
      <c r="W188" s="1178"/>
      <c r="X188" s="1178"/>
      <c r="Y188" s="1178"/>
      <c r="Z188" s="1178"/>
      <c r="AA188" s="1178"/>
      <c r="AB188" s="1178"/>
      <c r="AC188" s="1178"/>
      <c r="AD188" s="1179"/>
      <c r="AH188" s="251">
        <v>149</v>
      </c>
      <c r="AI188" s="251" t="e">
        <f t="shared" si="23"/>
        <v>#N/A</v>
      </c>
      <c r="AJ188" s="251" t="e">
        <f t="shared" ca="1" si="26"/>
        <v>#N/A</v>
      </c>
      <c r="AL188" s="251">
        <f t="shared" ca="1" si="27"/>
        <v>1996</v>
      </c>
      <c r="AM188" s="251" t="e">
        <f t="shared" ca="1" si="22"/>
        <v>#N/A</v>
      </c>
      <c r="AN188" s="251" t="e">
        <f t="shared" ca="1" si="24"/>
        <v>#N/A</v>
      </c>
      <c r="AO188" s="251" t="e">
        <f t="shared" ca="1" si="25"/>
        <v>#N/A</v>
      </c>
    </row>
    <row r="189" spans="1:41" x14ac:dyDescent="0.2">
      <c r="A189">
        <f t="shared" si="21"/>
        <v>7</v>
      </c>
      <c r="B189">
        <v>180</v>
      </c>
      <c r="C189" s="1078">
        <v>3</v>
      </c>
      <c r="D189" s="1077" t="s">
        <v>3599</v>
      </c>
      <c r="E189" s="1077" t="s">
        <v>4119</v>
      </c>
      <c r="F189" s="1185">
        <v>1</v>
      </c>
      <c r="G189" s="1178"/>
      <c r="H189" s="1178"/>
      <c r="I189" s="1178"/>
      <c r="J189" s="1178"/>
      <c r="K189" s="1178"/>
      <c r="L189" s="1178"/>
      <c r="M189" s="1178"/>
      <c r="N189" s="1178"/>
      <c r="O189" s="1178"/>
      <c r="P189" s="1178"/>
      <c r="Q189" s="1178"/>
      <c r="R189" s="1178"/>
      <c r="S189" s="1178"/>
      <c r="T189" s="1178"/>
      <c r="U189" s="1178"/>
      <c r="V189" s="1178"/>
      <c r="W189" s="1178">
        <v>10.9</v>
      </c>
      <c r="X189" s="1178">
        <v>4.9000000000000004</v>
      </c>
      <c r="Y189" s="1178">
        <v>10</v>
      </c>
      <c r="Z189" s="1178">
        <v>2.9</v>
      </c>
      <c r="AA189" s="1178"/>
      <c r="AB189" s="1178"/>
      <c r="AC189" s="1178"/>
      <c r="AD189" s="1179"/>
      <c r="AH189" s="251">
        <v>150</v>
      </c>
      <c r="AI189" s="251" t="e">
        <f t="shared" si="23"/>
        <v>#N/A</v>
      </c>
      <c r="AJ189" s="251" t="e">
        <f t="shared" ca="1" si="26"/>
        <v>#N/A</v>
      </c>
      <c r="AL189" s="251">
        <f t="shared" ca="1" si="27"/>
        <v>1997</v>
      </c>
      <c r="AM189" s="251" t="e">
        <f t="shared" ca="1" si="22"/>
        <v>#N/A</v>
      </c>
      <c r="AN189" s="251" t="e">
        <f t="shared" ca="1" si="24"/>
        <v>#N/A</v>
      </c>
      <c r="AO189" s="251" t="e">
        <f t="shared" ca="1" si="25"/>
        <v>#N/A</v>
      </c>
    </row>
    <row r="190" spans="1:41" x14ac:dyDescent="0.2">
      <c r="A190">
        <f t="shared" si="21"/>
        <v>7</v>
      </c>
      <c r="B190">
        <v>181</v>
      </c>
      <c r="C190" s="1081">
        <v>3</v>
      </c>
      <c r="D190" s="1082" t="s">
        <v>3599</v>
      </c>
      <c r="E190" s="1082" t="s">
        <v>4776</v>
      </c>
      <c r="F190" s="1188">
        <v>2</v>
      </c>
      <c r="G190" s="1196"/>
      <c r="H190" s="1196"/>
      <c r="I190" s="1196"/>
      <c r="J190" s="1196"/>
      <c r="K190" s="1196"/>
      <c r="L190" s="1196"/>
      <c r="M190" s="1196"/>
      <c r="N190" s="1196"/>
      <c r="O190" s="1196"/>
      <c r="P190" s="1196"/>
      <c r="Q190" s="1196"/>
      <c r="R190" s="1196"/>
      <c r="S190" s="1196"/>
      <c r="T190" s="1196"/>
      <c r="U190" s="1196"/>
      <c r="V190" s="1196"/>
      <c r="W190" s="1196">
        <v>138.1</v>
      </c>
      <c r="X190" s="1196">
        <v>4.5999999999999996</v>
      </c>
      <c r="Y190" s="1196">
        <v>129.6</v>
      </c>
      <c r="Z190" s="1196">
        <v>3.1</v>
      </c>
      <c r="AA190" s="1196"/>
      <c r="AB190" s="1196"/>
      <c r="AC190" s="1196"/>
      <c r="AD190" s="1197"/>
      <c r="AH190" s="251">
        <v>151</v>
      </c>
      <c r="AI190" s="251" t="e">
        <f t="shared" si="23"/>
        <v>#N/A</v>
      </c>
      <c r="AJ190" s="251" t="e">
        <f t="shared" ca="1" si="26"/>
        <v>#N/A</v>
      </c>
      <c r="AL190" s="251">
        <f t="shared" ca="1" si="27"/>
        <v>1998</v>
      </c>
      <c r="AM190" s="251" t="e">
        <f t="shared" ca="1" si="22"/>
        <v>#N/A</v>
      </c>
      <c r="AN190" s="251" t="e">
        <f t="shared" ca="1" si="24"/>
        <v>#N/A</v>
      </c>
      <c r="AO190" s="251" t="e">
        <f t="shared" ca="1" si="25"/>
        <v>#N/A</v>
      </c>
    </row>
    <row r="191" spans="1:41" x14ac:dyDescent="0.2">
      <c r="A191">
        <f t="shared" si="21"/>
        <v>7</v>
      </c>
      <c r="B191">
        <v>182</v>
      </c>
      <c r="C191" s="1190">
        <v>3</v>
      </c>
      <c r="D191" s="1191" t="s">
        <v>3599</v>
      </c>
      <c r="E191" s="1191" t="s">
        <v>4122</v>
      </c>
      <c r="F191" s="1192">
        <v>1</v>
      </c>
      <c r="G191" s="1198"/>
      <c r="H191" s="1198"/>
      <c r="I191" s="1198"/>
      <c r="J191" s="1198"/>
      <c r="K191" s="1198"/>
      <c r="L191" s="1198"/>
      <c r="M191" s="1198"/>
      <c r="N191" s="1198"/>
      <c r="O191" s="1198"/>
      <c r="P191" s="1198"/>
      <c r="Q191" s="1198"/>
      <c r="R191" s="1198"/>
      <c r="S191" s="1198"/>
      <c r="T191" s="1198"/>
      <c r="U191" s="1198"/>
      <c r="V191" s="1198"/>
      <c r="W191" s="1198">
        <v>13.9</v>
      </c>
      <c r="X191" s="1198">
        <v>5</v>
      </c>
      <c r="Y191" s="1198">
        <v>12.7</v>
      </c>
      <c r="Z191" s="1198">
        <v>3</v>
      </c>
      <c r="AA191" s="1198"/>
      <c r="AB191" s="1198"/>
      <c r="AC191" s="1198"/>
      <c r="AD191" s="1199"/>
      <c r="AH191" s="251">
        <v>152</v>
      </c>
      <c r="AI191" s="251" t="e">
        <f t="shared" si="23"/>
        <v>#N/A</v>
      </c>
      <c r="AJ191" s="251" t="e">
        <f t="shared" ca="1" si="26"/>
        <v>#N/A</v>
      </c>
      <c r="AL191" s="251">
        <f t="shared" ca="1" si="27"/>
        <v>1999</v>
      </c>
      <c r="AM191" s="251" t="e">
        <f t="shared" ca="1" si="22"/>
        <v>#N/A</v>
      </c>
      <c r="AN191" s="251" t="e">
        <f t="shared" ca="1" si="24"/>
        <v>#N/A</v>
      </c>
      <c r="AO191" s="251" t="e">
        <f t="shared" ca="1" si="25"/>
        <v>#N/A</v>
      </c>
    </row>
    <row r="192" spans="1:41" x14ac:dyDescent="0.2">
      <c r="A192">
        <f t="shared" si="21"/>
        <v>7</v>
      </c>
      <c r="B192">
        <v>183</v>
      </c>
      <c r="C192" s="1078">
        <v>3</v>
      </c>
      <c r="D192" s="1077" t="s">
        <v>3599</v>
      </c>
      <c r="E192" s="1077" t="s">
        <v>4123</v>
      </c>
      <c r="F192" s="1185">
        <v>1</v>
      </c>
      <c r="G192" s="1178"/>
      <c r="H192" s="1178"/>
      <c r="I192" s="1178"/>
      <c r="J192" s="1178"/>
      <c r="K192" s="1178"/>
      <c r="L192" s="1178"/>
      <c r="M192" s="1178"/>
      <c r="N192" s="1178"/>
      <c r="O192" s="1178"/>
      <c r="P192" s="1178"/>
      <c r="Q192" s="1178"/>
      <c r="R192" s="1178"/>
      <c r="S192" s="1178"/>
      <c r="T192" s="1178"/>
      <c r="U192" s="1178"/>
      <c r="V192" s="1178"/>
      <c r="W192" s="1178">
        <v>17.5</v>
      </c>
      <c r="X192" s="1178">
        <v>4.7</v>
      </c>
      <c r="Y192" s="1178">
        <v>16.5</v>
      </c>
      <c r="Z192" s="1178">
        <v>2.9</v>
      </c>
      <c r="AA192" s="1178"/>
      <c r="AB192" s="1178"/>
      <c r="AC192" s="1178"/>
      <c r="AD192" s="1179"/>
      <c r="AH192" s="251">
        <v>153</v>
      </c>
      <c r="AI192" s="251" t="e">
        <f t="shared" si="23"/>
        <v>#N/A</v>
      </c>
      <c r="AJ192" s="251" t="e">
        <f t="shared" ca="1" si="26"/>
        <v>#N/A</v>
      </c>
      <c r="AL192" s="251">
        <f t="shared" ca="1" si="27"/>
        <v>2000</v>
      </c>
      <c r="AM192" s="251" t="e">
        <f t="shared" ca="1" si="22"/>
        <v>#N/A</v>
      </c>
      <c r="AN192" s="251" t="e">
        <f t="shared" ca="1" si="24"/>
        <v>#N/A</v>
      </c>
      <c r="AO192" s="251" t="e">
        <f t="shared" ca="1" si="25"/>
        <v>#N/A</v>
      </c>
    </row>
    <row r="193" spans="1:41" x14ac:dyDescent="0.2">
      <c r="A193">
        <f t="shared" si="21"/>
        <v>7</v>
      </c>
      <c r="B193">
        <v>184</v>
      </c>
      <c r="C193" s="1078">
        <v>3</v>
      </c>
      <c r="D193" s="1077" t="s">
        <v>3599</v>
      </c>
      <c r="E193" s="1077" t="s">
        <v>4774</v>
      </c>
      <c r="F193" s="1185">
        <v>1</v>
      </c>
      <c r="G193" s="1178"/>
      <c r="H193" s="1178"/>
      <c r="I193" s="1178"/>
      <c r="J193" s="1178"/>
      <c r="K193" s="1178"/>
      <c r="L193" s="1178"/>
      <c r="M193" s="1178"/>
      <c r="N193" s="1178"/>
      <c r="O193" s="1178"/>
      <c r="P193" s="1178"/>
      <c r="Q193" s="1178"/>
      <c r="R193" s="1178"/>
      <c r="S193" s="1178"/>
      <c r="T193" s="1178"/>
      <c r="U193" s="1178"/>
      <c r="V193" s="1178"/>
      <c r="W193" s="1178">
        <v>22.9</v>
      </c>
      <c r="X193" s="1178">
        <v>4.4000000000000004</v>
      </c>
      <c r="Y193" s="1178">
        <v>21.5</v>
      </c>
      <c r="Z193" s="1178">
        <v>2.9</v>
      </c>
      <c r="AA193" s="1178"/>
      <c r="AB193" s="1178"/>
      <c r="AC193" s="1178"/>
      <c r="AD193" s="1179"/>
      <c r="AH193" s="251">
        <v>154</v>
      </c>
      <c r="AI193" s="251" t="e">
        <f t="shared" si="23"/>
        <v>#N/A</v>
      </c>
      <c r="AJ193" s="251" t="e">
        <f t="shared" ca="1" si="26"/>
        <v>#N/A</v>
      </c>
      <c r="AL193" s="251">
        <f t="shared" ca="1" si="27"/>
        <v>2001</v>
      </c>
      <c r="AM193" s="251" t="e">
        <f t="shared" ca="1" si="22"/>
        <v>#N/A</v>
      </c>
      <c r="AN193" s="251" t="e">
        <f t="shared" ca="1" si="24"/>
        <v>#N/A</v>
      </c>
      <c r="AO193" s="251" t="e">
        <f t="shared" ca="1" si="25"/>
        <v>#N/A</v>
      </c>
    </row>
    <row r="194" spans="1:41" x14ac:dyDescent="0.2">
      <c r="A194">
        <f t="shared" si="21"/>
        <v>7</v>
      </c>
      <c r="B194">
        <v>185</v>
      </c>
      <c r="C194" s="1078">
        <v>3</v>
      </c>
      <c r="D194" s="1077" t="s">
        <v>3599</v>
      </c>
      <c r="E194" s="1077" t="s">
        <v>4125</v>
      </c>
      <c r="F194" s="1185">
        <v>2</v>
      </c>
      <c r="G194" s="1178"/>
      <c r="H194" s="1178"/>
      <c r="I194" s="1178"/>
      <c r="J194" s="1178"/>
      <c r="K194" s="1178"/>
      <c r="L194" s="1178"/>
      <c r="M194" s="1178"/>
      <c r="N194" s="1178"/>
      <c r="O194" s="1178"/>
      <c r="P194" s="1178"/>
      <c r="Q194" s="1178"/>
      <c r="R194" s="1178"/>
      <c r="S194" s="1178"/>
      <c r="T194" s="1178"/>
      <c r="U194" s="1178"/>
      <c r="V194" s="1178"/>
      <c r="W194" s="1178">
        <v>26.7</v>
      </c>
      <c r="X194" s="1178">
        <v>4.9000000000000004</v>
      </c>
      <c r="Y194" s="1178">
        <v>24.7</v>
      </c>
      <c r="Z194" s="1178">
        <v>3.1</v>
      </c>
      <c r="AA194" s="1178"/>
      <c r="AB194" s="1178"/>
      <c r="AC194" s="1178"/>
      <c r="AD194" s="1179"/>
      <c r="AH194" s="251">
        <v>155</v>
      </c>
      <c r="AI194" s="251" t="e">
        <f t="shared" si="23"/>
        <v>#N/A</v>
      </c>
      <c r="AJ194" s="251" t="e">
        <f t="shared" ca="1" si="26"/>
        <v>#N/A</v>
      </c>
      <c r="AL194" s="251">
        <f t="shared" ca="1" si="27"/>
        <v>2002</v>
      </c>
      <c r="AM194" s="251" t="e">
        <f t="shared" ca="1" si="22"/>
        <v>#N/A</v>
      </c>
      <c r="AN194" s="251" t="e">
        <f t="shared" ca="1" si="24"/>
        <v>#N/A</v>
      </c>
      <c r="AO194" s="251" t="e">
        <f t="shared" ca="1" si="25"/>
        <v>#N/A</v>
      </c>
    </row>
    <row r="195" spans="1:41" x14ac:dyDescent="0.2">
      <c r="A195">
        <f t="shared" si="21"/>
        <v>7</v>
      </c>
      <c r="B195">
        <v>186</v>
      </c>
      <c r="C195" s="1078">
        <v>3</v>
      </c>
      <c r="D195" s="1077" t="s">
        <v>3599</v>
      </c>
      <c r="E195" s="1077" t="s">
        <v>4126</v>
      </c>
      <c r="F195" s="1185">
        <v>2</v>
      </c>
      <c r="G195" s="1178"/>
      <c r="H195" s="1178"/>
      <c r="I195" s="1178"/>
      <c r="J195" s="1178"/>
      <c r="K195" s="1178"/>
      <c r="L195" s="1178"/>
      <c r="M195" s="1178"/>
      <c r="N195" s="1178"/>
      <c r="O195" s="1178"/>
      <c r="P195" s="1178"/>
      <c r="Q195" s="1178"/>
      <c r="R195" s="1178"/>
      <c r="S195" s="1178"/>
      <c r="T195" s="1178"/>
      <c r="U195" s="1178"/>
      <c r="V195" s="1178"/>
      <c r="W195" s="1178">
        <v>34.799999999999997</v>
      </c>
      <c r="X195" s="1178">
        <v>4.8</v>
      </c>
      <c r="Y195" s="1178">
        <v>32.1</v>
      </c>
      <c r="Z195" s="1178">
        <v>3</v>
      </c>
      <c r="AA195" s="1178"/>
      <c r="AB195" s="1178"/>
      <c r="AC195" s="1178"/>
      <c r="AD195" s="1179"/>
      <c r="AH195" s="251">
        <v>156</v>
      </c>
      <c r="AI195" s="251" t="e">
        <f t="shared" si="23"/>
        <v>#N/A</v>
      </c>
      <c r="AJ195" s="251" t="e">
        <f t="shared" ca="1" si="26"/>
        <v>#N/A</v>
      </c>
      <c r="AL195" s="251">
        <f t="shared" ca="1" si="27"/>
        <v>2003</v>
      </c>
      <c r="AM195" s="251" t="e">
        <f t="shared" ca="1" si="22"/>
        <v>#N/A</v>
      </c>
      <c r="AN195" s="251" t="e">
        <f t="shared" ca="1" si="24"/>
        <v>#N/A</v>
      </c>
      <c r="AO195" s="251" t="e">
        <f t="shared" ca="1" si="25"/>
        <v>#N/A</v>
      </c>
    </row>
    <row r="196" spans="1:41" x14ac:dyDescent="0.2">
      <c r="A196">
        <f t="shared" si="21"/>
        <v>7</v>
      </c>
      <c r="B196">
        <v>187</v>
      </c>
      <c r="C196" s="1078">
        <v>3</v>
      </c>
      <c r="D196" s="1077" t="s">
        <v>3599</v>
      </c>
      <c r="E196" s="1077" t="s">
        <v>4778</v>
      </c>
      <c r="F196" s="1185">
        <v>2</v>
      </c>
      <c r="G196" s="1178"/>
      <c r="H196" s="1178"/>
      <c r="I196" s="1178"/>
      <c r="J196" s="1178"/>
      <c r="K196" s="1178"/>
      <c r="L196" s="1178"/>
      <c r="M196" s="1178"/>
      <c r="N196" s="1178"/>
      <c r="O196" s="1178"/>
      <c r="P196" s="1178"/>
      <c r="Q196" s="1178"/>
      <c r="R196" s="1178"/>
      <c r="S196" s="1178"/>
      <c r="T196" s="1178"/>
      <c r="U196" s="1178"/>
      <c r="V196" s="1178"/>
      <c r="W196" s="1178">
        <v>33.700000000000003</v>
      </c>
      <c r="X196" s="1178">
        <v>4.5999999999999996</v>
      </c>
      <c r="Y196" s="1178">
        <v>30.3</v>
      </c>
      <c r="Z196" s="1178">
        <v>2.9</v>
      </c>
      <c r="AA196" s="1178"/>
      <c r="AB196" s="1178"/>
      <c r="AC196" s="1178"/>
      <c r="AD196" s="1179"/>
      <c r="AH196" s="251">
        <v>157</v>
      </c>
      <c r="AI196" s="251" t="e">
        <f t="shared" si="23"/>
        <v>#N/A</v>
      </c>
      <c r="AJ196" s="251" t="e">
        <f t="shared" ca="1" si="26"/>
        <v>#N/A</v>
      </c>
      <c r="AL196" s="251">
        <f t="shared" ca="1" si="27"/>
        <v>2004</v>
      </c>
      <c r="AM196" s="251" t="e">
        <f t="shared" ca="1" si="22"/>
        <v>#N/A</v>
      </c>
      <c r="AN196" s="251" t="e">
        <f t="shared" ca="1" si="24"/>
        <v>#N/A</v>
      </c>
      <c r="AO196" s="251" t="e">
        <f t="shared" ca="1" si="25"/>
        <v>#N/A</v>
      </c>
    </row>
    <row r="197" spans="1:41" x14ac:dyDescent="0.2">
      <c r="A197">
        <f t="shared" si="21"/>
        <v>7</v>
      </c>
      <c r="B197">
        <v>188</v>
      </c>
      <c r="C197" s="1078">
        <v>3</v>
      </c>
      <c r="D197" s="1077" t="s">
        <v>3599</v>
      </c>
      <c r="E197" s="1077" t="s">
        <v>4127</v>
      </c>
      <c r="F197" s="1185">
        <v>2</v>
      </c>
      <c r="G197" s="1178"/>
      <c r="H197" s="1178"/>
      <c r="I197" s="1178"/>
      <c r="J197" s="1178"/>
      <c r="K197" s="1178"/>
      <c r="L197" s="1178"/>
      <c r="M197" s="1178"/>
      <c r="N197" s="1178"/>
      <c r="O197" s="1178"/>
      <c r="P197" s="1178"/>
      <c r="Q197" s="1178"/>
      <c r="R197" s="1178"/>
      <c r="S197" s="1178"/>
      <c r="T197" s="1178"/>
      <c r="U197" s="1178"/>
      <c r="V197" s="1178"/>
      <c r="W197" s="1178">
        <v>52</v>
      </c>
      <c r="X197" s="1178">
        <v>5</v>
      </c>
      <c r="Y197" s="1178">
        <v>44.1</v>
      </c>
      <c r="Z197" s="1178">
        <v>2.8</v>
      </c>
      <c r="AA197" s="1178"/>
      <c r="AB197" s="1178"/>
      <c r="AC197" s="1178"/>
      <c r="AD197" s="1179"/>
      <c r="AH197" s="251">
        <v>158</v>
      </c>
      <c r="AI197" s="251" t="e">
        <f t="shared" si="23"/>
        <v>#N/A</v>
      </c>
      <c r="AJ197" s="251" t="e">
        <f t="shared" ca="1" si="26"/>
        <v>#N/A</v>
      </c>
      <c r="AL197" s="251">
        <f t="shared" ca="1" si="27"/>
        <v>2005</v>
      </c>
      <c r="AM197" s="251" t="e">
        <f t="shared" ca="1" si="22"/>
        <v>#N/A</v>
      </c>
      <c r="AN197" s="251" t="e">
        <f t="shared" ca="1" si="24"/>
        <v>#N/A</v>
      </c>
      <c r="AO197" s="251" t="e">
        <f t="shared" ca="1" si="25"/>
        <v>#N/A</v>
      </c>
    </row>
    <row r="198" spans="1:41" x14ac:dyDescent="0.2">
      <c r="A198">
        <f t="shared" si="21"/>
        <v>7</v>
      </c>
      <c r="B198">
        <v>189</v>
      </c>
      <c r="C198" s="1078">
        <v>3</v>
      </c>
      <c r="D198" s="1077" t="s">
        <v>3599</v>
      </c>
      <c r="E198" s="1077" t="s">
        <v>4779</v>
      </c>
      <c r="F198" s="1185">
        <v>2</v>
      </c>
      <c r="G198" s="1178"/>
      <c r="H198" s="1178"/>
      <c r="I198" s="1178"/>
      <c r="J198" s="1178"/>
      <c r="K198" s="1178"/>
      <c r="L198" s="1178"/>
      <c r="M198" s="1178"/>
      <c r="N198" s="1178"/>
      <c r="O198" s="1178"/>
      <c r="P198" s="1178"/>
      <c r="Q198" s="1178"/>
      <c r="R198" s="1178"/>
      <c r="S198" s="1178"/>
      <c r="T198" s="1178"/>
      <c r="U198" s="1178"/>
      <c r="V198" s="1178"/>
      <c r="W198" s="1178">
        <v>48.4</v>
      </c>
      <c r="X198" s="1178">
        <v>4.5</v>
      </c>
      <c r="Y198" s="1178">
        <v>38.1</v>
      </c>
      <c r="Z198" s="1178">
        <v>2.4</v>
      </c>
      <c r="AA198" s="1178"/>
      <c r="AB198" s="1178"/>
      <c r="AC198" s="1178"/>
      <c r="AD198" s="1179"/>
      <c r="AH198" s="251">
        <v>159</v>
      </c>
      <c r="AI198" s="251" t="e">
        <f t="shared" si="23"/>
        <v>#N/A</v>
      </c>
      <c r="AJ198" s="251" t="e">
        <f t="shared" ca="1" si="26"/>
        <v>#N/A</v>
      </c>
      <c r="AL198" s="251">
        <f t="shared" ca="1" si="27"/>
        <v>2006</v>
      </c>
      <c r="AM198" s="251" t="e">
        <f t="shared" ca="1" si="22"/>
        <v>#N/A</v>
      </c>
      <c r="AN198" s="251" t="e">
        <f t="shared" ca="1" si="24"/>
        <v>#N/A</v>
      </c>
      <c r="AO198" s="251" t="e">
        <f t="shared" ca="1" si="25"/>
        <v>#N/A</v>
      </c>
    </row>
    <row r="199" spans="1:41" x14ac:dyDescent="0.2">
      <c r="A199">
        <f t="shared" si="21"/>
        <v>7</v>
      </c>
      <c r="B199">
        <v>190</v>
      </c>
      <c r="C199" s="1078">
        <v>3</v>
      </c>
      <c r="D199" s="1077" t="s">
        <v>3599</v>
      </c>
      <c r="E199" s="1077" t="s">
        <v>4111</v>
      </c>
      <c r="F199" s="1185">
        <v>1</v>
      </c>
      <c r="G199" s="1178"/>
      <c r="H199" s="1178"/>
      <c r="I199" s="1178"/>
      <c r="J199" s="1178"/>
      <c r="K199" s="1178"/>
      <c r="L199" s="1178"/>
      <c r="M199" s="1178"/>
      <c r="N199" s="1178"/>
      <c r="O199" s="1178"/>
      <c r="P199" s="1178"/>
      <c r="Q199" s="1178"/>
      <c r="R199" s="1178"/>
      <c r="S199" s="1178"/>
      <c r="T199" s="1178"/>
      <c r="U199" s="1178"/>
      <c r="V199" s="1178"/>
      <c r="W199" s="1178">
        <v>6.1</v>
      </c>
      <c r="X199" s="1178">
        <v>4.7</v>
      </c>
      <c r="Y199" s="1178">
        <v>5.5</v>
      </c>
      <c r="Z199" s="1178">
        <v>2.8</v>
      </c>
      <c r="AA199" s="1178"/>
      <c r="AB199" s="1178"/>
      <c r="AC199" s="1178"/>
      <c r="AD199" s="1179"/>
      <c r="AH199" s="251">
        <v>160</v>
      </c>
      <c r="AI199" s="251" t="e">
        <f t="shared" si="23"/>
        <v>#N/A</v>
      </c>
      <c r="AJ199" s="251" t="e">
        <f t="shared" ca="1" si="26"/>
        <v>#N/A</v>
      </c>
      <c r="AL199" s="251">
        <f t="shared" ca="1" si="27"/>
        <v>2007</v>
      </c>
      <c r="AM199" s="251" t="e">
        <f t="shared" ca="1" si="22"/>
        <v>#N/A</v>
      </c>
      <c r="AN199" s="251" t="e">
        <f t="shared" ca="1" si="24"/>
        <v>#N/A</v>
      </c>
      <c r="AO199" s="251" t="e">
        <f t="shared" ca="1" si="25"/>
        <v>#N/A</v>
      </c>
    </row>
    <row r="200" spans="1:41" x14ac:dyDescent="0.2">
      <c r="A200">
        <f t="shared" si="21"/>
        <v>7</v>
      </c>
      <c r="B200">
        <v>191</v>
      </c>
      <c r="C200" s="1078">
        <v>3</v>
      </c>
      <c r="D200" s="1077" t="s">
        <v>3599</v>
      </c>
      <c r="E200" s="1077" t="s">
        <v>4780</v>
      </c>
      <c r="F200" s="1185">
        <v>2</v>
      </c>
      <c r="G200" s="1178"/>
      <c r="H200" s="1178"/>
      <c r="I200" s="1178"/>
      <c r="J200" s="1178"/>
      <c r="K200" s="1178"/>
      <c r="L200" s="1178"/>
      <c r="M200" s="1178"/>
      <c r="N200" s="1178"/>
      <c r="O200" s="1178"/>
      <c r="P200" s="1178"/>
      <c r="Q200" s="1178"/>
      <c r="R200" s="1178"/>
      <c r="S200" s="1178"/>
      <c r="T200" s="1178"/>
      <c r="U200" s="1178"/>
      <c r="V200" s="1178"/>
      <c r="W200" s="1178">
        <v>69.8</v>
      </c>
      <c r="X200" s="1178">
        <v>4.4000000000000004</v>
      </c>
      <c r="Y200" s="1178">
        <v>56.9</v>
      </c>
      <c r="Z200" s="1178">
        <v>2.5</v>
      </c>
      <c r="AA200" s="1178"/>
      <c r="AB200" s="1178"/>
      <c r="AC200" s="1178"/>
      <c r="AD200" s="1179"/>
      <c r="AH200" s="251">
        <v>161</v>
      </c>
      <c r="AI200" s="251" t="e">
        <f t="shared" ref="AI200:AI231" si="28">MATCH(AH200,$A$10:$A$2000,0)</f>
        <v>#N/A</v>
      </c>
      <c r="AJ200" s="251" t="e">
        <f t="shared" ca="1" si="26"/>
        <v>#N/A</v>
      </c>
      <c r="AL200" s="251">
        <f t="shared" ca="1" si="27"/>
        <v>2008</v>
      </c>
      <c r="AM200" s="251" t="e">
        <f t="shared" ca="1" si="22"/>
        <v>#N/A</v>
      </c>
      <c r="AN200" s="251" t="e">
        <f t="shared" ref="AN200:AN231" ca="1" si="29">IF(INDEX($C$10:$C$2000,AM200,1)=2,"L/W ",IF(INDEX($C$10:$C$2000,AM200,1)=3,"S/W ",IF(INDEX($C$10:$C$2000,AM200,1)=4,"W/W ","")))&amp;OFFSET($E$9,AM200,0)</f>
        <v>#N/A</v>
      </c>
      <c r="AO200" s="251" t="e">
        <f t="shared" ref="AO200:AO231" ca="1" si="30">(INDEX($C$10:$C$2000,AM200,1))</f>
        <v>#N/A</v>
      </c>
    </row>
    <row r="201" spans="1:41" x14ac:dyDescent="0.2">
      <c r="A201">
        <f t="shared" si="21"/>
        <v>7</v>
      </c>
      <c r="B201">
        <v>192</v>
      </c>
      <c r="C201" s="1081">
        <v>3</v>
      </c>
      <c r="D201" s="1082" t="s">
        <v>3599</v>
      </c>
      <c r="E201" s="1082" t="s">
        <v>4128</v>
      </c>
      <c r="F201" s="1188">
        <v>2</v>
      </c>
      <c r="G201" s="1196"/>
      <c r="H201" s="1196"/>
      <c r="I201" s="1196"/>
      <c r="J201" s="1196"/>
      <c r="K201" s="1196"/>
      <c r="L201" s="1196"/>
      <c r="M201" s="1196"/>
      <c r="N201" s="1196"/>
      <c r="O201" s="1196"/>
      <c r="P201" s="1196"/>
      <c r="Q201" s="1196"/>
      <c r="R201" s="1196"/>
      <c r="S201" s="1196"/>
      <c r="T201" s="1196"/>
      <c r="U201" s="1196"/>
      <c r="V201" s="1196"/>
      <c r="W201" s="1196">
        <v>73.5</v>
      </c>
      <c r="X201" s="1196">
        <v>4.8</v>
      </c>
      <c r="Y201" s="1196">
        <v>67.3</v>
      </c>
      <c r="Z201" s="1196">
        <v>3</v>
      </c>
      <c r="AA201" s="1196"/>
      <c r="AB201" s="1196"/>
      <c r="AC201" s="1196"/>
      <c r="AD201" s="1197"/>
      <c r="AH201" s="251">
        <v>162</v>
      </c>
      <c r="AI201" s="251" t="e">
        <f t="shared" si="28"/>
        <v>#N/A</v>
      </c>
      <c r="AJ201" s="251" t="e">
        <f t="shared" ca="1" si="26"/>
        <v>#N/A</v>
      </c>
      <c r="AL201" s="251">
        <f t="shared" ca="1" si="27"/>
        <v>2009</v>
      </c>
      <c r="AM201" s="251" t="e">
        <f t="shared" ca="1" si="22"/>
        <v>#N/A</v>
      </c>
      <c r="AN201" s="251" t="e">
        <f t="shared" ca="1" si="29"/>
        <v>#N/A</v>
      </c>
      <c r="AO201" s="251" t="e">
        <f t="shared" ca="1" si="30"/>
        <v>#N/A</v>
      </c>
    </row>
    <row r="202" spans="1:41" x14ac:dyDescent="0.2">
      <c r="A202">
        <f t="shared" si="21"/>
        <v>7</v>
      </c>
      <c r="B202">
        <v>193</v>
      </c>
      <c r="C202" s="1190">
        <v>3</v>
      </c>
      <c r="D202" s="1191" t="s">
        <v>3599</v>
      </c>
      <c r="E202" s="1191" t="s">
        <v>4115</v>
      </c>
      <c r="F202" s="1192">
        <v>1</v>
      </c>
      <c r="G202" s="1198"/>
      <c r="H202" s="1198"/>
      <c r="I202" s="1198"/>
      <c r="J202" s="1198"/>
      <c r="K202" s="1198"/>
      <c r="L202" s="1198"/>
      <c r="M202" s="1198"/>
      <c r="N202" s="1198"/>
      <c r="O202" s="1198"/>
      <c r="P202" s="1198"/>
      <c r="Q202" s="1198"/>
      <c r="R202" s="1198"/>
      <c r="S202" s="1198"/>
      <c r="T202" s="1198"/>
      <c r="U202" s="1198"/>
      <c r="V202" s="1198"/>
      <c r="W202" s="1198">
        <v>8.1</v>
      </c>
      <c r="X202" s="1198">
        <v>4.8</v>
      </c>
      <c r="Y202" s="1198">
        <v>7.1</v>
      </c>
      <c r="Z202" s="1198">
        <v>2.8</v>
      </c>
      <c r="AA202" s="1198"/>
      <c r="AB202" s="1198"/>
      <c r="AC202" s="1198"/>
      <c r="AD202" s="1199"/>
      <c r="AH202" s="251">
        <v>163</v>
      </c>
      <c r="AI202" s="251" t="e">
        <f t="shared" si="28"/>
        <v>#N/A</v>
      </c>
      <c r="AJ202" s="251" t="e">
        <f t="shared" ca="1" si="26"/>
        <v>#N/A</v>
      </c>
      <c r="AL202" s="251">
        <f t="shared" ca="1" si="27"/>
        <v>2010</v>
      </c>
      <c r="AM202" s="251" t="e">
        <f t="shared" ca="1" si="22"/>
        <v>#N/A</v>
      </c>
      <c r="AN202" s="251" t="e">
        <f t="shared" ca="1" si="29"/>
        <v>#N/A</v>
      </c>
      <c r="AO202" s="251" t="e">
        <f t="shared" ca="1" si="30"/>
        <v>#N/A</v>
      </c>
    </row>
    <row r="203" spans="1:41" x14ac:dyDescent="0.2">
      <c r="A203">
        <f t="shared" si="21"/>
        <v>7</v>
      </c>
      <c r="B203">
        <v>194</v>
      </c>
      <c r="C203" s="1078">
        <v>3</v>
      </c>
      <c r="D203" s="1077" t="s">
        <v>3599</v>
      </c>
      <c r="E203" s="1077" t="s">
        <v>4775</v>
      </c>
      <c r="F203" s="1185">
        <v>2</v>
      </c>
      <c r="G203" s="1178"/>
      <c r="H203" s="1178"/>
      <c r="I203" s="1178"/>
      <c r="J203" s="1178"/>
      <c r="K203" s="1178"/>
      <c r="L203" s="1178"/>
      <c r="M203" s="1178"/>
      <c r="N203" s="1178"/>
      <c r="O203" s="1178"/>
      <c r="P203" s="1178"/>
      <c r="Q203" s="1178"/>
      <c r="R203" s="1178"/>
      <c r="S203" s="1178"/>
      <c r="T203" s="1178"/>
      <c r="U203" s="1178"/>
      <c r="V203" s="1178"/>
      <c r="W203" s="1178">
        <v>86</v>
      </c>
      <c r="X203" s="1178">
        <v>4.7</v>
      </c>
      <c r="Y203" s="1178">
        <v>78.900000000000006</v>
      </c>
      <c r="Z203" s="1178">
        <v>3</v>
      </c>
      <c r="AA203" s="1178"/>
      <c r="AB203" s="1178"/>
      <c r="AC203" s="1178"/>
      <c r="AD203" s="1179"/>
      <c r="AH203" s="251">
        <v>164</v>
      </c>
      <c r="AI203" s="251" t="e">
        <f t="shared" si="28"/>
        <v>#N/A</v>
      </c>
      <c r="AJ203" s="251" t="e">
        <f t="shared" ca="1" si="26"/>
        <v>#N/A</v>
      </c>
      <c r="AL203" s="251">
        <f t="shared" ca="1" si="27"/>
        <v>2011</v>
      </c>
      <c r="AM203" s="251" t="e">
        <f t="shared" ca="1" si="22"/>
        <v>#N/A</v>
      </c>
      <c r="AN203" s="251" t="e">
        <f t="shared" ca="1" si="29"/>
        <v>#N/A</v>
      </c>
      <c r="AO203" s="251" t="e">
        <f t="shared" ca="1" si="30"/>
        <v>#N/A</v>
      </c>
    </row>
    <row r="204" spans="1:41" x14ac:dyDescent="0.2">
      <c r="A204">
        <f t="shared" ref="A204:A267" si="31">A203+(D204&lt;&gt;D203)*1</f>
        <v>7</v>
      </c>
      <c r="B204">
        <v>195</v>
      </c>
      <c r="C204" s="1078">
        <v>3</v>
      </c>
      <c r="D204" s="1077" t="s">
        <v>3599</v>
      </c>
      <c r="E204" s="1077" t="s">
        <v>4124</v>
      </c>
      <c r="F204" s="1185">
        <v>2</v>
      </c>
      <c r="G204" s="1178"/>
      <c r="H204" s="1178"/>
      <c r="I204" s="1178"/>
      <c r="J204" s="1178"/>
      <c r="K204" s="1178"/>
      <c r="L204" s="1178"/>
      <c r="M204" s="1178"/>
      <c r="N204" s="1178"/>
      <c r="O204" s="1178"/>
      <c r="P204" s="1178"/>
      <c r="Q204" s="1178"/>
      <c r="R204" s="1178"/>
      <c r="S204" s="1178"/>
      <c r="T204" s="1178"/>
      <c r="U204" s="1178"/>
      <c r="V204" s="1178"/>
      <c r="W204" s="1178">
        <v>21.4</v>
      </c>
      <c r="X204" s="1178">
        <v>4.4000000000000004</v>
      </c>
      <c r="Y204" s="1178">
        <v>21</v>
      </c>
      <c r="Z204" s="1178">
        <v>3</v>
      </c>
      <c r="AA204" s="1178"/>
      <c r="AB204" s="1178"/>
      <c r="AC204" s="1178"/>
      <c r="AD204" s="1179"/>
      <c r="AH204" s="251">
        <v>165</v>
      </c>
      <c r="AI204" s="251" t="e">
        <f t="shared" si="28"/>
        <v>#N/A</v>
      </c>
      <c r="AJ204" s="251" t="e">
        <f t="shared" ca="1" si="26"/>
        <v>#N/A</v>
      </c>
      <c r="AL204" s="251">
        <f t="shared" ca="1" si="27"/>
        <v>2012</v>
      </c>
      <c r="AM204" s="251" t="e">
        <f t="shared" ca="1" si="22"/>
        <v>#N/A</v>
      </c>
      <c r="AN204" s="251" t="e">
        <f t="shared" ca="1" si="29"/>
        <v>#N/A</v>
      </c>
      <c r="AO204" s="251" t="e">
        <f t="shared" ca="1" si="30"/>
        <v>#N/A</v>
      </c>
    </row>
    <row r="205" spans="1:41" x14ac:dyDescent="0.2">
      <c r="A205">
        <f t="shared" si="31"/>
        <v>7</v>
      </c>
      <c r="B205">
        <v>196</v>
      </c>
      <c r="C205" s="1078">
        <v>3</v>
      </c>
      <c r="D205" s="1077" t="s">
        <v>3599</v>
      </c>
      <c r="E205" s="1077" t="s">
        <v>4777</v>
      </c>
      <c r="F205" s="1185">
        <v>2</v>
      </c>
      <c r="G205" s="1178"/>
      <c r="H205" s="1178"/>
      <c r="I205" s="1178"/>
      <c r="J205" s="1178"/>
      <c r="K205" s="1178"/>
      <c r="L205" s="1178"/>
      <c r="M205" s="1178"/>
      <c r="N205" s="1178"/>
      <c r="O205" s="1178"/>
      <c r="P205" s="1178"/>
      <c r="Q205" s="1178"/>
      <c r="R205" s="1178"/>
      <c r="S205" s="1178"/>
      <c r="T205" s="1178"/>
      <c r="U205" s="1178"/>
      <c r="V205" s="1178"/>
      <c r="W205" s="1178">
        <v>88.6</v>
      </c>
      <c r="X205" s="1178">
        <v>4.3</v>
      </c>
      <c r="Y205" s="1178">
        <v>84.9</v>
      </c>
      <c r="Z205" s="1178">
        <v>2.9</v>
      </c>
      <c r="AA205" s="1178"/>
      <c r="AB205" s="1178"/>
      <c r="AC205" s="1178"/>
      <c r="AD205" s="1179"/>
      <c r="AH205" s="251">
        <v>166</v>
      </c>
      <c r="AI205" s="251" t="e">
        <f t="shared" si="28"/>
        <v>#N/A</v>
      </c>
      <c r="AJ205" s="251" t="e">
        <f t="shared" ca="1" si="26"/>
        <v>#N/A</v>
      </c>
      <c r="AL205" s="251">
        <f t="shared" ca="1" si="27"/>
        <v>2013</v>
      </c>
      <c r="AM205" s="251" t="e">
        <f t="shared" ca="1" si="22"/>
        <v>#N/A</v>
      </c>
      <c r="AN205" s="251" t="e">
        <f t="shared" ca="1" si="29"/>
        <v>#N/A</v>
      </c>
      <c r="AO205" s="251" t="e">
        <f t="shared" ca="1" si="30"/>
        <v>#N/A</v>
      </c>
    </row>
    <row r="206" spans="1:41" x14ac:dyDescent="0.2">
      <c r="A206">
        <f t="shared" si="31"/>
        <v>7</v>
      </c>
      <c r="B206">
        <v>197</v>
      </c>
      <c r="C206" s="1078">
        <v>3</v>
      </c>
      <c r="D206" s="1077" t="s">
        <v>3599</v>
      </c>
      <c r="E206" s="1077" t="s">
        <v>4117</v>
      </c>
      <c r="F206" s="1185">
        <v>1</v>
      </c>
      <c r="G206" s="1178"/>
      <c r="H206" s="1178"/>
      <c r="I206" s="1178"/>
      <c r="J206" s="1178"/>
      <c r="K206" s="1178"/>
      <c r="L206" s="1178"/>
      <c r="M206" s="1178"/>
      <c r="N206" s="1178"/>
      <c r="O206" s="1178"/>
      <c r="P206" s="1178"/>
      <c r="Q206" s="1178"/>
      <c r="R206" s="1178"/>
      <c r="S206" s="1178"/>
      <c r="T206" s="1178"/>
      <c r="U206" s="1178"/>
      <c r="V206" s="1178"/>
      <c r="W206" s="1178">
        <v>10.6</v>
      </c>
      <c r="X206" s="1178">
        <v>5</v>
      </c>
      <c r="Y206" s="1178">
        <v>9.8000000000000007</v>
      </c>
      <c r="Z206" s="1178">
        <v>3.1</v>
      </c>
      <c r="AA206" s="1178"/>
      <c r="AB206" s="1178"/>
      <c r="AC206" s="1178"/>
      <c r="AD206" s="1179"/>
      <c r="AH206" s="251">
        <v>167</v>
      </c>
      <c r="AI206" s="251" t="e">
        <f t="shared" si="28"/>
        <v>#N/A</v>
      </c>
      <c r="AJ206" s="251" t="e">
        <f t="shared" ca="1" si="26"/>
        <v>#N/A</v>
      </c>
      <c r="AL206" s="251">
        <f t="shared" ca="1" si="27"/>
        <v>2014</v>
      </c>
      <c r="AM206" s="251" t="e">
        <f t="shared" ca="1" si="22"/>
        <v>#N/A</v>
      </c>
      <c r="AN206" s="251" t="e">
        <f t="shared" ca="1" si="29"/>
        <v>#N/A</v>
      </c>
      <c r="AO206" s="251" t="e">
        <f t="shared" ca="1" si="30"/>
        <v>#N/A</v>
      </c>
    </row>
    <row r="207" spans="1:41" x14ac:dyDescent="0.2">
      <c r="A207">
        <f t="shared" si="31"/>
        <v>7</v>
      </c>
      <c r="B207">
        <v>198</v>
      </c>
      <c r="C207" s="1078">
        <v>3</v>
      </c>
      <c r="D207" s="1077" t="s">
        <v>3599</v>
      </c>
      <c r="E207" s="1077" t="s">
        <v>4121</v>
      </c>
      <c r="F207" s="1185">
        <v>1</v>
      </c>
      <c r="G207" s="1178"/>
      <c r="H207" s="1178"/>
      <c r="I207" s="1178"/>
      <c r="J207" s="1178"/>
      <c r="K207" s="1178"/>
      <c r="L207" s="1178"/>
      <c r="M207" s="1178"/>
      <c r="N207" s="1178"/>
      <c r="O207" s="1178"/>
      <c r="P207" s="1178"/>
      <c r="Q207" s="1178"/>
      <c r="R207" s="1178"/>
      <c r="S207" s="1178"/>
      <c r="T207" s="1178"/>
      <c r="U207" s="1178"/>
      <c r="V207" s="1178"/>
      <c r="W207" s="1178">
        <v>13.1</v>
      </c>
      <c r="X207" s="1178">
        <v>4.7</v>
      </c>
      <c r="Y207" s="1178">
        <v>12.2</v>
      </c>
      <c r="Z207" s="1178">
        <v>3</v>
      </c>
      <c r="AA207" s="1178"/>
      <c r="AB207" s="1178"/>
      <c r="AC207" s="1178"/>
      <c r="AD207" s="1179"/>
      <c r="AH207" s="251">
        <v>168</v>
      </c>
      <c r="AI207" s="251" t="e">
        <f t="shared" si="28"/>
        <v>#N/A</v>
      </c>
      <c r="AJ207" s="251" t="e">
        <f t="shared" ca="1" si="26"/>
        <v>#N/A</v>
      </c>
      <c r="AL207" s="251">
        <f t="shared" ca="1" si="27"/>
        <v>2015</v>
      </c>
      <c r="AM207" s="251" t="e">
        <f t="shared" ca="1" si="22"/>
        <v>#N/A</v>
      </c>
      <c r="AN207" s="251" t="e">
        <f t="shared" ca="1" si="29"/>
        <v>#N/A</v>
      </c>
      <c r="AO207" s="251" t="e">
        <f t="shared" ca="1" si="30"/>
        <v>#N/A</v>
      </c>
    </row>
    <row r="208" spans="1:41" x14ac:dyDescent="0.2">
      <c r="A208">
        <f t="shared" si="31"/>
        <v>7</v>
      </c>
      <c r="B208">
        <v>199</v>
      </c>
      <c r="C208" s="1078">
        <v>3</v>
      </c>
      <c r="D208" s="1077" t="s">
        <v>3599</v>
      </c>
      <c r="E208" s="1077" t="s">
        <v>4109</v>
      </c>
      <c r="F208" s="1185">
        <v>1</v>
      </c>
      <c r="G208" s="1178"/>
      <c r="H208" s="1178"/>
      <c r="I208" s="1178"/>
      <c r="J208" s="1178"/>
      <c r="K208" s="1178"/>
      <c r="L208" s="1178"/>
      <c r="M208" s="1178"/>
      <c r="N208" s="1178"/>
      <c r="O208" s="1178"/>
      <c r="P208" s="1178"/>
      <c r="Q208" s="1178"/>
      <c r="R208" s="1178"/>
      <c r="S208" s="1178"/>
      <c r="T208" s="1178"/>
      <c r="U208" s="1178"/>
      <c r="V208" s="1178"/>
      <c r="W208" s="1178">
        <v>5.9</v>
      </c>
      <c r="X208" s="1178">
        <v>4.7</v>
      </c>
      <c r="Y208" s="1178">
        <v>5.4</v>
      </c>
      <c r="Z208" s="1178">
        <v>2.9</v>
      </c>
      <c r="AA208" s="1178"/>
      <c r="AB208" s="1178"/>
      <c r="AC208" s="1178"/>
      <c r="AD208" s="1179"/>
      <c r="AH208" s="251">
        <v>169</v>
      </c>
      <c r="AI208" s="251" t="e">
        <f t="shared" si="28"/>
        <v>#N/A</v>
      </c>
      <c r="AJ208" s="251" t="e">
        <f t="shared" ca="1" si="26"/>
        <v>#N/A</v>
      </c>
      <c r="AL208" s="251">
        <f t="shared" ca="1" si="27"/>
        <v>2016</v>
      </c>
      <c r="AM208" s="251" t="e">
        <f t="shared" ca="1" si="22"/>
        <v>#N/A</v>
      </c>
      <c r="AN208" s="251" t="e">
        <f t="shared" ca="1" si="29"/>
        <v>#N/A</v>
      </c>
      <c r="AO208" s="251" t="e">
        <f t="shared" ca="1" si="30"/>
        <v>#N/A</v>
      </c>
    </row>
    <row r="209" spans="1:41" x14ac:dyDescent="0.2">
      <c r="A209">
        <f t="shared" si="31"/>
        <v>7</v>
      </c>
      <c r="B209">
        <v>200</v>
      </c>
      <c r="C209" s="1078">
        <v>3</v>
      </c>
      <c r="D209" s="1077" t="s">
        <v>3599</v>
      </c>
      <c r="E209" s="1077" t="s">
        <v>4113</v>
      </c>
      <c r="F209" s="1185">
        <v>1</v>
      </c>
      <c r="G209" s="1178"/>
      <c r="H209" s="1178"/>
      <c r="I209" s="1178"/>
      <c r="J209" s="1178"/>
      <c r="K209" s="1178"/>
      <c r="L209" s="1178"/>
      <c r="M209" s="1178"/>
      <c r="N209" s="1178"/>
      <c r="O209" s="1178"/>
      <c r="P209" s="1178"/>
      <c r="Q209" s="1178"/>
      <c r="R209" s="1178"/>
      <c r="S209" s="1178"/>
      <c r="T209" s="1178"/>
      <c r="U209" s="1178"/>
      <c r="V209" s="1178"/>
      <c r="W209" s="1178">
        <v>7.8</v>
      </c>
      <c r="X209" s="1178">
        <v>4.8</v>
      </c>
      <c r="Y209" s="1178">
        <v>7.2</v>
      </c>
      <c r="Z209" s="1178">
        <v>2.8</v>
      </c>
      <c r="AA209" s="1178"/>
      <c r="AB209" s="1178"/>
      <c r="AC209" s="1178"/>
      <c r="AD209" s="1179"/>
      <c r="AH209" s="251">
        <v>170</v>
      </c>
      <c r="AI209" s="251" t="e">
        <f t="shared" si="28"/>
        <v>#N/A</v>
      </c>
      <c r="AJ209" s="251" t="e">
        <f t="shared" ca="1" si="26"/>
        <v>#N/A</v>
      </c>
      <c r="AL209" s="251">
        <f t="shared" ca="1" si="27"/>
        <v>2017</v>
      </c>
      <c r="AM209" s="251" t="e">
        <f t="shared" ca="1" si="22"/>
        <v>#N/A</v>
      </c>
      <c r="AN209" s="251" t="e">
        <f t="shared" ca="1" si="29"/>
        <v>#N/A</v>
      </c>
      <c r="AO209" s="251" t="e">
        <f t="shared" ca="1" si="30"/>
        <v>#N/A</v>
      </c>
    </row>
    <row r="210" spans="1:41" x14ac:dyDescent="0.2">
      <c r="A210">
        <f t="shared" si="31"/>
        <v>7</v>
      </c>
      <c r="B210">
        <v>201</v>
      </c>
      <c r="C210" s="1078">
        <v>4</v>
      </c>
      <c r="D210" s="1077" t="s">
        <v>3599</v>
      </c>
      <c r="E210" s="1077" t="s">
        <v>4129</v>
      </c>
      <c r="F210" s="1185">
        <v>1</v>
      </c>
      <c r="G210" s="1178"/>
      <c r="H210" s="1178"/>
      <c r="I210" s="1178"/>
      <c r="J210" s="1178"/>
      <c r="K210" s="1178"/>
      <c r="L210" s="1178"/>
      <c r="M210" s="1178"/>
      <c r="N210" s="1178"/>
      <c r="O210" s="1178"/>
      <c r="P210" s="1178"/>
      <c r="Q210" s="1178"/>
      <c r="R210" s="1178"/>
      <c r="S210" s="1178"/>
      <c r="T210" s="1178"/>
      <c r="U210" s="1178"/>
      <c r="V210" s="1178"/>
      <c r="W210" s="1178"/>
      <c r="X210" s="1178"/>
      <c r="Y210" s="1178"/>
      <c r="Z210" s="1178"/>
      <c r="AA210" s="1178">
        <v>9.6</v>
      </c>
      <c r="AB210" s="1178">
        <v>5.9</v>
      </c>
      <c r="AC210" s="1178">
        <v>8.4</v>
      </c>
      <c r="AD210" s="1179">
        <v>3.2</v>
      </c>
      <c r="AH210" s="251">
        <v>171</v>
      </c>
      <c r="AI210" s="251" t="e">
        <f t="shared" si="28"/>
        <v>#N/A</v>
      </c>
      <c r="AJ210" s="251" t="e">
        <f t="shared" ca="1" si="26"/>
        <v>#N/A</v>
      </c>
      <c r="AL210" s="251">
        <f t="shared" ca="1" si="27"/>
        <v>2018</v>
      </c>
      <c r="AM210" s="251" t="e">
        <f t="shared" ref="AM210:AM239" ca="1" si="32">IF(AL210&lt;$AH$13,AL210,"")</f>
        <v>#N/A</v>
      </c>
      <c r="AN210" s="251" t="e">
        <f t="shared" ca="1" si="29"/>
        <v>#N/A</v>
      </c>
      <c r="AO210" s="251" t="e">
        <f t="shared" ca="1" si="30"/>
        <v>#N/A</v>
      </c>
    </row>
    <row r="211" spans="1:41" x14ac:dyDescent="0.2">
      <c r="A211">
        <f t="shared" si="31"/>
        <v>7</v>
      </c>
      <c r="B211">
        <v>202</v>
      </c>
      <c r="C211" s="1078">
        <v>4</v>
      </c>
      <c r="D211" s="1077" t="s">
        <v>3599</v>
      </c>
      <c r="E211" s="1077" t="s">
        <v>4781</v>
      </c>
      <c r="F211" s="1185">
        <v>2</v>
      </c>
      <c r="G211" s="1178"/>
      <c r="H211" s="1178"/>
      <c r="I211" s="1178"/>
      <c r="J211" s="1178"/>
      <c r="K211" s="1178"/>
      <c r="L211" s="1178"/>
      <c r="M211" s="1178"/>
      <c r="N211" s="1178"/>
      <c r="O211" s="1178"/>
      <c r="P211" s="1178"/>
      <c r="Q211" s="1178"/>
      <c r="R211" s="1178"/>
      <c r="S211" s="1178"/>
      <c r="T211" s="1178"/>
      <c r="U211" s="1178"/>
      <c r="V211" s="1178"/>
      <c r="W211" s="1178"/>
      <c r="X211" s="1178"/>
      <c r="Y211" s="1178"/>
      <c r="Z211" s="1178"/>
      <c r="AA211" s="1178">
        <v>118.5</v>
      </c>
      <c r="AB211" s="1178">
        <v>5.9</v>
      </c>
      <c r="AC211" s="1178">
        <v>104.2</v>
      </c>
      <c r="AD211" s="1179">
        <v>3.7</v>
      </c>
      <c r="AH211" s="251">
        <v>172</v>
      </c>
      <c r="AI211" s="251" t="e">
        <f t="shared" si="28"/>
        <v>#N/A</v>
      </c>
      <c r="AJ211" s="251" t="e">
        <f t="shared" ca="1" si="26"/>
        <v>#N/A</v>
      </c>
      <c r="AL211" s="251">
        <f t="shared" ca="1" si="27"/>
        <v>2019</v>
      </c>
      <c r="AM211" s="251" t="e">
        <f t="shared" ca="1" si="32"/>
        <v>#N/A</v>
      </c>
      <c r="AN211" s="251" t="e">
        <f t="shared" ca="1" si="29"/>
        <v>#N/A</v>
      </c>
      <c r="AO211" s="251" t="e">
        <f t="shared" ca="1" si="30"/>
        <v>#N/A</v>
      </c>
    </row>
    <row r="212" spans="1:41" x14ac:dyDescent="0.2">
      <c r="A212">
        <f t="shared" si="31"/>
        <v>7</v>
      </c>
      <c r="B212">
        <v>203</v>
      </c>
      <c r="C212" s="1078">
        <v>4</v>
      </c>
      <c r="D212" s="1077" t="s">
        <v>3599</v>
      </c>
      <c r="E212" s="1077" t="s">
        <v>4130</v>
      </c>
      <c r="F212" s="1185">
        <v>1</v>
      </c>
      <c r="G212" s="1178"/>
      <c r="H212" s="1178"/>
      <c r="I212" s="1178"/>
      <c r="J212" s="1178"/>
      <c r="K212" s="1178"/>
      <c r="L212" s="1178"/>
      <c r="M212" s="1178"/>
      <c r="N212" s="1178"/>
      <c r="O212" s="1178"/>
      <c r="P212" s="1178"/>
      <c r="Q212" s="1178"/>
      <c r="R212" s="1178"/>
      <c r="S212" s="1178"/>
      <c r="T212" s="1178"/>
      <c r="U212" s="1178"/>
      <c r="V212" s="1178"/>
      <c r="W212" s="1178"/>
      <c r="X212" s="1178"/>
      <c r="Y212" s="1178"/>
      <c r="Z212" s="1178"/>
      <c r="AA212" s="1178">
        <v>13.3</v>
      </c>
      <c r="AB212" s="1178">
        <v>6.1</v>
      </c>
      <c r="AC212" s="1178">
        <v>11.5</v>
      </c>
      <c r="AD212" s="1179">
        <v>3.3</v>
      </c>
      <c r="AH212" s="251">
        <v>173</v>
      </c>
      <c r="AI212" s="251" t="e">
        <f t="shared" si="28"/>
        <v>#N/A</v>
      </c>
      <c r="AJ212" s="251" t="e">
        <f t="shared" ca="1" si="26"/>
        <v>#N/A</v>
      </c>
      <c r="AL212" s="251">
        <f t="shared" ca="1" si="27"/>
        <v>2020</v>
      </c>
      <c r="AM212" s="251" t="e">
        <f t="shared" ca="1" si="32"/>
        <v>#N/A</v>
      </c>
      <c r="AN212" s="251" t="e">
        <f t="shared" ca="1" si="29"/>
        <v>#N/A</v>
      </c>
      <c r="AO212" s="251" t="e">
        <f t="shared" ca="1" si="30"/>
        <v>#N/A</v>
      </c>
    </row>
    <row r="213" spans="1:41" x14ac:dyDescent="0.2">
      <c r="A213">
        <f t="shared" si="31"/>
        <v>7</v>
      </c>
      <c r="B213">
        <v>204</v>
      </c>
      <c r="C213" s="1078">
        <v>4</v>
      </c>
      <c r="D213" s="1077" t="s">
        <v>3599</v>
      </c>
      <c r="E213" s="1077" t="s">
        <v>4131</v>
      </c>
      <c r="F213" s="1185">
        <v>1</v>
      </c>
      <c r="G213" s="1186"/>
      <c r="H213" s="1186"/>
      <c r="I213" s="1186"/>
      <c r="J213" s="1186"/>
      <c r="K213" s="1186"/>
      <c r="L213" s="1186"/>
      <c r="M213" s="1186"/>
      <c r="N213" s="1186"/>
      <c r="O213" s="1186"/>
      <c r="P213" s="1186"/>
      <c r="Q213" s="1186"/>
      <c r="R213" s="1186"/>
      <c r="S213" s="1186"/>
      <c r="T213" s="1186"/>
      <c r="U213" s="1186"/>
      <c r="V213" s="1186"/>
      <c r="W213" s="1186"/>
      <c r="X213" s="1186"/>
      <c r="Y213" s="1186"/>
      <c r="Z213" s="1186"/>
      <c r="AA213" s="1186">
        <v>17.100000000000001</v>
      </c>
      <c r="AB213" s="1186">
        <v>5.8</v>
      </c>
      <c r="AC213" s="1186">
        <v>15.1</v>
      </c>
      <c r="AD213" s="1187">
        <v>3.6</v>
      </c>
      <c r="AH213" s="251">
        <v>174</v>
      </c>
      <c r="AI213" s="251" t="e">
        <f t="shared" si="28"/>
        <v>#N/A</v>
      </c>
      <c r="AJ213" s="251" t="e">
        <f t="shared" ca="1" si="26"/>
        <v>#N/A</v>
      </c>
      <c r="AL213" s="251">
        <f t="shared" ca="1" si="27"/>
        <v>2021</v>
      </c>
      <c r="AM213" s="251" t="e">
        <f t="shared" ca="1" si="32"/>
        <v>#N/A</v>
      </c>
      <c r="AN213" s="251" t="e">
        <f t="shared" ca="1" si="29"/>
        <v>#N/A</v>
      </c>
      <c r="AO213" s="251" t="e">
        <f t="shared" ca="1" si="30"/>
        <v>#N/A</v>
      </c>
    </row>
    <row r="214" spans="1:41" x14ac:dyDescent="0.2">
      <c r="A214">
        <f t="shared" si="31"/>
        <v>7</v>
      </c>
      <c r="B214">
        <v>205</v>
      </c>
      <c r="C214" s="1078">
        <v>4</v>
      </c>
      <c r="D214" s="1077" t="s">
        <v>3599</v>
      </c>
      <c r="E214" s="1077" t="s">
        <v>4132</v>
      </c>
      <c r="F214" s="1185">
        <v>1</v>
      </c>
      <c r="G214" s="1186"/>
      <c r="H214" s="1186"/>
      <c r="I214" s="1186"/>
      <c r="J214" s="1186"/>
      <c r="K214" s="1186"/>
      <c r="L214" s="1186"/>
      <c r="M214" s="1186"/>
      <c r="N214" s="1186"/>
      <c r="O214" s="1186"/>
      <c r="P214" s="1186"/>
      <c r="Q214" s="1186"/>
      <c r="R214" s="1186"/>
      <c r="S214" s="1186"/>
      <c r="T214" s="1186"/>
      <c r="U214" s="1186"/>
      <c r="V214" s="1186"/>
      <c r="W214" s="1186"/>
      <c r="X214" s="1186"/>
      <c r="Y214" s="1186"/>
      <c r="Z214" s="1186"/>
      <c r="AA214" s="1186">
        <v>22.3</v>
      </c>
      <c r="AB214" s="1186">
        <v>5.7</v>
      </c>
      <c r="AC214" s="1186">
        <v>20</v>
      </c>
      <c r="AD214" s="1187">
        <v>3.6</v>
      </c>
      <c r="AH214" s="251">
        <v>175</v>
      </c>
      <c r="AI214" s="251" t="e">
        <f t="shared" si="28"/>
        <v>#N/A</v>
      </c>
      <c r="AJ214" s="251" t="e">
        <f t="shared" ca="1" si="26"/>
        <v>#N/A</v>
      </c>
      <c r="AL214" s="251">
        <f t="shared" ca="1" si="27"/>
        <v>2022</v>
      </c>
      <c r="AM214" s="251" t="e">
        <f t="shared" ca="1" si="32"/>
        <v>#N/A</v>
      </c>
      <c r="AN214" s="251" t="e">
        <f t="shared" ca="1" si="29"/>
        <v>#N/A</v>
      </c>
      <c r="AO214" s="251" t="e">
        <f t="shared" ca="1" si="30"/>
        <v>#N/A</v>
      </c>
    </row>
    <row r="215" spans="1:41" x14ac:dyDescent="0.2">
      <c r="A215">
        <f t="shared" si="31"/>
        <v>7</v>
      </c>
      <c r="B215">
        <v>206</v>
      </c>
      <c r="C215" s="1078">
        <v>4</v>
      </c>
      <c r="D215" s="1077" t="s">
        <v>3599</v>
      </c>
      <c r="E215" s="1077" t="s">
        <v>4133</v>
      </c>
      <c r="F215" s="1185">
        <v>2</v>
      </c>
      <c r="G215" s="1186"/>
      <c r="H215" s="1186"/>
      <c r="I215" s="1186"/>
      <c r="J215" s="1186"/>
      <c r="K215" s="1186"/>
      <c r="L215" s="1186"/>
      <c r="M215" s="1186"/>
      <c r="N215" s="1186"/>
      <c r="O215" s="1186"/>
      <c r="P215" s="1186"/>
      <c r="Q215" s="1186"/>
      <c r="R215" s="1186"/>
      <c r="S215" s="1186"/>
      <c r="T215" s="1186"/>
      <c r="U215" s="1186"/>
      <c r="V215" s="1186"/>
      <c r="W215" s="1186"/>
      <c r="X215" s="1186"/>
      <c r="Y215" s="1186"/>
      <c r="Z215" s="1186"/>
      <c r="AA215" s="1186">
        <v>35.6</v>
      </c>
      <c r="AB215" s="1186">
        <v>6.2</v>
      </c>
      <c r="AC215" s="1186">
        <v>32.1</v>
      </c>
      <c r="AD215" s="1187">
        <v>3.8</v>
      </c>
      <c r="AH215" s="251">
        <v>176</v>
      </c>
      <c r="AI215" s="251" t="e">
        <f t="shared" si="28"/>
        <v>#N/A</v>
      </c>
      <c r="AJ215" s="251" t="e">
        <f t="shared" ca="1" si="26"/>
        <v>#N/A</v>
      </c>
      <c r="AL215" s="251">
        <f t="shared" ca="1" si="27"/>
        <v>2023</v>
      </c>
      <c r="AM215" s="251" t="e">
        <f t="shared" ca="1" si="32"/>
        <v>#N/A</v>
      </c>
      <c r="AN215" s="251" t="e">
        <f t="shared" ca="1" si="29"/>
        <v>#N/A</v>
      </c>
      <c r="AO215" s="251" t="e">
        <f t="shared" ca="1" si="30"/>
        <v>#N/A</v>
      </c>
    </row>
    <row r="216" spans="1:41" x14ac:dyDescent="0.2">
      <c r="A216">
        <f t="shared" si="31"/>
        <v>7</v>
      </c>
      <c r="B216">
        <v>207</v>
      </c>
      <c r="C216" s="1078">
        <v>4</v>
      </c>
      <c r="D216" s="1077" t="s">
        <v>3599</v>
      </c>
      <c r="E216" s="1077" t="s">
        <v>4134</v>
      </c>
      <c r="F216" s="1185">
        <v>1</v>
      </c>
      <c r="G216" s="1186"/>
      <c r="H216" s="1186"/>
      <c r="I216" s="1186"/>
      <c r="J216" s="1186"/>
      <c r="K216" s="1186"/>
      <c r="L216" s="1186"/>
      <c r="M216" s="1186"/>
      <c r="N216" s="1186"/>
      <c r="O216" s="1186"/>
      <c r="P216" s="1186"/>
      <c r="Q216" s="1186"/>
      <c r="R216" s="1186"/>
      <c r="S216" s="1186"/>
      <c r="T216" s="1186"/>
      <c r="U216" s="1186"/>
      <c r="V216" s="1186"/>
      <c r="W216" s="1186"/>
      <c r="X216" s="1186"/>
      <c r="Y216" s="1186"/>
      <c r="Z216" s="1186"/>
      <c r="AA216" s="1186">
        <v>46.2</v>
      </c>
      <c r="AB216" s="1186">
        <v>5.8</v>
      </c>
      <c r="AC216" s="1186">
        <v>42.5</v>
      </c>
      <c r="AD216" s="1187">
        <v>3.7</v>
      </c>
      <c r="AH216" s="251">
        <v>177</v>
      </c>
      <c r="AI216" s="251" t="e">
        <f t="shared" si="28"/>
        <v>#N/A</v>
      </c>
      <c r="AJ216" s="251" t="e">
        <f t="shared" ca="1" si="26"/>
        <v>#N/A</v>
      </c>
      <c r="AL216" s="251">
        <f t="shared" ca="1" si="27"/>
        <v>2024</v>
      </c>
      <c r="AM216" s="251" t="e">
        <f t="shared" ca="1" si="32"/>
        <v>#N/A</v>
      </c>
      <c r="AN216" s="251" t="e">
        <f t="shared" ca="1" si="29"/>
        <v>#N/A</v>
      </c>
      <c r="AO216" s="251" t="e">
        <f t="shared" ca="1" si="30"/>
        <v>#N/A</v>
      </c>
    </row>
    <row r="217" spans="1:41" x14ac:dyDescent="0.2">
      <c r="A217">
        <f t="shared" si="31"/>
        <v>7</v>
      </c>
      <c r="B217">
        <v>208</v>
      </c>
      <c r="C217" s="1081">
        <v>4</v>
      </c>
      <c r="D217" s="1082" t="s">
        <v>3599</v>
      </c>
      <c r="E217" s="1082" t="s">
        <v>4135</v>
      </c>
      <c r="F217" s="1188">
        <v>1</v>
      </c>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v>47.6</v>
      </c>
      <c r="AB217" s="1189">
        <v>5.7</v>
      </c>
      <c r="AC217" s="1189">
        <v>41</v>
      </c>
      <c r="AD217" s="1194">
        <v>3.2</v>
      </c>
      <c r="AH217" s="251">
        <v>178</v>
      </c>
      <c r="AI217" s="251" t="e">
        <f t="shared" si="28"/>
        <v>#N/A</v>
      </c>
      <c r="AJ217" s="251" t="e">
        <f t="shared" ca="1" si="26"/>
        <v>#N/A</v>
      </c>
      <c r="AL217" s="251">
        <f t="shared" ca="1" si="27"/>
        <v>2025</v>
      </c>
      <c r="AM217" s="251" t="e">
        <f t="shared" ca="1" si="32"/>
        <v>#N/A</v>
      </c>
      <c r="AN217" s="251" t="e">
        <f t="shared" ca="1" si="29"/>
        <v>#N/A</v>
      </c>
      <c r="AO217" s="251" t="e">
        <f t="shared" ca="1" si="30"/>
        <v>#N/A</v>
      </c>
    </row>
    <row r="218" spans="1:41" x14ac:dyDescent="0.2">
      <c r="A218">
        <f t="shared" si="31"/>
        <v>7</v>
      </c>
      <c r="B218">
        <v>209</v>
      </c>
      <c r="C218" s="1190">
        <v>4</v>
      </c>
      <c r="D218" s="1191" t="s">
        <v>3599</v>
      </c>
      <c r="E218" s="1191" t="s">
        <v>4136</v>
      </c>
      <c r="F218" s="1192">
        <v>2</v>
      </c>
      <c r="G218" s="1193"/>
      <c r="H218" s="1193"/>
      <c r="I218" s="1193"/>
      <c r="J218" s="1193"/>
      <c r="K218" s="1193"/>
      <c r="L218" s="1193"/>
      <c r="M218" s="1193"/>
      <c r="N218" s="1193"/>
      <c r="O218" s="1193"/>
      <c r="P218" s="1193"/>
      <c r="Q218" s="1193"/>
      <c r="R218" s="1193"/>
      <c r="S218" s="1193"/>
      <c r="T218" s="1193"/>
      <c r="U218" s="1193"/>
      <c r="V218" s="1193"/>
      <c r="W218" s="1193"/>
      <c r="X218" s="1193"/>
      <c r="Y218" s="1193"/>
      <c r="Z218" s="1193"/>
      <c r="AA218" s="1193">
        <v>68.900000000000006</v>
      </c>
      <c r="AB218" s="1193">
        <v>6.2</v>
      </c>
      <c r="AC218" s="1193">
        <v>59.9</v>
      </c>
      <c r="AD218" s="1195">
        <v>3.7</v>
      </c>
      <c r="AH218" s="251">
        <v>179</v>
      </c>
      <c r="AI218" s="251" t="e">
        <f t="shared" si="28"/>
        <v>#N/A</v>
      </c>
      <c r="AJ218" s="251" t="e">
        <f t="shared" ca="1" si="26"/>
        <v>#N/A</v>
      </c>
      <c r="AL218" s="251">
        <f t="shared" ca="1" si="27"/>
        <v>2026</v>
      </c>
      <c r="AM218" s="251" t="e">
        <f t="shared" ca="1" si="32"/>
        <v>#N/A</v>
      </c>
      <c r="AN218" s="251" t="e">
        <f t="shared" ca="1" si="29"/>
        <v>#N/A</v>
      </c>
      <c r="AO218" s="251" t="e">
        <f t="shared" ca="1" si="30"/>
        <v>#N/A</v>
      </c>
    </row>
    <row r="219" spans="1:41" x14ac:dyDescent="0.2">
      <c r="A219">
        <f t="shared" si="31"/>
        <v>7</v>
      </c>
      <c r="B219">
        <v>210</v>
      </c>
      <c r="C219" s="1078">
        <v>4</v>
      </c>
      <c r="D219" s="1077" t="s">
        <v>3599</v>
      </c>
      <c r="E219" s="1077" t="s">
        <v>4137</v>
      </c>
      <c r="F219" s="1185">
        <v>2</v>
      </c>
      <c r="G219" s="1186"/>
      <c r="H219" s="1186"/>
      <c r="I219" s="1186"/>
      <c r="J219" s="1186"/>
      <c r="K219" s="1186"/>
      <c r="L219" s="1186"/>
      <c r="M219" s="1186"/>
      <c r="N219" s="1186"/>
      <c r="O219" s="1186"/>
      <c r="P219" s="1186"/>
      <c r="Q219" s="1186"/>
      <c r="R219" s="1186"/>
      <c r="S219" s="1186"/>
      <c r="T219" s="1186"/>
      <c r="U219" s="1186"/>
      <c r="V219" s="1186"/>
      <c r="W219" s="1186"/>
      <c r="X219" s="1186"/>
      <c r="Y219" s="1186"/>
      <c r="Z219" s="1186"/>
      <c r="AA219" s="1186">
        <v>98.9</v>
      </c>
      <c r="AB219" s="1186">
        <v>5.9</v>
      </c>
      <c r="AC219" s="1186">
        <v>89.9</v>
      </c>
      <c r="AD219" s="1187">
        <v>3.7</v>
      </c>
      <c r="AH219" s="251">
        <v>180</v>
      </c>
      <c r="AI219" s="251" t="e">
        <f t="shared" si="28"/>
        <v>#N/A</v>
      </c>
      <c r="AJ219" s="251" t="e">
        <f t="shared" ca="1" si="26"/>
        <v>#N/A</v>
      </c>
      <c r="AL219" s="251">
        <f t="shared" ca="1" si="27"/>
        <v>2027</v>
      </c>
      <c r="AM219" s="251" t="e">
        <f t="shared" ca="1" si="32"/>
        <v>#N/A</v>
      </c>
      <c r="AN219" s="251" t="e">
        <f t="shared" ca="1" si="29"/>
        <v>#N/A</v>
      </c>
      <c r="AO219" s="251" t="e">
        <f t="shared" ca="1" si="30"/>
        <v>#N/A</v>
      </c>
    </row>
    <row r="220" spans="1:41" x14ac:dyDescent="0.2">
      <c r="A220">
        <f t="shared" si="31"/>
        <v>7</v>
      </c>
      <c r="B220">
        <v>211</v>
      </c>
      <c r="C220" s="1078">
        <v>2</v>
      </c>
      <c r="D220" s="1077" t="s">
        <v>3599</v>
      </c>
      <c r="E220" s="1077" t="s">
        <v>4842</v>
      </c>
      <c r="F220" s="1185">
        <v>4</v>
      </c>
      <c r="G220" s="1186">
        <v>3.7</v>
      </c>
      <c r="H220" s="1186">
        <v>2.5</v>
      </c>
      <c r="I220" s="1186">
        <v>4.7</v>
      </c>
      <c r="J220" s="1186">
        <v>2.8</v>
      </c>
      <c r="K220" s="1186">
        <v>2.7</v>
      </c>
      <c r="L220" s="1186">
        <v>4</v>
      </c>
      <c r="M220" s="1186">
        <v>2.1</v>
      </c>
      <c r="N220" s="1186">
        <v>4.7</v>
      </c>
      <c r="O220" s="1186">
        <v>2.5</v>
      </c>
      <c r="P220" s="1186">
        <v>5.4</v>
      </c>
      <c r="Q220" s="1186">
        <v>4.5</v>
      </c>
      <c r="R220" s="1186">
        <v>1.9</v>
      </c>
      <c r="S220" s="1186">
        <v>2</v>
      </c>
      <c r="T220" s="1186">
        <v>3.1</v>
      </c>
      <c r="U220" s="1186">
        <v>2.2999999999999998</v>
      </c>
      <c r="V220" s="1186">
        <v>3.6</v>
      </c>
      <c r="W220" s="1186"/>
      <c r="X220" s="1186"/>
      <c r="Y220" s="1186"/>
      <c r="Z220" s="1186"/>
      <c r="AA220" s="1186"/>
      <c r="AB220" s="1186"/>
      <c r="AC220" s="1186"/>
      <c r="AD220" s="1187"/>
      <c r="AH220" s="251">
        <v>181</v>
      </c>
      <c r="AI220" s="251" t="e">
        <f t="shared" si="28"/>
        <v>#N/A</v>
      </c>
      <c r="AJ220" s="251" t="e">
        <f t="shared" ca="1" si="26"/>
        <v>#N/A</v>
      </c>
      <c r="AL220" s="251">
        <f t="shared" ca="1" si="27"/>
        <v>2028</v>
      </c>
      <c r="AM220" s="251" t="e">
        <f t="shared" ca="1" si="32"/>
        <v>#N/A</v>
      </c>
      <c r="AN220" s="251" t="e">
        <f t="shared" ca="1" si="29"/>
        <v>#N/A</v>
      </c>
      <c r="AO220" s="251" t="e">
        <f t="shared" ca="1" si="30"/>
        <v>#N/A</v>
      </c>
    </row>
    <row r="221" spans="1:41" x14ac:dyDescent="0.2">
      <c r="A221">
        <f t="shared" si="31"/>
        <v>7</v>
      </c>
      <c r="B221">
        <v>212</v>
      </c>
      <c r="C221" s="1081">
        <v>2</v>
      </c>
      <c r="D221" s="1082" t="s">
        <v>3599</v>
      </c>
      <c r="E221" s="1082" t="s">
        <v>4849</v>
      </c>
      <c r="F221" s="1188">
        <v>4</v>
      </c>
      <c r="G221" s="1189">
        <v>3.7</v>
      </c>
      <c r="H221" s="1189">
        <v>2.5</v>
      </c>
      <c r="I221" s="1189">
        <v>4.7</v>
      </c>
      <c r="J221" s="1189">
        <v>2.8</v>
      </c>
      <c r="K221" s="1189">
        <v>2.7</v>
      </c>
      <c r="L221" s="1189">
        <v>4</v>
      </c>
      <c r="M221" s="1189">
        <v>2.1</v>
      </c>
      <c r="N221" s="1189">
        <v>4.7</v>
      </c>
      <c r="O221" s="1189">
        <v>2.5</v>
      </c>
      <c r="P221" s="1189">
        <v>5.4</v>
      </c>
      <c r="Q221" s="1189">
        <v>4.5</v>
      </c>
      <c r="R221" s="1189">
        <v>1.9</v>
      </c>
      <c r="S221" s="1189">
        <v>2</v>
      </c>
      <c r="T221" s="1189">
        <v>3.1</v>
      </c>
      <c r="U221" s="1189">
        <v>2.2999999999999998</v>
      </c>
      <c r="V221" s="1189">
        <v>3.6</v>
      </c>
      <c r="W221" s="1189"/>
      <c r="X221" s="1189"/>
      <c r="Y221" s="1189"/>
      <c r="Z221" s="1189"/>
      <c r="AA221" s="1189"/>
      <c r="AB221" s="1189"/>
      <c r="AC221" s="1189"/>
      <c r="AD221" s="1194"/>
      <c r="AH221" s="251">
        <v>182</v>
      </c>
      <c r="AI221" s="251" t="e">
        <f t="shared" si="28"/>
        <v>#N/A</v>
      </c>
      <c r="AJ221" s="251" t="e">
        <f t="shared" ca="1" si="26"/>
        <v>#N/A</v>
      </c>
      <c r="AL221" s="251">
        <f t="shared" ca="1" si="27"/>
        <v>2029</v>
      </c>
      <c r="AM221" s="251" t="e">
        <f t="shared" ca="1" si="32"/>
        <v>#N/A</v>
      </c>
      <c r="AN221" s="251" t="e">
        <f t="shared" ca="1" si="29"/>
        <v>#N/A</v>
      </c>
      <c r="AO221" s="251" t="e">
        <f t="shared" ca="1" si="30"/>
        <v>#N/A</v>
      </c>
    </row>
    <row r="222" spans="1:41" x14ac:dyDescent="0.2">
      <c r="A222">
        <f t="shared" si="31"/>
        <v>7</v>
      </c>
      <c r="B222">
        <v>213</v>
      </c>
      <c r="C222" s="1190">
        <v>2</v>
      </c>
      <c r="D222" s="1191" t="s">
        <v>3599</v>
      </c>
      <c r="E222" s="1191" t="s">
        <v>4847</v>
      </c>
      <c r="F222" s="1192">
        <v>4</v>
      </c>
      <c r="G222" s="1193">
        <v>4.0999999999999996</v>
      </c>
      <c r="H222" s="1193">
        <v>2.4</v>
      </c>
      <c r="I222" s="1193">
        <v>5</v>
      </c>
      <c r="J222" s="1193">
        <v>2.8</v>
      </c>
      <c r="K222" s="1193">
        <v>2.5</v>
      </c>
      <c r="L222" s="1193">
        <v>4.3</v>
      </c>
      <c r="M222" s="1193">
        <v>2.1</v>
      </c>
      <c r="N222" s="1193">
        <v>4.7</v>
      </c>
      <c r="O222" s="1193">
        <v>2.5</v>
      </c>
      <c r="P222" s="1193">
        <v>5.4</v>
      </c>
      <c r="Q222" s="1193">
        <v>4.7</v>
      </c>
      <c r="R222" s="1193">
        <v>1.9</v>
      </c>
      <c r="S222" s="1193">
        <v>2</v>
      </c>
      <c r="T222" s="1193">
        <v>3.1</v>
      </c>
      <c r="U222" s="1193">
        <v>2.2999999999999998</v>
      </c>
      <c r="V222" s="1193">
        <v>3.6</v>
      </c>
      <c r="W222" s="1193"/>
      <c r="X222" s="1193"/>
      <c r="Y222" s="1193"/>
      <c r="Z222" s="1193"/>
      <c r="AA222" s="1193"/>
      <c r="AB222" s="1193"/>
      <c r="AC222" s="1193"/>
      <c r="AD222" s="1195"/>
      <c r="AH222" s="251">
        <v>183</v>
      </c>
      <c r="AI222" s="251" t="e">
        <f t="shared" si="28"/>
        <v>#N/A</v>
      </c>
      <c r="AJ222" s="251" t="e">
        <f t="shared" ca="1" si="26"/>
        <v>#N/A</v>
      </c>
      <c r="AL222" s="251">
        <f t="shared" ca="1" si="27"/>
        <v>2030</v>
      </c>
      <c r="AM222" s="251" t="e">
        <f t="shared" ca="1" si="32"/>
        <v>#N/A</v>
      </c>
      <c r="AN222" s="251" t="e">
        <f t="shared" ca="1" si="29"/>
        <v>#N/A</v>
      </c>
      <c r="AO222" s="251" t="e">
        <f t="shared" ca="1" si="30"/>
        <v>#N/A</v>
      </c>
    </row>
    <row r="223" spans="1:41" x14ac:dyDescent="0.2">
      <c r="A223">
        <f t="shared" si="31"/>
        <v>7</v>
      </c>
      <c r="B223">
        <v>214</v>
      </c>
      <c r="C223" s="1078">
        <v>2</v>
      </c>
      <c r="D223" s="1077" t="s">
        <v>3599</v>
      </c>
      <c r="E223" s="1077" t="s">
        <v>4843</v>
      </c>
      <c r="F223" s="1185">
        <v>4</v>
      </c>
      <c r="G223" s="1186">
        <v>4.7</v>
      </c>
      <c r="H223" s="1186">
        <v>2.5</v>
      </c>
      <c r="I223" s="1186">
        <v>5.9</v>
      </c>
      <c r="J223" s="1186">
        <v>2.8</v>
      </c>
      <c r="K223" s="1186">
        <v>3.4</v>
      </c>
      <c r="L223" s="1186">
        <v>4.2</v>
      </c>
      <c r="M223" s="1186">
        <v>2.2999999999999998</v>
      </c>
      <c r="N223" s="1186">
        <v>5.3</v>
      </c>
      <c r="O223" s="1186">
        <v>2.6</v>
      </c>
      <c r="P223" s="1186">
        <v>6</v>
      </c>
      <c r="Q223" s="1186">
        <v>5.3</v>
      </c>
      <c r="R223" s="1186">
        <v>1.9</v>
      </c>
      <c r="S223" s="1186">
        <v>1.9</v>
      </c>
      <c r="T223" s="1186">
        <v>3.7</v>
      </c>
      <c r="U223" s="1186">
        <v>2.2000000000000002</v>
      </c>
      <c r="V223" s="1186">
        <v>4.0999999999999996</v>
      </c>
      <c r="W223" s="1186"/>
      <c r="X223" s="1186"/>
      <c r="Y223" s="1186"/>
      <c r="Z223" s="1186"/>
      <c r="AA223" s="1186"/>
      <c r="AB223" s="1186"/>
      <c r="AC223" s="1186"/>
      <c r="AD223" s="1187"/>
      <c r="AH223" s="251">
        <v>184</v>
      </c>
      <c r="AI223" s="251" t="e">
        <f t="shared" si="28"/>
        <v>#N/A</v>
      </c>
      <c r="AJ223" s="251" t="e">
        <f t="shared" ca="1" si="26"/>
        <v>#N/A</v>
      </c>
      <c r="AL223" s="251">
        <f t="shared" ca="1" si="27"/>
        <v>2031</v>
      </c>
      <c r="AM223" s="251" t="e">
        <f t="shared" ca="1" si="32"/>
        <v>#N/A</v>
      </c>
      <c r="AN223" s="251" t="e">
        <f t="shared" ca="1" si="29"/>
        <v>#N/A</v>
      </c>
      <c r="AO223" s="251" t="e">
        <f t="shared" ca="1" si="30"/>
        <v>#N/A</v>
      </c>
    </row>
    <row r="224" spans="1:41" x14ac:dyDescent="0.2">
      <c r="A224">
        <f t="shared" si="31"/>
        <v>7</v>
      </c>
      <c r="B224">
        <v>215</v>
      </c>
      <c r="C224" s="1078">
        <v>2</v>
      </c>
      <c r="D224" s="1077" t="s">
        <v>3599</v>
      </c>
      <c r="E224" s="1077" t="s">
        <v>4850</v>
      </c>
      <c r="F224" s="1185">
        <v>4</v>
      </c>
      <c r="G224" s="1186">
        <v>4.7</v>
      </c>
      <c r="H224" s="1186">
        <v>2.5</v>
      </c>
      <c r="I224" s="1186">
        <v>5.9</v>
      </c>
      <c r="J224" s="1186">
        <v>2.8</v>
      </c>
      <c r="K224" s="1186">
        <v>3.4</v>
      </c>
      <c r="L224" s="1186">
        <v>4.2</v>
      </c>
      <c r="M224" s="1186">
        <v>2.2999999999999998</v>
      </c>
      <c r="N224" s="1186">
        <v>5.3</v>
      </c>
      <c r="O224" s="1186">
        <v>2.6</v>
      </c>
      <c r="P224" s="1186">
        <v>6</v>
      </c>
      <c r="Q224" s="1186">
        <v>5.3</v>
      </c>
      <c r="R224" s="1186">
        <v>1.9</v>
      </c>
      <c r="S224" s="1186">
        <v>1.9</v>
      </c>
      <c r="T224" s="1186">
        <v>3.7</v>
      </c>
      <c r="U224" s="1186">
        <v>2.2000000000000002</v>
      </c>
      <c r="V224" s="1186">
        <v>4.0999999999999996</v>
      </c>
      <c r="W224" s="1186"/>
      <c r="X224" s="1186"/>
      <c r="Y224" s="1186"/>
      <c r="Z224" s="1186"/>
      <c r="AA224" s="1186"/>
      <c r="AB224" s="1186"/>
      <c r="AC224" s="1186"/>
      <c r="AD224" s="1187"/>
      <c r="AH224" s="251">
        <v>185</v>
      </c>
      <c r="AI224" s="251" t="e">
        <f t="shared" si="28"/>
        <v>#N/A</v>
      </c>
      <c r="AJ224" s="251" t="e">
        <f t="shared" ca="1" si="26"/>
        <v>#N/A</v>
      </c>
      <c r="AL224" s="251">
        <f t="shared" ca="1" si="27"/>
        <v>2032</v>
      </c>
      <c r="AM224" s="251" t="e">
        <f t="shared" ca="1" si="32"/>
        <v>#N/A</v>
      </c>
      <c r="AN224" s="251" t="e">
        <f t="shared" ca="1" si="29"/>
        <v>#N/A</v>
      </c>
      <c r="AO224" s="251" t="e">
        <f t="shared" ca="1" si="30"/>
        <v>#N/A</v>
      </c>
    </row>
    <row r="225" spans="1:41" x14ac:dyDescent="0.2">
      <c r="A225">
        <f t="shared" si="31"/>
        <v>7</v>
      </c>
      <c r="B225">
        <v>216</v>
      </c>
      <c r="C225" s="1078">
        <v>2</v>
      </c>
      <c r="D225" s="1077" t="s">
        <v>3599</v>
      </c>
      <c r="E225" s="1077" t="s">
        <v>4848</v>
      </c>
      <c r="F225" s="1185">
        <v>4</v>
      </c>
      <c r="G225" s="1186">
        <v>5.4</v>
      </c>
      <c r="H225" s="1186">
        <v>2.5</v>
      </c>
      <c r="I225" s="1186">
        <v>6.8</v>
      </c>
      <c r="J225" s="1186">
        <v>2.9</v>
      </c>
      <c r="K225" s="1186">
        <v>2.5</v>
      </c>
      <c r="L225" s="1186">
        <v>4.3</v>
      </c>
      <c r="M225" s="1186">
        <v>2.2999999999999998</v>
      </c>
      <c r="N225" s="1186">
        <v>5</v>
      </c>
      <c r="O225" s="1186">
        <v>2.6</v>
      </c>
      <c r="P225" s="1186">
        <v>6</v>
      </c>
      <c r="Q225" s="1186">
        <v>6.1</v>
      </c>
      <c r="R225" s="1186">
        <v>2</v>
      </c>
      <c r="S225" s="1186">
        <v>1.9</v>
      </c>
      <c r="T225" s="1186">
        <v>3.7</v>
      </c>
      <c r="U225" s="1186">
        <v>2.2000000000000002</v>
      </c>
      <c r="V225" s="1186">
        <v>4.0999999999999996</v>
      </c>
      <c r="W225" s="1186"/>
      <c r="X225" s="1186"/>
      <c r="Y225" s="1186"/>
      <c r="Z225" s="1186"/>
      <c r="AA225" s="1186"/>
      <c r="AB225" s="1186"/>
      <c r="AC225" s="1186"/>
      <c r="AD225" s="1187"/>
      <c r="AH225" s="251">
        <v>186</v>
      </c>
      <c r="AI225" s="251" t="e">
        <f t="shared" si="28"/>
        <v>#N/A</v>
      </c>
      <c r="AJ225" s="251" t="e">
        <f t="shared" ca="1" si="26"/>
        <v>#N/A</v>
      </c>
      <c r="AL225" s="251">
        <f t="shared" ca="1" si="27"/>
        <v>2033</v>
      </c>
      <c r="AM225" s="251" t="e">
        <f t="shared" ca="1" si="32"/>
        <v>#N/A</v>
      </c>
      <c r="AN225" s="251" t="e">
        <f t="shared" ca="1" si="29"/>
        <v>#N/A</v>
      </c>
      <c r="AO225" s="251" t="e">
        <f t="shared" ca="1" si="30"/>
        <v>#N/A</v>
      </c>
    </row>
    <row r="226" spans="1:41" x14ac:dyDescent="0.2">
      <c r="A226">
        <f t="shared" si="31"/>
        <v>7</v>
      </c>
      <c r="B226">
        <v>217</v>
      </c>
      <c r="C226" s="1078">
        <v>2</v>
      </c>
      <c r="D226" s="1077" t="s">
        <v>3599</v>
      </c>
      <c r="E226" s="1077" t="s">
        <v>4856</v>
      </c>
      <c r="F226" s="1185">
        <v>4</v>
      </c>
      <c r="G226" s="1186">
        <v>11.03</v>
      </c>
      <c r="H226" s="1186">
        <v>2.4300000000000002</v>
      </c>
      <c r="I226" s="1186">
        <v>12.77</v>
      </c>
      <c r="J226" s="1186">
        <v>2.74</v>
      </c>
      <c r="K226" s="1186">
        <v>13</v>
      </c>
      <c r="L226" s="1186">
        <v>2</v>
      </c>
      <c r="M226" s="1186">
        <v>15.04</v>
      </c>
      <c r="N226" s="1186">
        <v>4.2699999999999996</v>
      </c>
      <c r="O226" s="1186"/>
      <c r="P226" s="1186"/>
      <c r="Q226" s="1186">
        <v>10.86</v>
      </c>
      <c r="R226" s="1186">
        <v>1.8</v>
      </c>
      <c r="S226" s="1186">
        <v>13.46</v>
      </c>
      <c r="T226" s="1186">
        <v>2.36</v>
      </c>
      <c r="U226" s="1186"/>
      <c r="V226" s="1186"/>
      <c r="W226" s="1186"/>
      <c r="X226" s="1186"/>
      <c r="Y226" s="1186"/>
      <c r="Z226" s="1186"/>
      <c r="AA226" s="1186"/>
      <c r="AB226" s="1186"/>
      <c r="AC226" s="1186"/>
      <c r="AD226" s="1187"/>
      <c r="AH226" s="251">
        <v>187</v>
      </c>
      <c r="AI226" s="251" t="e">
        <f t="shared" si="28"/>
        <v>#N/A</v>
      </c>
      <c r="AJ226" s="251" t="e">
        <f t="shared" ca="1" si="26"/>
        <v>#N/A</v>
      </c>
      <c r="AL226" s="251">
        <f t="shared" ca="1" si="27"/>
        <v>2034</v>
      </c>
      <c r="AM226" s="251" t="e">
        <f t="shared" ca="1" si="32"/>
        <v>#N/A</v>
      </c>
      <c r="AN226" s="251" t="e">
        <f t="shared" ca="1" si="29"/>
        <v>#N/A</v>
      </c>
      <c r="AO226" s="251" t="e">
        <f t="shared" ca="1" si="30"/>
        <v>#N/A</v>
      </c>
    </row>
    <row r="227" spans="1:41" x14ac:dyDescent="0.2">
      <c r="A227">
        <f t="shared" si="31"/>
        <v>7</v>
      </c>
      <c r="B227">
        <v>218</v>
      </c>
      <c r="C227" s="1078">
        <v>2</v>
      </c>
      <c r="D227" s="1077" t="s">
        <v>3599</v>
      </c>
      <c r="E227" s="1077" t="s">
        <v>4857</v>
      </c>
      <c r="F227" s="1185">
        <v>4</v>
      </c>
      <c r="G227" s="1186">
        <v>12.06</v>
      </c>
      <c r="H227" s="1186">
        <v>2.2999999999999998</v>
      </c>
      <c r="I227" s="1186">
        <v>13.95</v>
      </c>
      <c r="J227" s="1186">
        <v>2.59</v>
      </c>
      <c r="K227" s="1186">
        <v>14</v>
      </c>
      <c r="L227" s="1186">
        <v>2.1</v>
      </c>
      <c r="M227" s="1186">
        <v>15.98</v>
      </c>
      <c r="N227" s="1186">
        <v>4.1900000000000004</v>
      </c>
      <c r="O227" s="1186"/>
      <c r="P227" s="1186"/>
      <c r="Q227" s="1186">
        <v>11.86</v>
      </c>
      <c r="R227" s="1186">
        <v>1.71</v>
      </c>
      <c r="S227" s="1186">
        <v>14.29</v>
      </c>
      <c r="T227" s="1186">
        <v>2.3199999999999998</v>
      </c>
      <c r="U227" s="1186"/>
      <c r="V227" s="1186"/>
      <c r="W227" s="1186"/>
      <c r="X227" s="1186"/>
      <c r="Y227" s="1186"/>
      <c r="Z227" s="1186"/>
      <c r="AA227" s="1186"/>
      <c r="AB227" s="1186"/>
      <c r="AC227" s="1186"/>
      <c r="AD227" s="1187"/>
      <c r="AH227" s="251">
        <v>188</v>
      </c>
      <c r="AI227" s="251" t="e">
        <f t="shared" si="28"/>
        <v>#N/A</v>
      </c>
      <c r="AJ227" s="251" t="e">
        <f t="shared" ca="1" si="26"/>
        <v>#N/A</v>
      </c>
      <c r="AL227" s="251">
        <f t="shared" ca="1" si="27"/>
        <v>2035</v>
      </c>
      <c r="AM227" s="251" t="e">
        <f t="shared" ca="1" si="32"/>
        <v>#N/A</v>
      </c>
      <c r="AN227" s="251" t="e">
        <f t="shared" ca="1" si="29"/>
        <v>#N/A</v>
      </c>
      <c r="AO227" s="251" t="e">
        <f t="shared" ca="1" si="30"/>
        <v>#N/A</v>
      </c>
    </row>
    <row r="228" spans="1:41" x14ac:dyDescent="0.2">
      <c r="A228">
        <f t="shared" si="31"/>
        <v>7</v>
      </c>
      <c r="B228">
        <v>219</v>
      </c>
      <c r="C228" s="1081">
        <v>2</v>
      </c>
      <c r="D228" s="1082" t="s">
        <v>3599</v>
      </c>
      <c r="E228" s="1082" t="s">
        <v>4858</v>
      </c>
      <c r="F228" s="1188">
        <v>4</v>
      </c>
      <c r="G228" s="1189">
        <v>12.06</v>
      </c>
      <c r="H228" s="1189">
        <v>2.2999999999999998</v>
      </c>
      <c r="I228" s="1189">
        <v>13.95</v>
      </c>
      <c r="J228" s="1189">
        <v>2.59</v>
      </c>
      <c r="K228" s="1189">
        <v>14.5</v>
      </c>
      <c r="L228" s="1189">
        <v>2.4</v>
      </c>
      <c r="M228" s="1189">
        <v>16.88</v>
      </c>
      <c r="N228" s="1189">
        <v>4.1100000000000003</v>
      </c>
      <c r="O228" s="1189"/>
      <c r="P228" s="1189"/>
      <c r="Q228" s="1189">
        <v>11.86</v>
      </c>
      <c r="R228" s="1189">
        <v>1.71</v>
      </c>
      <c r="S228" s="1189">
        <v>15.1</v>
      </c>
      <c r="T228" s="1189">
        <v>2.27</v>
      </c>
      <c r="U228" s="1189"/>
      <c r="V228" s="1189"/>
      <c r="W228" s="1189"/>
      <c r="X228" s="1189"/>
      <c r="Y228" s="1189"/>
      <c r="Z228" s="1189"/>
      <c r="AA228" s="1189"/>
      <c r="AB228" s="1189"/>
      <c r="AC228" s="1189"/>
      <c r="AD228" s="1194"/>
      <c r="AH228" s="251">
        <v>189</v>
      </c>
      <c r="AI228" s="251" t="e">
        <f t="shared" si="28"/>
        <v>#N/A</v>
      </c>
      <c r="AJ228" s="251" t="e">
        <f t="shared" ca="1" si="26"/>
        <v>#N/A</v>
      </c>
      <c r="AL228" s="251">
        <f t="shared" ca="1" si="27"/>
        <v>2036</v>
      </c>
      <c r="AM228" s="251" t="e">
        <f t="shared" ca="1" si="32"/>
        <v>#N/A</v>
      </c>
      <c r="AN228" s="251" t="e">
        <f t="shared" ca="1" si="29"/>
        <v>#N/A</v>
      </c>
      <c r="AO228" s="251" t="e">
        <f t="shared" ca="1" si="30"/>
        <v>#N/A</v>
      </c>
    </row>
    <row r="229" spans="1:41" x14ac:dyDescent="0.2">
      <c r="A229">
        <f t="shared" si="31"/>
        <v>7</v>
      </c>
      <c r="B229">
        <v>220</v>
      </c>
      <c r="C229" s="1190">
        <v>2</v>
      </c>
      <c r="D229" s="1191" t="s">
        <v>3599</v>
      </c>
      <c r="E229" s="1191" t="s">
        <v>4854</v>
      </c>
      <c r="F229" s="1192">
        <v>4</v>
      </c>
      <c r="G229" s="1193">
        <v>5.94</v>
      </c>
      <c r="H229" s="1193">
        <v>2.38</v>
      </c>
      <c r="I229" s="1193">
        <v>6.99</v>
      </c>
      <c r="J229" s="1193">
        <v>2.83</v>
      </c>
      <c r="K229" s="1193">
        <v>7</v>
      </c>
      <c r="L229" s="1193">
        <v>2.5</v>
      </c>
      <c r="M229" s="1193">
        <v>8.61</v>
      </c>
      <c r="N229" s="1193">
        <v>4.24</v>
      </c>
      <c r="O229" s="1193"/>
      <c r="P229" s="1193"/>
      <c r="Q229" s="1193">
        <v>5.83</v>
      </c>
      <c r="R229" s="1193">
        <v>1.7</v>
      </c>
      <c r="S229" s="1193">
        <v>7.62</v>
      </c>
      <c r="T229" s="1193">
        <v>2.2000000000000002</v>
      </c>
      <c r="U229" s="1193"/>
      <c r="V229" s="1193"/>
      <c r="W229" s="1193"/>
      <c r="X229" s="1193"/>
      <c r="Y229" s="1193"/>
      <c r="Z229" s="1193"/>
      <c r="AA229" s="1193"/>
      <c r="AB229" s="1193"/>
      <c r="AC229" s="1193"/>
      <c r="AD229" s="1195"/>
      <c r="AH229" s="251">
        <v>190</v>
      </c>
      <c r="AI229" s="251" t="e">
        <f t="shared" si="28"/>
        <v>#N/A</v>
      </c>
      <c r="AJ229" s="251" t="e">
        <f t="shared" ca="1" si="26"/>
        <v>#N/A</v>
      </c>
      <c r="AL229" s="251">
        <f t="shared" ca="1" si="27"/>
        <v>2037</v>
      </c>
      <c r="AM229" s="251" t="e">
        <f t="shared" ca="1" si="32"/>
        <v>#N/A</v>
      </c>
      <c r="AN229" s="251" t="e">
        <f t="shared" ca="1" si="29"/>
        <v>#N/A</v>
      </c>
      <c r="AO229" s="251" t="e">
        <f t="shared" ca="1" si="30"/>
        <v>#N/A</v>
      </c>
    </row>
    <row r="230" spans="1:41" x14ac:dyDescent="0.2">
      <c r="A230">
        <f t="shared" si="31"/>
        <v>7</v>
      </c>
      <c r="B230">
        <v>221</v>
      </c>
      <c r="C230" s="1078">
        <v>2</v>
      </c>
      <c r="D230" s="1077" t="s">
        <v>3599</v>
      </c>
      <c r="E230" s="1077" t="s">
        <v>4855</v>
      </c>
      <c r="F230" s="1185">
        <v>4</v>
      </c>
      <c r="G230" s="1186">
        <v>6.48</v>
      </c>
      <c r="H230" s="1186">
        <v>2.17</v>
      </c>
      <c r="I230" s="1186">
        <v>7.44</v>
      </c>
      <c r="J230" s="1186">
        <v>2.68</v>
      </c>
      <c r="K230" s="1186">
        <v>7.5</v>
      </c>
      <c r="L230" s="1186">
        <v>2.4</v>
      </c>
      <c r="M230" s="1186">
        <v>8.8699999999999992</v>
      </c>
      <c r="N230" s="1186">
        <v>4.24</v>
      </c>
      <c r="O230" s="1186"/>
      <c r="P230" s="1186"/>
      <c r="Q230" s="1186">
        <v>6.36</v>
      </c>
      <c r="R230" s="1186">
        <v>1.55</v>
      </c>
      <c r="S230" s="1186">
        <v>7.96</v>
      </c>
      <c r="T230" s="1186">
        <v>2.21</v>
      </c>
      <c r="U230" s="1186"/>
      <c r="V230" s="1186"/>
      <c r="W230" s="1186"/>
      <c r="X230" s="1186"/>
      <c r="Y230" s="1186"/>
      <c r="Z230" s="1186"/>
      <c r="AA230" s="1186"/>
      <c r="AB230" s="1186"/>
      <c r="AC230" s="1186"/>
      <c r="AD230" s="1187"/>
      <c r="AH230" s="251">
        <v>191</v>
      </c>
      <c r="AI230" s="251" t="e">
        <f t="shared" si="28"/>
        <v>#N/A</v>
      </c>
      <c r="AJ230" s="251" t="e">
        <f t="shared" ca="1" si="26"/>
        <v>#N/A</v>
      </c>
      <c r="AL230" s="251">
        <f t="shared" ca="1" si="27"/>
        <v>2038</v>
      </c>
      <c r="AM230" s="251" t="e">
        <f t="shared" ca="1" si="32"/>
        <v>#N/A</v>
      </c>
      <c r="AN230" s="251" t="e">
        <f t="shared" ca="1" si="29"/>
        <v>#N/A</v>
      </c>
      <c r="AO230" s="251" t="e">
        <f t="shared" ca="1" si="30"/>
        <v>#N/A</v>
      </c>
    </row>
    <row r="231" spans="1:41" x14ac:dyDescent="0.2">
      <c r="A231">
        <f t="shared" si="31"/>
        <v>7</v>
      </c>
      <c r="B231">
        <v>222</v>
      </c>
      <c r="C231" s="1078">
        <v>3</v>
      </c>
      <c r="D231" s="1077" t="s">
        <v>3599</v>
      </c>
      <c r="E231" s="1077" t="s">
        <v>4863</v>
      </c>
      <c r="F231" s="1185">
        <v>2</v>
      </c>
      <c r="G231" s="1186"/>
      <c r="H231" s="1186"/>
      <c r="I231" s="1186"/>
      <c r="J231" s="1186"/>
      <c r="K231" s="1186"/>
      <c r="L231" s="1186"/>
      <c r="M231" s="1186"/>
      <c r="N231" s="1186"/>
      <c r="O231" s="1186"/>
      <c r="P231" s="1186"/>
      <c r="Q231" s="1186"/>
      <c r="R231" s="1186"/>
      <c r="S231" s="1186"/>
      <c r="T231" s="1186"/>
      <c r="U231" s="1186"/>
      <c r="V231" s="1186"/>
      <c r="W231" s="1186">
        <v>22.9</v>
      </c>
      <c r="X231" s="1186">
        <v>4.57</v>
      </c>
      <c r="Y231" s="1186">
        <v>23.28</v>
      </c>
      <c r="Z231" s="1186">
        <v>3.01</v>
      </c>
      <c r="AA231" s="1186">
        <v>27.93</v>
      </c>
      <c r="AB231" s="1186">
        <v>5.52</v>
      </c>
      <c r="AC231" s="1186">
        <v>28.67</v>
      </c>
      <c r="AD231" s="1187">
        <v>3.69</v>
      </c>
      <c r="AH231" s="251">
        <v>192</v>
      </c>
      <c r="AI231" s="251" t="e">
        <f t="shared" si="28"/>
        <v>#N/A</v>
      </c>
      <c r="AJ231" s="251" t="e">
        <f t="shared" ca="1" si="26"/>
        <v>#N/A</v>
      </c>
      <c r="AL231" s="251">
        <f t="shared" ca="1" si="27"/>
        <v>2039</v>
      </c>
      <c r="AM231" s="251" t="e">
        <f t="shared" ca="1" si="32"/>
        <v>#N/A</v>
      </c>
      <c r="AN231" s="251" t="e">
        <f t="shared" ca="1" si="29"/>
        <v>#N/A</v>
      </c>
      <c r="AO231" s="251" t="e">
        <f t="shared" ca="1" si="30"/>
        <v>#N/A</v>
      </c>
    </row>
    <row r="232" spans="1:41" x14ac:dyDescent="0.2">
      <c r="A232">
        <f t="shared" si="31"/>
        <v>7</v>
      </c>
      <c r="B232">
        <v>223</v>
      </c>
      <c r="C232" s="1078">
        <v>3</v>
      </c>
      <c r="D232" s="1077" t="s">
        <v>3599</v>
      </c>
      <c r="E232" s="1077" t="s">
        <v>4864</v>
      </c>
      <c r="F232" s="1185">
        <v>2</v>
      </c>
      <c r="G232" s="1186"/>
      <c r="H232" s="1186"/>
      <c r="I232" s="1186"/>
      <c r="J232" s="1186"/>
      <c r="K232" s="1186"/>
      <c r="L232" s="1186"/>
      <c r="M232" s="1186"/>
      <c r="N232" s="1186"/>
      <c r="O232" s="1186"/>
      <c r="P232" s="1186"/>
      <c r="Q232" s="1186"/>
      <c r="R232" s="1186"/>
      <c r="S232" s="1186"/>
      <c r="T232" s="1186"/>
      <c r="U232" s="1186"/>
      <c r="V232" s="1186"/>
      <c r="W232" s="1186">
        <v>29.3</v>
      </c>
      <c r="X232" s="1186">
        <v>4.59</v>
      </c>
      <c r="Y232" s="1186">
        <v>29.32</v>
      </c>
      <c r="Z232" s="1186">
        <v>3.04</v>
      </c>
      <c r="AA232" s="1186">
        <v>35.74</v>
      </c>
      <c r="AB232" s="1186">
        <v>5.52</v>
      </c>
      <c r="AC232" s="1186">
        <v>36.19</v>
      </c>
      <c r="AD232" s="1187">
        <v>3.69</v>
      </c>
      <c r="AH232" s="251">
        <v>193</v>
      </c>
      <c r="AI232" s="251" t="e">
        <f t="shared" ref="AI232:AI239" si="33">MATCH(AH232,$A$10:$A$2000,0)</f>
        <v>#N/A</v>
      </c>
      <c r="AJ232" s="251" t="e">
        <f t="shared" ca="1" si="26"/>
        <v>#N/A</v>
      </c>
      <c r="AL232" s="251">
        <f t="shared" ca="1" si="27"/>
        <v>2040</v>
      </c>
      <c r="AM232" s="251" t="e">
        <f t="shared" ca="1" si="32"/>
        <v>#N/A</v>
      </c>
      <c r="AN232" s="251" t="e">
        <f t="shared" ref="AN232:AN239" ca="1" si="34">IF(INDEX($C$10:$C$2000,AM232,1)=2,"L/W ",IF(INDEX($C$10:$C$2000,AM232,1)=3,"S/W ",IF(INDEX($C$10:$C$2000,AM232,1)=4,"W/W ","")))&amp;OFFSET($E$9,AM232,0)</f>
        <v>#N/A</v>
      </c>
      <c r="AO232" s="251" t="e">
        <f t="shared" ref="AO232:AO239" ca="1" si="35">(INDEX($C$10:$C$2000,AM232,1))</f>
        <v>#N/A</v>
      </c>
    </row>
    <row r="233" spans="1:41" x14ac:dyDescent="0.2">
      <c r="A233">
        <f t="shared" si="31"/>
        <v>7</v>
      </c>
      <c r="B233">
        <v>224</v>
      </c>
      <c r="C233" s="1078">
        <v>3</v>
      </c>
      <c r="D233" s="1077" t="s">
        <v>3599</v>
      </c>
      <c r="E233" s="1077" t="s">
        <v>4865</v>
      </c>
      <c r="F233" s="1185">
        <v>2</v>
      </c>
      <c r="G233" s="1186"/>
      <c r="H233" s="1186"/>
      <c r="I233" s="1186"/>
      <c r="J233" s="1186"/>
      <c r="K233" s="1186"/>
      <c r="L233" s="1186"/>
      <c r="M233" s="1186"/>
      <c r="N233" s="1186"/>
      <c r="O233" s="1186"/>
      <c r="P233" s="1186"/>
      <c r="Q233" s="1186"/>
      <c r="R233" s="1186"/>
      <c r="S233" s="1186"/>
      <c r="T233" s="1186"/>
      <c r="U233" s="1186"/>
      <c r="V233" s="1186"/>
      <c r="W233" s="1186">
        <v>38.700000000000003</v>
      </c>
      <c r="X233" s="1186">
        <v>4.4000000000000004</v>
      </c>
      <c r="Y233" s="1186">
        <v>28.71</v>
      </c>
      <c r="Z233" s="1186">
        <v>3.03</v>
      </c>
      <c r="AA233" s="1186">
        <v>47.21</v>
      </c>
      <c r="AB233" s="1186">
        <v>5.41</v>
      </c>
      <c r="AC233" s="1186">
        <v>48.59</v>
      </c>
      <c r="AD233" s="1187">
        <v>3.72</v>
      </c>
      <c r="AH233" s="251">
        <v>194</v>
      </c>
      <c r="AI233" s="251" t="e">
        <f t="shared" si="33"/>
        <v>#N/A</v>
      </c>
      <c r="AJ233" s="251" t="e">
        <f t="shared" ref="AJ233:AJ239" ca="1" si="36">OFFSET($D$9,AI233,0)</f>
        <v>#N/A</v>
      </c>
      <c r="AL233" s="251">
        <f t="shared" ca="1" si="27"/>
        <v>2041</v>
      </c>
      <c r="AM233" s="251" t="e">
        <f t="shared" ca="1" si="32"/>
        <v>#N/A</v>
      </c>
      <c r="AN233" s="251" t="e">
        <f t="shared" ca="1" si="34"/>
        <v>#N/A</v>
      </c>
      <c r="AO233" s="251" t="e">
        <f t="shared" ca="1" si="35"/>
        <v>#N/A</v>
      </c>
    </row>
    <row r="234" spans="1:41" x14ac:dyDescent="0.2">
      <c r="A234">
        <f t="shared" si="31"/>
        <v>7</v>
      </c>
      <c r="B234">
        <v>225</v>
      </c>
      <c r="C234" s="1078">
        <v>3</v>
      </c>
      <c r="D234" s="1077" t="s">
        <v>3599</v>
      </c>
      <c r="E234" s="1077" t="s">
        <v>4866</v>
      </c>
      <c r="F234" s="1185">
        <v>2</v>
      </c>
      <c r="G234" s="1186"/>
      <c r="H234" s="1186"/>
      <c r="I234" s="1186"/>
      <c r="J234" s="1186"/>
      <c r="K234" s="1186"/>
      <c r="L234" s="1186"/>
      <c r="M234" s="1186"/>
      <c r="N234" s="1186"/>
      <c r="O234" s="1186"/>
      <c r="P234" s="1186"/>
      <c r="Q234" s="1186"/>
      <c r="R234" s="1186"/>
      <c r="S234" s="1186"/>
      <c r="T234" s="1186"/>
      <c r="U234" s="1186"/>
      <c r="V234" s="1186"/>
      <c r="W234" s="1186">
        <v>47.32</v>
      </c>
      <c r="X234" s="1186">
        <v>4.33</v>
      </c>
      <c r="Y234" s="1186">
        <v>47.69</v>
      </c>
      <c r="Z234" s="1186">
        <v>3.07</v>
      </c>
      <c r="AA234" s="1186">
        <v>57.82</v>
      </c>
      <c r="AB234" s="1186">
        <v>5.27</v>
      </c>
      <c r="AC234" s="1186">
        <v>59.75</v>
      </c>
      <c r="AD234" s="1187">
        <v>3.73</v>
      </c>
      <c r="AH234" s="251">
        <v>195</v>
      </c>
      <c r="AI234" s="251" t="e">
        <f t="shared" si="33"/>
        <v>#N/A</v>
      </c>
      <c r="AJ234" s="251" t="e">
        <f t="shared" ca="1" si="36"/>
        <v>#N/A</v>
      </c>
      <c r="AL234" s="251">
        <f t="shared" ref="AL234:AL239" ca="1" si="37">AL233+1</f>
        <v>2042</v>
      </c>
      <c r="AM234" s="251" t="e">
        <f t="shared" ca="1" si="32"/>
        <v>#N/A</v>
      </c>
      <c r="AN234" s="251" t="e">
        <f t="shared" ca="1" si="34"/>
        <v>#N/A</v>
      </c>
      <c r="AO234" s="251" t="e">
        <f t="shared" ca="1" si="35"/>
        <v>#N/A</v>
      </c>
    </row>
    <row r="235" spans="1:41" x14ac:dyDescent="0.2">
      <c r="A235">
        <f t="shared" si="31"/>
        <v>7</v>
      </c>
      <c r="B235">
        <v>226</v>
      </c>
      <c r="C235" s="1078">
        <v>3</v>
      </c>
      <c r="D235" s="1077" t="s">
        <v>3599</v>
      </c>
      <c r="E235" s="1077" t="s">
        <v>4867</v>
      </c>
      <c r="F235" s="1185">
        <v>2</v>
      </c>
      <c r="G235" s="1186"/>
      <c r="H235" s="1186"/>
      <c r="I235" s="1186"/>
      <c r="J235" s="1186"/>
      <c r="K235" s="1186"/>
      <c r="L235" s="1186"/>
      <c r="M235" s="1186"/>
      <c r="N235" s="1186"/>
      <c r="O235" s="1186"/>
      <c r="P235" s="1186"/>
      <c r="Q235" s="1186"/>
      <c r="R235" s="1186"/>
      <c r="S235" s="1186"/>
      <c r="T235" s="1186"/>
      <c r="U235" s="1186"/>
      <c r="V235" s="1186"/>
      <c r="W235" s="1186">
        <v>54.17</v>
      </c>
      <c r="X235" s="1186">
        <v>4.53</v>
      </c>
      <c r="Y235" s="1186">
        <v>57.33</v>
      </c>
      <c r="Z235" s="1186">
        <v>3.12</v>
      </c>
      <c r="AA235" s="1186">
        <v>69.08</v>
      </c>
      <c r="AB235" s="1186">
        <v>5.66</v>
      </c>
      <c r="AC235" s="1186">
        <v>66.14</v>
      </c>
      <c r="AD235" s="1187">
        <v>3.63</v>
      </c>
      <c r="AH235" s="251">
        <v>196</v>
      </c>
      <c r="AI235" s="251" t="e">
        <f t="shared" si="33"/>
        <v>#N/A</v>
      </c>
      <c r="AJ235" s="251" t="e">
        <f t="shared" ca="1" si="36"/>
        <v>#N/A</v>
      </c>
      <c r="AL235" s="251">
        <f t="shared" ca="1" si="37"/>
        <v>2043</v>
      </c>
      <c r="AM235" s="251" t="e">
        <f t="shared" ca="1" si="32"/>
        <v>#N/A</v>
      </c>
      <c r="AN235" s="251" t="e">
        <f t="shared" ca="1" si="34"/>
        <v>#N/A</v>
      </c>
      <c r="AO235" s="251" t="e">
        <f t="shared" ca="1" si="35"/>
        <v>#N/A</v>
      </c>
    </row>
    <row r="236" spans="1:41" x14ac:dyDescent="0.2">
      <c r="A236">
        <f t="shared" si="31"/>
        <v>7</v>
      </c>
      <c r="B236">
        <v>227</v>
      </c>
      <c r="C236" s="1078">
        <v>3</v>
      </c>
      <c r="D236" s="1077" t="s">
        <v>3599</v>
      </c>
      <c r="E236" s="1077" t="s">
        <v>4868</v>
      </c>
      <c r="F236" s="1185">
        <v>2</v>
      </c>
      <c r="G236" s="1186"/>
      <c r="H236" s="1186"/>
      <c r="I236" s="1186"/>
      <c r="J236" s="1186"/>
      <c r="K236" s="1186"/>
      <c r="L236" s="1186"/>
      <c r="M236" s="1186"/>
      <c r="N236" s="1186"/>
      <c r="O236" s="1186"/>
      <c r="P236" s="1186"/>
      <c r="Q236" s="1186"/>
      <c r="R236" s="1186"/>
      <c r="S236" s="1186"/>
      <c r="T236" s="1186"/>
      <c r="U236" s="1186"/>
      <c r="V236" s="1186"/>
      <c r="W236" s="1186">
        <v>63.93</v>
      </c>
      <c r="X236" s="1186">
        <v>4.42</v>
      </c>
      <c r="Y236" s="1186">
        <v>64.680000000000007</v>
      </c>
      <c r="Z236" s="1186">
        <v>2.97</v>
      </c>
      <c r="AA236" s="1186">
        <v>80.400000000000006</v>
      </c>
      <c r="AB236" s="1186">
        <v>5.52</v>
      </c>
      <c r="AC236" s="1186">
        <v>80.66</v>
      </c>
      <c r="AD236" s="1187">
        <v>3.68</v>
      </c>
      <c r="AH236" s="251">
        <v>197</v>
      </c>
      <c r="AI236" s="251" t="e">
        <f t="shared" si="33"/>
        <v>#N/A</v>
      </c>
      <c r="AJ236" s="251" t="e">
        <f t="shared" ca="1" si="36"/>
        <v>#N/A</v>
      </c>
      <c r="AL236" s="251">
        <f t="shared" ca="1" si="37"/>
        <v>2044</v>
      </c>
      <c r="AM236" s="251" t="e">
        <f t="shared" ca="1" si="32"/>
        <v>#N/A</v>
      </c>
      <c r="AN236" s="251" t="e">
        <f t="shared" ca="1" si="34"/>
        <v>#N/A</v>
      </c>
      <c r="AO236" s="251" t="e">
        <f t="shared" ca="1" si="35"/>
        <v>#N/A</v>
      </c>
    </row>
    <row r="237" spans="1:41" x14ac:dyDescent="0.2">
      <c r="A237">
        <f t="shared" si="31"/>
        <v>7</v>
      </c>
      <c r="B237">
        <v>228</v>
      </c>
      <c r="C237" s="1078">
        <v>3</v>
      </c>
      <c r="D237" s="1077" t="s">
        <v>3599</v>
      </c>
      <c r="E237" s="1077" t="s">
        <v>4869</v>
      </c>
      <c r="F237" s="1185">
        <v>2</v>
      </c>
      <c r="G237" s="1186"/>
      <c r="H237" s="1186"/>
      <c r="I237" s="1186"/>
      <c r="J237" s="1186"/>
      <c r="K237" s="1186"/>
      <c r="L237" s="1186"/>
      <c r="M237" s="1186"/>
      <c r="N237" s="1186"/>
      <c r="O237" s="1186"/>
      <c r="P237" s="1186"/>
      <c r="Q237" s="1186"/>
      <c r="R237" s="1186"/>
      <c r="S237" s="1186"/>
      <c r="T237" s="1186"/>
      <c r="U237" s="1186"/>
      <c r="V237" s="1186"/>
      <c r="W237" s="1186">
        <v>72.83</v>
      </c>
      <c r="X237" s="1186">
        <v>4.3899999999999997</v>
      </c>
      <c r="Y237" s="1186">
        <v>73.739999999999995</v>
      </c>
      <c r="Z237" s="1186">
        <v>2.99</v>
      </c>
      <c r="AA237" s="1186">
        <v>91.85</v>
      </c>
      <c r="AB237" s="1186">
        <v>5.47</v>
      </c>
      <c r="AC237" s="1186">
        <v>91.8</v>
      </c>
      <c r="AD237" s="1187">
        <v>3.7</v>
      </c>
      <c r="AH237" s="251">
        <v>198</v>
      </c>
      <c r="AI237" s="251" t="e">
        <f t="shared" si="33"/>
        <v>#N/A</v>
      </c>
      <c r="AJ237" s="251" t="e">
        <f t="shared" ca="1" si="36"/>
        <v>#N/A</v>
      </c>
      <c r="AL237" s="251">
        <f t="shared" ca="1" si="37"/>
        <v>2045</v>
      </c>
      <c r="AM237" s="251" t="e">
        <f t="shared" ca="1" si="32"/>
        <v>#N/A</v>
      </c>
      <c r="AN237" s="251" t="e">
        <f t="shared" ca="1" si="34"/>
        <v>#N/A</v>
      </c>
      <c r="AO237" s="251" t="e">
        <f t="shared" ca="1" si="35"/>
        <v>#N/A</v>
      </c>
    </row>
    <row r="238" spans="1:41" x14ac:dyDescent="0.2">
      <c r="A238">
        <f t="shared" si="31"/>
        <v>7</v>
      </c>
      <c r="B238">
        <v>229</v>
      </c>
      <c r="C238" s="1078">
        <v>3</v>
      </c>
      <c r="D238" s="1077" t="s">
        <v>3599</v>
      </c>
      <c r="E238" s="1077" t="s">
        <v>4870</v>
      </c>
      <c r="F238" s="1185">
        <v>2</v>
      </c>
      <c r="G238" s="1186"/>
      <c r="H238" s="1186"/>
      <c r="I238" s="1186"/>
      <c r="J238" s="1186"/>
      <c r="K238" s="1186"/>
      <c r="L238" s="1186"/>
      <c r="M238" s="1186"/>
      <c r="N238" s="1186"/>
      <c r="O238" s="1186"/>
      <c r="P238" s="1186"/>
      <c r="Q238" s="1186"/>
      <c r="R238" s="1186"/>
      <c r="S238" s="1186"/>
      <c r="T238" s="1186"/>
      <c r="U238" s="1186"/>
      <c r="V238" s="1186"/>
      <c r="W238" s="1186">
        <v>78.16</v>
      </c>
      <c r="X238" s="1186">
        <v>4.3</v>
      </c>
      <c r="Y238" s="1186">
        <v>81.17</v>
      </c>
      <c r="Z238" s="1186">
        <v>3.05</v>
      </c>
      <c r="AA238" s="1186">
        <v>98.39</v>
      </c>
      <c r="AB238" s="1186">
        <v>5.36</v>
      </c>
      <c r="AC238" s="1186">
        <v>101.8</v>
      </c>
      <c r="AD238" s="1187">
        <v>3.8</v>
      </c>
      <c r="AH238" s="251">
        <v>199</v>
      </c>
      <c r="AI238" s="251" t="e">
        <f t="shared" si="33"/>
        <v>#N/A</v>
      </c>
      <c r="AJ238" s="251" t="e">
        <f t="shared" ca="1" si="36"/>
        <v>#N/A</v>
      </c>
      <c r="AL238" s="251">
        <f t="shared" ca="1" si="37"/>
        <v>2046</v>
      </c>
      <c r="AM238" s="251" t="e">
        <f t="shared" ca="1" si="32"/>
        <v>#N/A</v>
      </c>
      <c r="AN238" s="251" t="e">
        <f t="shared" ca="1" si="34"/>
        <v>#N/A</v>
      </c>
      <c r="AO238" s="251" t="e">
        <f t="shared" ca="1" si="35"/>
        <v>#N/A</v>
      </c>
    </row>
    <row r="239" spans="1:41" x14ac:dyDescent="0.2">
      <c r="A239">
        <f t="shared" si="31"/>
        <v>7</v>
      </c>
      <c r="B239">
        <v>230</v>
      </c>
      <c r="C239" s="1078">
        <v>2</v>
      </c>
      <c r="D239" s="1077" t="s">
        <v>3599</v>
      </c>
      <c r="E239" s="1077" t="s">
        <v>4844</v>
      </c>
      <c r="F239" s="1185">
        <v>4</v>
      </c>
      <c r="G239" s="1186">
        <v>6.7</v>
      </c>
      <c r="H239" s="1186">
        <v>2.5</v>
      </c>
      <c r="I239" s="1186">
        <v>8.3000000000000007</v>
      </c>
      <c r="J239" s="1186">
        <v>2.8</v>
      </c>
      <c r="K239" s="1186">
        <v>4.4000000000000004</v>
      </c>
      <c r="L239" s="1186">
        <v>4.3</v>
      </c>
      <c r="M239" s="1186">
        <v>3.8</v>
      </c>
      <c r="N239" s="1186">
        <v>5</v>
      </c>
      <c r="O239" s="1186">
        <v>4.4000000000000004</v>
      </c>
      <c r="P239" s="1186">
        <v>5.9</v>
      </c>
      <c r="Q239" s="1186">
        <v>6.9</v>
      </c>
      <c r="R239" s="1186">
        <v>2.1</v>
      </c>
      <c r="S239" s="1186">
        <v>3.2</v>
      </c>
      <c r="T239" s="1186">
        <v>3.2</v>
      </c>
      <c r="U239" s="1186">
        <v>3.8</v>
      </c>
      <c r="V239" s="1186">
        <v>3.8</v>
      </c>
      <c r="W239" s="1186"/>
      <c r="X239" s="1186"/>
      <c r="Y239" s="1186"/>
      <c r="Z239" s="1186"/>
      <c r="AA239" s="1186"/>
      <c r="AB239" s="1186"/>
      <c r="AC239" s="1186"/>
      <c r="AD239" s="1187"/>
      <c r="AH239" s="251">
        <v>200</v>
      </c>
      <c r="AI239" s="251" t="e">
        <f t="shared" si="33"/>
        <v>#N/A</v>
      </c>
      <c r="AJ239" s="251" t="e">
        <f t="shared" ca="1" si="36"/>
        <v>#N/A</v>
      </c>
      <c r="AL239" s="251">
        <f t="shared" ca="1" si="37"/>
        <v>2047</v>
      </c>
      <c r="AM239" s="251" t="e">
        <f t="shared" ca="1" si="32"/>
        <v>#N/A</v>
      </c>
      <c r="AN239" s="251" t="e">
        <f t="shared" ca="1" si="34"/>
        <v>#N/A</v>
      </c>
      <c r="AO239" s="251" t="e">
        <f t="shared" ca="1" si="35"/>
        <v>#N/A</v>
      </c>
    </row>
    <row r="240" spans="1:41" x14ac:dyDescent="0.2">
      <c r="A240">
        <f t="shared" si="31"/>
        <v>7</v>
      </c>
      <c r="B240">
        <v>231</v>
      </c>
      <c r="C240" s="1078">
        <v>2</v>
      </c>
      <c r="D240" s="1077" t="s">
        <v>3599</v>
      </c>
      <c r="E240" s="1077" t="s">
        <v>4851</v>
      </c>
      <c r="F240" s="1185">
        <v>4</v>
      </c>
      <c r="G240" s="1186">
        <v>6.7</v>
      </c>
      <c r="H240" s="1186">
        <v>2.5</v>
      </c>
      <c r="I240" s="1186">
        <v>8.3000000000000007</v>
      </c>
      <c r="J240" s="1186">
        <v>2.8</v>
      </c>
      <c r="K240" s="1186">
        <v>4.4000000000000004</v>
      </c>
      <c r="L240" s="1186">
        <v>4.3</v>
      </c>
      <c r="M240" s="1186">
        <v>3.8</v>
      </c>
      <c r="N240" s="1186">
        <v>5</v>
      </c>
      <c r="O240" s="1186">
        <v>4.4000000000000004</v>
      </c>
      <c r="P240" s="1186">
        <v>5.9</v>
      </c>
      <c r="Q240" s="1186">
        <v>6.9</v>
      </c>
      <c r="R240" s="1186">
        <v>2.1</v>
      </c>
      <c r="S240" s="1186">
        <v>3.2</v>
      </c>
      <c r="T240" s="1186">
        <v>3.2</v>
      </c>
      <c r="U240" s="1186">
        <v>3.8</v>
      </c>
      <c r="V240" s="1186">
        <v>3.8</v>
      </c>
      <c r="W240" s="1186"/>
      <c r="X240" s="1186"/>
      <c r="Y240" s="1186"/>
      <c r="Z240" s="1186"/>
      <c r="AA240" s="1186"/>
      <c r="AB240" s="1186"/>
      <c r="AC240" s="1186"/>
      <c r="AD240" s="1187"/>
    </row>
    <row r="241" spans="1:30" x14ac:dyDescent="0.2">
      <c r="A241">
        <f t="shared" si="31"/>
        <v>7</v>
      </c>
      <c r="B241">
        <v>232</v>
      </c>
      <c r="C241" s="1078">
        <v>2</v>
      </c>
      <c r="D241" s="1077" t="s">
        <v>3599</v>
      </c>
      <c r="E241" s="1077" t="s">
        <v>4845</v>
      </c>
      <c r="F241" s="1185">
        <v>4</v>
      </c>
      <c r="G241" s="1186">
        <v>8.6999999999999993</v>
      </c>
      <c r="H241" s="1186">
        <v>2.4</v>
      </c>
      <c r="I241" s="1186">
        <v>10.7</v>
      </c>
      <c r="J241" s="1186">
        <v>2.7</v>
      </c>
      <c r="K241" s="1186">
        <v>7</v>
      </c>
      <c r="L241" s="1186">
        <v>3.6</v>
      </c>
      <c r="M241" s="1186">
        <v>5.2</v>
      </c>
      <c r="N241" s="1186">
        <v>5</v>
      </c>
      <c r="O241" s="1186">
        <v>6</v>
      </c>
      <c r="P241" s="1186">
        <v>5.8</v>
      </c>
      <c r="Q241" s="1186">
        <v>9.4</v>
      </c>
      <c r="R241" s="1186">
        <v>2</v>
      </c>
      <c r="S241" s="1186">
        <v>4.8</v>
      </c>
      <c r="T241" s="1186">
        <v>3.3</v>
      </c>
      <c r="U241" s="1186">
        <v>5.6</v>
      </c>
      <c r="V241" s="1186">
        <v>3.8</v>
      </c>
      <c r="W241" s="1186"/>
      <c r="X241" s="1186"/>
      <c r="Y241" s="1186"/>
      <c r="Z241" s="1186"/>
      <c r="AA241" s="1186"/>
      <c r="AB241" s="1186"/>
      <c r="AC241" s="1186"/>
      <c r="AD241" s="1187"/>
    </row>
    <row r="242" spans="1:30" x14ac:dyDescent="0.2">
      <c r="A242">
        <f t="shared" si="31"/>
        <v>7</v>
      </c>
      <c r="B242">
        <v>233</v>
      </c>
      <c r="C242" s="1078">
        <v>2</v>
      </c>
      <c r="D242" s="1077" t="s">
        <v>3599</v>
      </c>
      <c r="E242" s="1077" t="s">
        <v>4852</v>
      </c>
      <c r="F242" s="1185">
        <v>4</v>
      </c>
      <c r="G242" s="1186">
        <v>8.6999999999999993</v>
      </c>
      <c r="H242" s="1186">
        <v>2.4</v>
      </c>
      <c r="I242" s="1186">
        <v>10.7</v>
      </c>
      <c r="J242" s="1186">
        <v>2.7</v>
      </c>
      <c r="K242" s="1186">
        <v>7</v>
      </c>
      <c r="L242" s="1186">
        <v>3.6</v>
      </c>
      <c r="M242" s="1186">
        <v>5.2</v>
      </c>
      <c r="N242" s="1186">
        <v>5</v>
      </c>
      <c r="O242" s="1186">
        <v>6</v>
      </c>
      <c r="P242" s="1186">
        <v>5.8</v>
      </c>
      <c r="Q242" s="1186">
        <v>9.4</v>
      </c>
      <c r="R242" s="1186">
        <v>2</v>
      </c>
      <c r="S242" s="1186">
        <v>4.8</v>
      </c>
      <c r="T242" s="1186">
        <v>3.3</v>
      </c>
      <c r="U242" s="1186">
        <v>5.6</v>
      </c>
      <c r="V242" s="1186">
        <v>3.8</v>
      </c>
      <c r="W242" s="1186"/>
      <c r="X242" s="1186"/>
      <c r="Y242" s="1186"/>
      <c r="Z242" s="1186"/>
      <c r="AA242" s="1186"/>
      <c r="AB242" s="1186"/>
      <c r="AC242" s="1186"/>
      <c r="AD242" s="1187"/>
    </row>
    <row r="243" spans="1:30" x14ac:dyDescent="0.2">
      <c r="A243">
        <f t="shared" si="31"/>
        <v>7</v>
      </c>
      <c r="B243">
        <v>234</v>
      </c>
      <c r="C243" s="1078">
        <v>2</v>
      </c>
      <c r="D243" s="1077" t="s">
        <v>3599</v>
      </c>
      <c r="E243" s="1077" t="s">
        <v>4846</v>
      </c>
      <c r="F243" s="1185">
        <v>4</v>
      </c>
      <c r="G243" s="1186">
        <v>10.6</v>
      </c>
      <c r="H243" s="1186">
        <v>2.2999999999999998</v>
      </c>
      <c r="I243" s="1186">
        <v>13</v>
      </c>
      <c r="J243" s="1186">
        <v>2.6</v>
      </c>
      <c r="K243" s="1186">
        <v>7.9</v>
      </c>
      <c r="L243" s="1186">
        <v>4</v>
      </c>
      <c r="M243" s="1186">
        <v>5.6</v>
      </c>
      <c r="N243" s="1186">
        <v>4.9000000000000004</v>
      </c>
      <c r="O243" s="1186">
        <v>6.7</v>
      </c>
      <c r="P243" s="1186">
        <v>5.8</v>
      </c>
      <c r="Q243" s="1186">
        <v>10.4</v>
      </c>
      <c r="R243" s="1186">
        <v>1.9</v>
      </c>
      <c r="S243" s="1186">
        <v>4.5999999999999996</v>
      </c>
      <c r="T243" s="1186">
        <v>3.6</v>
      </c>
      <c r="U243" s="1186">
        <v>5.5</v>
      </c>
      <c r="V243" s="1186">
        <v>4.3</v>
      </c>
      <c r="W243" s="1186"/>
      <c r="X243" s="1186"/>
      <c r="Y243" s="1186"/>
      <c r="Z243" s="1186"/>
      <c r="AA243" s="1186"/>
      <c r="AB243" s="1186"/>
      <c r="AC243" s="1186"/>
      <c r="AD243" s="1187"/>
    </row>
    <row r="244" spans="1:30" x14ac:dyDescent="0.2">
      <c r="A244">
        <f t="shared" si="31"/>
        <v>7</v>
      </c>
      <c r="B244">
        <v>235</v>
      </c>
      <c r="C244" s="1081">
        <v>2</v>
      </c>
      <c r="D244" s="1082" t="s">
        <v>3599</v>
      </c>
      <c r="E244" s="1082" t="s">
        <v>4853</v>
      </c>
      <c r="F244" s="1188">
        <v>4</v>
      </c>
      <c r="G244" s="1189">
        <v>10.6</v>
      </c>
      <c r="H244" s="1189">
        <v>2.2999999999999998</v>
      </c>
      <c r="I244" s="1189">
        <v>13</v>
      </c>
      <c r="J244" s="1189">
        <v>2.6</v>
      </c>
      <c r="K244" s="1189">
        <v>7.9</v>
      </c>
      <c r="L244" s="1189">
        <v>4</v>
      </c>
      <c r="M244" s="1189">
        <v>5.6</v>
      </c>
      <c r="N244" s="1189">
        <v>4.9000000000000004</v>
      </c>
      <c r="O244" s="1189">
        <v>6.7</v>
      </c>
      <c r="P244" s="1189">
        <v>5.8</v>
      </c>
      <c r="Q244" s="1189">
        <v>10.4</v>
      </c>
      <c r="R244" s="1189">
        <v>1.9</v>
      </c>
      <c r="S244" s="1189">
        <v>4.5999999999999996</v>
      </c>
      <c r="T244" s="1189">
        <v>3.6</v>
      </c>
      <c r="U244" s="1189">
        <v>5.5</v>
      </c>
      <c r="V244" s="1189">
        <v>4.3</v>
      </c>
      <c r="W244" s="1189"/>
      <c r="X244" s="1189"/>
      <c r="Y244" s="1189"/>
      <c r="Z244" s="1189"/>
      <c r="AA244" s="1189"/>
      <c r="AB244" s="1189"/>
      <c r="AC244" s="1189"/>
      <c r="AD244" s="1194"/>
    </row>
    <row r="245" spans="1:30" x14ac:dyDescent="0.2">
      <c r="A245">
        <f t="shared" si="31"/>
        <v>7</v>
      </c>
      <c r="B245">
        <v>236</v>
      </c>
      <c r="C245" s="1190">
        <v>3</v>
      </c>
      <c r="D245" s="1191" t="s">
        <v>3599</v>
      </c>
      <c r="E245" s="1191" t="s">
        <v>4859</v>
      </c>
      <c r="F245" s="1192">
        <v>4</v>
      </c>
      <c r="G245" s="1193"/>
      <c r="H245" s="1193"/>
      <c r="I245" s="1193"/>
      <c r="J245" s="1193"/>
      <c r="K245" s="1193"/>
      <c r="L245" s="1193"/>
      <c r="M245" s="1193"/>
      <c r="N245" s="1193"/>
      <c r="O245" s="1193"/>
      <c r="P245" s="1193"/>
      <c r="Q245" s="1193"/>
      <c r="R245" s="1193"/>
      <c r="S245" s="1193"/>
      <c r="T245" s="1193"/>
      <c r="U245" s="1193"/>
      <c r="V245" s="1193"/>
      <c r="W245" s="1193">
        <v>5.9</v>
      </c>
      <c r="X245" s="1193">
        <v>4.5999999999999996</v>
      </c>
      <c r="Y245" s="1193">
        <v>5.2</v>
      </c>
      <c r="Z245" s="1193">
        <v>2.8</v>
      </c>
      <c r="AA245" s="1193">
        <v>7.9</v>
      </c>
      <c r="AB245" s="1193">
        <v>5.8</v>
      </c>
      <c r="AC245" s="1193">
        <v>6.9</v>
      </c>
      <c r="AD245" s="1195">
        <v>3.4</v>
      </c>
    </row>
    <row r="246" spans="1:30" x14ac:dyDescent="0.2">
      <c r="A246">
        <f t="shared" si="31"/>
        <v>7</v>
      </c>
      <c r="B246">
        <v>237</v>
      </c>
      <c r="C246" s="1078">
        <v>3</v>
      </c>
      <c r="D246" s="1077" t="s">
        <v>3599</v>
      </c>
      <c r="E246" s="1077" t="s">
        <v>4860</v>
      </c>
      <c r="F246" s="1185">
        <v>4</v>
      </c>
      <c r="G246" s="1186"/>
      <c r="H246" s="1186"/>
      <c r="I246" s="1186"/>
      <c r="J246" s="1186"/>
      <c r="K246" s="1186"/>
      <c r="L246" s="1186"/>
      <c r="M246" s="1186"/>
      <c r="N246" s="1186"/>
      <c r="O246" s="1186"/>
      <c r="P246" s="1186"/>
      <c r="Q246" s="1186"/>
      <c r="R246" s="1186"/>
      <c r="S246" s="1186"/>
      <c r="T246" s="1186"/>
      <c r="U246" s="1186"/>
      <c r="V246" s="1186"/>
      <c r="W246" s="1186">
        <v>7.6</v>
      </c>
      <c r="X246" s="1186">
        <v>4.5999999999999996</v>
      </c>
      <c r="Y246" s="1186">
        <v>6.7</v>
      </c>
      <c r="Z246" s="1186">
        <v>2.6</v>
      </c>
      <c r="AA246" s="1186">
        <v>10.3</v>
      </c>
      <c r="AB246" s="1186">
        <v>5.0999999999999996</v>
      </c>
      <c r="AC246" s="1186">
        <v>9.1999999999999993</v>
      </c>
      <c r="AD246" s="1187">
        <v>3.2</v>
      </c>
    </row>
    <row r="247" spans="1:30" x14ac:dyDescent="0.2">
      <c r="A247">
        <f t="shared" si="31"/>
        <v>7</v>
      </c>
      <c r="B247">
        <v>238</v>
      </c>
      <c r="C247" s="1078">
        <v>3</v>
      </c>
      <c r="D247" s="1077" t="s">
        <v>3599</v>
      </c>
      <c r="E247" s="1077" t="s">
        <v>4861</v>
      </c>
      <c r="F247" s="1185">
        <v>4</v>
      </c>
      <c r="G247" s="1186"/>
      <c r="H247" s="1186"/>
      <c r="I247" s="1186"/>
      <c r="J247" s="1186"/>
      <c r="K247" s="1186"/>
      <c r="L247" s="1186"/>
      <c r="M247" s="1186"/>
      <c r="N247" s="1186"/>
      <c r="O247" s="1186"/>
      <c r="P247" s="1186"/>
      <c r="Q247" s="1186"/>
      <c r="R247" s="1186"/>
      <c r="S247" s="1186"/>
      <c r="T247" s="1186"/>
      <c r="U247" s="1186"/>
      <c r="V247" s="1186"/>
      <c r="W247" s="1186">
        <v>12.5</v>
      </c>
      <c r="X247" s="1186">
        <v>4.8</v>
      </c>
      <c r="Y247" s="1186">
        <v>11.3</v>
      </c>
      <c r="Z247" s="1186">
        <v>2.6</v>
      </c>
      <c r="AA247" s="1186">
        <v>15.9</v>
      </c>
      <c r="AB247" s="1186">
        <v>4.9000000000000004</v>
      </c>
      <c r="AC247" s="1186">
        <v>14.4</v>
      </c>
      <c r="AD247" s="1187">
        <v>3.2</v>
      </c>
    </row>
    <row r="248" spans="1:30" x14ac:dyDescent="0.2">
      <c r="A248">
        <f t="shared" si="31"/>
        <v>7</v>
      </c>
      <c r="B248">
        <v>239</v>
      </c>
      <c r="C248" s="1078">
        <v>3</v>
      </c>
      <c r="D248" s="1077" t="s">
        <v>3599</v>
      </c>
      <c r="E248" s="1077" t="s">
        <v>4862</v>
      </c>
      <c r="F248" s="1185">
        <v>4</v>
      </c>
      <c r="G248" s="1186"/>
      <c r="H248" s="1186"/>
      <c r="I248" s="1186"/>
      <c r="J248" s="1186"/>
      <c r="K248" s="1186"/>
      <c r="L248" s="1186"/>
      <c r="M248" s="1186"/>
      <c r="N248" s="1186"/>
      <c r="O248" s="1186"/>
      <c r="P248" s="1186"/>
      <c r="Q248" s="1186"/>
      <c r="R248" s="1186"/>
      <c r="S248" s="1186"/>
      <c r="T248" s="1186"/>
      <c r="U248" s="1186"/>
      <c r="V248" s="1186"/>
      <c r="W248" s="1186">
        <v>15.5</v>
      </c>
      <c r="X248" s="1186">
        <v>4.8</v>
      </c>
      <c r="Y248" s="1186">
        <v>14.2</v>
      </c>
      <c r="Z248" s="1186">
        <v>2.6</v>
      </c>
      <c r="AA248" s="1186">
        <v>19.899999999999999</v>
      </c>
      <c r="AB248" s="1186">
        <v>5.8</v>
      </c>
      <c r="AC248" s="1186">
        <v>18</v>
      </c>
      <c r="AD248" s="1187">
        <v>3.2</v>
      </c>
    </row>
    <row r="249" spans="1:30" x14ac:dyDescent="0.2">
      <c r="A249">
        <f t="shared" si="31"/>
        <v>7</v>
      </c>
      <c r="B249">
        <v>240</v>
      </c>
      <c r="C249" s="1078">
        <v>2</v>
      </c>
      <c r="D249" s="1077" t="s">
        <v>3599</v>
      </c>
      <c r="E249" s="1077" t="s">
        <v>5352</v>
      </c>
      <c r="F249" s="1185">
        <v>4</v>
      </c>
      <c r="G249" s="1186">
        <v>3.4572345405357825</v>
      </c>
      <c r="H249" s="1186">
        <v>2.1193312251995673</v>
      </c>
      <c r="I249" s="1186">
        <v>4.5840287858006992</v>
      </c>
      <c r="J249" s="1186">
        <v>2.689297985177737</v>
      </c>
      <c r="K249" s="1186">
        <v>5.98</v>
      </c>
      <c r="L249" s="1186">
        <v>3.72</v>
      </c>
      <c r="M249" s="1186">
        <v>6.1533524417583969</v>
      </c>
      <c r="N249" s="1186">
        <v>4.7464593520002021</v>
      </c>
      <c r="O249" s="1186"/>
      <c r="P249" s="1186"/>
      <c r="Q249" s="1186">
        <v>4.7779990796443119</v>
      </c>
      <c r="R249" s="1186">
        <v>1.564859054420342</v>
      </c>
      <c r="S249" s="1186">
        <v>4.989967288738586</v>
      </c>
      <c r="T249" s="1186">
        <v>2.6414831095650295</v>
      </c>
      <c r="U249" s="1186"/>
      <c r="V249" s="1186">
        <v>7.3034648179671997</v>
      </c>
      <c r="W249" s="1186"/>
      <c r="X249" s="1186"/>
      <c r="Y249" s="1186"/>
      <c r="Z249" s="1186"/>
      <c r="AA249" s="1186"/>
      <c r="AB249" s="1186"/>
      <c r="AC249" s="1186"/>
      <c r="AD249" s="1187"/>
    </row>
    <row r="250" spans="1:30" x14ac:dyDescent="0.2">
      <c r="A250">
        <f t="shared" si="31"/>
        <v>7</v>
      </c>
      <c r="B250">
        <v>241</v>
      </c>
      <c r="C250" s="1078">
        <v>2</v>
      </c>
      <c r="D250" s="1077" t="s">
        <v>3599</v>
      </c>
      <c r="E250" s="1077" t="s">
        <v>5353</v>
      </c>
      <c r="F250" s="1185">
        <v>4</v>
      </c>
      <c r="G250" s="1186">
        <v>4.5228650318680668</v>
      </c>
      <c r="H250" s="1186">
        <v>1.9571487248183588</v>
      </c>
      <c r="I250" s="1186">
        <v>6.22</v>
      </c>
      <c r="J250" s="1186">
        <v>2.6543948271300888</v>
      </c>
      <c r="K250" s="1186">
        <v>7.35</v>
      </c>
      <c r="L250" s="1186">
        <v>3.47</v>
      </c>
      <c r="M250" s="1186">
        <v>8.02</v>
      </c>
      <c r="N250" s="1186">
        <v>4.6988721316945679</v>
      </c>
      <c r="O250" s="1186"/>
      <c r="P250" s="1186"/>
      <c r="Q250" s="1186">
        <v>4.7789999999999999</v>
      </c>
      <c r="R250" s="1186">
        <v>1.5651868693184288</v>
      </c>
      <c r="S250" s="1186">
        <v>6.77</v>
      </c>
      <c r="T250" s="1186">
        <v>2.7019228289739994</v>
      </c>
      <c r="U250" s="1186"/>
      <c r="V250" s="1186">
        <v>9.7377924081010505</v>
      </c>
      <c r="W250" s="1186"/>
      <c r="X250" s="1186"/>
      <c r="Y250" s="1186"/>
      <c r="Z250" s="1186"/>
      <c r="AA250" s="1186"/>
      <c r="AB250" s="1186"/>
      <c r="AC250" s="1186"/>
      <c r="AD250" s="1187"/>
    </row>
    <row r="251" spans="1:30" x14ac:dyDescent="0.2">
      <c r="A251">
        <f t="shared" si="31"/>
        <v>7</v>
      </c>
      <c r="B251">
        <v>242</v>
      </c>
      <c r="C251" s="1078">
        <v>2</v>
      </c>
      <c r="D251" s="1077" t="s">
        <v>3599</v>
      </c>
      <c r="E251" s="1077" t="s">
        <v>5354</v>
      </c>
      <c r="F251" s="1185">
        <v>4</v>
      </c>
      <c r="G251" s="1186">
        <v>7.2886911105766412</v>
      </c>
      <c r="H251" s="1186">
        <v>2.4124238812332242</v>
      </c>
      <c r="I251" s="1186">
        <v>8.6482620000000008</v>
      </c>
      <c r="J251" s="1186">
        <v>2.7145607873192232</v>
      </c>
      <c r="K251" s="1186">
        <v>9.6</v>
      </c>
      <c r="L251" s="1186">
        <v>3.42</v>
      </c>
      <c r="M251" s="1186">
        <v>9.98</v>
      </c>
      <c r="N251" s="1186">
        <v>4.2190792022129946</v>
      </c>
      <c r="O251" s="1186"/>
      <c r="P251" s="1186"/>
      <c r="Q251" s="1186">
        <v>7.8291680625314051</v>
      </c>
      <c r="R251" s="1186">
        <v>1.8794354245290454</v>
      </c>
      <c r="S251" s="1186">
        <v>9.5564629318089374</v>
      </c>
      <c r="T251" s="1186">
        <v>3.1093713753914649</v>
      </c>
      <c r="U251" s="1186"/>
      <c r="V251" s="1186">
        <v>13.507699398837699</v>
      </c>
      <c r="W251" s="1186"/>
      <c r="X251" s="1186"/>
      <c r="Y251" s="1186"/>
      <c r="Z251" s="1186"/>
      <c r="AA251" s="1186"/>
      <c r="AB251" s="1186"/>
      <c r="AC251" s="1186"/>
      <c r="AD251" s="1187"/>
    </row>
    <row r="252" spans="1:30" x14ac:dyDescent="0.2">
      <c r="A252">
        <f t="shared" si="31"/>
        <v>7</v>
      </c>
      <c r="B252">
        <v>243</v>
      </c>
      <c r="C252" s="1078">
        <v>2</v>
      </c>
      <c r="D252" s="1077" t="s">
        <v>3599</v>
      </c>
      <c r="E252" s="1077" t="s">
        <v>5355</v>
      </c>
      <c r="F252" s="1185">
        <v>4</v>
      </c>
      <c r="G252" s="1186">
        <v>8.4994668679900336</v>
      </c>
      <c r="H252" s="1186">
        <v>2.1052322126679499</v>
      </c>
      <c r="I252" s="1186">
        <v>9.814337806559255</v>
      </c>
      <c r="J252" s="1186">
        <v>2.3145681580635502</v>
      </c>
      <c r="K252" s="1186">
        <v>10.9</v>
      </c>
      <c r="L252" s="1186">
        <v>3.28</v>
      </c>
      <c r="M252" s="1186">
        <v>11.409440062248935</v>
      </c>
      <c r="N252" s="1186">
        <v>3.9745179158157877</v>
      </c>
      <c r="O252" s="1186"/>
      <c r="P252" s="1186"/>
      <c r="Q252" s="1186">
        <v>9.1974883604868154</v>
      </c>
      <c r="R252" s="1186">
        <v>1.9901601502959152</v>
      </c>
      <c r="S252" s="1186">
        <v>11.291515092103408</v>
      </c>
      <c r="T252" s="1186">
        <v>2.8902490261667531</v>
      </c>
      <c r="U252" s="1186"/>
      <c r="V252" s="1186">
        <v>15.7478537305647</v>
      </c>
      <c r="W252" s="1186"/>
      <c r="X252" s="1186"/>
      <c r="Y252" s="1186"/>
      <c r="Z252" s="1186"/>
      <c r="AA252" s="1186"/>
      <c r="AB252" s="1186"/>
      <c r="AC252" s="1186"/>
      <c r="AD252" s="1187"/>
    </row>
    <row r="253" spans="1:30" x14ac:dyDescent="0.2">
      <c r="A253">
        <f t="shared" si="31"/>
        <v>7</v>
      </c>
      <c r="B253">
        <v>244</v>
      </c>
      <c r="C253" s="1078">
        <v>2</v>
      </c>
      <c r="D253" s="1077" t="s">
        <v>3599</v>
      </c>
      <c r="E253" s="1077" t="s">
        <v>5356</v>
      </c>
      <c r="F253" s="1185">
        <v>4</v>
      </c>
      <c r="G253" s="1186">
        <v>9.4023846104084701</v>
      </c>
      <c r="H253" s="1186">
        <v>2.1273700844229815</v>
      </c>
      <c r="I253" s="1186">
        <v>10.170000000000002</v>
      </c>
      <c r="J253" s="1186">
        <v>2.1950259788794928</v>
      </c>
      <c r="K253" s="1186">
        <v>12.2</v>
      </c>
      <c r="L253" s="1186">
        <v>3.16</v>
      </c>
      <c r="M253" s="1186">
        <v>14.58</v>
      </c>
      <c r="N253" s="1186">
        <v>4.373704861546913</v>
      </c>
      <c r="O253" s="1186"/>
      <c r="P253" s="1186"/>
      <c r="Q253" s="1186">
        <v>9.3465000000000007</v>
      </c>
      <c r="R253" s="1186">
        <v>1.8332426964757043</v>
      </c>
      <c r="S253" s="1186">
        <v>12.883498141270705</v>
      </c>
      <c r="T253" s="1186">
        <v>2.5527726880248109</v>
      </c>
      <c r="U253" s="1186"/>
      <c r="V253" s="1186">
        <v>17.824816695912901</v>
      </c>
      <c r="W253" s="1186"/>
      <c r="X253" s="1186"/>
      <c r="Y253" s="1186"/>
      <c r="Z253" s="1186"/>
      <c r="AA253" s="1186"/>
      <c r="AB253" s="1186"/>
      <c r="AC253" s="1186"/>
      <c r="AD253" s="1187"/>
    </row>
    <row r="254" spans="1:30" x14ac:dyDescent="0.2">
      <c r="A254">
        <f t="shared" si="31"/>
        <v>7</v>
      </c>
      <c r="B254">
        <v>245</v>
      </c>
      <c r="C254" s="1078">
        <v>2</v>
      </c>
      <c r="D254" s="1077" t="s">
        <v>3599</v>
      </c>
      <c r="E254" s="1077" t="s">
        <v>5357</v>
      </c>
      <c r="F254" s="1185">
        <v>4</v>
      </c>
      <c r="G254" s="1186">
        <v>4.6664820000000002</v>
      </c>
      <c r="H254" s="1186">
        <v>2.3580000000000001</v>
      </c>
      <c r="I254" s="1186">
        <v>5.42</v>
      </c>
      <c r="J254" s="1186">
        <v>2.5099999999999998</v>
      </c>
      <c r="K254" s="1186">
        <v>2.41</v>
      </c>
      <c r="L254" s="1186">
        <v>3.92</v>
      </c>
      <c r="M254" s="1186">
        <v>2.8397779000000001</v>
      </c>
      <c r="N254" s="1186">
        <v>4.8229999999999995</v>
      </c>
      <c r="O254" s="1186">
        <v>2.7965339999999999</v>
      </c>
      <c r="P254" s="1186">
        <v>6.63</v>
      </c>
      <c r="Q254" s="1186">
        <v>4.7817440000000007</v>
      </c>
      <c r="R254" s="1186">
        <v>1.798</v>
      </c>
      <c r="S254" s="1186">
        <v>2.1887999999999996</v>
      </c>
      <c r="T254" s="1186">
        <v>2.2799999999999998</v>
      </c>
      <c r="U254" s="1186">
        <v>2.5984529999999997</v>
      </c>
      <c r="V254" s="1186">
        <v>3.51</v>
      </c>
      <c r="W254" s="1186"/>
      <c r="X254" s="1186"/>
      <c r="Y254" s="1186"/>
      <c r="Z254" s="1186"/>
      <c r="AA254" s="1186"/>
      <c r="AB254" s="1186"/>
      <c r="AC254" s="1186"/>
      <c r="AD254" s="1187"/>
    </row>
    <row r="255" spans="1:30" x14ac:dyDescent="0.2">
      <c r="A255">
        <f t="shared" si="31"/>
        <v>7</v>
      </c>
      <c r="B255">
        <v>246</v>
      </c>
      <c r="C255" s="1078">
        <v>2</v>
      </c>
      <c r="D255" s="1077" t="s">
        <v>3599</v>
      </c>
      <c r="E255" s="1077" t="s">
        <v>5358</v>
      </c>
      <c r="F255" s="1185">
        <v>4</v>
      </c>
      <c r="G255" s="1186">
        <v>5.8264080000000007</v>
      </c>
      <c r="H255" s="1186">
        <v>2.2120000000000002</v>
      </c>
      <c r="I255" s="1186">
        <v>6.71</v>
      </c>
      <c r="J255" s="1186">
        <v>2.36</v>
      </c>
      <c r="K255" s="1186">
        <v>2.87</v>
      </c>
      <c r="L255" s="1186">
        <v>4.0599999999999996</v>
      </c>
      <c r="M255" s="1186">
        <v>2.8397779000000001</v>
      </c>
      <c r="N255" s="1186">
        <v>4.8229999999999995</v>
      </c>
      <c r="O255" s="1186">
        <v>3.5017450000000001</v>
      </c>
      <c r="P255" s="1186">
        <v>6.3380000000000001</v>
      </c>
      <c r="Q255" s="1186">
        <v>5.0279520000000009</v>
      </c>
      <c r="R255" s="1186">
        <v>1.9</v>
      </c>
      <c r="S255" s="1186">
        <v>2.1887999999999996</v>
      </c>
      <c r="T255" s="1186">
        <v>2.2799999999999998</v>
      </c>
      <c r="U255" s="1186">
        <v>3.2836041000000002</v>
      </c>
      <c r="V255" s="1186">
        <v>3.5070000000000001</v>
      </c>
      <c r="W255" s="1186"/>
      <c r="X255" s="1186"/>
      <c r="Y255" s="1186"/>
      <c r="Z255" s="1186"/>
      <c r="AA255" s="1186"/>
      <c r="AB255" s="1186"/>
      <c r="AC255" s="1186"/>
      <c r="AD255" s="1187"/>
    </row>
    <row r="256" spans="1:30" x14ac:dyDescent="0.2">
      <c r="A256">
        <f t="shared" si="31"/>
        <v>7</v>
      </c>
      <c r="B256">
        <v>247</v>
      </c>
      <c r="C256" s="1078">
        <v>2</v>
      </c>
      <c r="D256" s="1077" t="s">
        <v>3599</v>
      </c>
      <c r="E256" s="1077" t="s">
        <v>5359</v>
      </c>
      <c r="F256" s="1185">
        <v>4</v>
      </c>
      <c r="G256" s="1186">
        <v>8.8000000000000007</v>
      </c>
      <c r="H256" s="1186">
        <v>2.5</v>
      </c>
      <c r="I256" s="1186">
        <v>9.8000000000000007</v>
      </c>
      <c r="J256" s="1186">
        <v>2.6</v>
      </c>
      <c r="K256" s="1186">
        <v>4.5999999999999996</v>
      </c>
      <c r="L256" s="1186">
        <v>4.4000000000000004</v>
      </c>
      <c r="M256" s="1186">
        <v>5.6</v>
      </c>
      <c r="N256" s="1186">
        <v>4.8</v>
      </c>
      <c r="O256" s="1186">
        <v>5.2</v>
      </c>
      <c r="P256" s="1186">
        <v>6.7</v>
      </c>
      <c r="Q256" s="1186">
        <v>10.3</v>
      </c>
      <c r="R256" s="1186">
        <v>2.1</v>
      </c>
      <c r="S256" s="1186">
        <v>4.4000000000000004</v>
      </c>
      <c r="T256" s="1186">
        <v>2.9</v>
      </c>
      <c r="U256" s="1186">
        <v>4.4000000000000004</v>
      </c>
      <c r="V256" s="1186">
        <v>3.8</v>
      </c>
      <c r="W256" s="1186"/>
      <c r="X256" s="1186"/>
      <c r="Y256" s="1186"/>
      <c r="Z256" s="1186"/>
      <c r="AA256" s="1186"/>
      <c r="AB256" s="1186"/>
      <c r="AC256" s="1186"/>
      <c r="AD256" s="1187"/>
    </row>
    <row r="257" spans="1:30" x14ac:dyDescent="0.2">
      <c r="A257">
        <f t="shared" si="31"/>
        <v>7</v>
      </c>
      <c r="B257">
        <v>248</v>
      </c>
      <c r="C257" s="1078">
        <v>2</v>
      </c>
      <c r="D257" s="1077" t="s">
        <v>3599</v>
      </c>
      <c r="E257" s="1077" t="s">
        <v>5360</v>
      </c>
      <c r="F257" s="1185">
        <v>4</v>
      </c>
      <c r="G257" s="1186">
        <v>10.6</v>
      </c>
      <c r="H257" s="1186">
        <v>2.2999999999999998</v>
      </c>
      <c r="I257" s="1186">
        <v>11.7</v>
      </c>
      <c r="J257" s="1186">
        <v>2.4</v>
      </c>
      <c r="K257" s="1186">
        <v>4.5999999999999996</v>
      </c>
      <c r="L257" s="1186">
        <v>4.4000000000000004</v>
      </c>
      <c r="M257" s="1186">
        <v>5.6</v>
      </c>
      <c r="N257" s="1186">
        <v>4.8</v>
      </c>
      <c r="O257" s="1186">
        <v>5.8</v>
      </c>
      <c r="P257" s="1186">
        <v>6.5</v>
      </c>
      <c r="Q257" s="1186">
        <v>10.9</v>
      </c>
      <c r="R257" s="1186">
        <v>1.8</v>
      </c>
      <c r="S257" s="1186">
        <v>4.4000000000000004</v>
      </c>
      <c r="T257" s="1186">
        <v>2.9</v>
      </c>
      <c r="U257" s="1186">
        <v>4.9000000000000004</v>
      </c>
      <c r="V257" s="1186">
        <v>3.7</v>
      </c>
      <c r="W257" s="1186"/>
      <c r="X257" s="1186"/>
      <c r="Y257" s="1186"/>
      <c r="Z257" s="1186"/>
      <c r="AA257" s="1186"/>
      <c r="AB257" s="1186"/>
      <c r="AC257" s="1186"/>
      <c r="AD257" s="1187"/>
    </row>
    <row r="258" spans="1:30" x14ac:dyDescent="0.2">
      <c r="A258">
        <f t="shared" si="31"/>
        <v>7</v>
      </c>
      <c r="B258">
        <v>249</v>
      </c>
      <c r="C258" s="1078">
        <v>2</v>
      </c>
      <c r="D258" s="1077" t="s">
        <v>3599</v>
      </c>
      <c r="E258" s="1077" t="s">
        <v>5361</v>
      </c>
      <c r="F258" s="1185">
        <v>4</v>
      </c>
      <c r="G258" s="1186">
        <v>4.6664820000000002</v>
      </c>
      <c r="H258" s="1186">
        <v>2.3580000000000001</v>
      </c>
      <c r="I258" s="1186">
        <v>5.42</v>
      </c>
      <c r="J258" s="1186">
        <v>2.5099999999999998</v>
      </c>
      <c r="K258" s="1186">
        <v>2.41</v>
      </c>
      <c r="L258" s="1186">
        <v>3.92</v>
      </c>
      <c r="M258" s="1186">
        <v>2.8397779000000001</v>
      </c>
      <c r="N258" s="1186">
        <v>4.8229999999999995</v>
      </c>
      <c r="O258" s="1186">
        <v>2.7965339999999999</v>
      </c>
      <c r="P258" s="1186">
        <v>6.63</v>
      </c>
      <c r="Q258" s="1186">
        <v>4.7817440000000007</v>
      </c>
      <c r="R258" s="1186">
        <v>1.798</v>
      </c>
      <c r="S258" s="1186">
        <v>2.1887999999999996</v>
      </c>
      <c r="T258" s="1186">
        <v>2.2799999999999998</v>
      </c>
      <c r="U258" s="1186">
        <v>2.5984529999999997</v>
      </c>
      <c r="V258" s="1186">
        <v>3.51</v>
      </c>
      <c r="W258" s="1186"/>
      <c r="X258" s="1186"/>
      <c r="Y258" s="1186"/>
      <c r="Z258" s="1186"/>
      <c r="AA258" s="1186"/>
      <c r="AB258" s="1186"/>
      <c r="AC258" s="1186"/>
      <c r="AD258" s="1187"/>
    </row>
    <row r="259" spans="1:30" x14ac:dyDescent="0.2">
      <c r="A259">
        <f t="shared" si="31"/>
        <v>7</v>
      </c>
      <c r="B259">
        <v>250</v>
      </c>
      <c r="C259" s="1078">
        <v>2</v>
      </c>
      <c r="D259" s="1077" t="s">
        <v>3599</v>
      </c>
      <c r="E259" s="1077" t="s">
        <v>5362</v>
      </c>
      <c r="F259" s="1185">
        <v>4</v>
      </c>
      <c r="G259" s="1186">
        <v>5.8264080000000007</v>
      </c>
      <c r="H259" s="1186">
        <v>2.2120000000000002</v>
      </c>
      <c r="I259" s="1186">
        <v>6.71</v>
      </c>
      <c r="J259" s="1186">
        <v>2.36</v>
      </c>
      <c r="K259" s="1186">
        <v>2.87</v>
      </c>
      <c r="L259" s="1186">
        <v>4.0599999999999996</v>
      </c>
      <c r="M259" s="1186">
        <v>2.8397779000000001</v>
      </c>
      <c r="N259" s="1186">
        <v>4.8229999999999995</v>
      </c>
      <c r="O259" s="1186">
        <v>3.5017450000000001</v>
      </c>
      <c r="P259" s="1186">
        <v>6.3380000000000001</v>
      </c>
      <c r="Q259" s="1186">
        <v>5.0279520000000009</v>
      </c>
      <c r="R259" s="1186">
        <v>1.9</v>
      </c>
      <c r="S259" s="1186">
        <v>2.1887999999999996</v>
      </c>
      <c r="T259" s="1186">
        <v>2.2799999999999998</v>
      </c>
      <c r="U259" s="1186">
        <v>3.2836041000000002</v>
      </c>
      <c r="V259" s="1186">
        <v>3.5070000000000001</v>
      </c>
      <c r="W259" s="1186"/>
      <c r="X259" s="1186"/>
      <c r="Y259" s="1186"/>
      <c r="Z259" s="1186"/>
      <c r="AA259" s="1186"/>
      <c r="AB259" s="1186"/>
      <c r="AC259" s="1186"/>
      <c r="AD259" s="1187"/>
    </row>
    <row r="260" spans="1:30" x14ac:dyDescent="0.2">
      <c r="A260">
        <f t="shared" si="31"/>
        <v>7</v>
      </c>
      <c r="B260">
        <v>251</v>
      </c>
      <c r="C260" s="1078">
        <v>2</v>
      </c>
      <c r="D260" s="1077" t="s">
        <v>3599</v>
      </c>
      <c r="E260" s="1077" t="s">
        <v>5363</v>
      </c>
      <c r="F260" s="1185">
        <v>4</v>
      </c>
      <c r="G260" s="1186">
        <v>8.8000000000000007</v>
      </c>
      <c r="H260" s="1186">
        <v>2.5</v>
      </c>
      <c r="I260" s="1186">
        <v>9.8000000000000007</v>
      </c>
      <c r="J260" s="1186">
        <v>2.6</v>
      </c>
      <c r="K260" s="1186">
        <v>4.5999999999999996</v>
      </c>
      <c r="L260" s="1186">
        <v>4.4000000000000004</v>
      </c>
      <c r="M260" s="1186">
        <v>5.6</v>
      </c>
      <c r="N260" s="1186">
        <v>4.8</v>
      </c>
      <c r="O260" s="1186">
        <v>5.2</v>
      </c>
      <c r="P260" s="1186">
        <v>6.7</v>
      </c>
      <c r="Q260" s="1186">
        <v>10.3</v>
      </c>
      <c r="R260" s="1186">
        <v>2.1</v>
      </c>
      <c r="S260" s="1186">
        <v>4.4000000000000004</v>
      </c>
      <c r="T260" s="1186">
        <v>2.9</v>
      </c>
      <c r="U260" s="1186">
        <v>4.4000000000000004</v>
      </c>
      <c r="V260" s="1186">
        <v>3.8</v>
      </c>
      <c r="W260" s="1186"/>
      <c r="X260" s="1186"/>
      <c r="Y260" s="1186"/>
      <c r="Z260" s="1186"/>
      <c r="AA260" s="1186"/>
      <c r="AB260" s="1186"/>
      <c r="AC260" s="1186"/>
      <c r="AD260" s="1187"/>
    </row>
    <row r="261" spans="1:30" x14ac:dyDescent="0.2">
      <c r="A261">
        <f t="shared" si="31"/>
        <v>7</v>
      </c>
      <c r="B261">
        <v>252</v>
      </c>
      <c r="C261" s="1078">
        <v>2</v>
      </c>
      <c r="D261" s="1077" t="s">
        <v>3599</v>
      </c>
      <c r="E261" s="1077" t="s">
        <v>5364</v>
      </c>
      <c r="F261" s="1185">
        <v>4</v>
      </c>
      <c r="G261" s="1186">
        <v>10.6</v>
      </c>
      <c r="H261" s="1186">
        <v>2.2999999999999998</v>
      </c>
      <c r="I261" s="1186">
        <v>11.7</v>
      </c>
      <c r="J261" s="1186">
        <v>2.4</v>
      </c>
      <c r="K261" s="1186">
        <v>4.5999999999999996</v>
      </c>
      <c r="L261" s="1186">
        <v>4.4000000000000004</v>
      </c>
      <c r="M261" s="1186">
        <v>5.6</v>
      </c>
      <c r="N261" s="1186">
        <v>4.8</v>
      </c>
      <c r="O261" s="1186">
        <v>5.8</v>
      </c>
      <c r="P261" s="1186">
        <v>6.5</v>
      </c>
      <c r="Q261" s="1186">
        <v>10.9</v>
      </c>
      <c r="R261" s="1186">
        <v>1.8</v>
      </c>
      <c r="S261" s="1186">
        <v>4.4000000000000004</v>
      </c>
      <c r="T261" s="1186">
        <v>2.9</v>
      </c>
      <c r="U261" s="1186">
        <v>4.9000000000000004</v>
      </c>
      <c r="V261" s="1186">
        <v>3.7</v>
      </c>
      <c r="W261" s="1186"/>
      <c r="X261" s="1186"/>
      <c r="Y261" s="1186"/>
      <c r="Z261" s="1186"/>
      <c r="AA261" s="1186"/>
      <c r="AB261" s="1186"/>
      <c r="AC261" s="1186"/>
      <c r="AD261" s="1187"/>
    </row>
    <row r="262" spans="1:30" x14ac:dyDescent="0.2">
      <c r="A262">
        <f t="shared" si="31"/>
        <v>7</v>
      </c>
      <c r="B262">
        <v>253</v>
      </c>
      <c r="C262" s="1078">
        <v>2</v>
      </c>
      <c r="D262" s="1077" t="s">
        <v>3599</v>
      </c>
      <c r="E262" s="1077" t="s">
        <v>5294</v>
      </c>
      <c r="F262" s="1185">
        <v>2</v>
      </c>
      <c r="G262" s="1186">
        <v>31.7</v>
      </c>
      <c r="H262" s="1186">
        <v>2.6</v>
      </c>
      <c r="I262" s="1186">
        <v>38</v>
      </c>
      <c r="J262" s="1186">
        <v>3</v>
      </c>
      <c r="K262" s="1186">
        <v>26.6</v>
      </c>
      <c r="L262" s="1186">
        <v>3.6</v>
      </c>
      <c r="M262" s="1186">
        <v>35.299999999999997</v>
      </c>
      <c r="N262" s="1186">
        <v>4.5</v>
      </c>
      <c r="O262" s="1186">
        <v>44.4</v>
      </c>
      <c r="P262" s="1186">
        <v>5.25</v>
      </c>
      <c r="Q262" s="1186">
        <v>36.799999999999997</v>
      </c>
      <c r="R262" s="1186">
        <v>2.2999999999999998</v>
      </c>
      <c r="S262" s="1186">
        <v>31.7</v>
      </c>
      <c r="T262" s="1186">
        <v>3.2</v>
      </c>
      <c r="U262" s="1186">
        <v>40.5</v>
      </c>
      <c r="V262" s="1186">
        <v>3.9</v>
      </c>
      <c r="W262" s="1186"/>
      <c r="X262" s="1186"/>
      <c r="Y262" s="1186"/>
      <c r="Z262" s="1186"/>
      <c r="AA262" s="1186"/>
      <c r="AB262" s="1186"/>
      <c r="AC262" s="1186"/>
      <c r="AD262" s="1187"/>
    </row>
    <row r="263" spans="1:30" x14ac:dyDescent="0.2">
      <c r="A263">
        <f t="shared" si="31"/>
        <v>7</v>
      </c>
      <c r="B263">
        <v>254</v>
      </c>
      <c r="C263" s="1078">
        <v>2</v>
      </c>
      <c r="D263" s="1077" t="s">
        <v>3599</v>
      </c>
      <c r="E263" s="1077" t="s">
        <v>5167</v>
      </c>
      <c r="F263" s="1185">
        <v>2</v>
      </c>
      <c r="G263" s="1186">
        <v>16</v>
      </c>
      <c r="H263" s="1186">
        <v>2.6</v>
      </c>
      <c r="I263" s="1186">
        <v>19.899999999999999</v>
      </c>
      <c r="J263" s="1186">
        <v>3.1</v>
      </c>
      <c r="K263" s="1186">
        <v>13.3</v>
      </c>
      <c r="L263" s="1186">
        <v>4</v>
      </c>
      <c r="M263" s="1186">
        <v>16.2</v>
      </c>
      <c r="N263" s="1186">
        <v>4.9000000000000004</v>
      </c>
      <c r="O263" s="1186">
        <v>23.2</v>
      </c>
      <c r="P263" s="1186">
        <v>6.8</v>
      </c>
      <c r="Q263" s="1186">
        <v>19.7</v>
      </c>
      <c r="R263" s="1186">
        <v>2.2999999999999998</v>
      </c>
      <c r="S263" s="1186">
        <v>15.4</v>
      </c>
      <c r="T263" s="1186">
        <v>3.4</v>
      </c>
      <c r="U263" s="1186">
        <v>21.2</v>
      </c>
      <c r="V263" s="1186">
        <v>4.7</v>
      </c>
      <c r="W263" s="1186"/>
      <c r="X263" s="1186"/>
      <c r="Y263" s="1186"/>
      <c r="Z263" s="1186"/>
      <c r="AA263" s="1186"/>
      <c r="AB263" s="1186"/>
      <c r="AC263" s="1186"/>
      <c r="AD263" s="1187"/>
    </row>
    <row r="264" spans="1:30" x14ac:dyDescent="0.2">
      <c r="A264">
        <f t="shared" si="31"/>
        <v>7</v>
      </c>
      <c r="B264">
        <v>255</v>
      </c>
      <c r="C264" s="1078">
        <v>2</v>
      </c>
      <c r="D264" s="1077" t="s">
        <v>3599</v>
      </c>
      <c r="E264" s="1077" t="s">
        <v>5168</v>
      </c>
      <c r="F264" s="1185">
        <v>2</v>
      </c>
      <c r="G264" s="1186">
        <v>34.6</v>
      </c>
      <c r="H264" s="1186">
        <v>2.7</v>
      </c>
      <c r="I264" s="1186">
        <v>42.1</v>
      </c>
      <c r="J264" s="1186">
        <v>3.1</v>
      </c>
      <c r="K264" s="1186">
        <v>25.7</v>
      </c>
      <c r="L264" s="1186">
        <v>3.9</v>
      </c>
      <c r="M264" s="1186">
        <v>33.299999999999997</v>
      </c>
      <c r="N264" s="1186">
        <v>4.9000000000000004</v>
      </c>
      <c r="O264" s="1186">
        <v>42.5</v>
      </c>
      <c r="P264" s="1186">
        <v>6.4</v>
      </c>
      <c r="Q264" s="1186">
        <v>41.5</v>
      </c>
      <c r="R264" s="1186">
        <v>2.2999999999999998</v>
      </c>
      <c r="S264" s="1186">
        <v>31.8</v>
      </c>
      <c r="T264" s="1186">
        <v>3.4</v>
      </c>
      <c r="U264" s="1186">
        <v>37.9</v>
      </c>
      <c r="V264" s="1186">
        <v>4.2</v>
      </c>
      <c r="W264" s="1186"/>
      <c r="X264" s="1186"/>
      <c r="Y264" s="1186"/>
      <c r="Z264" s="1186"/>
      <c r="AA264" s="1186"/>
      <c r="AB264" s="1186"/>
      <c r="AC264" s="1186"/>
      <c r="AD264" s="1187"/>
    </row>
    <row r="265" spans="1:30" x14ac:dyDescent="0.2">
      <c r="A265">
        <f t="shared" si="31"/>
        <v>7</v>
      </c>
      <c r="B265">
        <v>256</v>
      </c>
      <c r="C265" s="1078">
        <v>2</v>
      </c>
      <c r="D265" s="1077" t="s">
        <v>3599</v>
      </c>
      <c r="E265" s="1077" t="s">
        <v>5299</v>
      </c>
      <c r="F265" s="1185">
        <v>2</v>
      </c>
      <c r="G265" s="1186">
        <v>7.95</v>
      </c>
      <c r="H265" s="1186">
        <v>2.52</v>
      </c>
      <c r="I265" s="1186">
        <v>11.04</v>
      </c>
      <c r="J265" s="1186">
        <v>3.28</v>
      </c>
      <c r="K265" s="1186">
        <v>7.2549999999999999</v>
      </c>
      <c r="L265" s="1186">
        <v>4.1900000000000004</v>
      </c>
      <c r="M265" s="1186">
        <v>8.266</v>
      </c>
      <c r="N265" s="1186">
        <v>4.8</v>
      </c>
      <c r="O265" s="1186">
        <v>11.04</v>
      </c>
      <c r="P265" s="1186">
        <v>6.56</v>
      </c>
      <c r="Q265" s="1186">
        <v>10.76</v>
      </c>
      <c r="R265" s="1186">
        <v>2.1800000000000002</v>
      </c>
      <c r="S265" s="1186">
        <v>7.74</v>
      </c>
      <c r="T265" s="1186">
        <v>3.11</v>
      </c>
      <c r="U265" s="1186">
        <v>9.6999999999999993</v>
      </c>
      <c r="V265" s="1186">
        <v>3.85</v>
      </c>
      <c r="W265" s="1186"/>
      <c r="X265" s="1186"/>
      <c r="Y265" s="1186"/>
      <c r="Z265" s="1186"/>
      <c r="AA265" s="1186"/>
      <c r="AB265" s="1186"/>
      <c r="AC265" s="1186"/>
      <c r="AD265" s="1187"/>
    </row>
    <row r="266" spans="1:30" x14ac:dyDescent="0.2">
      <c r="A266">
        <f t="shared" si="31"/>
        <v>7</v>
      </c>
      <c r="B266">
        <v>257</v>
      </c>
      <c r="C266" s="1078">
        <v>2</v>
      </c>
      <c r="D266" s="1077" t="s">
        <v>3599</v>
      </c>
      <c r="E266" s="1077" t="s">
        <v>5300</v>
      </c>
      <c r="F266" s="1185">
        <v>1</v>
      </c>
      <c r="G266" s="1186">
        <v>5.6</v>
      </c>
      <c r="H266" s="1186">
        <v>2.4</v>
      </c>
      <c r="I266" s="1186">
        <v>7.3</v>
      </c>
      <c r="J266" s="1186">
        <v>3.1</v>
      </c>
      <c r="K266" s="1186">
        <v>9.5</v>
      </c>
      <c r="L266" s="1186">
        <v>4</v>
      </c>
      <c r="M266" s="1186">
        <v>11.26</v>
      </c>
      <c r="N266" s="1186">
        <v>4.72</v>
      </c>
      <c r="O266" s="1186">
        <v>14.68</v>
      </c>
      <c r="P266" s="1186">
        <v>5.34</v>
      </c>
      <c r="Q266" s="1186">
        <v>7.23</v>
      </c>
      <c r="R266" s="1186">
        <v>2.1800000000000002</v>
      </c>
      <c r="S266" s="1186">
        <v>9.9700000000000006</v>
      </c>
      <c r="T266" s="1186">
        <v>2.96</v>
      </c>
      <c r="U266" s="1186">
        <v>13.1</v>
      </c>
      <c r="V266" s="1186">
        <v>3.93</v>
      </c>
      <c r="W266" s="1186"/>
      <c r="X266" s="1186"/>
      <c r="Y266" s="1186"/>
      <c r="Z266" s="1186"/>
      <c r="AA266" s="1186"/>
      <c r="AB266" s="1186"/>
      <c r="AC266" s="1186"/>
      <c r="AD266" s="1187"/>
    </row>
    <row r="267" spans="1:30" x14ac:dyDescent="0.2">
      <c r="A267">
        <f t="shared" si="31"/>
        <v>7</v>
      </c>
      <c r="B267">
        <v>258</v>
      </c>
      <c r="C267" s="1078">
        <v>2</v>
      </c>
      <c r="D267" s="1077" t="s">
        <v>3599</v>
      </c>
      <c r="E267" s="1077" t="s">
        <v>5301</v>
      </c>
      <c r="F267" s="1185">
        <v>2</v>
      </c>
      <c r="G267" s="1186">
        <v>11.39</v>
      </c>
      <c r="H267" s="1186">
        <v>2.67</v>
      </c>
      <c r="I267" s="1186">
        <v>13.89</v>
      </c>
      <c r="J267" s="1186">
        <v>3.11</v>
      </c>
      <c r="K267" s="1186">
        <v>15.86</v>
      </c>
      <c r="L267" s="1186">
        <v>3.7</v>
      </c>
      <c r="M267" s="1186">
        <v>11.67</v>
      </c>
      <c r="N267" s="1186">
        <v>5.04</v>
      </c>
      <c r="O267" s="1186">
        <v>13.57</v>
      </c>
      <c r="P267" s="1186">
        <v>5.93</v>
      </c>
      <c r="Q267" s="1186">
        <v>13.19</v>
      </c>
      <c r="R267" s="1186">
        <v>2.25</v>
      </c>
      <c r="S267" s="1186">
        <v>10.79</v>
      </c>
      <c r="T267" s="1186">
        <v>3.17</v>
      </c>
      <c r="U267" s="1186">
        <v>12.23</v>
      </c>
      <c r="V267" s="1186">
        <v>3.63</v>
      </c>
      <c r="W267" s="1186"/>
      <c r="X267" s="1186"/>
      <c r="Y267" s="1186"/>
      <c r="Z267" s="1186"/>
      <c r="AA267" s="1186"/>
      <c r="AB267" s="1186"/>
      <c r="AC267" s="1186"/>
      <c r="AD267" s="1187"/>
    </row>
    <row r="268" spans="1:30" x14ac:dyDescent="0.2">
      <c r="A268">
        <f t="shared" ref="A268:A331" si="38">A267+(D268&lt;&gt;D267)*1</f>
        <v>7</v>
      </c>
      <c r="B268">
        <v>259</v>
      </c>
      <c r="C268" s="1078">
        <v>2</v>
      </c>
      <c r="D268" s="1077" t="s">
        <v>3599</v>
      </c>
      <c r="E268" s="1077" t="s">
        <v>5302</v>
      </c>
      <c r="F268" s="1185">
        <v>2</v>
      </c>
      <c r="G268" s="1186">
        <v>13.74</v>
      </c>
      <c r="H268" s="1186">
        <v>2.6</v>
      </c>
      <c r="I268" s="1186">
        <v>18.350000000000001</v>
      </c>
      <c r="J268" s="1186">
        <v>3.24</v>
      </c>
      <c r="K268" s="1186">
        <v>18.63</v>
      </c>
      <c r="L268" s="1186">
        <v>3.65</v>
      </c>
      <c r="M268" s="1186">
        <v>14.17</v>
      </c>
      <c r="N268" s="1186">
        <v>4.8099999999999996</v>
      </c>
      <c r="O268" s="1186">
        <v>17.989999999999998</v>
      </c>
      <c r="P268" s="1186">
        <v>6.2</v>
      </c>
      <c r="Q268" s="1186">
        <v>18.190000000000001</v>
      </c>
      <c r="R268" s="1186">
        <v>2.31</v>
      </c>
      <c r="S268" s="1186">
        <v>13.05</v>
      </c>
      <c r="T268" s="1186">
        <v>3.08</v>
      </c>
      <c r="U268" s="1186">
        <v>16.38</v>
      </c>
      <c r="V268" s="1186">
        <v>3.86</v>
      </c>
      <c r="W268" s="1186"/>
      <c r="X268" s="1186"/>
      <c r="Y268" s="1186"/>
      <c r="Z268" s="1186"/>
      <c r="AA268" s="1186"/>
      <c r="AB268" s="1186"/>
      <c r="AC268" s="1186"/>
      <c r="AD268" s="1187"/>
    </row>
    <row r="269" spans="1:30" x14ac:dyDescent="0.2">
      <c r="A269">
        <f t="shared" si="38"/>
        <v>7</v>
      </c>
      <c r="B269">
        <v>260</v>
      </c>
      <c r="C269" s="1078">
        <v>2</v>
      </c>
      <c r="D269" s="1077" t="s">
        <v>3599</v>
      </c>
      <c r="E269" s="1077" t="s">
        <v>5303</v>
      </c>
      <c r="F269" s="1185">
        <v>4</v>
      </c>
      <c r="G269" s="1186">
        <v>9.4</v>
      </c>
      <c r="H269" s="1186">
        <v>2.4</v>
      </c>
      <c r="I269" s="1186">
        <v>11.2</v>
      </c>
      <c r="J269" s="1186">
        <v>2.9</v>
      </c>
      <c r="K269" s="1186">
        <v>4.9000000000000004</v>
      </c>
      <c r="L269" s="1186">
        <v>4.5</v>
      </c>
      <c r="M269" s="1186">
        <v>4.6500000000000004</v>
      </c>
      <c r="N269" s="1186">
        <v>5.6</v>
      </c>
      <c r="O269" s="1186">
        <v>5.96</v>
      </c>
      <c r="P269" s="1186">
        <v>7.86</v>
      </c>
      <c r="Q269" s="1186">
        <v>10.14</v>
      </c>
      <c r="R269" s="1186">
        <v>2.0299999999999998</v>
      </c>
      <c r="S269" s="1186">
        <v>4</v>
      </c>
      <c r="T269" s="1186">
        <v>3.2</v>
      </c>
      <c r="U269" s="1186">
        <v>5.31</v>
      </c>
      <c r="V269" s="1186">
        <v>4.32</v>
      </c>
      <c r="W269" s="1186"/>
      <c r="X269" s="1186"/>
      <c r="Y269" s="1186"/>
      <c r="Z269" s="1186"/>
      <c r="AA269" s="1186"/>
      <c r="AB269" s="1186"/>
      <c r="AC269" s="1186"/>
      <c r="AD269" s="1187"/>
    </row>
    <row r="270" spans="1:30" x14ac:dyDescent="0.2">
      <c r="A270">
        <f t="shared" si="38"/>
        <v>7</v>
      </c>
      <c r="B270">
        <v>261</v>
      </c>
      <c r="C270" s="1078">
        <v>2</v>
      </c>
      <c r="D270" s="1077" t="s">
        <v>3599</v>
      </c>
      <c r="E270" s="1077" t="s">
        <v>5304</v>
      </c>
      <c r="F270" s="1185">
        <v>2</v>
      </c>
      <c r="G270" s="1186">
        <v>11.39</v>
      </c>
      <c r="H270" s="1186">
        <v>2.67</v>
      </c>
      <c r="I270" s="1186">
        <v>13.89</v>
      </c>
      <c r="J270" s="1186">
        <v>3.11</v>
      </c>
      <c r="K270" s="1186">
        <v>15.86</v>
      </c>
      <c r="L270" s="1186">
        <v>3.7</v>
      </c>
      <c r="M270" s="1186">
        <v>11.67</v>
      </c>
      <c r="N270" s="1186">
        <v>5.04</v>
      </c>
      <c r="O270" s="1186">
        <v>13.57</v>
      </c>
      <c r="P270" s="1186">
        <v>5.93</v>
      </c>
      <c r="Q270" s="1186">
        <v>13.19</v>
      </c>
      <c r="R270" s="1186">
        <v>2.25</v>
      </c>
      <c r="S270" s="1186">
        <v>10.79</v>
      </c>
      <c r="T270" s="1186">
        <v>3.17</v>
      </c>
      <c r="U270" s="1186">
        <v>12.23</v>
      </c>
      <c r="V270" s="1186">
        <v>3.63</v>
      </c>
      <c r="W270" s="1186"/>
      <c r="X270" s="1186"/>
      <c r="Y270" s="1186"/>
      <c r="Z270" s="1186"/>
      <c r="AA270" s="1186"/>
      <c r="AB270" s="1186"/>
      <c r="AC270" s="1186"/>
      <c r="AD270" s="1187"/>
    </row>
    <row r="271" spans="1:30" x14ac:dyDescent="0.2">
      <c r="A271">
        <f t="shared" si="38"/>
        <v>7</v>
      </c>
      <c r="B271">
        <v>262</v>
      </c>
      <c r="C271" s="1078">
        <v>2</v>
      </c>
      <c r="D271" s="1077" t="s">
        <v>3599</v>
      </c>
      <c r="E271" s="1077" t="s">
        <v>5519</v>
      </c>
      <c r="F271" s="1185">
        <v>1</v>
      </c>
      <c r="G271" s="1186">
        <v>12.6</v>
      </c>
      <c r="H271" s="1186">
        <v>2.5</v>
      </c>
      <c r="I271" s="1186">
        <v>15</v>
      </c>
      <c r="J271" s="1186">
        <v>3.1</v>
      </c>
      <c r="K271" s="1186">
        <v>14.4</v>
      </c>
      <c r="L271" s="1186">
        <v>4.3</v>
      </c>
      <c r="M271" s="1186">
        <v>12.7</v>
      </c>
      <c r="N271" s="1186">
        <v>5.13</v>
      </c>
      <c r="O271" s="1186">
        <v>14.4</v>
      </c>
      <c r="P271" s="1186">
        <v>6.5</v>
      </c>
      <c r="Q271" s="1186">
        <v>13</v>
      </c>
      <c r="R271" s="1186">
        <v>2.1</v>
      </c>
      <c r="S271" s="1186">
        <v>11.5</v>
      </c>
      <c r="T271" s="1186">
        <v>3.1</v>
      </c>
      <c r="U271" s="1186">
        <v>12.5</v>
      </c>
      <c r="V271" s="1186">
        <v>3.9</v>
      </c>
      <c r="W271" s="1186"/>
      <c r="X271" s="1186"/>
      <c r="Y271" s="1186"/>
      <c r="Z271" s="1186"/>
      <c r="AA271" s="1186"/>
      <c r="AB271" s="1186"/>
      <c r="AC271" s="1186"/>
      <c r="AD271" s="1187"/>
    </row>
    <row r="272" spans="1:30" x14ac:dyDescent="0.2">
      <c r="A272">
        <f t="shared" si="38"/>
        <v>7</v>
      </c>
      <c r="B272">
        <v>263</v>
      </c>
      <c r="C272" s="1078">
        <v>2</v>
      </c>
      <c r="D272" s="1077" t="s">
        <v>3599</v>
      </c>
      <c r="E272" s="1077" t="s">
        <v>5520</v>
      </c>
      <c r="F272" s="1185">
        <v>1</v>
      </c>
      <c r="G272" s="1186">
        <v>12.4</v>
      </c>
      <c r="H272" s="1186">
        <v>2.4</v>
      </c>
      <c r="I272" s="1186">
        <v>19</v>
      </c>
      <c r="J272" s="1186">
        <v>2.5</v>
      </c>
      <c r="K272" s="1186">
        <v>19.5</v>
      </c>
      <c r="L272" s="1186">
        <v>3.5</v>
      </c>
      <c r="M272" s="1186">
        <v>18.3</v>
      </c>
      <c r="N272" s="1186">
        <v>4.7</v>
      </c>
      <c r="O272" s="1186">
        <v>21.9</v>
      </c>
      <c r="P272" s="1186">
        <v>6</v>
      </c>
      <c r="Q272" s="1186">
        <v>17.7</v>
      </c>
      <c r="R272" s="1186">
        <v>1.6</v>
      </c>
      <c r="S272" s="1186">
        <v>16.5</v>
      </c>
      <c r="T272" s="1186">
        <v>2.8</v>
      </c>
      <c r="U272" s="1186">
        <v>20</v>
      </c>
      <c r="V272" s="1186">
        <v>3.7</v>
      </c>
      <c r="W272" s="1186"/>
      <c r="X272" s="1186"/>
      <c r="Y272" s="1186"/>
      <c r="Z272" s="1186"/>
      <c r="AA272" s="1186"/>
      <c r="AB272" s="1186"/>
      <c r="AC272" s="1186"/>
      <c r="AD272" s="1187"/>
    </row>
    <row r="273" spans="1:30" x14ac:dyDescent="0.2">
      <c r="A273">
        <f t="shared" si="38"/>
        <v>8</v>
      </c>
      <c r="B273">
        <v>264</v>
      </c>
      <c r="C273" s="1078">
        <v>2</v>
      </c>
      <c r="D273" s="1077" t="s">
        <v>3597</v>
      </c>
      <c r="E273" s="1077" t="s">
        <v>4814</v>
      </c>
      <c r="F273" s="1185">
        <v>4</v>
      </c>
      <c r="G273" s="1186">
        <v>4.82</v>
      </c>
      <c r="H273" s="1186">
        <v>2.5099999999999998</v>
      </c>
      <c r="I273" s="1186">
        <v>5.52</v>
      </c>
      <c r="J273" s="1186">
        <v>2.79</v>
      </c>
      <c r="K273" s="1186">
        <v>5.2</v>
      </c>
      <c r="L273" s="1186">
        <v>3.79</v>
      </c>
      <c r="M273" s="1186">
        <v>4.05</v>
      </c>
      <c r="N273" s="1186">
        <v>4.13</v>
      </c>
      <c r="O273" s="1186">
        <v>2.63</v>
      </c>
      <c r="P273" s="1186">
        <v>3.7</v>
      </c>
      <c r="Q273" s="1186">
        <v>4.9000000000000004</v>
      </c>
      <c r="R273" s="1186">
        <v>2</v>
      </c>
      <c r="S273" s="1186">
        <v>3.7</v>
      </c>
      <c r="T273" s="1186">
        <v>2.5</v>
      </c>
      <c r="U273" s="1186">
        <v>3.1</v>
      </c>
      <c r="V273" s="1186">
        <v>2.7</v>
      </c>
      <c r="W273" s="1186"/>
      <c r="X273" s="1186"/>
      <c r="Y273" s="1186"/>
      <c r="Z273" s="1186"/>
      <c r="AA273" s="1186"/>
      <c r="AB273" s="1186"/>
      <c r="AC273" s="1186"/>
      <c r="AD273" s="1187"/>
    </row>
    <row r="274" spans="1:30" x14ac:dyDescent="0.2">
      <c r="A274">
        <f t="shared" si="38"/>
        <v>8</v>
      </c>
      <c r="B274">
        <v>265</v>
      </c>
      <c r="C274" s="1078">
        <v>2</v>
      </c>
      <c r="D274" s="1077" t="s">
        <v>3597</v>
      </c>
      <c r="E274" s="1077" t="s">
        <v>4815</v>
      </c>
      <c r="F274" s="1185">
        <v>4</v>
      </c>
      <c r="G274" s="1186">
        <v>4.82</v>
      </c>
      <c r="H274" s="1186">
        <v>2.5099999999999998</v>
      </c>
      <c r="I274" s="1186">
        <v>4.3600000000000003</v>
      </c>
      <c r="J274" s="1186">
        <v>3.27</v>
      </c>
      <c r="K274" s="1186">
        <v>4.05</v>
      </c>
      <c r="L274" s="1186">
        <v>4.13</v>
      </c>
      <c r="M274" s="1186">
        <v>3.2</v>
      </c>
      <c r="N274" s="1186">
        <v>4</v>
      </c>
      <c r="O274" s="1186">
        <v>2.63</v>
      </c>
      <c r="P274" s="1186">
        <v>3.7</v>
      </c>
      <c r="Q274" s="1186">
        <v>3.7</v>
      </c>
      <c r="R274" s="1186">
        <v>1.9</v>
      </c>
      <c r="S274" s="1186">
        <v>3.1</v>
      </c>
      <c r="T274" s="1186">
        <v>2.4</v>
      </c>
      <c r="U274" s="1186">
        <v>2.5</v>
      </c>
      <c r="V274" s="1186">
        <v>2.5</v>
      </c>
      <c r="W274" s="1186"/>
      <c r="X274" s="1186"/>
      <c r="Y274" s="1186"/>
      <c r="Z274" s="1186"/>
      <c r="AA274" s="1186"/>
      <c r="AB274" s="1186"/>
      <c r="AC274" s="1186"/>
      <c r="AD274" s="1187"/>
    </row>
    <row r="275" spans="1:30" x14ac:dyDescent="0.2">
      <c r="A275">
        <f t="shared" si="38"/>
        <v>8</v>
      </c>
      <c r="B275">
        <v>266</v>
      </c>
      <c r="C275" s="1078">
        <v>2</v>
      </c>
      <c r="D275" s="1077" t="s">
        <v>3597</v>
      </c>
      <c r="E275" s="1077" t="s">
        <v>4816</v>
      </c>
      <c r="F275" s="1185">
        <v>4</v>
      </c>
      <c r="G275" s="1186">
        <v>7.22</v>
      </c>
      <c r="H275" s="1186">
        <v>2.14</v>
      </c>
      <c r="I275" s="1186">
        <v>8.7100000000000009</v>
      </c>
      <c r="J275" s="1186">
        <v>2.44</v>
      </c>
      <c r="K275" s="1186">
        <v>8.0299999999999994</v>
      </c>
      <c r="L275" s="1186">
        <v>3.36</v>
      </c>
      <c r="M275" s="1186">
        <v>6.53</v>
      </c>
      <c r="N275" s="1186">
        <v>3.96</v>
      </c>
      <c r="O275" s="1186">
        <v>4.88</v>
      </c>
      <c r="P275" s="1186">
        <v>3.94</v>
      </c>
      <c r="Q275" s="1186">
        <v>8.5</v>
      </c>
      <c r="R275" s="1186">
        <v>2.1</v>
      </c>
      <c r="S275" s="1186">
        <v>7</v>
      </c>
      <c r="T275" s="1186">
        <v>2.9</v>
      </c>
      <c r="U275" s="1186">
        <v>6.2</v>
      </c>
      <c r="V275" s="1186">
        <v>3.1</v>
      </c>
      <c r="W275" s="1186"/>
      <c r="X275" s="1186"/>
      <c r="Y275" s="1186"/>
      <c r="Z275" s="1186"/>
      <c r="AA275" s="1186"/>
      <c r="AB275" s="1186"/>
      <c r="AC275" s="1186"/>
      <c r="AD275" s="1187"/>
    </row>
    <row r="276" spans="1:30" x14ac:dyDescent="0.2">
      <c r="A276">
        <f t="shared" si="38"/>
        <v>8</v>
      </c>
      <c r="B276">
        <v>267</v>
      </c>
      <c r="C276" s="1078">
        <v>2</v>
      </c>
      <c r="D276" s="1077" t="s">
        <v>3597</v>
      </c>
      <c r="E276" s="1077" t="s">
        <v>4817</v>
      </c>
      <c r="F276" s="1185">
        <v>4</v>
      </c>
      <c r="G276" s="1186">
        <v>7.22</v>
      </c>
      <c r="H276" s="1186">
        <v>2.14</v>
      </c>
      <c r="I276" s="1186">
        <v>7.01</v>
      </c>
      <c r="J276" s="1186">
        <v>3.02</v>
      </c>
      <c r="K276" s="1186">
        <v>6.53</v>
      </c>
      <c r="L276" s="1186">
        <v>3.96</v>
      </c>
      <c r="M276" s="1186">
        <v>5.8</v>
      </c>
      <c r="N276" s="1186">
        <v>4.8</v>
      </c>
      <c r="O276" s="1186">
        <v>4.88</v>
      </c>
      <c r="P276" s="1186">
        <v>3.94</v>
      </c>
      <c r="Q276" s="1186">
        <v>6.8</v>
      </c>
      <c r="R276" s="1186">
        <v>2.2000000000000002</v>
      </c>
      <c r="S276" s="1186">
        <v>6.2</v>
      </c>
      <c r="T276" s="1186">
        <v>3</v>
      </c>
      <c r="U276" s="1186">
        <v>5.4</v>
      </c>
      <c r="V276" s="1186">
        <v>3.1</v>
      </c>
      <c r="W276" s="1186"/>
      <c r="X276" s="1186"/>
      <c r="Y276" s="1186"/>
      <c r="Z276" s="1186"/>
      <c r="AA276" s="1186"/>
      <c r="AB276" s="1186"/>
      <c r="AC276" s="1186"/>
      <c r="AD276" s="1187"/>
    </row>
    <row r="277" spans="1:30" x14ac:dyDescent="0.2">
      <c r="A277">
        <f t="shared" si="38"/>
        <v>8</v>
      </c>
      <c r="B277">
        <v>268</v>
      </c>
      <c r="C277" s="1078">
        <v>2</v>
      </c>
      <c r="D277" s="1077" t="s">
        <v>3597</v>
      </c>
      <c r="E277" s="1077" t="s">
        <v>4818</v>
      </c>
      <c r="F277" s="1185">
        <v>4</v>
      </c>
      <c r="G277" s="1186">
        <v>4.82</v>
      </c>
      <c r="H277" s="1186">
        <v>2.5099999999999998</v>
      </c>
      <c r="I277" s="1186">
        <v>5.52</v>
      </c>
      <c r="J277" s="1186">
        <v>2.79</v>
      </c>
      <c r="K277" s="1186">
        <v>5.2</v>
      </c>
      <c r="L277" s="1186">
        <v>3.79</v>
      </c>
      <c r="M277" s="1186">
        <v>4.05</v>
      </c>
      <c r="N277" s="1186">
        <v>4.13</v>
      </c>
      <c r="O277" s="1186">
        <v>2.63</v>
      </c>
      <c r="P277" s="1186">
        <v>3.7</v>
      </c>
      <c r="Q277" s="1186">
        <v>4.9000000000000004</v>
      </c>
      <c r="R277" s="1186">
        <v>2</v>
      </c>
      <c r="S277" s="1186">
        <v>3.7</v>
      </c>
      <c r="T277" s="1186">
        <v>2.5</v>
      </c>
      <c r="U277" s="1186">
        <v>3.1</v>
      </c>
      <c r="V277" s="1186">
        <v>2.7</v>
      </c>
      <c r="W277" s="1186"/>
      <c r="X277" s="1186"/>
      <c r="Y277" s="1186"/>
      <c r="Z277" s="1186"/>
      <c r="AA277" s="1186"/>
      <c r="AB277" s="1186"/>
      <c r="AC277" s="1186"/>
      <c r="AD277" s="1187"/>
    </row>
    <row r="278" spans="1:30" x14ac:dyDescent="0.2">
      <c r="A278">
        <f t="shared" si="38"/>
        <v>8</v>
      </c>
      <c r="B278">
        <v>269</v>
      </c>
      <c r="C278" s="1078">
        <v>2</v>
      </c>
      <c r="D278" s="1077" t="s">
        <v>3597</v>
      </c>
      <c r="E278" s="1077" t="s">
        <v>4819</v>
      </c>
      <c r="F278" s="1185">
        <v>4</v>
      </c>
      <c r="G278" s="1186">
        <v>4.82</v>
      </c>
      <c r="H278" s="1186">
        <v>2.5099999999999998</v>
      </c>
      <c r="I278" s="1186">
        <v>4.3600000000000003</v>
      </c>
      <c r="J278" s="1186">
        <v>3.27</v>
      </c>
      <c r="K278" s="1186">
        <v>4.05</v>
      </c>
      <c r="L278" s="1186">
        <v>4.13</v>
      </c>
      <c r="M278" s="1186">
        <v>3.2</v>
      </c>
      <c r="N278" s="1186">
        <v>4</v>
      </c>
      <c r="O278" s="1186">
        <v>2.63</v>
      </c>
      <c r="P278" s="1186">
        <v>3.7</v>
      </c>
      <c r="Q278" s="1186">
        <v>3.7</v>
      </c>
      <c r="R278" s="1186">
        <v>1.9</v>
      </c>
      <c r="S278" s="1186">
        <v>3.1</v>
      </c>
      <c r="T278" s="1186">
        <v>2.4</v>
      </c>
      <c r="U278" s="1186">
        <v>2.5</v>
      </c>
      <c r="V278" s="1186">
        <v>2.5</v>
      </c>
      <c r="W278" s="1186"/>
      <c r="X278" s="1186"/>
      <c r="Y278" s="1186"/>
      <c r="Z278" s="1186"/>
      <c r="AA278" s="1186"/>
      <c r="AB278" s="1186"/>
      <c r="AC278" s="1186"/>
      <c r="AD278" s="1187"/>
    </row>
    <row r="279" spans="1:30" x14ac:dyDescent="0.2">
      <c r="A279">
        <f t="shared" si="38"/>
        <v>8</v>
      </c>
      <c r="B279">
        <v>270</v>
      </c>
      <c r="C279" s="1078">
        <v>2</v>
      </c>
      <c r="D279" s="1077" t="s">
        <v>3597</v>
      </c>
      <c r="E279" s="1077" t="s">
        <v>4820</v>
      </c>
      <c r="F279" s="1185">
        <v>4</v>
      </c>
      <c r="G279" s="1186">
        <v>7.22</v>
      </c>
      <c r="H279" s="1186">
        <v>2.14</v>
      </c>
      <c r="I279" s="1186">
        <v>8.7100000000000009</v>
      </c>
      <c r="J279" s="1186">
        <v>2.44</v>
      </c>
      <c r="K279" s="1186">
        <v>8.0299999999999994</v>
      </c>
      <c r="L279" s="1186">
        <v>3.36</v>
      </c>
      <c r="M279" s="1186">
        <v>6.53</v>
      </c>
      <c r="N279" s="1186">
        <v>3.96</v>
      </c>
      <c r="O279" s="1186">
        <v>4.88</v>
      </c>
      <c r="P279" s="1186">
        <v>3.94</v>
      </c>
      <c r="Q279" s="1186">
        <v>8.5</v>
      </c>
      <c r="R279" s="1186">
        <v>2.1</v>
      </c>
      <c r="S279" s="1186">
        <v>7</v>
      </c>
      <c r="T279" s="1186">
        <v>2.9</v>
      </c>
      <c r="U279" s="1186">
        <v>6.2</v>
      </c>
      <c r="V279" s="1186">
        <v>3.1</v>
      </c>
      <c r="W279" s="1186"/>
      <c r="X279" s="1186"/>
      <c r="Y279" s="1186"/>
      <c r="Z279" s="1186"/>
      <c r="AA279" s="1186"/>
      <c r="AB279" s="1186"/>
      <c r="AC279" s="1186"/>
      <c r="AD279" s="1187"/>
    </row>
    <row r="280" spans="1:30" x14ac:dyDescent="0.2">
      <c r="A280">
        <f t="shared" si="38"/>
        <v>8</v>
      </c>
      <c r="B280">
        <v>271</v>
      </c>
      <c r="C280" s="1078">
        <v>2</v>
      </c>
      <c r="D280" s="1077" t="s">
        <v>3597</v>
      </c>
      <c r="E280" s="1077" t="s">
        <v>4821</v>
      </c>
      <c r="F280" s="1185">
        <v>4</v>
      </c>
      <c r="G280" s="1186">
        <v>7.22</v>
      </c>
      <c r="H280" s="1186">
        <v>2.14</v>
      </c>
      <c r="I280" s="1186">
        <v>7.01</v>
      </c>
      <c r="J280" s="1186">
        <v>3.02</v>
      </c>
      <c r="K280" s="1186">
        <v>6.53</v>
      </c>
      <c r="L280" s="1186">
        <v>3.96</v>
      </c>
      <c r="M280" s="1186">
        <v>5.8</v>
      </c>
      <c r="N280" s="1186">
        <v>4.8</v>
      </c>
      <c r="O280" s="1186">
        <v>4.88</v>
      </c>
      <c r="P280" s="1186">
        <v>3.94</v>
      </c>
      <c r="Q280" s="1186">
        <v>6.8</v>
      </c>
      <c r="R280" s="1186">
        <v>2.2000000000000002</v>
      </c>
      <c r="S280" s="1186">
        <v>6.2</v>
      </c>
      <c r="T280" s="1186">
        <v>3</v>
      </c>
      <c r="U280" s="1186">
        <v>5.4</v>
      </c>
      <c r="V280" s="1186">
        <v>3.1</v>
      </c>
      <c r="W280" s="1186"/>
      <c r="X280" s="1186"/>
      <c r="Y280" s="1186"/>
      <c r="Z280" s="1186"/>
      <c r="AA280" s="1186"/>
      <c r="AB280" s="1186"/>
      <c r="AC280" s="1186"/>
      <c r="AD280" s="1187"/>
    </row>
    <row r="281" spans="1:30" x14ac:dyDescent="0.2">
      <c r="A281">
        <f t="shared" si="38"/>
        <v>8</v>
      </c>
      <c r="B281">
        <v>272</v>
      </c>
      <c r="C281" s="1078">
        <v>2</v>
      </c>
      <c r="D281" s="1077" t="s">
        <v>3597</v>
      </c>
      <c r="E281" s="1077" t="s">
        <v>4822</v>
      </c>
      <c r="F281" s="1185">
        <v>4</v>
      </c>
      <c r="G281" s="1186">
        <v>11.1</v>
      </c>
      <c r="H281" s="1186">
        <v>2.6</v>
      </c>
      <c r="I281" s="1186">
        <v>13.9</v>
      </c>
      <c r="J281" s="1186">
        <v>3.2</v>
      </c>
      <c r="K281" s="1186">
        <v>10.199999999999999</v>
      </c>
      <c r="L281" s="1186">
        <v>3.9</v>
      </c>
      <c r="M281" s="1186">
        <v>7.6</v>
      </c>
      <c r="N281" s="1186">
        <v>4.0999999999999996</v>
      </c>
      <c r="O281" s="1186">
        <v>6</v>
      </c>
      <c r="P281" s="1186">
        <v>4.7</v>
      </c>
      <c r="Q281" s="1186">
        <v>13.5</v>
      </c>
      <c r="R281" s="1186">
        <v>2.4</v>
      </c>
      <c r="S281" s="1186">
        <v>9.6999999999999993</v>
      </c>
      <c r="T281" s="1186">
        <v>3.3</v>
      </c>
      <c r="U281" s="1186">
        <v>8.9</v>
      </c>
      <c r="V281" s="1186">
        <v>3.6</v>
      </c>
      <c r="W281" s="1186"/>
      <c r="X281" s="1186"/>
      <c r="Y281" s="1186"/>
      <c r="Z281" s="1186"/>
      <c r="AA281" s="1186"/>
      <c r="AB281" s="1186"/>
      <c r="AC281" s="1186"/>
      <c r="AD281" s="1187"/>
    </row>
    <row r="282" spans="1:30" x14ac:dyDescent="0.2">
      <c r="A282">
        <f t="shared" si="38"/>
        <v>8</v>
      </c>
      <c r="B282">
        <v>273</v>
      </c>
      <c r="C282" s="1078">
        <v>2</v>
      </c>
      <c r="D282" s="1077" t="s">
        <v>3597</v>
      </c>
      <c r="E282" s="1077" t="s">
        <v>4823</v>
      </c>
      <c r="F282" s="1185">
        <v>4</v>
      </c>
      <c r="G282" s="1186">
        <v>11.1</v>
      </c>
      <c r="H282" s="1186">
        <v>2.6</v>
      </c>
      <c r="I282" s="1186">
        <v>9.8000000000000007</v>
      </c>
      <c r="J282" s="1186">
        <v>3.5</v>
      </c>
      <c r="K282" s="1186">
        <v>7.6</v>
      </c>
      <c r="L282" s="1186">
        <v>4.0999999999999996</v>
      </c>
      <c r="M282" s="1186">
        <v>6.5</v>
      </c>
      <c r="N282" s="1186">
        <v>4.5</v>
      </c>
      <c r="O282" s="1186">
        <v>6</v>
      </c>
      <c r="P282" s="1186">
        <v>4.7</v>
      </c>
      <c r="Q282" s="1186">
        <v>9.5</v>
      </c>
      <c r="R282" s="1186">
        <v>2.8</v>
      </c>
      <c r="S282" s="1186">
        <v>8.1999999999999993</v>
      </c>
      <c r="T282" s="1186">
        <v>3.5</v>
      </c>
      <c r="U282" s="1186">
        <v>7.4</v>
      </c>
      <c r="V282" s="1186">
        <v>3.7</v>
      </c>
      <c r="W282" s="1186"/>
      <c r="X282" s="1186"/>
      <c r="Y282" s="1186"/>
      <c r="Z282" s="1186"/>
      <c r="AA282" s="1186"/>
      <c r="AB282" s="1186"/>
      <c r="AC282" s="1186"/>
      <c r="AD282" s="1187"/>
    </row>
    <row r="283" spans="1:30" x14ac:dyDescent="0.2">
      <c r="A283">
        <f t="shared" si="38"/>
        <v>8</v>
      </c>
      <c r="B283">
        <v>274</v>
      </c>
      <c r="C283" s="1078">
        <v>2</v>
      </c>
      <c r="D283" s="1077" t="s">
        <v>3597</v>
      </c>
      <c r="E283" s="1077" t="s">
        <v>4824</v>
      </c>
      <c r="F283" s="1185">
        <v>4</v>
      </c>
      <c r="G283" s="1186">
        <v>11.1</v>
      </c>
      <c r="H283" s="1186">
        <v>2.6</v>
      </c>
      <c r="I283" s="1186">
        <v>13.9</v>
      </c>
      <c r="J283" s="1186">
        <v>3.2</v>
      </c>
      <c r="K283" s="1186">
        <v>10.199999999999999</v>
      </c>
      <c r="L283" s="1186">
        <v>3.9</v>
      </c>
      <c r="M283" s="1186">
        <v>7.6</v>
      </c>
      <c r="N283" s="1186">
        <v>4.0999999999999996</v>
      </c>
      <c r="O283" s="1186">
        <v>6</v>
      </c>
      <c r="P283" s="1186">
        <v>4.7</v>
      </c>
      <c r="Q283" s="1186">
        <v>13.5</v>
      </c>
      <c r="R283" s="1186">
        <v>2.4</v>
      </c>
      <c r="S283" s="1186">
        <v>9.6999999999999993</v>
      </c>
      <c r="T283" s="1186">
        <v>3.3</v>
      </c>
      <c r="U283" s="1186">
        <v>8.9</v>
      </c>
      <c r="V283" s="1186">
        <v>3.6</v>
      </c>
      <c r="W283" s="1186"/>
      <c r="X283" s="1186"/>
      <c r="Y283" s="1186"/>
      <c r="Z283" s="1186"/>
      <c r="AA283" s="1186"/>
      <c r="AB283" s="1186"/>
      <c r="AC283" s="1186"/>
      <c r="AD283" s="1187"/>
    </row>
    <row r="284" spans="1:30" x14ac:dyDescent="0.2">
      <c r="A284">
        <f t="shared" si="38"/>
        <v>8</v>
      </c>
      <c r="B284">
        <v>275</v>
      </c>
      <c r="C284" s="1078">
        <v>2</v>
      </c>
      <c r="D284" s="1077" t="s">
        <v>3597</v>
      </c>
      <c r="E284" s="1077" t="s">
        <v>4825</v>
      </c>
      <c r="F284" s="1185">
        <v>4</v>
      </c>
      <c r="G284" s="1186">
        <v>11.1</v>
      </c>
      <c r="H284" s="1186">
        <v>2.6</v>
      </c>
      <c r="I284" s="1186">
        <v>9.8000000000000007</v>
      </c>
      <c r="J284" s="1186">
        <v>3.5</v>
      </c>
      <c r="K284" s="1186">
        <v>7.6</v>
      </c>
      <c r="L284" s="1186">
        <v>4.0999999999999996</v>
      </c>
      <c r="M284" s="1186">
        <v>6.5</v>
      </c>
      <c r="N284" s="1186">
        <v>4.5</v>
      </c>
      <c r="O284" s="1186">
        <v>6</v>
      </c>
      <c r="P284" s="1186">
        <v>4.7</v>
      </c>
      <c r="Q284" s="1186">
        <v>9.5</v>
      </c>
      <c r="R284" s="1186">
        <v>2.8</v>
      </c>
      <c r="S284" s="1186">
        <v>8.1999999999999993</v>
      </c>
      <c r="T284" s="1186">
        <v>3.5</v>
      </c>
      <c r="U284" s="1186">
        <v>7.4</v>
      </c>
      <c r="V284" s="1186">
        <v>3.7</v>
      </c>
      <c r="W284" s="1186"/>
      <c r="X284" s="1186"/>
      <c r="Y284" s="1186"/>
      <c r="Z284" s="1186"/>
      <c r="AA284" s="1186"/>
      <c r="AB284" s="1186"/>
      <c r="AC284" s="1186"/>
      <c r="AD284" s="1187"/>
    </row>
    <row r="285" spans="1:30" x14ac:dyDescent="0.2">
      <c r="A285">
        <f t="shared" si="38"/>
        <v>8</v>
      </c>
      <c r="B285">
        <v>276</v>
      </c>
      <c r="C285" s="1081">
        <v>2</v>
      </c>
      <c r="D285" s="1082" t="s">
        <v>3597</v>
      </c>
      <c r="E285" s="1082" t="s">
        <v>4826</v>
      </c>
      <c r="F285" s="1188">
        <v>4</v>
      </c>
      <c r="G285" s="1189">
        <v>4.82</v>
      </c>
      <c r="H285" s="1189">
        <v>2.5099999999999998</v>
      </c>
      <c r="I285" s="1189">
        <v>5.52</v>
      </c>
      <c r="J285" s="1189">
        <v>2.79</v>
      </c>
      <c r="K285" s="1189">
        <v>5.2</v>
      </c>
      <c r="L285" s="1189">
        <v>3.79</v>
      </c>
      <c r="M285" s="1189">
        <v>4.05</v>
      </c>
      <c r="N285" s="1189">
        <v>4.13</v>
      </c>
      <c r="O285" s="1189">
        <v>2.63</v>
      </c>
      <c r="P285" s="1189">
        <v>3.7</v>
      </c>
      <c r="Q285" s="1189">
        <v>4.9000000000000004</v>
      </c>
      <c r="R285" s="1189">
        <v>2</v>
      </c>
      <c r="S285" s="1189">
        <v>3.7</v>
      </c>
      <c r="T285" s="1189">
        <v>2.5</v>
      </c>
      <c r="U285" s="1189">
        <v>3.1</v>
      </c>
      <c r="V285" s="1189">
        <v>2.7</v>
      </c>
      <c r="W285" s="1189"/>
      <c r="X285" s="1189"/>
      <c r="Y285" s="1189"/>
      <c r="Z285" s="1189"/>
      <c r="AA285" s="1189"/>
      <c r="AB285" s="1189"/>
      <c r="AC285" s="1189"/>
      <c r="AD285" s="1194"/>
    </row>
    <row r="286" spans="1:30" x14ac:dyDescent="0.2">
      <c r="A286">
        <f t="shared" si="38"/>
        <v>8</v>
      </c>
      <c r="B286">
        <v>277</v>
      </c>
      <c r="C286" s="1190">
        <v>2</v>
      </c>
      <c r="D286" s="1191" t="s">
        <v>3597</v>
      </c>
      <c r="E286" s="1191" t="s">
        <v>4827</v>
      </c>
      <c r="F286" s="1192">
        <v>4</v>
      </c>
      <c r="G286" s="1193">
        <v>4.82</v>
      </c>
      <c r="H286" s="1193">
        <v>2.5099999999999998</v>
      </c>
      <c r="I286" s="1193">
        <v>4.3600000000000003</v>
      </c>
      <c r="J286" s="1193">
        <v>3.27</v>
      </c>
      <c r="K286" s="1193">
        <v>4.05</v>
      </c>
      <c r="L286" s="1193">
        <v>4.13</v>
      </c>
      <c r="M286" s="1193">
        <v>3.2</v>
      </c>
      <c r="N286" s="1193">
        <v>4</v>
      </c>
      <c r="O286" s="1193">
        <v>2.63</v>
      </c>
      <c r="P286" s="1193">
        <v>3.7</v>
      </c>
      <c r="Q286" s="1193">
        <v>3.7</v>
      </c>
      <c r="R286" s="1193">
        <v>1.9</v>
      </c>
      <c r="S286" s="1193">
        <v>3.1</v>
      </c>
      <c r="T286" s="1193">
        <v>2.4</v>
      </c>
      <c r="U286" s="1193">
        <v>2.5</v>
      </c>
      <c r="V286" s="1193">
        <v>2.5</v>
      </c>
      <c r="W286" s="1193"/>
      <c r="X286" s="1193"/>
      <c r="Y286" s="1193"/>
      <c r="Z286" s="1193"/>
      <c r="AA286" s="1193"/>
      <c r="AB286" s="1193"/>
      <c r="AC286" s="1193"/>
      <c r="AD286" s="1195"/>
    </row>
    <row r="287" spans="1:30" x14ac:dyDescent="0.2">
      <c r="A287">
        <f t="shared" si="38"/>
        <v>8</v>
      </c>
      <c r="B287">
        <v>278</v>
      </c>
      <c r="C287" s="1078">
        <v>2</v>
      </c>
      <c r="D287" s="1077" t="s">
        <v>3597</v>
      </c>
      <c r="E287" s="1077" t="s">
        <v>4828</v>
      </c>
      <c r="F287" s="1185">
        <v>4</v>
      </c>
      <c r="G287" s="1186">
        <v>7.22</v>
      </c>
      <c r="H287" s="1186">
        <v>2.14</v>
      </c>
      <c r="I287" s="1186">
        <v>8.7100000000000009</v>
      </c>
      <c r="J287" s="1186">
        <v>2.44</v>
      </c>
      <c r="K287" s="1186">
        <v>8.0299999999999994</v>
      </c>
      <c r="L287" s="1186">
        <v>3.36</v>
      </c>
      <c r="M287" s="1186">
        <v>6.53</v>
      </c>
      <c r="N287" s="1186">
        <v>3.96</v>
      </c>
      <c r="O287" s="1186">
        <v>4.88</v>
      </c>
      <c r="P287" s="1186">
        <v>3.94</v>
      </c>
      <c r="Q287" s="1186">
        <v>8.5</v>
      </c>
      <c r="R287" s="1186">
        <v>2.1</v>
      </c>
      <c r="S287" s="1186">
        <v>7</v>
      </c>
      <c r="T287" s="1186">
        <v>2.9</v>
      </c>
      <c r="U287" s="1186">
        <v>6.2</v>
      </c>
      <c r="V287" s="1186">
        <v>3.1</v>
      </c>
      <c r="W287" s="1186"/>
      <c r="X287" s="1186"/>
      <c r="Y287" s="1186"/>
      <c r="Z287" s="1186"/>
      <c r="AA287" s="1186"/>
      <c r="AB287" s="1186"/>
      <c r="AC287" s="1186"/>
      <c r="AD287" s="1187"/>
    </row>
    <row r="288" spans="1:30" x14ac:dyDescent="0.2">
      <c r="A288">
        <f t="shared" si="38"/>
        <v>8</v>
      </c>
      <c r="B288">
        <v>279</v>
      </c>
      <c r="C288" s="1078">
        <v>2</v>
      </c>
      <c r="D288" s="1077" t="s">
        <v>3597</v>
      </c>
      <c r="E288" s="1077" t="s">
        <v>4829</v>
      </c>
      <c r="F288" s="1185">
        <v>4</v>
      </c>
      <c r="G288" s="1186">
        <v>7.22</v>
      </c>
      <c r="H288" s="1186">
        <v>2.14</v>
      </c>
      <c r="I288" s="1186">
        <v>7.01</v>
      </c>
      <c r="J288" s="1186">
        <v>3.02</v>
      </c>
      <c r="K288" s="1186">
        <v>6.53</v>
      </c>
      <c r="L288" s="1186">
        <v>3.96</v>
      </c>
      <c r="M288" s="1186">
        <v>5.8</v>
      </c>
      <c r="N288" s="1186">
        <v>4.8</v>
      </c>
      <c r="O288" s="1186">
        <v>4.88</v>
      </c>
      <c r="P288" s="1186">
        <v>3.94</v>
      </c>
      <c r="Q288" s="1186">
        <v>6.8</v>
      </c>
      <c r="R288" s="1186">
        <v>2.2000000000000002</v>
      </c>
      <c r="S288" s="1186">
        <v>6.2</v>
      </c>
      <c r="T288" s="1186">
        <v>3</v>
      </c>
      <c r="U288" s="1186">
        <v>5.4</v>
      </c>
      <c r="V288" s="1186">
        <v>3.1</v>
      </c>
      <c r="W288" s="1186"/>
      <c r="X288" s="1186"/>
      <c r="Y288" s="1186"/>
      <c r="Z288" s="1186"/>
      <c r="AA288" s="1186"/>
      <c r="AB288" s="1186"/>
      <c r="AC288" s="1186"/>
      <c r="AD288" s="1187"/>
    </row>
    <row r="289" spans="1:30" x14ac:dyDescent="0.2">
      <c r="A289">
        <f t="shared" si="38"/>
        <v>8</v>
      </c>
      <c r="B289">
        <v>280</v>
      </c>
      <c r="C289" s="1078">
        <v>2</v>
      </c>
      <c r="D289" s="1077" t="s">
        <v>3597</v>
      </c>
      <c r="E289" s="1077" t="s">
        <v>4830</v>
      </c>
      <c r="F289" s="1185">
        <v>4</v>
      </c>
      <c r="G289" s="1186">
        <v>11.1</v>
      </c>
      <c r="H289" s="1186">
        <v>2.6</v>
      </c>
      <c r="I289" s="1186">
        <v>13.9</v>
      </c>
      <c r="J289" s="1186">
        <v>3.2</v>
      </c>
      <c r="K289" s="1186">
        <v>10.199999999999999</v>
      </c>
      <c r="L289" s="1186">
        <v>3.9</v>
      </c>
      <c r="M289" s="1186">
        <v>7.6</v>
      </c>
      <c r="N289" s="1186">
        <v>4.0999999999999996</v>
      </c>
      <c r="O289" s="1186">
        <v>6</v>
      </c>
      <c r="P289" s="1186">
        <v>4.7</v>
      </c>
      <c r="Q289" s="1186">
        <v>13.5</v>
      </c>
      <c r="R289" s="1186">
        <v>2.4</v>
      </c>
      <c r="S289" s="1186">
        <v>9.6999999999999993</v>
      </c>
      <c r="T289" s="1186">
        <v>3.3</v>
      </c>
      <c r="U289" s="1186">
        <v>8.9</v>
      </c>
      <c r="V289" s="1186">
        <v>3.6</v>
      </c>
      <c r="W289" s="1186"/>
      <c r="X289" s="1186"/>
      <c r="Y289" s="1186"/>
      <c r="Z289" s="1186"/>
      <c r="AA289" s="1186"/>
      <c r="AB289" s="1186"/>
      <c r="AC289" s="1186"/>
      <c r="AD289" s="1187"/>
    </row>
    <row r="290" spans="1:30" x14ac:dyDescent="0.2">
      <c r="A290">
        <f t="shared" si="38"/>
        <v>8</v>
      </c>
      <c r="B290">
        <v>281</v>
      </c>
      <c r="C290" s="1078">
        <v>2</v>
      </c>
      <c r="D290" s="1077" t="s">
        <v>3597</v>
      </c>
      <c r="E290" s="1077" t="s">
        <v>4831</v>
      </c>
      <c r="F290" s="1185">
        <v>4</v>
      </c>
      <c r="G290" s="1186">
        <v>11.1</v>
      </c>
      <c r="H290" s="1186">
        <v>2.6</v>
      </c>
      <c r="I290" s="1186">
        <v>9.8000000000000007</v>
      </c>
      <c r="J290" s="1186">
        <v>3.5</v>
      </c>
      <c r="K290" s="1186">
        <v>7.6</v>
      </c>
      <c r="L290" s="1186">
        <v>4.0999999999999996</v>
      </c>
      <c r="M290" s="1186">
        <v>6.5</v>
      </c>
      <c r="N290" s="1186">
        <v>4.5</v>
      </c>
      <c r="O290" s="1186">
        <v>6</v>
      </c>
      <c r="P290" s="1186">
        <v>4.7</v>
      </c>
      <c r="Q290" s="1186">
        <v>9.5</v>
      </c>
      <c r="R290" s="1186">
        <v>2.8</v>
      </c>
      <c r="S290" s="1186">
        <v>8.1999999999999993</v>
      </c>
      <c r="T290" s="1186">
        <v>3.5</v>
      </c>
      <c r="U290" s="1186">
        <v>7.4</v>
      </c>
      <c r="V290" s="1186">
        <v>3.7</v>
      </c>
      <c r="W290" s="1186"/>
      <c r="X290" s="1186"/>
      <c r="Y290" s="1186"/>
      <c r="Z290" s="1186"/>
      <c r="AA290" s="1186"/>
      <c r="AB290" s="1186"/>
      <c r="AC290" s="1186"/>
      <c r="AD290" s="1187"/>
    </row>
    <row r="291" spans="1:30" x14ac:dyDescent="0.2">
      <c r="A291">
        <f t="shared" si="38"/>
        <v>8</v>
      </c>
      <c r="B291">
        <v>282</v>
      </c>
      <c r="C291" s="1078">
        <v>2</v>
      </c>
      <c r="D291" s="1077" t="s">
        <v>3597</v>
      </c>
      <c r="E291" s="1077" t="s">
        <v>4832</v>
      </c>
      <c r="F291" s="1185">
        <v>4</v>
      </c>
      <c r="G291" s="1186">
        <v>6.26</v>
      </c>
      <c r="H291" s="1186">
        <v>2.52</v>
      </c>
      <c r="I291" s="1186">
        <v>7.14</v>
      </c>
      <c r="J291" s="1186">
        <v>2.86</v>
      </c>
      <c r="K291" s="1186">
        <v>6.2</v>
      </c>
      <c r="L291" s="1186">
        <v>3.69</v>
      </c>
      <c r="M291" s="1186">
        <v>4.5</v>
      </c>
      <c r="N291" s="1186">
        <v>4.4000000000000004</v>
      </c>
      <c r="O291" s="1186">
        <v>4.6100000000000003</v>
      </c>
      <c r="P291" s="1186">
        <v>6.84</v>
      </c>
      <c r="Q291" s="1186">
        <v>6.5</v>
      </c>
      <c r="R291" s="1186">
        <v>2.1</v>
      </c>
      <c r="S291" s="1186">
        <v>4</v>
      </c>
      <c r="T291" s="1186">
        <v>3.2</v>
      </c>
      <c r="U291" s="1186">
        <v>3.8</v>
      </c>
      <c r="V291" s="1186">
        <v>3.8</v>
      </c>
      <c r="W291" s="1186"/>
      <c r="X291" s="1186"/>
      <c r="Y291" s="1186"/>
      <c r="Z291" s="1186"/>
      <c r="AA291" s="1186"/>
      <c r="AB291" s="1186"/>
      <c r="AC291" s="1186"/>
      <c r="AD291" s="1187"/>
    </row>
    <row r="292" spans="1:30" x14ac:dyDescent="0.2">
      <c r="A292">
        <f t="shared" si="38"/>
        <v>8</v>
      </c>
      <c r="B292">
        <v>283</v>
      </c>
      <c r="C292" s="1078">
        <v>2</v>
      </c>
      <c r="D292" s="1077" t="s">
        <v>3597</v>
      </c>
      <c r="E292" s="1077" t="s">
        <v>4833</v>
      </c>
      <c r="F292" s="1185">
        <v>4</v>
      </c>
      <c r="G292" s="1186">
        <v>6.26</v>
      </c>
      <c r="H292" s="1186">
        <v>2.52</v>
      </c>
      <c r="I292" s="1186">
        <v>5.09</v>
      </c>
      <c r="J292" s="1186">
        <v>2.99</v>
      </c>
      <c r="K292" s="1186">
        <v>4.57</v>
      </c>
      <c r="L292" s="1186">
        <v>3.83</v>
      </c>
      <c r="M292" s="1186">
        <v>3.3</v>
      </c>
      <c r="N292" s="1186">
        <v>4.7</v>
      </c>
      <c r="O292" s="1186">
        <v>4.6100000000000003</v>
      </c>
      <c r="P292" s="1186">
        <v>6.84</v>
      </c>
      <c r="Q292" s="1186">
        <v>5</v>
      </c>
      <c r="R292" s="1186">
        <v>2.1</v>
      </c>
      <c r="S292" s="1186">
        <v>3.2</v>
      </c>
      <c r="T292" s="1186">
        <v>3.2</v>
      </c>
      <c r="U292" s="1186">
        <v>3.1</v>
      </c>
      <c r="V292" s="1186">
        <v>4</v>
      </c>
      <c r="W292" s="1186"/>
      <c r="X292" s="1186"/>
      <c r="Y292" s="1186"/>
      <c r="Z292" s="1186"/>
      <c r="AA292" s="1186"/>
      <c r="AB292" s="1186"/>
      <c r="AC292" s="1186"/>
      <c r="AD292" s="1187"/>
    </row>
    <row r="293" spans="1:30" x14ac:dyDescent="0.2">
      <c r="A293">
        <f t="shared" si="38"/>
        <v>8</v>
      </c>
      <c r="B293">
        <v>284</v>
      </c>
      <c r="C293" s="1078">
        <v>2</v>
      </c>
      <c r="D293" s="1077" t="s">
        <v>3597</v>
      </c>
      <c r="E293" s="1077" t="s">
        <v>4834</v>
      </c>
      <c r="F293" s="1185">
        <v>4</v>
      </c>
      <c r="G293" s="1186">
        <v>10.1</v>
      </c>
      <c r="H293" s="1186">
        <v>2.2000000000000002</v>
      </c>
      <c r="I293" s="1186">
        <v>12.6</v>
      </c>
      <c r="J293" s="1186">
        <v>2.6</v>
      </c>
      <c r="K293" s="1186">
        <v>11.11</v>
      </c>
      <c r="L293" s="1186">
        <v>3.48</v>
      </c>
      <c r="M293" s="1186">
        <v>10.199999999999999</v>
      </c>
      <c r="N293" s="1186">
        <v>4.5</v>
      </c>
      <c r="O293" s="1186">
        <v>9.9499999999999993</v>
      </c>
      <c r="P293" s="1186">
        <v>7.43</v>
      </c>
      <c r="Q293" s="1186">
        <v>12</v>
      </c>
      <c r="R293" s="1186">
        <v>1.8</v>
      </c>
      <c r="S293" s="1186">
        <v>10.3</v>
      </c>
      <c r="T293" s="1186">
        <v>3.1</v>
      </c>
      <c r="U293" s="1186">
        <v>11.8</v>
      </c>
      <c r="V293" s="1186">
        <v>4.0999999999999996</v>
      </c>
      <c r="W293" s="1186"/>
      <c r="X293" s="1186"/>
      <c r="Y293" s="1186"/>
      <c r="Z293" s="1186"/>
      <c r="AA293" s="1186"/>
      <c r="AB293" s="1186"/>
      <c r="AC293" s="1186"/>
      <c r="AD293" s="1187"/>
    </row>
    <row r="294" spans="1:30" x14ac:dyDescent="0.2">
      <c r="A294">
        <f t="shared" si="38"/>
        <v>8</v>
      </c>
      <c r="B294">
        <v>285</v>
      </c>
      <c r="C294" s="1078">
        <v>2</v>
      </c>
      <c r="D294" s="1077" t="s">
        <v>3597</v>
      </c>
      <c r="E294" s="1077" t="s">
        <v>4835</v>
      </c>
      <c r="F294" s="1185">
        <v>4</v>
      </c>
      <c r="G294" s="1186">
        <v>10.1</v>
      </c>
      <c r="H294" s="1186">
        <v>2.2000000000000002</v>
      </c>
      <c r="I294" s="1186">
        <v>9.41</v>
      </c>
      <c r="J294" s="1186">
        <v>2.9</v>
      </c>
      <c r="K294" s="1186">
        <v>8.27</v>
      </c>
      <c r="L294" s="1186">
        <v>3.78</v>
      </c>
      <c r="M294" s="1186">
        <v>7.8</v>
      </c>
      <c r="N294" s="1186">
        <v>4.95</v>
      </c>
      <c r="O294" s="1186">
        <v>9.9499999999999993</v>
      </c>
      <c r="P294" s="1186">
        <v>7.43</v>
      </c>
      <c r="Q294" s="1186">
        <v>9</v>
      </c>
      <c r="R294" s="1186">
        <v>2</v>
      </c>
      <c r="S294" s="1186">
        <v>8.5</v>
      </c>
      <c r="T294" s="1186">
        <v>3.2</v>
      </c>
      <c r="U294" s="1186">
        <v>9.3000000000000007</v>
      </c>
      <c r="V294" s="1186">
        <v>4.1500000000000004</v>
      </c>
      <c r="W294" s="1186"/>
      <c r="X294" s="1186"/>
      <c r="Y294" s="1186"/>
      <c r="Z294" s="1186"/>
      <c r="AA294" s="1186"/>
      <c r="AB294" s="1186"/>
      <c r="AC294" s="1186"/>
      <c r="AD294" s="1187"/>
    </row>
    <row r="295" spans="1:30" x14ac:dyDescent="0.2">
      <c r="A295">
        <f t="shared" si="38"/>
        <v>8</v>
      </c>
      <c r="B295">
        <v>286</v>
      </c>
      <c r="C295" s="1078">
        <v>2</v>
      </c>
      <c r="D295" s="1077" t="s">
        <v>3597</v>
      </c>
      <c r="E295" s="1077" t="s">
        <v>4016</v>
      </c>
      <c r="F295" s="1185">
        <v>1</v>
      </c>
      <c r="G295" s="1186">
        <v>8.8000000000000007</v>
      </c>
      <c r="H295" s="1186">
        <v>2.6</v>
      </c>
      <c r="I295" s="1186">
        <v>10.8</v>
      </c>
      <c r="J295" s="1186">
        <v>3</v>
      </c>
      <c r="K295" s="1186">
        <v>13.8</v>
      </c>
      <c r="L295" s="1186">
        <v>3.7</v>
      </c>
      <c r="M295" s="1186">
        <v>14.4</v>
      </c>
      <c r="N295" s="1186">
        <v>4.3</v>
      </c>
      <c r="O295" s="1186">
        <v>21.9</v>
      </c>
      <c r="P295" s="1186">
        <v>5.5</v>
      </c>
      <c r="Q295" s="1186">
        <v>10.4</v>
      </c>
      <c r="R295" s="1186">
        <v>2.1</v>
      </c>
      <c r="S295" s="1186">
        <v>13.7</v>
      </c>
      <c r="T295" s="1186">
        <v>2.9</v>
      </c>
      <c r="U295" s="1186">
        <v>20.8</v>
      </c>
      <c r="V295" s="1186">
        <v>3.5</v>
      </c>
      <c r="W295" s="1186"/>
      <c r="X295" s="1186"/>
      <c r="Y295" s="1186"/>
      <c r="Z295" s="1186"/>
      <c r="AA295" s="1186"/>
      <c r="AB295" s="1186"/>
      <c r="AC295" s="1186"/>
      <c r="AD295" s="1187"/>
    </row>
    <row r="296" spans="1:30" x14ac:dyDescent="0.2">
      <c r="A296">
        <f t="shared" si="38"/>
        <v>8</v>
      </c>
      <c r="B296">
        <v>287</v>
      </c>
      <c r="C296" s="1078">
        <v>2</v>
      </c>
      <c r="D296" s="1077" t="s">
        <v>3597</v>
      </c>
      <c r="E296" s="1077" t="s">
        <v>4017</v>
      </c>
      <c r="F296" s="1185">
        <v>2</v>
      </c>
      <c r="G296" s="1186">
        <v>11</v>
      </c>
      <c r="H296" s="1186">
        <v>2.4</v>
      </c>
      <c r="I296" s="1186">
        <v>14.1</v>
      </c>
      <c r="J296" s="1186">
        <v>2.8</v>
      </c>
      <c r="K296" s="1186">
        <v>9.5</v>
      </c>
      <c r="L296" s="1186">
        <v>3.8</v>
      </c>
      <c r="M296" s="1186">
        <v>10.1</v>
      </c>
      <c r="N296" s="1186">
        <v>4.2</v>
      </c>
      <c r="O296" s="1186">
        <v>16.600000000000001</v>
      </c>
      <c r="P296" s="1186">
        <v>5.4</v>
      </c>
      <c r="Q296" s="1186">
        <v>12.6</v>
      </c>
      <c r="R296" s="1186">
        <v>1.8</v>
      </c>
      <c r="S296" s="1186">
        <v>10.1</v>
      </c>
      <c r="T296" s="1186">
        <v>2.8</v>
      </c>
      <c r="U296" s="1186">
        <v>16.100000000000001</v>
      </c>
      <c r="V296" s="1186">
        <v>3.8</v>
      </c>
      <c r="W296" s="1186"/>
      <c r="X296" s="1186"/>
      <c r="Y296" s="1186"/>
      <c r="Z296" s="1186"/>
      <c r="AA296" s="1186"/>
      <c r="AB296" s="1186"/>
      <c r="AC296" s="1186"/>
      <c r="AD296" s="1187"/>
    </row>
    <row r="297" spans="1:30" x14ac:dyDescent="0.2">
      <c r="A297">
        <f t="shared" si="38"/>
        <v>8</v>
      </c>
      <c r="B297">
        <v>288</v>
      </c>
      <c r="C297" s="1078">
        <v>2</v>
      </c>
      <c r="D297" s="1077" t="s">
        <v>3597</v>
      </c>
      <c r="E297" s="1077" t="s">
        <v>4018</v>
      </c>
      <c r="F297" s="1185">
        <v>2</v>
      </c>
      <c r="G297" s="1186">
        <v>15.8</v>
      </c>
      <c r="H297" s="1186">
        <v>2.4</v>
      </c>
      <c r="I297" s="1186">
        <v>19.399999999999999</v>
      </c>
      <c r="J297" s="1186">
        <v>2.8</v>
      </c>
      <c r="K297" s="1186">
        <v>13.2</v>
      </c>
      <c r="L297" s="1186">
        <v>3.8</v>
      </c>
      <c r="M297" s="1186">
        <v>14.1</v>
      </c>
      <c r="N297" s="1186">
        <v>4.2</v>
      </c>
      <c r="O297" s="1186">
        <v>24.2</v>
      </c>
      <c r="P297" s="1186">
        <v>6</v>
      </c>
      <c r="Q297" s="1186">
        <v>19.100000000000001</v>
      </c>
      <c r="R297" s="1186">
        <v>2</v>
      </c>
      <c r="S297" s="1186">
        <v>14.2</v>
      </c>
      <c r="T297" s="1186">
        <v>2.8</v>
      </c>
      <c r="U297" s="1186">
        <v>23.7</v>
      </c>
      <c r="V297" s="1186">
        <v>3.7</v>
      </c>
      <c r="W297" s="1186"/>
      <c r="X297" s="1186"/>
      <c r="Y297" s="1186"/>
      <c r="Z297" s="1186"/>
      <c r="AA297" s="1186"/>
      <c r="AB297" s="1186"/>
      <c r="AC297" s="1186"/>
      <c r="AD297" s="1187"/>
    </row>
    <row r="298" spans="1:30" x14ac:dyDescent="0.2">
      <c r="A298">
        <f t="shared" si="38"/>
        <v>8</v>
      </c>
      <c r="B298">
        <v>289</v>
      </c>
      <c r="C298" s="1078">
        <v>2</v>
      </c>
      <c r="D298" s="1077" t="s">
        <v>3597</v>
      </c>
      <c r="E298" s="1077" t="s">
        <v>4836</v>
      </c>
      <c r="F298" s="1185">
        <v>2</v>
      </c>
      <c r="G298" s="1186">
        <v>19.2</v>
      </c>
      <c r="H298" s="1186">
        <v>2.2999999999999998</v>
      </c>
      <c r="I298" s="1186">
        <v>24.3</v>
      </c>
      <c r="J298" s="1186">
        <v>2.77</v>
      </c>
      <c r="K298" s="1186">
        <v>17</v>
      </c>
      <c r="L298" s="1186">
        <v>3.52</v>
      </c>
      <c r="M298" s="1186">
        <v>19.8</v>
      </c>
      <c r="N298" s="1186">
        <v>4.04</v>
      </c>
      <c r="O298" s="1186">
        <v>26.1</v>
      </c>
      <c r="P298" s="1186">
        <v>5.6</v>
      </c>
      <c r="Q298" s="1186">
        <v>24.3</v>
      </c>
      <c r="R298" s="1186">
        <v>1.88</v>
      </c>
      <c r="S298" s="1186">
        <v>19</v>
      </c>
      <c r="T298" s="1186">
        <v>2.8</v>
      </c>
      <c r="U298" s="1186">
        <v>25</v>
      </c>
      <c r="V298" s="1186">
        <v>3.8</v>
      </c>
      <c r="W298" s="1186"/>
      <c r="X298" s="1186"/>
      <c r="Y298" s="1186"/>
      <c r="Z298" s="1186"/>
      <c r="AA298" s="1186"/>
      <c r="AB298" s="1186"/>
      <c r="AC298" s="1186"/>
      <c r="AD298" s="1187"/>
    </row>
    <row r="299" spans="1:30" x14ac:dyDescent="0.2">
      <c r="A299">
        <f t="shared" si="38"/>
        <v>8</v>
      </c>
      <c r="B299">
        <v>290</v>
      </c>
      <c r="C299" s="1078">
        <v>2</v>
      </c>
      <c r="D299" s="1077" t="s">
        <v>3597</v>
      </c>
      <c r="E299" s="1077" t="s">
        <v>4837</v>
      </c>
      <c r="F299" s="1185">
        <v>2</v>
      </c>
      <c r="G299" s="1186">
        <v>19.2</v>
      </c>
      <c r="H299" s="1186">
        <v>2.2999999999999998</v>
      </c>
      <c r="I299" s="1186">
        <v>24.3</v>
      </c>
      <c r="J299" s="1186">
        <v>2.77</v>
      </c>
      <c r="K299" s="1186">
        <v>17</v>
      </c>
      <c r="L299" s="1186">
        <v>3.52</v>
      </c>
      <c r="M299" s="1186">
        <v>19.8</v>
      </c>
      <c r="N299" s="1186">
        <v>4.04</v>
      </c>
      <c r="O299" s="1186">
        <v>26.1</v>
      </c>
      <c r="P299" s="1186">
        <v>5.6</v>
      </c>
      <c r="Q299" s="1186">
        <v>24.3</v>
      </c>
      <c r="R299" s="1186">
        <v>1.88</v>
      </c>
      <c r="S299" s="1186">
        <v>19</v>
      </c>
      <c r="T299" s="1186">
        <v>2.8</v>
      </c>
      <c r="U299" s="1186">
        <v>25</v>
      </c>
      <c r="V299" s="1186">
        <v>3.8</v>
      </c>
      <c r="W299" s="1186"/>
      <c r="X299" s="1186"/>
      <c r="Y299" s="1186"/>
      <c r="Z299" s="1186"/>
      <c r="AA299" s="1186"/>
      <c r="AB299" s="1186"/>
      <c r="AC299" s="1186"/>
      <c r="AD299" s="1187"/>
    </row>
    <row r="300" spans="1:30" x14ac:dyDescent="0.2">
      <c r="A300">
        <f t="shared" si="38"/>
        <v>8</v>
      </c>
      <c r="B300">
        <v>291</v>
      </c>
      <c r="C300" s="1078">
        <v>2</v>
      </c>
      <c r="D300" s="1077" t="s">
        <v>3597</v>
      </c>
      <c r="E300" s="1077" t="s">
        <v>4019</v>
      </c>
      <c r="F300" s="1185">
        <v>1</v>
      </c>
      <c r="G300" s="1186">
        <v>8.8000000000000007</v>
      </c>
      <c r="H300" s="1186">
        <v>2.6</v>
      </c>
      <c r="I300" s="1186">
        <v>10.8</v>
      </c>
      <c r="J300" s="1186">
        <v>3</v>
      </c>
      <c r="K300" s="1186">
        <v>13.8</v>
      </c>
      <c r="L300" s="1186">
        <v>3.7</v>
      </c>
      <c r="M300" s="1186">
        <v>14.4</v>
      </c>
      <c r="N300" s="1186">
        <v>4.3</v>
      </c>
      <c r="O300" s="1186">
        <v>21.9</v>
      </c>
      <c r="P300" s="1186">
        <v>5.5</v>
      </c>
      <c r="Q300" s="1186">
        <v>10.4</v>
      </c>
      <c r="R300" s="1186">
        <v>2.1</v>
      </c>
      <c r="S300" s="1186">
        <v>13.7</v>
      </c>
      <c r="T300" s="1186">
        <v>2.9</v>
      </c>
      <c r="U300" s="1186">
        <v>20.8</v>
      </c>
      <c r="V300" s="1186">
        <v>3.5</v>
      </c>
      <c r="W300" s="1186"/>
      <c r="X300" s="1186"/>
      <c r="Y300" s="1186"/>
      <c r="Z300" s="1186"/>
      <c r="AA300" s="1186"/>
      <c r="AB300" s="1186"/>
      <c r="AC300" s="1186"/>
      <c r="AD300" s="1187"/>
    </row>
    <row r="301" spans="1:30" x14ac:dyDescent="0.2">
      <c r="A301">
        <f t="shared" si="38"/>
        <v>8</v>
      </c>
      <c r="B301">
        <v>292</v>
      </c>
      <c r="C301" s="1078">
        <v>2</v>
      </c>
      <c r="D301" s="1077" t="s">
        <v>3597</v>
      </c>
      <c r="E301" s="1077" t="s">
        <v>4020</v>
      </c>
      <c r="F301" s="1185">
        <v>2</v>
      </c>
      <c r="G301" s="1186">
        <v>11</v>
      </c>
      <c r="H301" s="1186">
        <v>2.4</v>
      </c>
      <c r="I301" s="1186">
        <v>14.1</v>
      </c>
      <c r="J301" s="1186">
        <v>2.8</v>
      </c>
      <c r="K301" s="1186">
        <v>9.5</v>
      </c>
      <c r="L301" s="1186">
        <v>3.8</v>
      </c>
      <c r="M301" s="1186">
        <v>10.1</v>
      </c>
      <c r="N301" s="1186">
        <v>4.2</v>
      </c>
      <c r="O301" s="1186">
        <v>16.600000000000001</v>
      </c>
      <c r="P301" s="1186">
        <v>5.4</v>
      </c>
      <c r="Q301" s="1186">
        <v>12.6</v>
      </c>
      <c r="R301" s="1186">
        <v>1.8</v>
      </c>
      <c r="S301" s="1186">
        <v>10.1</v>
      </c>
      <c r="T301" s="1186">
        <v>2.8</v>
      </c>
      <c r="U301" s="1186">
        <v>16.100000000000001</v>
      </c>
      <c r="V301" s="1186">
        <v>3.8</v>
      </c>
      <c r="W301" s="1186"/>
      <c r="X301" s="1186"/>
      <c r="Y301" s="1186"/>
      <c r="Z301" s="1186"/>
      <c r="AA301" s="1186"/>
      <c r="AB301" s="1186"/>
      <c r="AC301" s="1186"/>
      <c r="AD301" s="1187"/>
    </row>
    <row r="302" spans="1:30" x14ac:dyDescent="0.2">
      <c r="A302">
        <f t="shared" si="38"/>
        <v>8</v>
      </c>
      <c r="B302">
        <v>293</v>
      </c>
      <c r="C302" s="1078">
        <v>2</v>
      </c>
      <c r="D302" s="1077" t="s">
        <v>3597</v>
      </c>
      <c r="E302" s="1077" t="s">
        <v>4021</v>
      </c>
      <c r="F302" s="1185">
        <v>2</v>
      </c>
      <c r="G302" s="1186">
        <v>15.8</v>
      </c>
      <c r="H302" s="1186">
        <v>2.4</v>
      </c>
      <c r="I302" s="1186">
        <v>19.399999999999999</v>
      </c>
      <c r="J302" s="1186">
        <v>2.8</v>
      </c>
      <c r="K302" s="1186">
        <v>13.2</v>
      </c>
      <c r="L302" s="1186">
        <v>3.8</v>
      </c>
      <c r="M302" s="1186">
        <v>14.1</v>
      </c>
      <c r="N302" s="1186">
        <v>4.2</v>
      </c>
      <c r="O302" s="1186">
        <v>24.2</v>
      </c>
      <c r="P302" s="1186">
        <v>6</v>
      </c>
      <c r="Q302" s="1186">
        <v>19.100000000000001</v>
      </c>
      <c r="R302" s="1186">
        <v>2</v>
      </c>
      <c r="S302" s="1186">
        <v>14.2</v>
      </c>
      <c r="T302" s="1186">
        <v>2.8</v>
      </c>
      <c r="U302" s="1186">
        <v>23.7</v>
      </c>
      <c r="V302" s="1186">
        <v>3.7</v>
      </c>
      <c r="W302" s="1186"/>
      <c r="X302" s="1186"/>
      <c r="Y302" s="1186"/>
      <c r="Z302" s="1186"/>
      <c r="AA302" s="1186"/>
      <c r="AB302" s="1186"/>
      <c r="AC302" s="1186"/>
      <c r="AD302" s="1187"/>
    </row>
    <row r="303" spans="1:30" x14ac:dyDescent="0.2">
      <c r="A303">
        <f t="shared" si="38"/>
        <v>8</v>
      </c>
      <c r="B303">
        <v>294</v>
      </c>
      <c r="C303" s="1078">
        <v>2</v>
      </c>
      <c r="D303" s="1077" t="s">
        <v>3597</v>
      </c>
      <c r="E303" s="1077" t="s">
        <v>4838</v>
      </c>
      <c r="F303" s="1185">
        <v>2</v>
      </c>
      <c r="G303" s="1186">
        <v>19.2</v>
      </c>
      <c r="H303" s="1186">
        <v>2.2999999999999998</v>
      </c>
      <c r="I303" s="1186">
        <v>24.3</v>
      </c>
      <c r="J303" s="1186">
        <v>2.77</v>
      </c>
      <c r="K303" s="1186">
        <v>17</v>
      </c>
      <c r="L303" s="1186">
        <v>3.52</v>
      </c>
      <c r="M303" s="1186">
        <v>19.8</v>
      </c>
      <c r="N303" s="1186">
        <v>4.04</v>
      </c>
      <c r="O303" s="1186">
        <v>26.1</v>
      </c>
      <c r="P303" s="1186">
        <v>5.6</v>
      </c>
      <c r="Q303" s="1186">
        <v>24.3</v>
      </c>
      <c r="R303" s="1186">
        <v>1.88</v>
      </c>
      <c r="S303" s="1186">
        <v>19</v>
      </c>
      <c r="T303" s="1186">
        <v>2.8</v>
      </c>
      <c r="U303" s="1186">
        <v>25</v>
      </c>
      <c r="V303" s="1186">
        <v>3.8</v>
      </c>
      <c r="W303" s="1186"/>
      <c r="X303" s="1186"/>
      <c r="Y303" s="1186"/>
      <c r="Z303" s="1186"/>
      <c r="AA303" s="1186"/>
      <c r="AB303" s="1186"/>
      <c r="AC303" s="1186"/>
      <c r="AD303" s="1187"/>
    </row>
    <row r="304" spans="1:30" x14ac:dyDescent="0.2">
      <c r="A304">
        <f t="shared" si="38"/>
        <v>8</v>
      </c>
      <c r="B304">
        <v>295</v>
      </c>
      <c r="C304" s="1078">
        <v>2</v>
      </c>
      <c r="D304" s="1077" t="s">
        <v>3597</v>
      </c>
      <c r="E304" s="1077" t="s">
        <v>4492</v>
      </c>
      <c r="F304" s="1185">
        <v>2</v>
      </c>
      <c r="G304" s="1186">
        <v>29.2</v>
      </c>
      <c r="H304" s="1186">
        <v>2.35</v>
      </c>
      <c r="I304" s="1186">
        <v>36.5</v>
      </c>
      <c r="J304" s="1186">
        <v>2.79</v>
      </c>
      <c r="K304" s="1186">
        <v>26.5</v>
      </c>
      <c r="L304" s="1186">
        <v>3.5</v>
      </c>
      <c r="M304" s="1186">
        <v>37.299999999999997</v>
      </c>
      <c r="N304" s="1186">
        <v>4.5</v>
      </c>
      <c r="O304" s="1186">
        <v>41.7</v>
      </c>
      <c r="P304" s="1186">
        <v>5.6</v>
      </c>
      <c r="Q304" s="1186">
        <v>36.200000000000003</v>
      </c>
      <c r="R304" s="1186">
        <v>2.2000000000000002</v>
      </c>
      <c r="S304" s="1186">
        <v>30.4</v>
      </c>
      <c r="T304" s="1186">
        <v>3.1</v>
      </c>
      <c r="U304" s="1186">
        <v>37.700000000000003</v>
      </c>
      <c r="V304" s="1186">
        <v>3.7</v>
      </c>
      <c r="W304" s="1186"/>
      <c r="X304" s="1186"/>
      <c r="Y304" s="1186"/>
      <c r="Z304" s="1186"/>
      <c r="AA304" s="1186"/>
      <c r="AB304" s="1186"/>
      <c r="AC304" s="1186"/>
      <c r="AD304" s="1187"/>
    </row>
    <row r="305" spans="1:30" x14ac:dyDescent="0.2">
      <c r="A305">
        <f t="shared" si="38"/>
        <v>8</v>
      </c>
      <c r="B305">
        <v>296</v>
      </c>
      <c r="C305" s="1078">
        <v>2</v>
      </c>
      <c r="D305" s="1077" t="s">
        <v>3597</v>
      </c>
      <c r="E305" s="1077" t="s">
        <v>4022</v>
      </c>
      <c r="F305" s="1185">
        <v>1</v>
      </c>
      <c r="G305" s="1186">
        <v>3.6</v>
      </c>
      <c r="H305" s="1186">
        <v>2.6</v>
      </c>
      <c r="I305" s="1186">
        <v>4.5999999999999996</v>
      </c>
      <c r="J305" s="1186">
        <v>3.2</v>
      </c>
      <c r="K305" s="1186">
        <v>5.6</v>
      </c>
      <c r="L305" s="1186">
        <v>3.8</v>
      </c>
      <c r="M305" s="1186">
        <v>7.1</v>
      </c>
      <c r="N305" s="1186">
        <v>4.8</v>
      </c>
      <c r="O305" s="1186">
        <v>8.8000000000000007</v>
      </c>
      <c r="P305" s="1186">
        <v>6</v>
      </c>
      <c r="Q305" s="1186">
        <v>3.8</v>
      </c>
      <c r="R305" s="1186">
        <v>1.8</v>
      </c>
      <c r="S305" s="1186">
        <v>6.4</v>
      </c>
      <c r="T305" s="1186">
        <v>3.1</v>
      </c>
      <c r="U305" s="1186">
        <v>8</v>
      </c>
      <c r="V305" s="1186">
        <v>4.0999999999999996</v>
      </c>
      <c r="W305" s="1186"/>
      <c r="X305" s="1186"/>
      <c r="Y305" s="1186"/>
      <c r="Z305" s="1186"/>
      <c r="AA305" s="1186"/>
      <c r="AB305" s="1186"/>
      <c r="AC305" s="1186"/>
      <c r="AD305" s="1187"/>
    </row>
    <row r="306" spans="1:30" x14ac:dyDescent="0.2">
      <c r="A306">
        <f t="shared" si="38"/>
        <v>8</v>
      </c>
      <c r="B306">
        <v>297</v>
      </c>
      <c r="C306" s="1078">
        <v>2</v>
      </c>
      <c r="D306" s="1077" t="s">
        <v>3597</v>
      </c>
      <c r="E306" s="1077" t="s">
        <v>4023</v>
      </c>
      <c r="F306" s="1185">
        <v>1</v>
      </c>
      <c r="G306" s="1186">
        <v>4.8</v>
      </c>
      <c r="H306" s="1186">
        <v>2.5</v>
      </c>
      <c r="I306" s="1186">
        <v>6.3</v>
      </c>
      <c r="J306" s="1186">
        <v>3.2</v>
      </c>
      <c r="K306" s="1186">
        <v>7.7</v>
      </c>
      <c r="L306" s="1186">
        <v>3.8</v>
      </c>
      <c r="M306" s="1186">
        <v>8.5</v>
      </c>
      <c r="N306" s="1186">
        <v>4.3</v>
      </c>
      <c r="O306" s="1186">
        <v>12.9</v>
      </c>
      <c r="P306" s="1186">
        <v>6.4</v>
      </c>
      <c r="Q306" s="1186">
        <v>5.6</v>
      </c>
      <c r="R306" s="1186">
        <v>2</v>
      </c>
      <c r="S306" s="1186">
        <v>8.1</v>
      </c>
      <c r="T306" s="1186">
        <v>2.9</v>
      </c>
      <c r="U306" s="1186">
        <v>11.1</v>
      </c>
      <c r="V306" s="1186">
        <v>3.8</v>
      </c>
      <c r="W306" s="1186"/>
      <c r="X306" s="1186"/>
      <c r="Y306" s="1186"/>
      <c r="Z306" s="1186"/>
      <c r="AA306" s="1186"/>
      <c r="AB306" s="1186"/>
      <c r="AC306" s="1186"/>
      <c r="AD306" s="1187"/>
    </row>
    <row r="307" spans="1:30" x14ac:dyDescent="0.2">
      <c r="A307">
        <f t="shared" si="38"/>
        <v>8</v>
      </c>
      <c r="B307">
        <v>298</v>
      </c>
      <c r="C307" s="1078">
        <v>2</v>
      </c>
      <c r="D307" s="1077" t="s">
        <v>3597</v>
      </c>
      <c r="E307" s="1077" t="s">
        <v>4024</v>
      </c>
      <c r="F307" s="1185">
        <v>1</v>
      </c>
      <c r="G307" s="1186">
        <v>6.3</v>
      </c>
      <c r="H307" s="1186">
        <v>2.7</v>
      </c>
      <c r="I307" s="1186">
        <v>7.5</v>
      </c>
      <c r="J307" s="1186">
        <v>3.1</v>
      </c>
      <c r="K307" s="1186">
        <v>9</v>
      </c>
      <c r="L307" s="1186">
        <v>3.6</v>
      </c>
      <c r="M307" s="1186">
        <v>10.1</v>
      </c>
      <c r="N307" s="1186">
        <v>4.0999999999999996</v>
      </c>
      <c r="O307" s="1186">
        <v>13.9</v>
      </c>
      <c r="P307" s="1186">
        <v>5.5</v>
      </c>
      <c r="Q307" s="1186">
        <v>7.2</v>
      </c>
      <c r="R307" s="1186">
        <v>2.2000000000000002</v>
      </c>
      <c r="S307" s="1186">
        <v>9.4</v>
      </c>
      <c r="T307" s="1186">
        <v>2.7</v>
      </c>
      <c r="U307" s="1186">
        <v>13.4</v>
      </c>
      <c r="V307" s="1186">
        <v>3.7</v>
      </c>
      <c r="W307" s="1186"/>
      <c r="X307" s="1186"/>
      <c r="Y307" s="1186"/>
      <c r="Z307" s="1186"/>
      <c r="AA307" s="1186"/>
      <c r="AB307" s="1186"/>
      <c r="AC307" s="1186"/>
      <c r="AD307" s="1187"/>
    </row>
    <row r="308" spans="1:30" x14ac:dyDescent="0.2">
      <c r="A308">
        <f t="shared" si="38"/>
        <v>8</v>
      </c>
      <c r="B308">
        <v>299</v>
      </c>
      <c r="C308" s="1078">
        <v>2</v>
      </c>
      <c r="D308" s="1077" t="s">
        <v>3597</v>
      </c>
      <c r="E308" s="1077" t="s">
        <v>4445</v>
      </c>
      <c r="F308" s="1185">
        <v>4</v>
      </c>
      <c r="G308" s="1186">
        <v>3.67</v>
      </c>
      <c r="H308" s="1186">
        <v>2.52</v>
      </c>
      <c r="I308" s="1186">
        <v>4.0999999999999996</v>
      </c>
      <c r="J308" s="1186">
        <v>2.79</v>
      </c>
      <c r="K308" s="1186">
        <v>4.5</v>
      </c>
      <c r="L308" s="1186">
        <v>3.24</v>
      </c>
      <c r="M308" s="1186">
        <v>4.5</v>
      </c>
      <c r="N308" s="1186">
        <v>4.5199999999999996</v>
      </c>
      <c r="O308" s="1186">
        <v>4.5</v>
      </c>
      <c r="P308" s="1186">
        <v>6.33</v>
      </c>
      <c r="Q308" s="1186">
        <v>3.7</v>
      </c>
      <c r="R308" s="1186">
        <v>1.68</v>
      </c>
      <c r="S308" s="1186">
        <v>4.5</v>
      </c>
      <c r="T308" s="1186">
        <v>2.5099999999999998</v>
      </c>
      <c r="U308" s="1186">
        <v>4.5</v>
      </c>
      <c r="V308" s="1186">
        <v>3.2</v>
      </c>
      <c r="W308" s="1186"/>
      <c r="X308" s="1186"/>
      <c r="Y308" s="1186"/>
      <c r="Z308" s="1186"/>
      <c r="AA308" s="1186"/>
      <c r="AB308" s="1186"/>
      <c r="AC308" s="1186"/>
      <c r="AD308" s="1187"/>
    </row>
    <row r="309" spans="1:30" x14ac:dyDescent="0.2">
      <c r="A309">
        <f t="shared" si="38"/>
        <v>8</v>
      </c>
      <c r="B309">
        <v>300</v>
      </c>
      <c r="C309" s="1078">
        <v>2</v>
      </c>
      <c r="D309" s="1077" t="s">
        <v>3597</v>
      </c>
      <c r="E309" s="1077" t="s">
        <v>4446</v>
      </c>
      <c r="F309" s="1185">
        <v>4</v>
      </c>
      <c r="G309" s="1186">
        <v>4.04</v>
      </c>
      <c r="H309" s="1186">
        <v>2.42</v>
      </c>
      <c r="I309" s="1186">
        <v>4.5999999999999996</v>
      </c>
      <c r="J309" s="1186">
        <v>2.64</v>
      </c>
      <c r="K309" s="1186">
        <v>4.95</v>
      </c>
      <c r="L309" s="1186">
        <v>3.24</v>
      </c>
      <c r="M309" s="1186">
        <v>6</v>
      </c>
      <c r="N309" s="1186">
        <v>4.2699999999999996</v>
      </c>
      <c r="O309" s="1186">
        <v>6</v>
      </c>
      <c r="P309" s="1186">
        <v>5.76</v>
      </c>
      <c r="Q309" s="1186">
        <v>3.85</v>
      </c>
      <c r="R309" s="1186">
        <v>1.65</v>
      </c>
      <c r="S309" s="1186">
        <v>4.5</v>
      </c>
      <c r="T309" s="1186">
        <v>2.5099999999999998</v>
      </c>
      <c r="U309" s="1186">
        <v>4.5</v>
      </c>
      <c r="V309" s="1186">
        <v>3.2</v>
      </c>
      <c r="W309" s="1186"/>
      <c r="X309" s="1186"/>
      <c r="Y309" s="1186"/>
      <c r="Z309" s="1186"/>
      <c r="AA309" s="1186"/>
      <c r="AB309" s="1186"/>
      <c r="AC309" s="1186"/>
      <c r="AD309" s="1187"/>
    </row>
    <row r="310" spans="1:30" x14ac:dyDescent="0.2">
      <c r="A310">
        <f t="shared" si="38"/>
        <v>8</v>
      </c>
      <c r="B310">
        <v>301</v>
      </c>
      <c r="C310" s="1078">
        <v>2</v>
      </c>
      <c r="D310" s="1077" t="s">
        <v>3597</v>
      </c>
      <c r="E310" s="1077" t="s">
        <v>4447</v>
      </c>
      <c r="F310" s="1185">
        <v>4</v>
      </c>
      <c r="G310" s="1186">
        <v>5.5</v>
      </c>
      <c r="H310" s="1186">
        <v>2.1</v>
      </c>
      <c r="I310" s="1186">
        <v>5.7</v>
      </c>
      <c r="J310" s="1186">
        <v>2.56</v>
      </c>
      <c r="K310" s="1186">
        <v>5.65</v>
      </c>
      <c r="L310" s="1186">
        <v>3.17</v>
      </c>
      <c r="M310" s="1186">
        <v>7.5</v>
      </c>
      <c r="N310" s="1186">
        <v>4.08</v>
      </c>
      <c r="O310" s="1186">
        <v>7.5</v>
      </c>
      <c r="P310" s="1186">
        <v>5.6</v>
      </c>
      <c r="Q310" s="1186">
        <v>5</v>
      </c>
      <c r="R310" s="1186">
        <v>1.56</v>
      </c>
      <c r="S310" s="1186">
        <v>5</v>
      </c>
      <c r="T310" s="1186">
        <v>2.58</v>
      </c>
      <c r="U310" s="1186">
        <v>5</v>
      </c>
      <c r="V310" s="1186">
        <v>2.93</v>
      </c>
      <c r="W310" s="1186"/>
      <c r="X310" s="1186"/>
      <c r="Y310" s="1186"/>
      <c r="Z310" s="1186"/>
      <c r="AA310" s="1186"/>
      <c r="AB310" s="1186"/>
      <c r="AC310" s="1186"/>
      <c r="AD310" s="1187"/>
    </row>
    <row r="311" spans="1:30" x14ac:dyDescent="0.2">
      <c r="A311">
        <f t="shared" si="38"/>
        <v>8</v>
      </c>
      <c r="B311">
        <v>302</v>
      </c>
      <c r="C311" s="1078">
        <v>2</v>
      </c>
      <c r="D311" s="1077" t="s">
        <v>3597</v>
      </c>
      <c r="E311" s="1077" t="s">
        <v>4448</v>
      </c>
      <c r="F311" s="1185">
        <v>4</v>
      </c>
      <c r="G311" s="1186">
        <v>7.2</v>
      </c>
      <c r="H311" s="1186">
        <v>2.21</v>
      </c>
      <c r="I311" s="1186">
        <v>7.4</v>
      </c>
      <c r="J311" s="1186">
        <v>2.4900000000000002</v>
      </c>
      <c r="K311" s="1186">
        <v>7.7</v>
      </c>
      <c r="L311" s="1186">
        <v>3.12</v>
      </c>
      <c r="M311" s="1186">
        <v>10</v>
      </c>
      <c r="N311" s="1186">
        <v>4.0199999999999996</v>
      </c>
      <c r="O311" s="1186">
        <v>10</v>
      </c>
      <c r="P311" s="1186">
        <v>5.4</v>
      </c>
      <c r="Q311" s="1186">
        <v>7</v>
      </c>
      <c r="R311" s="1186">
        <v>1.69</v>
      </c>
      <c r="S311" s="1186">
        <v>7</v>
      </c>
      <c r="T311" s="1186">
        <v>2.4500000000000002</v>
      </c>
      <c r="U311" s="1186">
        <v>7</v>
      </c>
      <c r="V311" s="1186">
        <v>3.08</v>
      </c>
      <c r="W311" s="1186"/>
      <c r="X311" s="1186"/>
      <c r="Y311" s="1186"/>
      <c r="Z311" s="1186"/>
      <c r="AA311" s="1186"/>
      <c r="AB311" s="1186"/>
      <c r="AC311" s="1186"/>
      <c r="AD311" s="1187"/>
    </row>
    <row r="312" spans="1:30" x14ac:dyDescent="0.2">
      <c r="A312">
        <f t="shared" si="38"/>
        <v>8</v>
      </c>
      <c r="B312">
        <v>303</v>
      </c>
      <c r="C312" s="1078">
        <v>2</v>
      </c>
      <c r="D312" s="1077" t="s">
        <v>3597</v>
      </c>
      <c r="E312" s="1077" t="s">
        <v>4449</v>
      </c>
      <c r="F312" s="1185">
        <v>4</v>
      </c>
      <c r="G312" s="1186">
        <v>10.38</v>
      </c>
      <c r="H312" s="1186">
        <v>2.21</v>
      </c>
      <c r="I312" s="1186">
        <v>10.38</v>
      </c>
      <c r="J312" s="1186">
        <v>2.4300000000000002</v>
      </c>
      <c r="K312" s="1186">
        <v>10.77</v>
      </c>
      <c r="L312" s="1186">
        <v>3.17</v>
      </c>
      <c r="M312" s="1186">
        <v>10.8</v>
      </c>
      <c r="N312" s="1186">
        <v>4.3</v>
      </c>
      <c r="O312" s="1186">
        <v>10.8</v>
      </c>
      <c r="P312" s="1186">
        <v>5.45</v>
      </c>
      <c r="Q312" s="1186">
        <v>9.27</v>
      </c>
      <c r="R312" s="1186">
        <v>1.82</v>
      </c>
      <c r="S312" s="1186">
        <v>9.2899999999999991</v>
      </c>
      <c r="T312" s="1186">
        <v>2.64</v>
      </c>
      <c r="U312" s="1186">
        <v>9.2899999999999991</v>
      </c>
      <c r="V312" s="1186">
        <v>3.02</v>
      </c>
      <c r="W312" s="1186"/>
      <c r="X312" s="1186"/>
      <c r="Y312" s="1186"/>
      <c r="Z312" s="1186"/>
      <c r="AA312" s="1186"/>
      <c r="AB312" s="1186"/>
      <c r="AC312" s="1186"/>
      <c r="AD312" s="1187"/>
    </row>
    <row r="313" spans="1:30" x14ac:dyDescent="0.2">
      <c r="A313">
        <f t="shared" si="38"/>
        <v>8</v>
      </c>
      <c r="B313">
        <v>304</v>
      </c>
      <c r="C313" s="1078">
        <v>2</v>
      </c>
      <c r="D313" s="1077" t="s">
        <v>3597</v>
      </c>
      <c r="E313" s="1077" t="s">
        <v>4450</v>
      </c>
      <c r="F313" s="1185">
        <v>4</v>
      </c>
      <c r="G313" s="1186">
        <v>12.16</v>
      </c>
      <c r="H313" s="1186">
        <v>2.17</v>
      </c>
      <c r="I313" s="1186">
        <v>13.5</v>
      </c>
      <c r="J313" s="1186">
        <v>2.5</v>
      </c>
      <c r="K313" s="1186">
        <v>13.5</v>
      </c>
      <c r="L313" s="1186">
        <v>3.11</v>
      </c>
      <c r="M313" s="1186">
        <v>15.17</v>
      </c>
      <c r="N313" s="1186">
        <v>4.0999999999999996</v>
      </c>
      <c r="O313" s="1186">
        <v>15.17</v>
      </c>
      <c r="P313" s="1186">
        <v>5.21</v>
      </c>
      <c r="Q313" s="1186">
        <v>11</v>
      </c>
      <c r="R313" s="1186">
        <v>1.75</v>
      </c>
      <c r="S313" s="1186">
        <v>12.24</v>
      </c>
      <c r="T313" s="1186">
        <v>2.48</v>
      </c>
      <c r="U313" s="1186">
        <v>12.24</v>
      </c>
      <c r="V313" s="1186">
        <v>2.87</v>
      </c>
      <c r="W313" s="1186"/>
      <c r="X313" s="1186"/>
      <c r="Y313" s="1186"/>
      <c r="Z313" s="1186"/>
      <c r="AA313" s="1186"/>
      <c r="AB313" s="1186"/>
      <c r="AC313" s="1186"/>
      <c r="AD313" s="1187"/>
    </row>
    <row r="314" spans="1:30" x14ac:dyDescent="0.2">
      <c r="A314">
        <f t="shared" si="38"/>
        <v>8</v>
      </c>
      <c r="B314">
        <v>305</v>
      </c>
      <c r="C314" s="1078">
        <v>2</v>
      </c>
      <c r="D314" s="1077" t="s">
        <v>3597</v>
      </c>
      <c r="E314" s="1077" t="s">
        <v>4839</v>
      </c>
      <c r="F314" s="1185">
        <v>4</v>
      </c>
      <c r="G314" s="1186">
        <v>21.2</v>
      </c>
      <c r="H314" s="1186">
        <v>2.2000000000000002</v>
      </c>
      <c r="I314" s="1186">
        <v>24.5</v>
      </c>
      <c r="J314" s="1186">
        <v>2.4</v>
      </c>
      <c r="K314" s="1186">
        <v>25.1</v>
      </c>
      <c r="L314" s="1186">
        <v>2.95</v>
      </c>
      <c r="M314" s="1186">
        <v>26.3</v>
      </c>
      <c r="N314" s="1186">
        <v>3.5</v>
      </c>
      <c r="O314" s="1186">
        <v>26.8</v>
      </c>
      <c r="P314" s="1186">
        <v>5.6</v>
      </c>
      <c r="Q314" s="1186">
        <v>14.7</v>
      </c>
      <c r="R314" s="1186">
        <v>2.13</v>
      </c>
      <c r="S314" s="1186">
        <v>26.3</v>
      </c>
      <c r="T314" s="1186">
        <v>2.4</v>
      </c>
      <c r="U314" s="1186">
        <v>25.5</v>
      </c>
      <c r="V314" s="1186">
        <v>3.25</v>
      </c>
      <c r="W314" s="1186"/>
      <c r="X314" s="1186"/>
      <c r="Y314" s="1186"/>
      <c r="Z314" s="1186"/>
      <c r="AA314" s="1186"/>
      <c r="AB314" s="1186"/>
      <c r="AC314" s="1186"/>
      <c r="AD314" s="1187"/>
    </row>
    <row r="315" spans="1:30" x14ac:dyDescent="0.2">
      <c r="A315">
        <f t="shared" si="38"/>
        <v>8</v>
      </c>
      <c r="B315">
        <v>306</v>
      </c>
      <c r="C315" s="1078">
        <v>2</v>
      </c>
      <c r="D315" s="1077" t="s">
        <v>3597</v>
      </c>
      <c r="E315" s="1077" t="s">
        <v>4840</v>
      </c>
      <c r="F315" s="1185">
        <v>4</v>
      </c>
      <c r="G315" s="1186">
        <v>21.2</v>
      </c>
      <c r="H315" s="1186">
        <v>2.2000000000000002</v>
      </c>
      <c r="I315" s="1186">
        <v>24.5</v>
      </c>
      <c r="J315" s="1186">
        <v>2.4</v>
      </c>
      <c r="K315" s="1186">
        <v>23</v>
      </c>
      <c r="L315" s="1186">
        <v>3.2</v>
      </c>
      <c r="M315" s="1186">
        <v>21.6</v>
      </c>
      <c r="N315" s="1186">
        <v>4.4000000000000004</v>
      </c>
      <c r="O315" s="1186">
        <v>17.5</v>
      </c>
      <c r="P315" s="1186">
        <v>5.9</v>
      </c>
      <c r="Q315" s="1186">
        <v>14.7</v>
      </c>
      <c r="R315" s="1186">
        <v>2.13</v>
      </c>
      <c r="S315" s="1186">
        <v>21</v>
      </c>
      <c r="T315" s="1186">
        <v>2.76</v>
      </c>
      <c r="U315" s="1186">
        <v>20.6</v>
      </c>
      <c r="V315" s="1186">
        <v>3.25</v>
      </c>
      <c r="W315" s="1186"/>
      <c r="X315" s="1186"/>
      <c r="Y315" s="1186"/>
      <c r="Z315" s="1186"/>
      <c r="AA315" s="1186"/>
      <c r="AB315" s="1186"/>
      <c r="AC315" s="1186"/>
      <c r="AD315" s="1187"/>
    </row>
    <row r="316" spans="1:30" x14ac:dyDescent="0.2">
      <c r="A316">
        <f t="shared" si="38"/>
        <v>8</v>
      </c>
      <c r="B316">
        <v>307</v>
      </c>
      <c r="C316" s="1078">
        <v>2</v>
      </c>
      <c r="D316" s="1077" t="s">
        <v>3597</v>
      </c>
      <c r="E316" s="1077" t="s">
        <v>4841</v>
      </c>
      <c r="F316" s="1185">
        <v>4</v>
      </c>
      <c r="G316" s="1186">
        <v>15.2</v>
      </c>
      <c r="H316" s="1186">
        <v>2.35</v>
      </c>
      <c r="I316" s="1186">
        <v>19.2</v>
      </c>
      <c r="J316" s="1186">
        <v>2.65</v>
      </c>
      <c r="K316" s="1186">
        <v>18.899999999999999</v>
      </c>
      <c r="L316" s="1186">
        <v>4.05</v>
      </c>
      <c r="M316" s="1186">
        <v>15.9</v>
      </c>
      <c r="N316" s="1186">
        <v>4.55</v>
      </c>
      <c r="O316" s="1186">
        <v>17.5</v>
      </c>
      <c r="P316" s="1186">
        <v>5.9</v>
      </c>
      <c r="Q316" s="1186">
        <v>14.7</v>
      </c>
      <c r="R316" s="1186">
        <v>2.13</v>
      </c>
      <c r="S316" s="1186">
        <v>16.899999999999999</v>
      </c>
      <c r="T316" s="1186">
        <v>2.73</v>
      </c>
      <c r="U316" s="1186">
        <v>15.7</v>
      </c>
      <c r="V316" s="1186">
        <v>3.25</v>
      </c>
      <c r="W316" s="1186"/>
      <c r="X316" s="1186"/>
      <c r="Y316" s="1186"/>
      <c r="Z316" s="1186"/>
      <c r="AA316" s="1186"/>
      <c r="AB316" s="1186"/>
      <c r="AC316" s="1186"/>
      <c r="AD316" s="1187"/>
    </row>
    <row r="317" spans="1:30" x14ac:dyDescent="0.2">
      <c r="A317">
        <f t="shared" si="38"/>
        <v>8</v>
      </c>
      <c r="B317">
        <v>308</v>
      </c>
      <c r="C317" s="1078">
        <v>3</v>
      </c>
      <c r="D317" s="1077" t="s">
        <v>3597</v>
      </c>
      <c r="E317" s="1077" t="s">
        <v>4493</v>
      </c>
      <c r="F317" s="1185">
        <v>4</v>
      </c>
      <c r="G317" s="1186"/>
      <c r="H317" s="1186"/>
      <c r="I317" s="1186"/>
      <c r="J317" s="1186"/>
      <c r="K317" s="1186"/>
      <c r="L317" s="1186"/>
      <c r="M317" s="1186"/>
      <c r="N317" s="1186"/>
      <c r="O317" s="1186"/>
      <c r="P317" s="1186"/>
      <c r="Q317" s="1186"/>
      <c r="R317" s="1186"/>
      <c r="S317" s="1186"/>
      <c r="T317" s="1186"/>
      <c r="U317" s="1186"/>
      <c r="V317" s="1186"/>
      <c r="W317" s="1186">
        <v>1.8</v>
      </c>
      <c r="X317" s="1186">
        <v>4.5</v>
      </c>
      <c r="Y317" s="1186">
        <v>1.6</v>
      </c>
      <c r="Z317" s="1186">
        <v>2.5</v>
      </c>
      <c r="AA317" s="1186">
        <v>2.4</v>
      </c>
      <c r="AB317" s="1186">
        <v>5.8</v>
      </c>
      <c r="AC317" s="1186">
        <v>2.1</v>
      </c>
      <c r="AD317" s="1187">
        <v>3.2</v>
      </c>
    </row>
    <row r="318" spans="1:30" x14ac:dyDescent="0.2">
      <c r="A318">
        <f t="shared" si="38"/>
        <v>8</v>
      </c>
      <c r="B318">
        <v>309</v>
      </c>
      <c r="C318" s="1078">
        <v>3</v>
      </c>
      <c r="D318" s="1077" t="s">
        <v>3597</v>
      </c>
      <c r="E318" s="1077" t="s">
        <v>4494</v>
      </c>
      <c r="F318" s="1185">
        <v>4</v>
      </c>
      <c r="G318" s="1186"/>
      <c r="H318" s="1186"/>
      <c r="I318" s="1186"/>
      <c r="J318" s="1186"/>
      <c r="K318" s="1186"/>
      <c r="L318" s="1186"/>
      <c r="M318" s="1186"/>
      <c r="N318" s="1186"/>
      <c r="O318" s="1186"/>
      <c r="P318" s="1186"/>
      <c r="Q318" s="1186"/>
      <c r="R318" s="1186"/>
      <c r="S318" s="1186"/>
      <c r="T318" s="1186"/>
      <c r="U318" s="1186"/>
      <c r="V318" s="1186"/>
      <c r="W318" s="1186">
        <v>2.5</v>
      </c>
      <c r="X318" s="1186">
        <v>4.7</v>
      </c>
      <c r="Y318" s="1186">
        <v>2.2000000000000002</v>
      </c>
      <c r="Z318" s="1186">
        <v>2.7</v>
      </c>
      <c r="AA318" s="1186">
        <v>3.3</v>
      </c>
      <c r="AB318" s="1186">
        <v>6.2</v>
      </c>
      <c r="AC318" s="1186">
        <v>2.8</v>
      </c>
      <c r="AD318" s="1187">
        <v>3.4</v>
      </c>
    </row>
    <row r="319" spans="1:30" x14ac:dyDescent="0.2">
      <c r="A319">
        <f t="shared" si="38"/>
        <v>8</v>
      </c>
      <c r="B319">
        <v>310</v>
      </c>
      <c r="C319" s="1078">
        <v>3</v>
      </c>
      <c r="D319" s="1077" t="s">
        <v>3597</v>
      </c>
      <c r="E319" s="1077" t="s">
        <v>4495</v>
      </c>
      <c r="F319" s="1185">
        <v>4</v>
      </c>
      <c r="G319" s="1186"/>
      <c r="H319" s="1186"/>
      <c r="I319" s="1186"/>
      <c r="J319" s="1186"/>
      <c r="K319" s="1186"/>
      <c r="L319" s="1186"/>
      <c r="M319" s="1186"/>
      <c r="N319" s="1186"/>
      <c r="O319" s="1186"/>
      <c r="P319" s="1186"/>
      <c r="Q319" s="1186"/>
      <c r="R319" s="1186"/>
      <c r="S319" s="1186"/>
      <c r="T319" s="1186"/>
      <c r="U319" s="1186"/>
      <c r="V319" s="1186"/>
      <c r="W319" s="1186">
        <v>3.1</v>
      </c>
      <c r="X319" s="1186">
        <v>4.8</v>
      </c>
      <c r="Y319" s="1186">
        <v>2.7</v>
      </c>
      <c r="Z319" s="1186">
        <v>2.8</v>
      </c>
      <c r="AA319" s="1186">
        <v>4.2</v>
      </c>
      <c r="AB319" s="1186">
        <v>6.3</v>
      </c>
      <c r="AC319" s="1186">
        <v>3.6</v>
      </c>
      <c r="AD319" s="1187">
        <v>3.5</v>
      </c>
    </row>
    <row r="320" spans="1:30" x14ac:dyDescent="0.2">
      <c r="A320">
        <f t="shared" si="38"/>
        <v>8</v>
      </c>
      <c r="B320">
        <v>311</v>
      </c>
      <c r="C320" s="1078">
        <v>3</v>
      </c>
      <c r="D320" s="1077" t="s">
        <v>3597</v>
      </c>
      <c r="E320" s="1077" t="s">
        <v>4451</v>
      </c>
      <c r="F320" s="1185">
        <v>4</v>
      </c>
      <c r="G320" s="1186"/>
      <c r="H320" s="1186"/>
      <c r="I320" s="1186"/>
      <c r="J320" s="1186"/>
      <c r="K320" s="1186"/>
      <c r="L320" s="1186"/>
      <c r="M320" s="1186"/>
      <c r="N320" s="1186"/>
      <c r="O320" s="1186"/>
      <c r="P320" s="1186"/>
      <c r="Q320" s="1186"/>
      <c r="R320" s="1186"/>
      <c r="S320" s="1186"/>
      <c r="T320" s="1186"/>
      <c r="U320" s="1186"/>
      <c r="V320" s="1186"/>
      <c r="W320" s="1186">
        <v>3.8</v>
      </c>
      <c r="X320" s="1186">
        <v>4.7</v>
      </c>
      <c r="Y320" s="1186">
        <v>3.3</v>
      </c>
      <c r="Z320" s="1186">
        <v>2.8</v>
      </c>
      <c r="AA320" s="1186">
        <v>5</v>
      </c>
      <c r="AB320" s="1186">
        <v>6.2</v>
      </c>
      <c r="AC320" s="1186">
        <v>4.4000000000000004</v>
      </c>
      <c r="AD320" s="1187">
        <v>3.5</v>
      </c>
    </row>
    <row r="321" spans="1:30" x14ac:dyDescent="0.2">
      <c r="A321">
        <f t="shared" si="38"/>
        <v>8</v>
      </c>
      <c r="B321">
        <v>312</v>
      </c>
      <c r="C321" s="1078">
        <v>3</v>
      </c>
      <c r="D321" s="1077" t="s">
        <v>3597</v>
      </c>
      <c r="E321" s="1077" t="s">
        <v>4496</v>
      </c>
      <c r="F321" s="1185">
        <v>4</v>
      </c>
      <c r="G321" s="1186"/>
      <c r="H321" s="1186"/>
      <c r="I321" s="1186"/>
      <c r="J321" s="1186"/>
      <c r="K321" s="1186"/>
      <c r="L321" s="1186"/>
      <c r="M321" s="1186"/>
      <c r="N321" s="1186"/>
      <c r="O321" s="1186"/>
      <c r="P321" s="1186"/>
      <c r="Q321" s="1186"/>
      <c r="R321" s="1186"/>
      <c r="S321" s="1186"/>
      <c r="T321" s="1186"/>
      <c r="U321" s="1186"/>
      <c r="V321" s="1186"/>
      <c r="W321" s="1186">
        <v>4.5</v>
      </c>
      <c r="X321" s="1186">
        <v>4.5999999999999996</v>
      </c>
      <c r="Y321" s="1186">
        <v>3.9</v>
      </c>
      <c r="Z321" s="1186">
        <v>2.7</v>
      </c>
      <c r="AA321" s="1186">
        <v>5.9</v>
      </c>
      <c r="AB321" s="1186">
        <v>6</v>
      </c>
      <c r="AC321" s="1186">
        <v>5.0999999999999996</v>
      </c>
      <c r="AD321" s="1187">
        <v>3.4</v>
      </c>
    </row>
    <row r="322" spans="1:30" x14ac:dyDescent="0.2">
      <c r="A322">
        <f t="shared" si="38"/>
        <v>8</v>
      </c>
      <c r="B322">
        <v>313</v>
      </c>
      <c r="C322" s="1078">
        <v>3</v>
      </c>
      <c r="D322" s="1077" t="s">
        <v>3597</v>
      </c>
      <c r="E322" s="1077" t="s">
        <v>4497</v>
      </c>
      <c r="F322" s="1185">
        <v>4</v>
      </c>
      <c r="G322" s="1186"/>
      <c r="H322" s="1186"/>
      <c r="I322" s="1186"/>
      <c r="J322" s="1186"/>
      <c r="K322" s="1186"/>
      <c r="L322" s="1186"/>
      <c r="M322" s="1186"/>
      <c r="N322" s="1186"/>
      <c r="O322" s="1186"/>
      <c r="P322" s="1186"/>
      <c r="Q322" s="1186"/>
      <c r="R322" s="1186"/>
      <c r="S322" s="1186"/>
      <c r="T322" s="1186"/>
      <c r="U322" s="1186"/>
      <c r="V322" s="1186"/>
      <c r="W322" s="1186">
        <v>5.0999999999999996</v>
      </c>
      <c r="X322" s="1186">
        <v>4.4000000000000004</v>
      </c>
      <c r="Y322" s="1186">
        <v>4.4000000000000004</v>
      </c>
      <c r="Z322" s="1186">
        <v>2.6</v>
      </c>
      <c r="AA322" s="1186">
        <v>6.8</v>
      </c>
      <c r="AB322" s="1186">
        <v>5.7</v>
      </c>
      <c r="AC322" s="1186">
        <v>5.9</v>
      </c>
      <c r="AD322" s="1187">
        <v>3.3</v>
      </c>
    </row>
    <row r="323" spans="1:30" x14ac:dyDescent="0.2">
      <c r="A323">
        <f t="shared" si="38"/>
        <v>8</v>
      </c>
      <c r="B323">
        <v>314</v>
      </c>
      <c r="C323" s="1078">
        <v>3</v>
      </c>
      <c r="D323" s="1077" t="s">
        <v>3597</v>
      </c>
      <c r="E323" s="1077" t="s">
        <v>4498</v>
      </c>
      <c r="F323" s="1185">
        <v>4</v>
      </c>
      <c r="G323" s="1186"/>
      <c r="H323" s="1186"/>
      <c r="I323" s="1186"/>
      <c r="J323" s="1186"/>
      <c r="K323" s="1186"/>
      <c r="L323" s="1186"/>
      <c r="M323" s="1186"/>
      <c r="N323" s="1186"/>
      <c r="O323" s="1186"/>
      <c r="P323" s="1186"/>
      <c r="Q323" s="1186"/>
      <c r="R323" s="1186"/>
      <c r="S323" s="1186"/>
      <c r="T323" s="1186"/>
      <c r="U323" s="1186"/>
      <c r="V323" s="1186"/>
      <c r="W323" s="1186">
        <v>5.8</v>
      </c>
      <c r="X323" s="1186">
        <v>4.3</v>
      </c>
      <c r="Y323" s="1186">
        <v>5</v>
      </c>
      <c r="Z323" s="1186">
        <v>2.5</v>
      </c>
      <c r="AA323" s="1186">
        <v>7.7</v>
      </c>
      <c r="AB323" s="1186">
        <v>5.5</v>
      </c>
      <c r="AC323" s="1186">
        <v>6.6</v>
      </c>
      <c r="AD323" s="1187">
        <v>3.1</v>
      </c>
    </row>
    <row r="324" spans="1:30" x14ac:dyDescent="0.2">
      <c r="A324">
        <f t="shared" si="38"/>
        <v>8</v>
      </c>
      <c r="B324">
        <v>315</v>
      </c>
      <c r="C324" s="1081">
        <v>3</v>
      </c>
      <c r="D324" s="1082" t="s">
        <v>3597</v>
      </c>
      <c r="E324" s="1082" t="s">
        <v>4499</v>
      </c>
      <c r="F324" s="1188">
        <v>4</v>
      </c>
      <c r="G324" s="1189"/>
      <c r="H324" s="1189"/>
      <c r="I324" s="1189"/>
      <c r="J324" s="1189"/>
      <c r="K324" s="1189"/>
      <c r="L324" s="1189"/>
      <c r="M324" s="1189"/>
      <c r="N324" s="1189"/>
      <c r="O324" s="1189"/>
      <c r="P324" s="1189"/>
      <c r="Q324" s="1189"/>
      <c r="R324" s="1189"/>
      <c r="S324" s="1189"/>
      <c r="T324" s="1189"/>
      <c r="U324" s="1189"/>
      <c r="V324" s="1189"/>
      <c r="W324" s="1189">
        <v>6.5</v>
      </c>
      <c r="X324" s="1189">
        <v>4.0999999999999996</v>
      </c>
      <c r="Y324" s="1189">
        <v>5.6</v>
      </c>
      <c r="Z324" s="1189">
        <v>2.4</v>
      </c>
      <c r="AA324" s="1189">
        <v>8.6</v>
      </c>
      <c r="AB324" s="1189">
        <v>5.2</v>
      </c>
      <c r="AC324" s="1189">
        <v>7.4</v>
      </c>
      <c r="AD324" s="1194">
        <v>3</v>
      </c>
    </row>
    <row r="325" spans="1:30" x14ac:dyDescent="0.2">
      <c r="A325">
        <f t="shared" si="38"/>
        <v>8</v>
      </c>
      <c r="B325">
        <v>316</v>
      </c>
      <c r="C325" s="1190">
        <v>3</v>
      </c>
      <c r="D325" s="1191" t="s">
        <v>3597</v>
      </c>
      <c r="E325" s="1191" t="s">
        <v>4500</v>
      </c>
      <c r="F325" s="1192">
        <v>4</v>
      </c>
      <c r="G325" s="1193"/>
      <c r="H325" s="1193"/>
      <c r="I325" s="1193"/>
      <c r="J325" s="1193"/>
      <c r="K325" s="1193"/>
      <c r="L325" s="1193"/>
      <c r="M325" s="1193"/>
      <c r="N325" s="1193"/>
      <c r="O325" s="1193"/>
      <c r="P325" s="1193"/>
      <c r="Q325" s="1193"/>
      <c r="R325" s="1193"/>
      <c r="S325" s="1193"/>
      <c r="T325" s="1193"/>
      <c r="U325" s="1193"/>
      <c r="V325" s="1193"/>
      <c r="W325" s="1193">
        <v>5.4</v>
      </c>
      <c r="X325" s="1193">
        <v>4.9000000000000004</v>
      </c>
      <c r="Y325" s="1193">
        <v>4.8</v>
      </c>
      <c r="Z325" s="1193">
        <v>2.9</v>
      </c>
      <c r="AA325" s="1193">
        <v>7.2</v>
      </c>
      <c r="AB325" s="1193">
        <v>6.2</v>
      </c>
      <c r="AC325" s="1193">
        <v>6.4</v>
      </c>
      <c r="AD325" s="1195">
        <v>3.7</v>
      </c>
    </row>
    <row r="326" spans="1:30" x14ac:dyDescent="0.2">
      <c r="A326">
        <f t="shared" si="38"/>
        <v>8</v>
      </c>
      <c r="B326">
        <v>317</v>
      </c>
      <c r="C326" s="1078">
        <v>3</v>
      </c>
      <c r="D326" s="1077" t="s">
        <v>3597</v>
      </c>
      <c r="E326" s="1077" t="s">
        <v>4501</v>
      </c>
      <c r="F326" s="1185">
        <v>4</v>
      </c>
      <c r="G326" s="1186"/>
      <c r="H326" s="1186"/>
      <c r="I326" s="1186"/>
      <c r="J326" s="1186"/>
      <c r="K326" s="1186"/>
      <c r="L326" s="1186"/>
      <c r="M326" s="1186"/>
      <c r="N326" s="1186"/>
      <c r="O326" s="1186"/>
      <c r="P326" s="1186"/>
      <c r="Q326" s="1186"/>
      <c r="R326" s="1186"/>
      <c r="S326" s="1186"/>
      <c r="T326" s="1186"/>
      <c r="U326" s="1186"/>
      <c r="V326" s="1186"/>
      <c r="W326" s="1186">
        <v>7.2</v>
      </c>
      <c r="X326" s="1186">
        <v>4.9000000000000004</v>
      </c>
      <c r="Y326" s="1186">
        <v>6.4</v>
      </c>
      <c r="Z326" s="1186">
        <v>3</v>
      </c>
      <c r="AA326" s="1186">
        <v>9.6</v>
      </c>
      <c r="AB326" s="1186">
        <v>6.3</v>
      </c>
      <c r="AC326" s="1186">
        <v>8.5</v>
      </c>
      <c r="AD326" s="1187">
        <v>3.8</v>
      </c>
    </row>
    <row r="327" spans="1:30" x14ac:dyDescent="0.2">
      <c r="A327">
        <f t="shared" si="38"/>
        <v>8</v>
      </c>
      <c r="B327">
        <v>318</v>
      </c>
      <c r="C327" s="1078">
        <v>3</v>
      </c>
      <c r="D327" s="1077" t="s">
        <v>3597</v>
      </c>
      <c r="E327" s="1077" t="s">
        <v>4502</v>
      </c>
      <c r="F327" s="1185">
        <v>4</v>
      </c>
      <c r="G327" s="1186"/>
      <c r="H327" s="1186"/>
      <c r="I327" s="1186"/>
      <c r="J327" s="1186"/>
      <c r="K327" s="1186"/>
      <c r="L327" s="1186"/>
      <c r="M327" s="1186"/>
      <c r="N327" s="1186"/>
      <c r="O327" s="1186"/>
      <c r="P327" s="1186"/>
      <c r="Q327" s="1186"/>
      <c r="R327" s="1186"/>
      <c r="S327" s="1186"/>
      <c r="T327" s="1186"/>
      <c r="U327" s="1186"/>
      <c r="V327" s="1186"/>
      <c r="W327" s="1186">
        <v>8.9</v>
      </c>
      <c r="X327" s="1186">
        <v>4.8</v>
      </c>
      <c r="Y327" s="1186">
        <v>7.9</v>
      </c>
      <c r="Z327" s="1186">
        <v>2.9</v>
      </c>
      <c r="AA327" s="1186">
        <v>11.9</v>
      </c>
      <c r="AB327" s="1186">
        <v>6.2</v>
      </c>
      <c r="AC327" s="1186">
        <v>10.6</v>
      </c>
      <c r="AD327" s="1187">
        <v>3.7</v>
      </c>
    </row>
    <row r="328" spans="1:30" x14ac:dyDescent="0.2">
      <c r="A328">
        <f t="shared" si="38"/>
        <v>8</v>
      </c>
      <c r="B328">
        <v>319</v>
      </c>
      <c r="C328" s="1078">
        <v>3</v>
      </c>
      <c r="D328" s="1077" t="s">
        <v>3597</v>
      </c>
      <c r="E328" s="1077" t="s">
        <v>4452</v>
      </c>
      <c r="F328" s="1185">
        <v>4</v>
      </c>
      <c r="G328" s="1186"/>
      <c r="H328" s="1186"/>
      <c r="I328" s="1186"/>
      <c r="J328" s="1186"/>
      <c r="K328" s="1186"/>
      <c r="L328" s="1186"/>
      <c r="M328" s="1186"/>
      <c r="N328" s="1186"/>
      <c r="O328" s="1186"/>
      <c r="P328" s="1186"/>
      <c r="Q328" s="1186"/>
      <c r="R328" s="1186"/>
      <c r="S328" s="1186"/>
      <c r="T328" s="1186"/>
      <c r="U328" s="1186"/>
      <c r="V328" s="1186"/>
      <c r="W328" s="1186">
        <v>10.6</v>
      </c>
      <c r="X328" s="1186">
        <v>4.5999999999999996</v>
      </c>
      <c r="Y328" s="1186">
        <v>9.4</v>
      </c>
      <c r="Z328" s="1186">
        <v>2.8</v>
      </c>
      <c r="AA328" s="1186">
        <v>14.2</v>
      </c>
      <c r="AB328" s="1186">
        <v>6</v>
      </c>
      <c r="AC328" s="1186">
        <v>12.6</v>
      </c>
      <c r="AD328" s="1187">
        <v>3.6</v>
      </c>
    </row>
    <row r="329" spans="1:30" x14ac:dyDescent="0.2">
      <c r="A329">
        <f t="shared" si="38"/>
        <v>8</v>
      </c>
      <c r="B329">
        <v>320</v>
      </c>
      <c r="C329" s="1078">
        <v>3</v>
      </c>
      <c r="D329" s="1077" t="s">
        <v>3597</v>
      </c>
      <c r="E329" s="1077" t="s">
        <v>4503</v>
      </c>
      <c r="F329" s="1185">
        <v>4</v>
      </c>
      <c r="G329" s="1186"/>
      <c r="H329" s="1186"/>
      <c r="I329" s="1186"/>
      <c r="J329" s="1186"/>
      <c r="K329" s="1186"/>
      <c r="L329" s="1186"/>
      <c r="M329" s="1186"/>
      <c r="N329" s="1186"/>
      <c r="O329" s="1186"/>
      <c r="P329" s="1186"/>
      <c r="Q329" s="1186"/>
      <c r="R329" s="1186"/>
      <c r="S329" s="1186"/>
      <c r="T329" s="1186"/>
      <c r="U329" s="1186"/>
      <c r="V329" s="1186"/>
      <c r="W329" s="1186">
        <v>12.3</v>
      </c>
      <c r="X329" s="1186">
        <v>4.5</v>
      </c>
      <c r="Y329" s="1186">
        <v>10.9</v>
      </c>
      <c r="Z329" s="1186">
        <v>2.7</v>
      </c>
      <c r="AA329" s="1186">
        <v>16.5</v>
      </c>
      <c r="AB329" s="1186">
        <v>5.7</v>
      </c>
      <c r="AC329" s="1186">
        <v>14.5</v>
      </c>
      <c r="AD329" s="1187">
        <v>3.5</v>
      </c>
    </row>
    <row r="330" spans="1:30" x14ac:dyDescent="0.2">
      <c r="A330">
        <f t="shared" si="38"/>
        <v>8</v>
      </c>
      <c r="B330">
        <v>321</v>
      </c>
      <c r="C330" s="1078">
        <v>3</v>
      </c>
      <c r="D330" s="1077" t="s">
        <v>3597</v>
      </c>
      <c r="E330" s="1077" t="s">
        <v>4504</v>
      </c>
      <c r="F330" s="1185">
        <v>4</v>
      </c>
      <c r="G330" s="1186"/>
      <c r="H330" s="1186"/>
      <c r="I330" s="1186"/>
      <c r="J330" s="1186"/>
      <c r="K330" s="1186"/>
      <c r="L330" s="1186"/>
      <c r="M330" s="1186"/>
      <c r="N330" s="1186"/>
      <c r="O330" s="1186"/>
      <c r="P330" s="1186"/>
      <c r="Q330" s="1186"/>
      <c r="R330" s="1186"/>
      <c r="S330" s="1186"/>
      <c r="T330" s="1186"/>
      <c r="U330" s="1186"/>
      <c r="V330" s="1186"/>
      <c r="W330" s="1186">
        <v>14</v>
      </c>
      <c r="X330" s="1186">
        <v>4.3</v>
      </c>
      <c r="Y330" s="1186">
        <v>12.3</v>
      </c>
      <c r="Z330" s="1186">
        <v>2.6</v>
      </c>
      <c r="AA330" s="1186">
        <v>18.600000000000001</v>
      </c>
      <c r="AB330" s="1186">
        <v>5.4</v>
      </c>
      <c r="AC330" s="1186">
        <v>16.399999999999999</v>
      </c>
      <c r="AD330" s="1187">
        <v>3.3</v>
      </c>
    </row>
    <row r="331" spans="1:30" x14ac:dyDescent="0.2">
      <c r="A331">
        <f t="shared" si="38"/>
        <v>8</v>
      </c>
      <c r="B331">
        <v>322</v>
      </c>
      <c r="C331" s="1078">
        <v>3</v>
      </c>
      <c r="D331" s="1077" t="s">
        <v>3597</v>
      </c>
      <c r="E331" s="1077" t="s">
        <v>4505</v>
      </c>
      <c r="F331" s="1185">
        <v>4</v>
      </c>
      <c r="G331" s="1186"/>
      <c r="H331" s="1186"/>
      <c r="I331" s="1186"/>
      <c r="J331" s="1186"/>
      <c r="K331" s="1186"/>
      <c r="L331" s="1186"/>
      <c r="M331" s="1186"/>
      <c r="N331" s="1186"/>
      <c r="O331" s="1186"/>
      <c r="P331" s="1186"/>
      <c r="Q331" s="1186"/>
      <c r="R331" s="1186"/>
      <c r="S331" s="1186"/>
      <c r="T331" s="1186"/>
      <c r="U331" s="1186"/>
      <c r="V331" s="1186"/>
      <c r="W331" s="1186">
        <v>15.6</v>
      </c>
      <c r="X331" s="1186">
        <v>4.0999999999999996</v>
      </c>
      <c r="Y331" s="1186">
        <v>13.7</v>
      </c>
      <c r="Z331" s="1186">
        <v>2.5</v>
      </c>
      <c r="AA331" s="1186">
        <v>20.8</v>
      </c>
      <c r="AB331" s="1186">
        <v>5.0999999999999996</v>
      </c>
      <c r="AC331" s="1186">
        <v>18.3</v>
      </c>
      <c r="AD331" s="1187">
        <v>3.2</v>
      </c>
    </row>
    <row r="332" spans="1:30" x14ac:dyDescent="0.2">
      <c r="A332">
        <f t="shared" ref="A332:A395" si="39">A331+(D332&lt;&gt;D331)*1</f>
        <v>8</v>
      </c>
      <c r="B332">
        <v>323</v>
      </c>
      <c r="C332" s="1078">
        <v>3</v>
      </c>
      <c r="D332" s="1077" t="s">
        <v>3597</v>
      </c>
      <c r="E332" s="1077" t="s">
        <v>4506</v>
      </c>
      <c r="F332" s="1185">
        <v>4</v>
      </c>
      <c r="G332" s="1186"/>
      <c r="H332" s="1186"/>
      <c r="I332" s="1186"/>
      <c r="J332" s="1186"/>
      <c r="K332" s="1186"/>
      <c r="L332" s="1186"/>
      <c r="M332" s="1186"/>
      <c r="N332" s="1186"/>
      <c r="O332" s="1186"/>
      <c r="P332" s="1186"/>
      <c r="Q332" s="1186"/>
      <c r="R332" s="1186"/>
      <c r="S332" s="1186"/>
      <c r="T332" s="1186"/>
      <c r="U332" s="1186"/>
      <c r="V332" s="1186"/>
      <c r="W332" s="1186">
        <v>17.2</v>
      </c>
      <c r="X332" s="1186">
        <v>3.9</v>
      </c>
      <c r="Y332" s="1186">
        <v>15</v>
      </c>
      <c r="Z332" s="1186">
        <v>2.4</v>
      </c>
      <c r="AA332" s="1186">
        <v>22.9</v>
      </c>
      <c r="AB332" s="1186">
        <v>4.9000000000000004</v>
      </c>
      <c r="AC332" s="1186">
        <v>20.100000000000001</v>
      </c>
      <c r="AD332" s="1187">
        <v>3</v>
      </c>
    </row>
    <row r="333" spans="1:30" x14ac:dyDescent="0.2">
      <c r="A333">
        <f t="shared" si="39"/>
        <v>8</v>
      </c>
      <c r="B333">
        <v>324</v>
      </c>
      <c r="C333" s="1078">
        <v>3</v>
      </c>
      <c r="D333" s="1077" t="s">
        <v>3597</v>
      </c>
      <c r="E333" s="1077" t="s">
        <v>4507</v>
      </c>
      <c r="F333" s="1185">
        <v>4</v>
      </c>
      <c r="G333" s="1186"/>
      <c r="H333" s="1186"/>
      <c r="I333" s="1186"/>
      <c r="J333" s="1186"/>
      <c r="K333" s="1186"/>
      <c r="L333" s="1186"/>
      <c r="M333" s="1186"/>
      <c r="N333" s="1186"/>
      <c r="O333" s="1186"/>
      <c r="P333" s="1186"/>
      <c r="Q333" s="1186"/>
      <c r="R333" s="1186"/>
      <c r="S333" s="1186"/>
      <c r="T333" s="1186"/>
      <c r="U333" s="1186"/>
      <c r="V333" s="1186"/>
      <c r="W333" s="1186">
        <v>10.199999999999999</v>
      </c>
      <c r="X333" s="1186">
        <v>5</v>
      </c>
      <c r="Y333" s="1186">
        <v>9</v>
      </c>
      <c r="Z333" s="1186">
        <v>2.8</v>
      </c>
      <c r="AA333" s="1186">
        <v>13.8</v>
      </c>
      <c r="AB333" s="1186">
        <v>6.7</v>
      </c>
      <c r="AC333" s="1186">
        <v>11.9</v>
      </c>
      <c r="AD333" s="1187">
        <v>3.6</v>
      </c>
    </row>
    <row r="334" spans="1:30" x14ac:dyDescent="0.2">
      <c r="A334">
        <f t="shared" si="39"/>
        <v>8</v>
      </c>
      <c r="B334">
        <v>325</v>
      </c>
      <c r="C334" s="1078">
        <v>3</v>
      </c>
      <c r="D334" s="1077" t="s">
        <v>3597</v>
      </c>
      <c r="E334" s="1077" t="s">
        <v>4508</v>
      </c>
      <c r="F334" s="1185">
        <v>4</v>
      </c>
      <c r="G334" s="1186"/>
      <c r="H334" s="1186"/>
      <c r="I334" s="1186"/>
      <c r="J334" s="1186"/>
      <c r="K334" s="1186"/>
      <c r="L334" s="1186"/>
      <c r="M334" s="1186"/>
      <c r="N334" s="1186"/>
      <c r="O334" s="1186"/>
      <c r="P334" s="1186"/>
      <c r="Q334" s="1186"/>
      <c r="R334" s="1186"/>
      <c r="S334" s="1186"/>
      <c r="T334" s="1186"/>
      <c r="U334" s="1186"/>
      <c r="V334" s="1186"/>
      <c r="W334" s="1186">
        <v>13.5</v>
      </c>
      <c r="X334" s="1186">
        <v>4.9000000000000004</v>
      </c>
      <c r="Y334" s="1186">
        <v>12</v>
      </c>
      <c r="Z334" s="1186">
        <v>2.8</v>
      </c>
      <c r="AA334" s="1186">
        <v>18.3</v>
      </c>
      <c r="AB334" s="1186">
        <v>6.6</v>
      </c>
      <c r="AC334" s="1186">
        <v>15.8</v>
      </c>
      <c r="AD334" s="1187">
        <v>3.6</v>
      </c>
    </row>
    <row r="335" spans="1:30" x14ac:dyDescent="0.2">
      <c r="A335">
        <f t="shared" si="39"/>
        <v>8</v>
      </c>
      <c r="B335">
        <v>326</v>
      </c>
      <c r="C335" s="1078">
        <v>3</v>
      </c>
      <c r="D335" s="1077" t="s">
        <v>3597</v>
      </c>
      <c r="E335" s="1077" t="s">
        <v>4509</v>
      </c>
      <c r="F335" s="1185">
        <v>4</v>
      </c>
      <c r="G335" s="1186"/>
      <c r="H335" s="1186"/>
      <c r="I335" s="1186"/>
      <c r="J335" s="1186"/>
      <c r="K335" s="1186"/>
      <c r="L335" s="1186"/>
      <c r="M335" s="1186"/>
      <c r="N335" s="1186"/>
      <c r="O335" s="1186"/>
      <c r="P335" s="1186"/>
      <c r="Q335" s="1186"/>
      <c r="R335" s="1186"/>
      <c r="S335" s="1186"/>
      <c r="T335" s="1186"/>
      <c r="U335" s="1186"/>
      <c r="V335" s="1186"/>
      <c r="W335" s="1186">
        <v>16.8</v>
      </c>
      <c r="X335" s="1186">
        <v>4.8</v>
      </c>
      <c r="Y335" s="1186">
        <v>15</v>
      </c>
      <c r="Z335" s="1186">
        <v>2.8</v>
      </c>
      <c r="AA335" s="1186">
        <v>22.6</v>
      </c>
      <c r="AB335" s="1186">
        <v>6.3</v>
      </c>
      <c r="AC335" s="1186">
        <v>19.7</v>
      </c>
      <c r="AD335" s="1187">
        <v>3.6</v>
      </c>
    </row>
    <row r="336" spans="1:30" x14ac:dyDescent="0.2">
      <c r="A336">
        <f t="shared" si="39"/>
        <v>8</v>
      </c>
      <c r="B336">
        <v>327</v>
      </c>
      <c r="C336" s="1078">
        <v>3</v>
      </c>
      <c r="D336" s="1077" t="s">
        <v>3597</v>
      </c>
      <c r="E336" s="1077" t="s">
        <v>4453</v>
      </c>
      <c r="F336" s="1185">
        <v>4</v>
      </c>
      <c r="G336" s="1186"/>
      <c r="H336" s="1186"/>
      <c r="I336" s="1186"/>
      <c r="J336" s="1186"/>
      <c r="K336" s="1186"/>
      <c r="L336" s="1186"/>
      <c r="M336" s="1186"/>
      <c r="N336" s="1186"/>
      <c r="O336" s="1186"/>
      <c r="P336" s="1186"/>
      <c r="Q336" s="1186"/>
      <c r="R336" s="1186"/>
      <c r="S336" s="1186"/>
      <c r="T336" s="1186"/>
      <c r="U336" s="1186"/>
      <c r="V336" s="1186"/>
      <c r="W336" s="1186">
        <v>20.2</v>
      </c>
      <c r="X336" s="1186">
        <v>4.5999999999999996</v>
      </c>
      <c r="Y336" s="1186">
        <v>17.899999999999999</v>
      </c>
      <c r="Z336" s="1186">
        <v>2.8</v>
      </c>
      <c r="AA336" s="1186">
        <v>26.9</v>
      </c>
      <c r="AB336" s="1186">
        <v>6</v>
      </c>
      <c r="AC336" s="1186">
        <v>23.5</v>
      </c>
      <c r="AD336" s="1187">
        <v>3.5</v>
      </c>
    </row>
    <row r="337" spans="1:30" x14ac:dyDescent="0.2">
      <c r="A337">
        <f t="shared" si="39"/>
        <v>8</v>
      </c>
      <c r="B337">
        <v>328</v>
      </c>
      <c r="C337" s="1078">
        <v>3</v>
      </c>
      <c r="D337" s="1077" t="s">
        <v>3597</v>
      </c>
      <c r="E337" s="1077" t="s">
        <v>4510</v>
      </c>
      <c r="F337" s="1185">
        <v>4</v>
      </c>
      <c r="G337" s="1186"/>
      <c r="H337" s="1186"/>
      <c r="I337" s="1186"/>
      <c r="J337" s="1186"/>
      <c r="K337" s="1186"/>
      <c r="L337" s="1186"/>
      <c r="M337" s="1186"/>
      <c r="N337" s="1186"/>
      <c r="O337" s="1186"/>
      <c r="P337" s="1186"/>
      <c r="Q337" s="1186"/>
      <c r="R337" s="1186"/>
      <c r="S337" s="1186"/>
      <c r="T337" s="1186"/>
      <c r="U337" s="1186"/>
      <c r="V337" s="1186"/>
      <c r="W337" s="1186">
        <v>23.6</v>
      </c>
      <c r="X337" s="1186">
        <v>4.5</v>
      </c>
      <c r="Y337" s="1186">
        <v>20.8</v>
      </c>
      <c r="Z337" s="1186">
        <v>2.7</v>
      </c>
      <c r="AA337" s="1186">
        <v>31.1</v>
      </c>
      <c r="AB337" s="1186">
        <v>5.7</v>
      </c>
      <c r="AC337" s="1186">
        <v>27.3</v>
      </c>
      <c r="AD337" s="1187">
        <v>3.4</v>
      </c>
    </row>
    <row r="338" spans="1:30" x14ac:dyDescent="0.2">
      <c r="A338">
        <f t="shared" si="39"/>
        <v>8</v>
      </c>
      <c r="B338">
        <v>329</v>
      </c>
      <c r="C338" s="1078">
        <v>3</v>
      </c>
      <c r="D338" s="1077" t="s">
        <v>3597</v>
      </c>
      <c r="E338" s="1077" t="s">
        <v>4511</v>
      </c>
      <c r="F338" s="1185">
        <v>4</v>
      </c>
      <c r="G338" s="1186"/>
      <c r="H338" s="1186"/>
      <c r="I338" s="1186"/>
      <c r="J338" s="1186"/>
      <c r="K338" s="1186"/>
      <c r="L338" s="1186"/>
      <c r="M338" s="1186"/>
      <c r="N338" s="1186"/>
      <c r="O338" s="1186"/>
      <c r="P338" s="1186"/>
      <c r="Q338" s="1186"/>
      <c r="R338" s="1186"/>
      <c r="S338" s="1186"/>
      <c r="T338" s="1186"/>
      <c r="U338" s="1186"/>
      <c r="V338" s="1186"/>
      <c r="W338" s="1186">
        <v>27</v>
      </c>
      <c r="X338" s="1186">
        <v>4.4000000000000004</v>
      </c>
      <c r="Y338" s="1186">
        <v>23.7</v>
      </c>
      <c r="Z338" s="1186">
        <v>2.6</v>
      </c>
      <c r="AA338" s="1186">
        <v>35.299999999999997</v>
      </c>
      <c r="AB338" s="1186">
        <v>5.5</v>
      </c>
      <c r="AC338" s="1186">
        <v>31</v>
      </c>
      <c r="AD338" s="1187">
        <v>3.3</v>
      </c>
    </row>
    <row r="339" spans="1:30" x14ac:dyDescent="0.2">
      <c r="A339">
        <f t="shared" si="39"/>
        <v>8</v>
      </c>
      <c r="B339">
        <v>330</v>
      </c>
      <c r="C339" s="1078">
        <v>3</v>
      </c>
      <c r="D339" s="1077" t="s">
        <v>3597</v>
      </c>
      <c r="E339" s="1077" t="s">
        <v>4512</v>
      </c>
      <c r="F339" s="1185">
        <v>4</v>
      </c>
      <c r="G339" s="1186"/>
      <c r="H339" s="1186"/>
      <c r="I339" s="1186"/>
      <c r="J339" s="1186"/>
      <c r="K339" s="1186"/>
      <c r="L339" s="1186"/>
      <c r="M339" s="1186"/>
      <c r="N339" s="1186"/>
      <c r="O339" s="1186"/>
      <c r="P339" s="1186"/>
      <c r="Q339" s="1186"/>
      <c r="R339" s="1186"/>
      <c r="S339" s="1186"/>
      <c r="T339" s="1186"/>
      <c r="U339" s="1186"/>
      <c r="V339" s="1186"/>
      <c r="W339" s="1186">
        <v>30.5</v>
      </c>
      <c r="X339" s="1186">
        <v>4.2</v>
      </c>
      <c r="Y339" s="1186">
        <v>26.5</v>
      </c>
      <c r="Z339" s="1186">
        <v>2.6</v>
      </c>
      <c r="AA339" s="1186">
        <v>39.4</v>
      </c>
      <c r="AB339" s="1186">
        <v>5.2</v>
      </c>
      <c r="AC339" s="1186">
        <v>34.6</v>
      </c>
      <c r="AD339" s="1187">
        <v>3.2</v>
      </c>
    </row>
    <row r="340" spans="1:30" x14ac:dyDescent="0.2">
      <c r="A340">
        <f t="shared" si="39"/>
        <v>8</v>
      </c>
      <c r="B340">
        <v>331</v>
      </c>
      <c r="C340" s="1078">
        <v>3</v>
      </c>
      <c r="D340" s="1077" t="s">
        <v>3597</v>
      </c>
      <c r="E340" s="1077" t="s">
        <v>4513</v>
      </c>
      <c r="F340" s="1185">
        <v>4</v>
      </c>
      <c r="G340" s="1186"/>
      <c r="H340" s="1186"/>
      <c r="I340" s="1186"/>
      <c r="J340" s="1186"/>
      <c r="K340" s="1186"/>
      <c r="L340" s="1186"/>
      <c r="M340" s="1186"/>
      <c r="N340" s="1186"/>
      <c r="O340" s="1186"/>
      <c r="P340" s="1186"/>
      <c r="Q340" s="1186"/>
      <c r="R340" s="1186"/>
      <c r="S340" s="1186"/>
      <c r="T340" s="1186"/>
      <c r="U340" s="1186"/>
      <c r="V340" s="1186"/>
      <c r="W340" s="1186">
        <v>34</v>
      </c>
      <c r="X340" s="1186">
        <v>4.0999999999999996</v>
      </c>
      <c r="Y340" s="1186">
        <v>29.2</v>
      </c>
      <c r="Z340" s="1186">
        <v>2.5</v>
      </c>
      <c r="AA340" s="1186">
        <v>43.6</v>
      </c>
      <c r="AB340" s="1186">
        <v>5</v>
      </c>
      <c r="AC340" s="1186">
        <v>38.200000000000003</v>
      </c>
      <c r="AD340" s="1187">
        <v>3.1</v>
      </c>
    </row>
    <row r="341" spans="1:30" x14ac:dyDescent="0.2">
      <c r="A341">
        <f t="shared" si="39"/>
        <v>8</v>
      </c>
      <c r="B341">
        <v>332</v>
      </c>
      <c r="C341" s="1078">
        <v>3</v>
      </c>
      <c r="D341" s="1077" t="s">
        <v>3597</v>
      </c>
      <c r="E341" s="1077" t="s">
        <v>4025</v>
      </c>
      <c r="F341" s="1185">
        <v>1</v>
      </c>
      <c r="G341" s="1186"/>
      <c r="H341" s="1186"/>
      <c r="I341" s="1186"/>
      <c r="J341" s="1186"/>
      <c r="K341" s="1186"/>
      <c r="L341" s="1186"/>
      <c r="M341" s="1186"/>
      <c r="N341" s="1186"/>
      <c r="O341" s="1186"/>
      <c r="P341" s="1186"/>
      <c r="Q341" s="1186"/>
      <c r="R341" s="1186"/>
      <c r="S341" s="1186"/>
      <c r="T341" s="1186"/>
      <c r="U341" s="1186"/>
      <c r="V341" s="1186"/>
      <c r="W341" s="1186">
        <v>5</v>
      </c>
      <c r="X341" s="1186">
        <v>4.5</v>
      </c>
      <c r="Y341" s="1186">
        <v>4.5999999999999996</v>
      </c>
      <c r="Z341" s="1186">
        <v>2.7</v>
      </c>
      <c r="AA341" s="1186">
        <v>6.7</v>
      </c>
      <c r="AB341" s="1186">
        <v>5.8</v>
      </c>
      <c r="AC341" s="1186">
        <v>6</v>
      </c>
      <c r="AD341" s="1187">
        <v>3.4</v>
      </c>
    </row>
    <row r="342" spans="1:30" x14ac:dyDescent="0.2">
      <c r="A342">
        <f t="shared" si="39"/>
        <v>8</v>
      </c>
      <c r="B342">
        <v>333</v>
      </c>
      <c r="C342" s="1078">
        <v>3</v>
      </c>
      <c r="D342" s="1077" t="s">
        <v>3597</v>
      </c>
      <c r="E342" s="1077" t="s">
        <v>4026</v>
      </c>
      <c r="F342" s="1185">
        <v>1</v>
      </c>
      <c r="G342" s="1186"/>
      <c r="H342" s="1186"/>
      <c r="I342" s="1186"/>
      <c r="J342" s="1186"/>
      <c r="K342" s="1186"/>
      <c r="L342" s="1186"/>
      <c r="M342" s="1186"/>
      <c r="N342" s="1186"/>
      <c r="O342" s="1186"/>
      <c r="P342" s="1186"/>
      <c r="Q342" s="1186"/>
      <c r="R342" s="1186"/>
      <c r="S342" s="1186"/>
      <c r="T342" s="1186"/>
      <c r="U342" s="1186"/>
      <c r="V342" s="1186"/>
      <c r="W342" s="1186">
        <v>5.9</v>
      </c>
      <c r="X342" s="1186">
        <v>4.5</v>
      </c>
      <c r="Y342" s="1186">
        <v>5.3</v>
      </c>
      <c r="Z342" s="1186">
        <v>2.6</v>
      </c>
      <c r="AA342" s="1186">
        <v>7.9</v>
      </c>
      <c r="AB342" s="1186">
        <v>5.8</v>
      </c>
      <c r="AC342" s="1186">
        <v>7</v>
      </c>
      <c r="AD342" s="1187">
        <v>3.3</v>
      </c>
    </row>
    <row r="343" spans="1:30" x14ac:dyDescent="0.2">
      <c r="A343">
        <f t="shared" si="39"/>
        <v>8</v>
      </c>
      <c r="B343">
        <v>334</v>
      </c>
      <c r="C343" s="1078">
        <v>3</v>
      </c>
      <c r="D343" s="1077" t="s">
        <v>3597</v>
      </c>
      <c r="E343" s="1077" t="s">
        <v>4027</v>
      </c>
      <c r="F343" s="1185">
        <v>1</v>
      </c>
      <c r="G343" s="1186"/>
      <c r="H343" s="1186"/>
      <c r="I343" s="1186"/>
      <c r="J343" s="1186"/>
      <c r="K343" s="1186"/>
      <c r="L343" s="1186"/>
      <c r="M343" s="1186"/>
      <c r="N343" s="1186"/>
      <c r="O343" s="1186"/>
      <c r="P343" s="1186"/>
      <c r="Q343" s="1186"/>
      <c r="R343" s="1186"/>
      <c r="S343" s="1186"/>
      <c r="T343" s="1186"/>
      <c r="U343" s="1186"/>
      <c r="V343" s="1186"/>
      <c r="W343" s="1186">
        <v>7.7</v>
      </c>
      <c r="X343" s="1186">
        <v>4.5</v>
      </c>
      <c r="Y343" s="1186">
        <v>7.1</v>
      </c>
      <c r="Z343" s="1186">
        <v>2.7</v>
      </c>
      <c r="AA343" s="1186">
        <v>10.4</v>
      </c>
      <c r="AB343" s="1186">
        <v>6.1</v>
      </c>
      <c r="AC343" s="1186">
        <v>9.1999999999999993</v>
      </c>
      <c r="AD343" s="1187">
        <v>3.4</v>
      </c>
    </row>
    <row r="344" spans="1:30" x14ac:dyDescent="0.2">
      <c r="A344">
        <f t="shared" si="39"/>
        <v>8</v>
      </c>
      <c r="B344">
        <v>335</v>
      </c>
      <c r="C344" s="1078">
        <v>3</v>
      </c>
      <c r="D344" s="1077" t="s">
        <v>3597</v>
      </c>
      <c r="E344" s="1077" t="s">
        <v>4028</v>
      </c>
      <c r="F344" s="1185">
        <v>1</v>
      </c>
      <c r="G344" s="1186"/>
      <c r="H344" s="1186"/>
      <c r="I344" s="1186"/>
      <c r="J344" s="1186"/>
      <c r="K344" s="1186"/>
      <c r="L344" s="1186"/>
      <c r="M344" s="1186"/>
      <c r="N344" s="1186"/>
      <c r="O344" s="1186"/>
      <c r="P344" s="1186"/>
      <c r="Q344" s="1186"/>
      <c r="R344" s="1186"/>
      <c r="S344" s="1186"/>
      <c r="T344" s="1186"/>
      <c r="U344" s="1186"/>
      <c r="V344" s="1186"/>
      <c r="W344" s="1186">
        <v>10.6</v>
      </c>
      <c r="X344" s="1186">
        <v>4.7</v>
      </c>
      <c r="Y344" s="1186">
        <v>9.6</v>
      </c>
      <c r="Z344" s="1186">
        <v>2.8</v>
      </c>
      <c r="AA344" s="1186">
        <v>14.1</v>
      </c>
      <c r="AB344" s="1186">
        <v>6.2</v>
      </c>
      <c r="AC344" s="1186">
        <v>12.4</v>
      </c>
      <c r="AD344" s="1187">
        <v>3.5</v>
      </c>
    </row>
    <row r="345" spans="1:30" x14ac:dyDescent="0.2">
      <c r="A345">
        <f t="shared" si="39"/>
        <v>8</v>
      </c>
      <c r="B345">
        <v>336</v>
      </c>
      <c r="C345" s="1078">
        <v>3</v>
      </c>
      <c r="D345" s="1077" t="s">
        <v>3597</v>
      </c>
      <c r="E345" s="1077" t="s">
        <v>4029</v>
      </c>
      <c r="F345" s="1185">
        <v>1</v>
      </c>
      <c r="G345" s="1186"/>
      <c r="H345" s="1186"/>
      <c r="I345" s="1186"/>
      <c r="J345" s="1186"/>
      <c r="K345" s="1186"/>
      <c r="L345" s="1186"/>
      <c r="M345" s="1186"/>
      <c r="N345" s="1186"/>
      <c r="O345" s="1186"/>
      <c r="P345" s="1186"/>
      <c r="Q345" s="1186"/>
      <c r="R345" s="1186"/>
      <c r="S345" s="1186"/>
      <c r="T345" s="1186"/>
      <c r="U345" s="1186"/>
      <c r="V345" s="1186"/>
      <c r="W345" s="1186">
        <v>13.8</v>
      </c>
      <c r="X345" s="1186">
        <v>4.7</v>
      </c>
      <c r="Y345" s="1186">
        <v>12.4</v>
      </c>
      <c r="Z345" s="1186">
        <v>2.8</v>
      </c>
      <c r="AA345" s="1186">
        <v>18.399999999999999</v>
      </c>
      <c r="AB345" s="1186">
        <v>6.1</v>
      </c>
      <c r="AC345" s="1186">
        <v>16</v>
      </c>
      <c r="AD345" s="1187">
        <v>3.5</v>
      </c>
    </row>
    <row r="346" spans="1:30" x14ac:dyDescent="0.2">
      <c r="A346">
        <f t="shared" si="39"/>
        <v>8</v>
      </c>
      <c r="B346">
        <v>337</v>
      </c>
      <c r="C346" s="1078">
        <v>3</v>
      </c>
      <c r="D346" s="1077" t="s">
        <v>3597</v>
      </c>
      <c r="E346" s="1077" t="s">
        <v>4030</v>
      </c>
      <c r="F346" s="1185">
        <v>1</v>
      </c>
      <c r="G346" s="1186"/>
      <c r="H346" s="1186"/>
      <c r="I346" s="1186"/>
      <c r="J346" s="1186"/>
      <c r="K346" s="1186"/>
      <c r="L346" s="1186"/>
      <c r="M346" s="1186"/>
      <c r="N346" s="1186"/>
      <c r="O346" s="1186"/>
      <c r="P346" s="1186"/>
      <c r="Q346" s="1186"/>
      <c r="R346" s="1186"/>
      <c r="S346" s="1186"/>
      <c r="T346" s="1186"/>
      <c r="U346" s="1186"/>
      <c r="V346" s="1186"/>
      <c r="W346" s="1186">
        <v>17.8</v>
      </c>
      <c r="X346" s="1186">
        <v>4.5</v>
      </c>
      <c r="Y346" s="1186">
        <v>16.2</v>
      </c>
      <c r="Z346" s="1186">
        <v>2.7</v>
      </c>
      <c r="AA346" s="1186">
        <v>23.9</v>
      </c>
      <c r="AB346" s="1186">
        <v>5.7</v>
      </c>
      <c r="AC346" s="1186">
        <v>21</v>
      </c>
      <c r="AD346" s="1187">
        <v>3.4</v>
      </c>
    </row>
    <row r="347" spans="1:30" x14ac:dyDescent="0.2">
      <c r="A347">
        <f t="shared" si="39"/>
        <v>8</v>
      </c>
      <c r="B347">
        <v>338</v>
      </c>
      <c r="C347" s="1078">
        <v>3</v>
      </c>
      <c r="D347" s="1077" t="s">
        <v>3597</v>
      </c>
      <c r="E347" s="1077" t="s">
        <v>4031</v>
      </c>
      <c r="F347" s="1185">
        <v>1</v>
      </c>
      <c r="G347" s="1186"/>
      <c r="H347" s="1186"/>
      <c r="I347" s="1186"/>
      <c r="J347" s="1186"/>
      <c r="K347" s="1186"/>
      <c r="L347" s="1186"/>
      <c r="M347" s="1186"/>
      <c r="N347" s="1186"/>
      <c r="O347" s="1186"/>
      <c r="P347" s="1186"/>
      <c r="Q347" s="1186"/>
      <c r="R347" s="1186"/>
      <c r="S347" s="1186"/>
      <c r="T347" s="1186"/>
      <c r="U347" s="1186"/>
      <c r="V347" s="1186"/>
      <c r="W347" s="1186">
        <v>21.5</v>
      </c>
      <c r="X347" s="1186">
        <v>4.5</v>
      </c>
      <c r="Y347" s="1186">
        <v>18.600000000000001</v>
      </c>
      <c r="Z347" s="1186">
        <v>2.7</v>
      </c>
      <c r="AA347" s="1186">
        <v>28.1</v>
      </c>
      <c r="AB347" s="1186">
        <v>5.7</v>
      </c>
      <c r="AC347" s="1186">
        <v>25.2</v>
      </c>
      <c r="AD347" s="1187">
        <v>3.5</v>
      </c>
    </row>
    <row r="348" spans="1:30" x14ac:dyDescent="0.2">
      <c r="A348">
        <f t="shared" si="39"/>
        <v>8</v>
      </c>
      <c r="B348">
        <v>339</v>
      </c>
      <c r="C348" s="1078">
        <v>3</v>
      </c>
      <c r="D348" s="1077" t="s">
        <v>3597</v>
      </c>
      <c r="E348" s="1077" t="s">
        <v>4032</v>
      </c>
      <c r="F348" s="1185">
        <v>1</v>
      </c>
      <c r="G348" s="1186"/>
      <c r="H348" s="1186"/>
      <c r="I348" s="1186"/>
      <c r="J348" s="1186"/>
      <c r="K348" s="1186"/>
      <c r="L348" s="1186"/>
      <c r="M348" s="1186"/>
      <c r="N348" s="1186"/>
      <c r="O348" s="1186"/>
      <c r="P348" s="1186"/>
      <c r="Q348" s="1186"/>
      <c r="R348" s="1186"/>
      <c r="S348" s="1186"/>
      <c r="T348" s="1186"/>
      <c r="U348" s="1186"/>
      <c r="V348" s="1186"/>
      <c r="W348" s="1186">
        <v>24.6</v>
      </c>
      <c r="X348" s="1186">
        <v>4.5999999999999996</v>
      </c>
      <c r="Y348" s="1186">
        <v>21.1</v>
      </c>
      <c r="Z348" s="1186">
        <v>2.6</v>
      </c>
      <c r="AA348" s="1186">
        <v>32.200000000000003</v>
      </c>
      <c r="AB348" s="1186">
        <v>5.8</v>
      </c>
      <c r="AC348" s="1186">
        <v>28.9</v>
      </c>
      <c r="AD348" s="1187">
        <v>3.5</v>
      </c>
    </row>
    <row r="349" spans="1:30" x14ac:dyDescent="0.2">
      <c r="A349">
        <f t="shared" si="39"/>
        <v>8</v>
      </c>
      <c r="B349">
        <v>340</v>
      </c>
      <c r="C349" s="1078">
        <v>3</v>
      </c>
      <c r="D349" s="1077" t="s">
        <v>3597</v>
      </c>
      <c r="E349" s="1077" t="s">
        <v>4033</v>
      </c>
      <c r="F349" s="1185">
        <v>1</v>
      </c>
      <c r="G349" s="1186"/>
      <c r="H349" s="1186"/>
      <c r="I349" s="1186"/>
      <c r="J349" s="1186"/>
      <c r="K349" s="1186"/>
      <c r="L349" s="1186"/>
      <c r="M349" s="1186"/>
      <c r="N349" s="1186"/>
      <c r="O349" s="1186"/>
      <c r="P349" s="1186"/>
      <c r="Q349" s="1186"/>
      <c r="R349" s="1186"/>
      <c r="S349" s="1186"/>
      <c r="T349" s="1186"/>
      <c r="U349" s="1186"/>
      <c r="V349" s="1186"/>
      <c r="W349" s="1186">
        <v>29.1</v>
      </c>
      <c r="X349" s="1186">
        <v>4.7</v>
      </c>
      <c r="Y349" s="1186">
        <v>24.6</v>
      </c>
      <c r="Z349" s="1186">
        <v>2.6</v>
      </c>
      <c r="AA349" s="1186">
        <v>37.9</v>
      </c>
      <c r="AB349" s="1186">
        <v>5.9</v>
      </c>
      <c r="AC349" s="1186">
        <v>34.1</v>
      </c>
      <c r="AD349" s="1187">
        <v>3.7</v>
      </c>
    </row>
    <row r="350" spans="1:30" x14ac:dyDescent="0.2">
      <c r="A350">
        <f t="shared" si="39"/>
        <v>8</v>
      </c>
      <c r="B350">
        <v>341</v>
      </c>
      <c r="C350" s="1078">
        <v>3</v>
      </c>
      <c r="D350" s="1077" t="s">
        <v>3597</v>
      </c>
      <c r="E350" s="1077" t="s">
        <v>4034</v>
      </c>
      <c r="F350" s="1185">
        <v>1</v>
      </c>
      <c r="G350" s="1186"/>
      <c r="H350" s="1186"/>
      <c r="I350" s="1186"/>
      <c r="J350" s="1186"/>
      <c r="K350" s="1186"/>
      <c r="L350" s="1186"/>
      <c r="M350" s="1186"/>
      <c r="N350" s="1186"/>
      <c r="O350" s="1186"/>
      <c r="P350" s="1186"/>
      <c r="Q350" s="1186"/>
      <c r="R350" s="1186"/>
      <c r="S350" s="1186"/>
      <c r="T350" s="1186"/>
      <c r="U350" s="1186"/>
      <c r="V350" s="1186"/>
      <c r="W350" s="1186">
        <v>32.9</v>
      </c>
      <c r="X350" s="1186">
        <v>4.5999999999999996</v>
      </c>
      <c r="Y350" s="1186">
        <v>27.7</v>
      </c>
      <c r="Z350" s="1186">
        <v>2.6</v>
      </c>
      <c r="AA350" s="1186">
        <v>42.9</v>
      </c>
      <c r="AB350" s="1186">
        <v>5.8</v>
      </c>
      <c r="AC350" s="1186">
        <v>38.4</v>
      </c>
      <c r="AD350" s="1187">
        <v>3.6</v>
      </c>
    </row>
    <row r="351" spans="1:30" x14ac:dyDescent="0.2">
      <c r="A351">
        <f t="shared" si="39"/>
        <v>8</v>
      </c>
      <c r="B351">
        <v>342</v>
      </c>
      <c r="C351" s="1081">
        <v>3</v>
      </c>
      <c r="D351" s="1082" t="s">
        <v>3597</v>
      </c>
      <c r="E351" s="1082" t="s">
        <v>4035</v>
      </c>
      <c r="F351" s="1188">
        <v>2</v>
      </c>
      <c r="G351" s="1189"/>
      <c r="H351" s="1189"/>
      <c r="I351" s="1189"/>
      <c r="J351" s="1189"/>
      <c r="K351" s="1189"/>
      <c r="L351" s="1189"/>
      <c r="M351" s="1189"/>
      <c r="N351" s="1189"/>
      <c r="O351" s="1189"/>
      <c r="P351" s="1189"/>
      <c r="Q351" s="1189"/>
      <c r="R351" s="1189"/>
      <c r="S351" s="1189"/>
      <c r="T351" s="1189"/>
      <c r="U351" s="1189"/>
      <c r="V351" s="1189"/>
      <c r="W351" s="1189">
        <v>20.8</v>
      </c>
      <c r="X351" s="1189">
        <v>4.7</v>
      </c>
      <c r="Y351" s="1189">
        <v>19.600000000000001</v>
      </c>
      <c r="Z351" s="1189">
        <v>2.9</v>
      </c>
      <c r="AA351" s="1189">
        <v>27.5</v>
      </c>
      <c r="AB351" s="1189">
        <v>6.2</v>
      </c>
      <c r="AC351" s="1189">
        <v>25.4</v>
      </c>
      <c r="AD351" s="1194">
        <v>3.7</v>
      </c>
    </row>
    <row r="352" spans="1:30" x14ac:dyDescent="0.2">
      <c r="A352">
        <f t="shared" si="39"/>
        <v>8</v>
      </c>
      <c r="B352">
        <v>343</v>
      </c>
      <c r="C352" s="1190">
        <v>3</v>
      </c>
      <c r="D352" s="1191" t="s">
        <v>3597</v>
      </c>
      <c r="E352" s="1191" t="s">
        <v>4036</v>
      </c>
      <c r="F352" s="1192">
        <v>2</v>
      </c>
      <c r="G352" s="1193"/>
      <c r="H352" s="1193"/>
      <c r="I352" s="1193"/>
      <c r="J352" s="1193"/>
      <c r="K352" s="1193"/>
      <c r="L352" s="1193"/>
      <c r="M352" s="1193"/>
      <c r="N352" s="1193"/>
      <c r="O352" s="1193"/>
      <c r="P352" s="1193"/>
      <c r="Q352" s="1193"/>
      <c r="R352" s="1193"/>
      <c r="S352" s="1193"/>
      <c r="T352" s="1193"/>
      <c r="U352" s="1193"/>
      <c r="V352" s="1193"/>
      <c r="W352" s="1193">
        <v>27.1</v>
      </c>
      <c r="X352" s="1193">
        <v>4.7</v>
      </c>
      <c r="Y352" s="1193">
        <v>25.1</v>
      </c>
      <c r="Z352" s="1193">
        <v>2.9</v>
      </c>
      <c r="AA352" s="1193">
        <v>35.799999999999997</v>
      </c>
      <c r="AB352" s="1193">
        <v>6.1</v>
      </c>
      <c r="AC352" s="1193">
        <v>33</v>
      </c>
      <c r="AD352" s="1195">
        <v>3.7</v>
      </c>
    </row>
    <row r="353" spans="1:30" x14ac:dyDescent="0.2">
      <c r="A353">
        <f t="shared" si="39"/>
        <v>8</v>
      </c>
      <c r="B353">
        <v>344</v>
      </c>
      <c r="C353" s="1078">
        <v>3</v>
      </c>
      <c r="D353" s="1077" t="s">
        <v>3597</v>
      </c>
      <c r="E353" s="1077" t="s">
        <v>4037</v>
      </c>
      <c r="F353" s="1185">
        <v>2</v>
      </c>
      <c r="G353" s="1186"/>
      <c r="H353" s="1186"/>
      <c r="I353" s="1186"/>
      <c r="J353" s="1186"/>
      <c r="K353" s="1186"/>
      <c r="L353" s="1186"/>
      <c r="M353" s="1186"/>
      <c r="N353" s="1186"/>
      <c r="O353" s="1186"/>
      <c r="P353" s="1186"/>
      <c r="Q353" s="1186"/>
      <c r="R353" s="1186"/>
      <c r="S353" s="1186"/>
      <c r="T353" s="1186"/>
      <c r="U353" s="1186"/>
      <c r="V353" s="1186"/>
      <c r="W353" s="1186">
        <v>35</v>
      </c>
      <c r="X353" s="1186">
        <v>4.5</v>
      </c>
      <c r="Y353" s="1186">
        <v>32.799999999999997</v>
      </c>
      <c r="Z353" s="1186">
        <v>2.9</v>
      </c>
      <c r="AA353" s="1186">
        <v>46.5</v>
      </c>
      <c r="AB353" s="1186">
        <v>5.9</v>
      </c>
      <c r="AC353" s="1186">
        <v>43.3</v>
      </c>
      <c r="AD353" s="1187">
        <v>3.6</v>
      </c>
    </row>
    <row r="354" spans="1:30" x14ac:dyDescent="0.2">
      <c r="A354">
        <f t="shared" si="39"/>
        <v>8</v>
      </c>
      <c r="B354">
        <v>345</v>
      </c>
      <c r="C354" s="1078">
        <v>3</v>
      </c>
      <c r="D354" s="1077" t="s">
        <v>3597</v>
      </c>
      <c r="E354" s="1077" t="s">
        <v>4038</v>
      </c>
      <c r="F354" s="1185">
        <v>2</v>
      </c>
      <c r="G354" s="1186"/>
      <c r="H354" s="1186"/>
      <c r="I354" s="1186"/>
      <c r="J354" s="1186"/>
      <c r="K354" s="1186"/>
      <c r="L354" s="1186"/>
      <c r="M354" s="1186"/>
      <c r="N354" s="1186"/>
      <c r="O354" s="1186"/>
      <c r="P354" s="1186"/>
      <c r="Q354" s="1186"/>
      <c r="R354" s="1186"/>
      <c r="S354" s="1186"/>
      <c r="T354" s="1186"/>
      <c r="U354" s="1186"/>
      <c r="V354" s="1186"/>
      <c r="W354" s="1186">
        <v>44</v>
      </c>
      <c r="X354" s="1186">
        <v>4.7</v>
      </c>
      <c r="Y354" s="1186">
        <v>39</v>
      </c>
      <c r="Z354" s="1186">
        <v>2.9</v>
      </c>
      <c r="AA354" s="1186">
        <v>58</v>
      </c>
      <c r="AB354" s="1186">
        <v>6</v>
      </c>
      <c r="AC354" s="1186">
        <v>53</v>
      </c>
      <c r="AD354" s="1187">
        <v>3.8</v>
      </c>
    </row>
    <row r="355" spans="1:30" x14ac:dyDescent="0.2">
      <c r="A355">
        <f t="shared" si="39"/>
        <v>8</v>
      </c>
      <c r="B355">
        <v>346</v>
      </c>
      <c r="C355" s="1081">
        <v>3</v>
      </c>
      <c r="D355" s="1082" t="s">
        <v>3597</v>
      </c>
      <c r="E355" s="1082" t="s">
        <v>4039</v>
      </c>
      <c r="F355" s="1188">
        <v>2</v>
      </c>
      <c r="G355" s="1189"/>
      <c r="H355" s="1189"/>
      <c r="I355" s="1189"/>
      <c r="J355" s="1189"/>
      <c r="K355" s="1189"/>
      <c r="L355" s="1189"/>
      <c r="M355" s="1189"/>
      <c r="N355" s="1189"/>
      <c r="O355" s="1189"/>
      <c r="P355" s="1189"/>
      <c r="Q355" s="1189"/>
      <c r="R355" s="1189"/>
      <c r="S355" s="1189"/>
      <c r="T355" s="1189"/>
      <c r="U355" s="1189"/>
      <c r="V355" s="1189"/>
      <c r="W355" s="1189">
        <v>50</v>
      </c>
      <c r="X355" s="1189">
        <v>4.7</v>
      </c>
      <c r="Y355" s="1189">
        <v>45</v>
      </c>
      <c r="Z355" s="1189">
        <v>2.8</v>
      </c>
      <c r="AA355" s="1189">
        <v>67</v>
      </c>
      <c r="AB355" s="1189">
        <v>6.1</v>
      </c>
      <c r="AC355" s="1189">
        <v>61</v>
      </c>
      <c r="AD355" s="1194">
        <v>3.8</v>
      </c>
    </row>
    <row r="356" spans="1:30" x14ac:dyDescent="0.2">
      <c r="A356">
        <f t="shared" si="39"/>
        <v>8</v>
      </c>
      <c r="B356">
        <v>347</v>
      </c>
      <c r="C356" s="1190">
        <v>3</v>
      </c>
      <c r="D356" s="1191" t="s">
        <v>3597</v>
      </c>
      <c r="E356" s="1191" t="s">
        <v>4040</v>
      </c>
      <c r="F356" s="1192">
        <v>2</v>
      </c>
      <c r="G356" s="1193"/>
      <c r="H356" s="1193"/>
      <c r="I356" s="1193"/>
      <c r="J356" s="1193"/>
      <c r="K356" s="1193"/>
      <c r="L356" s="1193"/>
      <c r="M356" s="1193"/>
      <c r="N356" s="1193"/>
      <c r="O356" s="1193"/>
      <c r="P356" s="1193"/>
      <c r="Q356" s="1193"/>
      <c r="R356" s="1193"/>
      <c r="S356" s="1193"/>
      <c r="T356" s="1193"/>
      <c r="U356" s="1193"/>
      <c r="V356" s="1193"/>
      <c r="W356" s="1193">
        <v>58</v>
      </c>
      <c r="X356" s="1193">
        <v>4.8</v>
      </c>
      <c r="Y356" s="1193">
        <v>52</v>
      </c>
      <c r="Z356" s="1193">
        <v>2.8</v>
      </c>
      <c r="AA356" s="1193">
        <v>77</v>
      </c>
      <c r="AB356" s="1193">
        <v>6.2</v>
      </c>
      <c r="AC356" s="1193">
        <v>69</v>
      </c>
      <c r="AD356" s="1195">
        <v>3.7</v>
      </c>
    </row>
    <row r="357" spans="1:30" x14ac:dyDescent="0.2">
      <c r="A357">
        <f t="shared" si="39"/>
        <v>8</v>
      </c>
      <c r="B357">
        <v>348</v>
      </c>
      <c r="C357" s="1078">
        <v>3</v>
      </c>
      <c r="D357" s="1077" t="s">
        <v>3597</v>
      </c>
      <c r="E357" s="1077" t="s">
        <v>4041</v>
      </c>
      <c r="F357" s="1185">
        <v>2</v>
      </c>
      <c r="G357" s="1186"/>
      <c r="H357" s="1186"/>
      <c r="I357" s="1186"/>
      <c r="J357" s="1186"/>
      <c r="K357" s="1186"/>
      <c r="L357" s="1186"/>
      <c r="M357" s="1186"/>
      <c r="N357" s="1186"/>
      <c r="O357" s="1186"/>
      <c r="P357" s="1186"/>
      <c r="Q357" s="1186"/>
      <c r="R357" s="1186"/>
      <c r="S357" s="1186"/>
      <c r="T357" s="1186"/>
      <c r="U357" s="1186"/>
      <c r="V357" s="1186"/>
      <c r="W357" s="1186">
        <v>64</v>
      </c>
      <c r="X357" s="1186">
        <v>4.7</v>
      </c>
      <c r="Y357" s="1186">
        <v>57</v>
      </c>
      <c r="Z357" s="1186">
        <v>2.8</v>
      </c>
      <c r="AA357" s="1186">
        <v>86</v>
      </c>
      <c r="AB357" s="1186">
        <v>6</v>
      </c>
      <c r="AC357" s="1186">
        <v>77</v>
      </c>
      <c r="AD357" s="1187">
        <v>3.7</v>
      </c>
    </row>
    <row r="358" spans="1:30" x14ac:dyDescent="0.2">
      <c r="A358">
        <f t="shared" si="39"/>
        <v>8</v>
      </c>
      <c r="B358">
        <v>349</v>
      </c>
      <c r="C358" s="1078">
        <v>3</v>
      </c>
      <c r="D358" s="1077" t="s">
        <v>3597</v>
      </c>
      <c r="E358" s="1077" t="s">
        <v>4042</v>
      </c>
      <c r="F358" s="1185">
        <v>2</v>
      </c>
      <c r="G358" s="1186"/>
      <c r="H358" s="1186"/>
      <c r="I358" s="1186"/>
      <c r="J358" s="1186"/>
      <c r="K358" s="1186"/>
      <c r="L358" s="1186"/>
      <c r="M358" s="1186"/>
      <c r="N358" s="1186"/>
      <c r="O358" s="1186"/>
      <c r="P358" s="1186"/>
      <c r="Q358" s="1186"/>
      <c r="R358" s="1186"/>
      <c r="S358" s="1186"/>
      <c r="T358" s="1186"/>
      <c r="U358" s="1186"/>
      <c r="V358" s="1186"/>
      <c r="W358" s="1186">
        <v>72</v>
      </c>
      <c r="X358" s="1186">
        <v>4.5999999999999996</v>
      </c>
      <c r="Y358" s="1186">
        <v>65</v>
      </c>
      <c r="Z358" s="1186">
        <v>2.9</v>
      </c>
      <c r="AA358" s="1186">
        <v>97</v>
      </c>
      <c r="AB358" s="1186">
        <v>5.9</v>
      </c>
      <c r="AC358" s="1186">
        <v>87</v>
      </c>
      <c r="AD358" s="1187">
        <v>3.7</v>
      </c>
    </row>
    <row r="359" spans="1:30" x14ac:dyDescent="0.2">
      <c r="A359">
        <f t="shared" si="39"/>
        <v>8</v>
      </c>
      <c r="B359">
        <v>350</v>
      </c>
      <c r="C359" s="1078">
        <v>3</v>
      </c>
      <c r="D359" s="1077" t="s">
        <v>3597</v>
      </c>
      <c r="E359" s="1077" t="s">
        <v>4043</v>
      </c>
      <c r="F359" s="1185">
        <v>2</v>
      </c>
      <c r="G359" s="1186"/>
      <c r="H359" s="1186"/>
      <c r="I359" s="1186"/>
      <c r="J359" s="1186"/>
      <c r="K359" s="1186"/>
      <c r="L359" s="1186"/>
      <c r="M359" s="1186"/>
      <c r="N359" s="1186"/>
      <c r="O359" s="1186"/>
      <c r="P359" s="1186"/>
      <c r="Q359" s="1186"/>
      <c r="R359" s="1186"/>
      <c r="S359" s="1186"/>
      <c r="T359" s="1186"/>
      <c r="U359" s="1186"/>
      <c r="V359" s="1186"/>
      <c r="W359" s="1186">
        <v>85</v>
      </c>
      <c r="X359" s="1186">
        <v>4.5999999999999996</v>
      </c>
      <c r="Y359" s="1186">
        <v>77</v>
      </c>
      <c r="Z359" s="1186">
        <v>2.9</v>
      </c>
      <c r="AA359" s="1186">
        <v>113</v>
      </c>
      <c r="AB359" s="1186">
        <v>5.8</v>
      </c>
      <c r="AC359" s="1186">
        <v>102</v>
      </c>
      <c r="AD359" s="1187">
        <v>3.7</v>
      </c>
    </row>
    <row r="360" spans="1:30" x14ac:dyDescent="0.2">
      <c r="A360">
        <f t="shared" si="39"/>
        <v>8</v>
      </c>
      <c r="B360">
        <v>351</v>
      </c>
      <c r="C360" s="1078">
        <v>3</v>
      </c>
      <c r="D360" s="1077" t="s">
        <v>3597</v>
      </c>
      <c r="E360" s="1077" t="s">
        <v>4044</v>
      </c>
      <c r="F360" s="1185">
        <v>2</v>
      </c>
      <c r="G360" s="1186"/>
      <c r="H360" s="1186"/>
      <c r="I360" s="1186"/>
      <c r="J360" s="1186"/>
      <c r="K360" s="1186"/>
      <c r="L360" s="1186"/>
      <c r="M360" s="1186"/>
      <c r="N360" s="1186"/>
      <c r="O360" s="1186"/>
      <c r="P360" s="1186"/>
      <c r="Q360" s="1186"/>
      <c r="R360" s="1186"/>
      <c r="S360" s="1186"/>
      <c r="T360" s="1186"/>
      <c r="U360" s="1186"/>
      <c r="V360" s="1186"/>
      <c r="W360" s="1186">
        <v>100</v>
      </c>
      <c r="X360" s="1186">
        <v>4.7</v>
      </c>
      <c r="Y360" s="1186">
        <v>91</v>
      </c>
      <c r="Z360" s="1186">
        <v>2.9</v>
      </c>
      <c r="AA360" s="1186">
        <v>129</v>
      </c>
      <c r="AB360" s="1186">
        <v>5.9</v>
      </c>
      <c r="AC360" s="1186">
        <v>119</v>
      </c>
      <c r="AD360" s="1187">
        <v>3.7</v>
      </c>
    </row>
    <row r="361" spans="1:30" x14ac:dyDescent="0.2">
      <c r="A361">
        <f t="shared" si="39"/>
        <v>8</v>
      </c>
      <c r="B361">
        <v>352</v>
      </c>
      <c r="C361" s="1078">
        <v>3</v>
      </c>
      <c r="D361" s="1077" t="s">
        <v>3597</v>
      </c>
      <c r="E361" s="1077" t="s">
        <v>4045</v>
      </c>
      <c r="F361" s="1185">
        <v>2</v>
      </c>
      <c r="G361" s="1186"/>
      <c r="H361" s="1186"/>
      <c r="I361" s="1186"/>
      <c r="J361" s="1186"/>
      <c r="K361" s="1186"/>
      <c r="L361" s="1186"/>
      <c r="M361" s="1186"/>
      <c r="N361" s="1186"/>
      <c r="O361" s="1186"/>
      <c r="P361" s="1186"/>
      <c r="Q361" s="1186"/>
      <c r="R361" s="1186"/>
      <c r="S361" s="1186"/>
      <c r="T361" s="1186"/>
      <c r="U361" s="1186"/>
      <c r="V361" s="1186"/>
      <c r="W361" s="1186">
        <v>111</v>
      </c>
      <c r="X361" s="1186">
        <v>4.5999999999999996</v>
      </c>
      <c r="Y361" s="1186">
        <v>102</v>
      </c>
      <c r="Z361" s="1186">
        <v>2.9</v>
      </c>
      <c r="AA361" s="1186">
        <v>144</v>
      </c>
      <c r="AB361" s="1186">
        <v>5.9</v>
      </c>
      <c r="AC361" s="1186">
        <v>133</v>
      </c>
      <c r="AD361" s="1187">
        <v>3.6</v>
      </c>
    </row>
    <row r="362" spans="1:30" x14ac:dyDescent="0.2">
      <c r="A362">
        <f t="shared" si="39"/>
        <v>8</v>
      </c>
      <c r="B362">
        <v>353</v>
      </c>
      <c r="C362" s="1078">
        <v>3</v>
      </c>
      <c r="D362" s="1077" t="s">
        <v>3597</v>
      </c>
      <c r="E362" s="1077" t="s">
        <v>4046</v>
      </c>
      <c r="F362" s="1185">
        <v>2</v>
      </c>
      <c r="G362" s="1186"/>
      <c r="H362" s="1186"/>
      <c r="I362" s="1186"/>
      <c r="J362" s="1186"/>
      <c r="K362" s="1186"/>
      <c r="L362" s="1186"/>
      <c r="M362" s="1186"/>
      <c r="N362" s="1186"/>
      <c r="O362" s="1186"/>
      <c r="P362" s="1186"/>
      <c r="Q362" s="1186"/>
      <c r="R362" s="1186"/>
      <c r="S362" s="1186"/>
      <c r="T362" s="1186"/>
      <c r="U362" s="1186"/>
      <c r="V362" s="1186"/>
      <c r="W362" s="1186">
        <v>127</v>
      </c>
      <c r="X362" s="1186">
        <v>4.5999999999999996</v>
      </c>
      <c r="Y362" s="1186">
        <v>116</v>
      </c>
      <c r="Z362" s="1186">
        <v>2.9</v>
      </c>
      <c r="AA362" s="1186">
        <v>163</v>
      </c>
      <c r="AB362" s="1186">
        <v>5.9</v>
      </c>
      <c r="AC362" s="1186">
        <v>150</v>
      </c>
      <c r="AD362" s="1187">
        <v>3.6</v>
      </c>
    </row>
    <row r="363" spans="1:30" x14ac:dyDescent="0.2">
      <c r="A363">
        <f t="shared" si="39"/>
        <v>8</v>
      </c>
      <c r="B363">
        <v>354</v>
      </c>
      <c r="C363" s="1078">
        <v>3</v>
      </c>
      <c r="D363" s="1077" t="s">
        <v>3597</v>
      </c>
      <c r="E363" s="1077" t="s">
        <v>4047</v>
      </c>
      <c r="F363" s="1185">
        <v>2</v>
      </c>
      <c r="G363" s="1186"/>
      <c r="H363" s="1186"/>
      <c r="I363" s="1186"/>
      <c r="J363" s="1186"/>
      <c r="K363" s="1186"/>
      <c r="L363" s="1186"/>
      <c r="M363" s="1186"/>
      <c r="N363" s="1186"/>
      <c r="O363" s="1186"/>
      <c r="P363" s="1186"/>
      <c r="Q363" s="1186"/>
      <c r="R363" s="1186"/>
      <c r="S363" s="1186"/>
      <c r="T363" s="1186"/>
      <c r="U363" s="1186"/>
      <c r="V363" s="1186"/>
      <c r="W363" s="1186">
        <v>140</v>
      </c>
      <c r="X363" s="1186">
        <v>4.5999999999999996</v>
      </c>
      <c r="Y363" s="1186">
        <v>130</v>
      </c>
      <c r="Z363" s="1186">
        <v>2.9</v>
      </c>
      <c r="AA363" s="1186">
        <v>180</v>
      </c>
      <c r="AB363" s="1186">
        <v>5.8</v>
      </c>
      <c r="AC363" s="1186">
        <v>167</v>
      </c>
      <c r="AD363" s="1187">
        <v>3.6</v>
      </c>
    </row>
    <row r="364" spans="1:30" x14ac:dyDescent="0.2">
      <c r="A364">
        <f t="shared" si="39"/>
        <v>8</v>
      </c>
      <c r="B364">
        <v>355</v>
      </c>
      <c r="C364" s="1078">
        <v>3</v>
      </c>
      <c r="D364" s="1077" t="s">
        <v>3597</v>
      </c>
      <c r="E364" s="1077" t="s">
        <v>4048</v>
      </c>
      <c r="F364" s="1185">
        <v>2</v>
      </c>
      <c r="G364" s="1186"/>
      <c r="H364" s="1186"/>
      <c r="I364" s="1186"/>
      <c r="J364" s="1186"/>
      <c r="K364" s="1186"/>
      <c r="L364" s="1186"/>
      <c r="M364" s="1186"/>
      <c r="N364" s="1186"/>
      <c r="O364" s="1186"/>
      <c r="P364" s="1186"/>
      <c r="Q364" s="1186"/>
      <c r="R364" s="1186"/>
      <c r="S364" s="1186"/>
      <c r="T364" s="1186"/>
      <c r="U364" s="1186"/>
      <c r="V364" s="1186"/>
      <c r="W364" s="1186">
        <v>161</v>
      </c>
      <c r="X364" s="1186">
        <v>4.5999999999999996</v>
      </c>
      <c r="Y364" s="1186">
        <v>149</v>
      </c>
      <c r="Z364" s="1186">
        <v>2.9</v>
      </c>
      <c r="AA364" s="1186">
        <v>205</v>
      </c>
      <c r="AB364" s="1186">
        <v>5.8</v>
      </c>
      <c r="AC364" s="1186">
        <v>192</v>
      </c>
      <c r="AD364" s="1187">
        <v>3.6</v>
      </c>
    </row>
    <row r="365" spans="1:30" x14ac:dyDescent="0.2">
      <c r="A365">
        <f t="shared" si="39"/>
        <v>8</v>
      </c>
      <c r="B365">
        <v>356</v>
      </c>
      <c r="C365" s="1078">
        <v>3</v>
      </c>
      <c r="D365" s="1077" t="s">
        <v>3597</v>
      </c>
      <c r="E365" s="1077" t="s">
        <v>4049</v>
      </c>
      <c r="F365" s="1185">
        <v>2</v>
      </c>
      <c r="G365" s="1186"/>
      <c r="H365" s="1186"/>
      <c r="I365" s="1186"/>
      <c r="J365" s="1186"/>
      <c r="K365" s="1186"/>
      <c r="L365" s="1186"/>
      <c r="M365" s="1186"/>
      <c r="N365" s="1186"/>
      <c r="O365" s="1186"/>
      <c r="P365" s="1186"/>
      <c r="Q365" s="1186"/>
      <c r="R365" s="1186"/>
      <c r="S365" s="1186"/>
      <c r="T365" s="1186"/>
      <c r="U365" s="1186"/>
      <c r="V365" s="1186"/>
      <c r="W365" s="1186">
        <v>180</v>
      </c>
      <c r="X365" s="1186">
        <v>4.5999999999999996</v>
      </c>
      <c r="Y365" s="1186">
        <v>167</v>
      </c>
      <c r="Z365" s="1186">
        <v>2.9</v>
      </c>
      <c r="AA365" s="1186">
        <v>230</v>
      </c>
      <c r="AB365" s="1186">
        <v>5.8</v>
      </c>
      <c r="AC365" s="1186">
        <v>216</v>
      </c>
      <c r="AD365" s="1187">
        <v>3.6</v>
      </c>
    </row>
    <row r="366" spans="1:30" x14ac:dyDescent="0.2">
      <c r="A366">
        <f t="shared" si="39"/>
        <v>8</v>
      </c>
      <c r="B366">
        <v>357</v>
      </c>
      <c r="C366" s="1078">
        <v>3</v>
      </c>
      <c r="D366" s="1077" t="s">
        <v>3597</v>
      </c>
      <c r="E366" s="1077" t="s">
        <v>4050</v>
      </c>
      <c r="F366" s="1185">
        <v>2</v>
      </c>
      <c r="G366" s="1186"/>
      <c r="H366" s="1186"/>
      <c r="I366" s="1186"/>
      <c r="J366" s="1186"/>
      <c r="K366" s="1186"/>
      <c r="L366" s="1186"/>
      <c r="M366" s="1186"/>
      <c r="N366" s="1186"/>
      <c r="O366" s="1186"/>
      <c r="P366" s="1186"/>
      <c r="Q366" s="1186"/>
      <c r="R366" s="1186"/>
      <c r="S366" s="1186"/>
      <c r="T366" s="1186"/>
      <c r="U366" s="1186"/>
      <c r="V366" s="1186"/>
      <c r="W366" s="1186">
        <v>206</v>
      </c>
      <c r="X366" s="1186">
        <v>4.7</v>
      </c>
      <c r="Y366" s="1186">
        <v>190</v>
      </c>
      <c r="Z366" s="1186">
        <v>2.9</v>
      </c>
      <c r="AA366" s="1186">
        <v>263</v>
      </c>
      <c r="AB366" s="1186">
        <v>5.8</v>
      </c>
      <c r="AC366" s="1186">
        <v>246</v>
      </c>
      <c r="AD366" s="1187">
        <v>3.6</v>
      </c>
    </row>
    <row r="367" spans="1:30" x14ac:dyDescent="0.2">
      <c r="A367">
        <f t="shared" si="39"/>
        <v>8</v>
      </c>
      <c r="B367">
        <v>358</v>
      </c>
      <c r="C367" s="1078">
        <v>3</v>
      </c>
      <c r="D367" s="1077" t="s">
        <v>3597</v>
      </c>
      <c r="E367" s="1077" t="s">
        <v>4051</v>
      </c>
      <c r="F367" s="1185">
        <v>2</v>
      </c>
      <c r="G367" s="1186"/>
      <c r="H367" s="1186"/>
      <c r="I367" s="1186"/>
      <c r="J367" s="1186"/>
      <c r="K367" s="1186"/>
      <c r="L367" s="1186"/>
      <c r="M367" s="1186"/>
      <c r="N367" s="1186"/>
      <c r="O367" s="1186"/>
      <c r="P367" s="1186"/>
      <c r="Q367" s="1186"/>
      <c r="R367" s="1186"/>
      <c r="S367" s="1186"/>
      <c r="T367" s="1186"/>
      <c r="U367" s="1186"/>
      <c r="V367" s="1186"/>
      <c r="W367" s="1186">
        <v>230</v>
      </c>
      <c r="X367" s="1186">
        <v>4.7</v>
      </c>
      <c r="Y367" s="1186">
        <v>213</v>
      </c>
      <c r="Z367" s="1186">
        <v>2.9</v>
      </c>
      <c r="AA367" s="1186">
        <v>292</v>
      </c>
      <c r="AB367" s="1186">
        <v>5.7</v>
      </c>
      <c r="AC367" s="1186">
        <v>275</v>
      </c>
      <c r="AD367" s="1187">
        <v>3.6</v>
      </c>
    </row>
    <row r="368" spans="1:30" x14ac:dyDescent="0.2">
      <c r="A368">
        <f t="shared" si="39"/>
        <v>8</v>
      </c>
      <c r="B368">
        <v>359</v>
      </c>
      <c r="C368" s="1078">
        <v>2</v>
      </c>
      <c r="D368" s="1077" t="s">
        <v>3597</v>
      </c>
      <c r="E368" s="1077" t="s">
        <v>5365</v>
      </c>
      <c r="F368" s="1185">
        <v>4</v>
      </c>
      <c r="G368" s="1186">
        <v>4.34</v>
      </c>
      <c r="H368" s="1186">
        <v>2.4</v>
      </c>
      <c r="I368" s="1186">
        <v>5.41</v>
      </c>
      <c r="J368" s="1186">
        <v>3.08</v>
      </c>
      <c r="K368" s="1186">
        <v>4.5</v>
      </c>
      <c r="L368" s="1186">
        <v>3.5</v>
      </c>
      <c r="M368" s="1186">
        <v>4</v>
      </c>
      <c r="N368" s="1186">
        <v>3.7</v>
      </c>
      <c r="O368" s="1186">
        <v>2.8</v>
      </c>
      <c r="P368" s="1186">
        <v>6.81</v>
      </c>
      <c r="Q368" s="1186">
        <v>4.67</v>
      </c>
      <c r="R368" s="1186">
        <v>2.06</v>
      </c>
      <c r="S368" s="1186">
        <v>3.4</v>
      </c>
      <c r="T368" s="1186">
        <v>2.6</v>
      </c>
      <c r="U368" s="1186">
        <v>2.2000000000000002</v>
      </c>
      <c r="V368" s="1186">
        <v>3.6</v>
      </c>
      <c r="W368" s="1186"/>
      <c r="X368" s="1186"/>
      <c r="Y368" s="1186"/>
      <c r="Z368" s="1186"/>
      <c r="AA368" s="1186"/>
      <c r="AB368" s="1186"/>
      <c r="AC368" s="1186"/>
      <c r="AD368" s="1187"/>
    </row>
    <row r="369" spans="1:30" x14ac:dyDescent="0.2">
      <c r="A369">
        <f t="shared" si="39"/>
        <v>8</v>
      </c>
      <c r="B369">
        <v>360</v>
      </c>
      <c r="C369" s="1078">
        <v>2</v>
      </c>
      <c r="D369" s="1077" t="s">
        <v>3597</v>
      </c>
      <c r="E369" s="1077" t="s">
        <v>5366</v>
      </c>
      <c r="F369" s="1185">
        <v>4</v>
      </c>
      <c r="G369" s="1186">
        <v>5.92</v>
      </c>
      <c r="H369" s="1186">
        <v>2.6</v>
      </c>
      <c r="I369" s="1186">
        <v>7.33</v>
      </c>
      <c r="J369" s="1186">
        <v>3</v>
      </c>
      <c r="K369" s="1186">
        <v>6.1</v>
      </c>
      <c r="L369" s="1186">
        <v>3.6</v>
      </c>
      <c r="M369" s="1186">
        <v>5.4</v>
      </c>
      <c r="N369" s="1186">
        <v>3.6</v>
      </c>
      <c r="O369" s="1186">
        <v>3.8</v>
      </c>
      <c r="P369" s="1186">
        <v>6.3</v>
      </c>
      <c r="Q369" s="1186">
        <v>6.87</v>
      </c>
      <c r="R369" s="1186">
        <v>2.2999999999999998</v>
      </c>
      <c r="S369" s="1186">
        <v>5.0999999999999996</v>
      </c>
      <c r="T369" s="1186">
        <v>2.7</v>
      </c>
      <c r="U369" s="1186">
        <v>3.4</v>
      </c>
      <c r="V369" s="1186">
        <v>3.8</v>
      </c>
      <c r="W369" s="1186"/>
      <c r="X369" s="1186"/>
      <c r="Y369" s="1186"/>
      <c r="Z369" s="1186"/>
      <c r="AA369" s="1186"/>
      <c r="AB369" s="1186"/>
      <c r="AC369" s="1186"/>
      <c r="AD369" s="1187"/>
    </row>
    <row r="370" spans="1:30" x14ac:dyDescent="0.2">
      <c r="A370">
        <f t="shared" si="39"/>
        <v>8</v>
      </c>
      <c r="B370">
        <v>361</v>
      </c>
      <c r="C370" s="1078">
        <v>2</v>
      </c>
      <c r="D370" s="1077" t="s">
        <v>3597</v>
      </c>
      <c r="E370" s="1077" t="s">
        <v>5607</v>
      </c>
      <c r="F370" s="1185">
        <v>4</v>
      </c>
      <c r="G370" s="1186">
        <v>7</v>
      </c>
      <c r="H370" s="1186">
        <v>2.2999999999999998</v>
      </c>
      <c r="I370" s="1186">
        <v>9.4</v>
      </c>
      <c r="J370" s="1186">
        <v>3.04</v>
      </c>
      <c r="K370" s="1186">
        <v>7.9</v>
      </c>
      <c r="L370" s="1186">
        <v>3.6</v>
      </c>
      <c r="M370" s="1186">
        <v>7</v>
      </c>
      <c r="N370" s="1186">
        <v>3.7</v>
      </c>
      <c r="O370" s="1186">
        <v>4.8</v>
      </c>
      <c r="P370" s="1186">
        <v>6.8</v>
      </c>
      <c r="Q370" s="1186">
        <v>7.99</v>
      </c>
      <c r="R370" s="1186">
        <v>2.0299999999999998</v>
      </c>
      <c r="S370" s="1186">
        <v>6.3</v>
      </c>
      <c r="T370" s="1186">
        <v>2.6</v>
      </c>
      <c r="U370" s="1186">
        <v>4.3</v>
      </c>
      <c r="V370" s="1186">
        <v>3.9</v>
      </c>
      <c r="W370" s="1186"/>
      <c r="X370" s="1186"/>
      <c r="Y370" s="1186"/>
      <c r="Z370" s="1186"/>
      <c r="AA370" s="1186"/>
      <c r="AB370" s="1186"/>
      <c r="AC370" s="1186"/>
      <c r="AD370" s="1187"/>
    </row>
    <row r="371" spans="1:30" x14ac:dyDescent="0.2">
      <c r="A371">
        <f t="shared" si="39"/>
        <v>8</v>
      </c>
      <c r="B371">
        <v>362</v>
      </c>
      <c r="C371" s="1078">
        <v>2</v>
      </c>
      <c r="D371" s="1077" t="s">
        <v>3597</v>
      </c>
      <c r="E371" s="1077" t="s">
        <v>5608</v>
      </c>
      <c r="F371" s="1185">
        <v>4</v>
      </c>
      <c r="G371" s="1186">
        <v>10.6</v>
      </c>
      <c r="H371" s="1186">
        <v>2.4</v>
      </c>
      <c r="I371" s="1186">
        <v>13</v>
      </c>
      <c r="J371" s="1186">
        <v>2.74</v>
      </c>
      <c r="K371" s="1186">
        <v>11</v>
      </c>
      <c r="L371" s="1186">
        <v>3.4</v>
      </c>
      <c r="M371" s="1186">
        <v>10</v>
      </c>
      <c r="N371" s="1186">
        <v>3.6</v>
      </c>
      <c r="O371" s="1186">
        <v>8</v>
      </c>
      <c r="P371" s="1186">
        <v>7</v>
      </c>
      <c r="Q371" s="1186">
        <v>12.69</v>
      </c>
      <c r="R371" s="1186">
        <v>2.15</v>
      </c>
      <c r="S371" s="1186">
        <v>9.4</v>
      </c>
      <c r="T371" s="1186">
        <v>2.6</v>
      </c>
      <c r="U371" s="1186">
        <v>6.3</v>
      </c>
      <c r="V371" s="1186">
        <v>3.9</v>
      </c>
      <c r="W371" s="1186"/>
      <c r="X371" s="1186"/>
      <c r="Y371" s="1186"/>
      <c r="Z371" s="1186"/>
      <c r="AA371" s="1186"/>
      <c r="AB371" s="1186"/>
      <c r="AC371" s="1186"/>
      <c r="AD371" s="1187"/>
    </row>
    <row r="372" spans="1:30" x14ac:dyDescent="0.2">
      <c r="A372">
        <f t="shared" si="39"/>
        <v>8</v>
      </c>
      <c r="B372">
        <v>363</v>
      </c>
      <c r="C372" s="1078">
        <v>2</v>
      </c>
      <c r="D372" s="1077" t="s">
        <v>3597</v>
      </c>
      <c r="E372" s="1077" t="s">
        <v>5673</v>
      </c>
      <c r="F372" s="1185">
        <v>4</v>
      </c>
      <c r="G372" s="1186">
        <v>14.69</v>
      </c>
      <c r="H372" s="1186">
        <v>2.5299999999999998</v>
      </c>
      <c r="I372" s="1186">
        <v>18</v>
      </c>
      <c r="J372" s="1186">
        <v>2.95</v>
      </c>
      <c r="K372" s="1186">
        <v>11.35</v>
      </c>
      <c r="L372" s="1186">
        <v>3.85</v>
      </c>
      <c r="M372" s="1186">
        <v>9.6999999999999993</v>
      </c>
      <c r="N372" s="1186">
        <v>4.99</v>
      </c>
      <c r="O372" s="1186">
        <v>9.1199999999999992</v>
      </c>
      <c r="P372" s="1186">
        <v>7.41</v>
      </c>
      <c r="Q372" s="1186">
        <v>16.97</v>
      </c>
      <c r="R372" s="1186">
        <v>2.17</v>
      </c>
      <c r="S372" s="1186">
        <v>9.7100000000000009</v>
      </c>
      <c r="T372" s="1186">
        <v>3.27</v>
      </c>
      <c r="U372" s="1186">
        <v>8.39</v>
      </c>
      <c r="V372" s="1186">
        <v>4.09</v>
      </c>
      <c r="W372" s="1186"/>
      <c r="X372" s="1186"/>
      <c r="Y372" s="1186"/>
      <c r="Z372" s="1186"/>
      <c r="AA372" s="1186"/>
      <c r="AB372" s="1186"/>
      <c r="AC372" s="1186"/>
      <c r="AD372" s="1187"/>
    </row>
    <row r="373" spans="1:30" x14ac:dyDescent="0.2">
      <c r="A373">
        <f t="shared" si="39"/>
        <v>8</v>
      </c>
      <c r="B373">
        <v>364</v>
      </c>
      <c r="C373" s="1078">
        <v>2</v>
      </c>
      <c r="D373" s="1077" t="s">
        <v>3597</v>
      </c>
      <c r="E373" s="1077" t="s">
        <v>5674</v>
      </c>
      <c r="F373" s="1185">
        <v>4</v>
      </c>
      <c r="G373" s="1186">
        <v>7.5</v>
      </c>
      <c r="H373" s="1186">
        <v>2.68</v>
      </c>
      <c r="I373" s="1186">
        <v>9.6999999999999993</v>
      </c>
      <c r="J373" s="1186">
        <v>3.26</v>
      </c>
      <c r="K373" s="1186">
        <v>5.3</v>
      </c>
      <c r="L373" s="1186">
        <v>4.7300000000000004</v>
      </c>
      <c r="M373" s="1186">
        <v>5.4</v>
      </c>
      <c r="N373" s="1186">
        <v>5.43</v>
      </c>
      <c r="O373" s="1186">
        <v>3</v>
      </c>
      <c r="P373" s="1186">
        <v>8.6300000000000008</v>
      </c>
      <c r="Q373" s="1186">
        <v>9.6999999999999993</v>
      </c>
      <c r="R373" s="1186">
        <v>2.19</v>
      </c>
      <c r="S373" s="1186">
        <v>6.1</v>
      </c>
      <c r="T373" s="1186">
        <v>3.38</v>
      </c>
      <c r="U373" s="1186">
        <v>3</v>
      </c>
      <c r="V373" s="1186">
        <v>4.42</v>
      </c>
      <c r="W373" s="1186"/>
      <c r="X373" s="1186"/>
      <c r="Y373" s="1186"/>
      <c r="Z373" s="1186"/>
      <c r="AA373" s="1186"/>
      <c r="AB373" s="1186"/>
      <c r="AC373" s="1186"/>
      <c r="AD373" s="1187"/>
    </row>
    <row r="374" spans="1:30" x14ac:dyDescent="0.2">
      <c r="A374">
        <f t="shared" si="39"/>
        <v>8</v>
      </c>
      <c r="B374">
        <v>365</v>
      </c>
      <c r="C374" s="1078">
        <v>2</v>
      </c>
      <c r="D374" s="1077" t="s">
        <v>3597</v>
      </c>
      <c r="E374" s="1077" t="s">
        <v>5675</v>
      </c>
      <c r="F374" s="1185">
        <v>4</v>
      </c>
      <c r="G374" s="1186">
        <v>12.5</v>
      </c>
      <c r="H374" s="1186">
        <v>2.46</v>
      </c>
      <c r="I374" s="1186">
        <v>15.1</v>
      </c>
      <c r="J374" s="1186">
        <v>3.03</v>
      </c>
      <c r="K374" s="1186">
        <v>9.5</v>
      </c>
      <c r="L374" s="1186">
        <v>4.71</v>
      </c>
      <c r="M374" s="1186">
        <v>7.4</v>
      </c>
      <c r="N374" s="1186">
        <v>5.53</v>
      </c>
      <c r="O374" s="1186">
        <v>4</v>
      </c>
      <c r="P374" s="1186">
        <v>9.42</v>
      </c>
      <c r="Q374" s="1186">
        <v>15</v>
      </c>
      <c r="R374" s="1186">
        <v>2.08</v>
      </c>
      <c r="S374" s="1186">
        <v>7.2</v>
      </c>
      <c r="T374" s="1186">
        <v>3.31</v>
      </c>
      <c r="U374" s="1186">
        <v>4</v>
      </c>
      <c r="V374" s="1186">
        <v>5.05</v>
      </c>
      <c r="W374" s="1186"/>
      <c r="X374" s="1186"/>
      <c r="Y374" s="1186"/>
      <c r="Z374" s="1186"/>
      <c r="AA374" s="1186"/>
      <c r="AB374" s="1186"/>
      <c r="AC374" s="1186"/>
      <c r="AD374" s="1187"/>
    </row>
    <row r="375" spans="1:30" x14ac:dyDescent="0.2">
      <c r="A375">
        <f t="shared" si="39"/>
        <v>8</v>
      </c>
      <c r="B375">
        <v>366</v>
      </c>
      <c r="C375" s="1078">
        <v>3</v>
      </c>
      <c r="D375" s="1077" t="s">
        <v>3597</v>
      </c>
      <c r="E375" s="1077" t="s">
        <v>5676</v>
      </c>
      <c r="F375" s="1185">
        <v>4</v>
      </c>
      <c r="G375" s="1186"/>
      <c r="H375" s="1186"/>
      <c r="I375" s="1186"/>
      <c r="J375" s="1186"/>
      <c r="K375" s="1186"/>
      <c r="L375" s="1186"/>
      <c r="M375" s="1186"/>
      <c r="N375" s="1186"/>
      <c r="O375" s="1186"/>
      <c r="P375" s="1186"/>
      <c r="Q375" s="1186"/>
      <c r="R375" s="1186"/>
      <c r="S375" s="1186"/>
      <c r="T375" s="1186"/>
      <c r="U375" s="1186"/>
      <c r="V375" s="1186"/>
      <c r="W375" s="1186">
        <v>6</v>
      </c>
      <c r="X375" s="1186">
        <v>4</v>
      </c>
      <c r="Y375" s="1186">
        <v>5.3</v>
      </c>
      <c r="Z375" s="1186">
        <v>3</v>
      </c>
      <c r="AA375" s="1186">
        <v>7</v>
      </c>
      <c r="AB375" s="1186">
        <v>5.3</v>
      </c>
      <c r="AC375" s="1186">
        <v>7</v>
      </c>
      <c r="AD375" s="1187">
        <v>3.7</v>
      </c>
    </row>
    <row r="376" spans="1:30" x14ac:dyDescent="0.2">
      <c r="A376">
        <f t="shared" si="39"/>
        <v>8</v>
      </c>
      <c r="B376">
        <v>367</v>
      </c>
      <c r="C376" s="1078">
        <v>3</v>
      </c>
      <c r="D376" s="1077" t="s">
        <v>3597</v>
      </c>
      <c r="E376" s="1077" t="s">
        <v>5677</v>
      </c>
      <c r="F376" s="1185">
        <v>4</v>
      </c>
      <c r="G376" s="1186"/>
      <c r="H376" s="1186"/>
      <c r="I376" s="1186"/>
      <c r="J376" s="1186"/>
      <c r="K376" s="1186"/>
      <c r="L376" s="1186"/>
      <c r="M376" s="1186"/>
      <c r="N376" s="1186"/>
      <c r="O376" s="1186"/>
      <c r="P376" s="1186"/>
      <c r="Q376" s="1186"/>
      <c r="R376" s="1186"/>
      <c r="S376" s="1186"/>
      <c r="T376" s="1186"/>
      <c r="U376" s="1186"/>
      <c r="V376" s="1186"/>
      <c r="W376" s="1186">
        <v>9.4</v>
      </c>
      <c r="X376" s="1186">
        <v>3.4</v>
      </c>
      <c r="Y376" s="1186">
        <v>9</v>
      </c>
      <c r="Z376" s="1186">
        <v>2.5</v>
      </c>
      <c r="AA376" s="1186">
        <v>10</v>
      </c>
      <c r="AB376" s="1186">
        <v>4.7</v>
      </c>
      <c r="AC376" s="1186">
        <v>10</v>
      </c>
      <c r="AD376" s="1187">
        <v>3.2</v>
      </c>
    </row>
    <row r="377" spans="1:30" x14ac:dyDescent="0.2">
      <c r="A377">
        <f t="shared" si="39"/>
        <v>8</v>
      </c>
      <c r="B377">
        <v>368</v>
      </c>
      <c r="C377" s="1078">
        <v>3</v>
      </c>
      <c r="D377" s="1077" t="s">
        <v>3597</v>
      </c>
      <c r="E377" s="1077" t="s">
        <v>5678</v>
      </c>
      <c r="F377" s="1185">
        <v>4</v>
      </c>
      <c r="G377" s="1186"/>
      <c r="H377" s="1186"/>
      <c r="I377" s="1186"/>
      <c r="J377" s="1186"/>
      <c r="K377" s="1186"/>
      <c r="L377" s="1186"/>
      <c r="M377" s="1186"/>
      <c r="N377" s="1186"/>
      <c r="O377" s="1186"/>
      <c r="P377" s="1186"/>
      <c r="Q377" s="1186"/>
      <c r="R377" s="1186"/>
      <c r="S377" s="1186"/>
      <c r="T377" s="1186"/>
      <c r="U377" s="1186"/>
      <c r="V377" s="1186"/>
      <c r="W377" s="1186">
        <v>12</v>
      </c>
      <c r="X377" s="1186">
        <v>4</v>
      </c>
      <c r="Y377" s="1186">
        <v>10.7</v>
      </c>
      <c r="Z377" s="1186">
        <v>3</v>
      </c>
      <c r="AA377" s="1186">
        <v>14</v>
      </c>
      <c r="AB377" s="1186">
        <v>5.3</v>
      </c>
      <c r="AC377" s="1186">
        <v>14</v>
      </c>
      <c r="AD377" s="1187">
        <v>3.7</v>
      </c>
    </row>
    <row r="378" spans="1:30" x14ac:dyDescent="0.2">
      <c r="A378">
        <f t="shared" si="39"/>
        <v>8</v>
      </c>
      <c r="B378">
        <v>369</v>
      </c>
      <c r="C378" s="1078">
        <v>3</v>
      </c>
      <c r="D378" s="1077" t="s">
        <v>3597</v>
      </c>
      <c r="E378" s="1077" t="s">
        <v>5679</v>
      </c>
      <c r="F378" s="1185">
        <v>4</v>
      </c>
      <c r="G378" s="1186"/>
      <c r="H378" s="1186"/>
      <c r="I378" s="1186"/>
      <c r="J378" s="1186"/>
      <c r="K378" s="1186"/>
      <c r="L378" s="1186"/>
      <c r="M378" s="1186"/>
      <c r="N378" s="1186"/>
      <c r="O378" s="1186"/>
      <c r="P378" s="1186"/>
      <c r="Q378" s="1186"/>
      <c r="R378" s="1186"/>
      <c r="S378" s="1186"/>
      <c r="T378" s="1186"/>
      <c r="U378" s="1186"/>
      <c r="V378" s="1186"/>
      <c r="W378" s="1186">
        <v>18</v>
      </c>
      <c r="X378" s="1186">
        <v>3.5</v>
      </c>
      <c r="Y378" s="1186">
        <v>18</v>
      </c>
      <c r="Z378" s="1186">
        <v>2.5</v>
      </c>
      <c r="AA378" s="1186">
        <v>18</v>
      </c>
      <c r="AB378" s="1186">
        <v>4.5999999999999996</v>
      </c>
      <c r="AC378" s="1186">
        <v>18</v>
      </c>
      <c r="AD378" s="1187">
        <v>3.4</v>
      </c>
    </row>
    <row r="379" spans="1:30" x14ac:dyDescent="0.2">
      <c r="A379">
        <f t="shared" si="39"/>
        <v>8</v>
      </c>
      <c r="B379">
        <v>370</v>
      </c>
      <c r="C379" s="1078">
        <v>3</v>
      </c>
      <c r="D379" s="1077" t="s">
        <v>3597</v>
      </c>
      <c r="E379" s="1077" t="s">
        <v>5680</v>
      </c>
      <c r="F379" s="1185">
        <v>4</v>
      </c>
      <c r="G379" s="1186"/>
      <c r="H379" s="1186"/>
      <c r="I379" s="1186"/>
      <c r="J379" s="1186"/>
      <c r="K379" s="1186"/>
      <c r="L379" s="1186"/>
      <c r="M379" s="1186"/>
      <c r="N379" s="1186"/>
      <c r="O379" s="1186"/>
      <c r="P379" s="1186"/>
      <c r="Q379" s="1186"/>
      <c r="R379" s="1186"/>
      <c r="S379" s="1186"/>
      <c r="T379" s="1186"/>
      <c r="U379" s="1186"/>
      <c r="V379" s="1186"/>
      <c r="W379" s="1186">
        <v>3</v>
      </c>
      <c r="X379" s="1186">
        <v>4.7</v>
      </c>
      <c r="Y379" s="1186">
        <v>2.6</v>
      </c>
      <c r="Z379" s="1186">
        <v>3</v>
      </c>
      <c r="AA379" s="1186">
        <v>4</v>
      </c>
      <c r="AB379" s="1186">
        <v>6.3</v>
      </c>
      <c r="AC379" s="1186">
        <v>3.4</v>
      </c>
      <c r="AD379" s="1187">
        <v>3.9</v>
      </c>
    </row>
    <row r="380" spans="1:30" x14ac:dyDescent="0.2">
      <c r="A380">
        <f t="shared" si="39"/>
        <v>8</v>
      </c>
      <c r="B380">
        <v>371</v>
      </c>
      <c r="C380" s="1078">
        <v>3</v>
      </c>
      <c r="D380" s="1077" t="s">
        <v>3597</v>
      </c>
      <c r="E380" s="1077" t="s">
        <v>5681</v>
      </c>
      <c r="F380" s="1185">
        <v>4</v>
      </c>
      <c r="G380" s="1186"/>
      <c r="H380" s="1186"/>
      <c r="I380" s="1186"/>
      <c r="J380" s="1186"/>
      <c r="K380" s="1186"/>
      <c r="L380" s="1186"/>
      <c r="M380" s="1186"/>
      <c r="N380" s="1186"/>
      <c r="O380" s="1186"/>
      <c r="P380" s="1186"/>
      <c r="Q380" s="1186"/>
      <c r="R380" s="1186"/>
      <c r="S380" s="1186"/>
      <c r="T380" s="1186"/>
      <c r="U380" s="1186"/>
      <c r="V380" s="1186"/>
      <c r="W380" s="1186">
        <v>4.5999999999999996</v>
      </c>
      <c r="X380" s="1186">
        <v>4.5</v>
      </c>
      <c r="Y380" s="1186">
        <v>4.2</v>
      </c>
      <c r="Z380" s="1186">
        <v>3.2</v>
      </c>
      <c r="AA380" s="1186">
        <v>6.1</v>
      </c>
      <c r="AB380" s="1186">
        <v>5.7</v>
      </c>
      <c r="AC380" s="1186">
        <v>5.5</v>
      </c>
      <c r="AD380" s="1187">
        <v>3.9</v>
      </c>
    </row>
    <row r="381" spans="1:30" x14ac:dyDescent="0.2">
      <c r="A381">
        <f t="shared" si="39"/>
        <v>8</v>
      </c>
      <c r="B381">
        <v>372</v>
      </c>
      <c r="C381" s="1078">
        <v>3</v>
      </c>
      <c r="D381" s="1077" t="s">
        <v>3597</v>
      </c>
      <c r="E381" s="1077" t="s">
        <v>5682</v>
      </c>
      <c r="F381" s="1185">
        <v>4</v>
      </c>
      <c r="G381" s="1186"/>
      <c r="H381" s="1186"/>
      <c r="I381" s="1186"/>
      <c r="J381" s="1186"/>
      <c r="K381" s="1186"/>
      <c r="L381" s="1186"/>
      <c r="M381" s="1186"/>
      <c r="N381" s="1186"/>
      <c r="O381" s="1186"/>
      <c r="P381" s="1186"/>
      <c r="Q381" s="1186"/>
      <c r="R381" s="1186"/>
      <c r="S381" s="1186"/>
      <c r="T381" s="1186"/>
      <c r="U381" s="1186"/>
      <c r="V381" s="1186"/>
      <c r="W381" s="1186">
        <v>6</v>
      </c>
      <c r="X381" s="1186">
        <v>4.7</v>
      </c>
      <c r="Y381" s="1186">
        <v>5.0999999999999996</v>
      </c>
      <c r="Z381" s="1186">
        <v>3.1</v>
      </c>
      <c r="AA381" s="1186">
        <v>7.9</v>
      </c>
      <c r="AB381" s="1186">
        <v>6.3</v>
      </c>
      <c r="AC381" s="1186">
        <v>6.8</v>
      </c>
      <c r="AD381" s="1187">
        <v>3.9</v>
      </c>
    </row>
    <row r="382" spans="1:30" x14ac:dyDescent="0.2">
      <c r="A382">
        <f t="shared" si="39"/>
        <v>8</v>
      </c>
      <c r="B382">
        <v>373</v>
      </c>
      <c r="C382" s="1078">
        <v>3</v>
      </c>
      <c r="D382" s="1077" t="s">
        <v>3597</v>
      </c>
      <c r="E382" s="1077" t="s">
        <v>5683</v>
      </c>
      <c r="F382" s="1185">
        <v>4</v>
      </c>
      <c r="G382" s="1186"/>
      <c r="H382" s="1186"/>
      <c r="I382" s="1186"/>
      <c r="J382" s="1186"/>
      <c r="K382" s="1186"/>
      <c r="L382" s="1186"/>
      <c r="M382" s="1186"/>
      <c r="N382" s="1186"/>
      <c r="O382" s="1186"/>
      <c r="P382" s="1186"/>
      <c r="Q382" s="1186"/>
      <c r="R382" s="1186"/>
      <c r="S382" s="1186"/>
      <c r="T382" s="1186"/>
      <c r="U382" s="1186"/>
      <c r="V382" s="1186"/>
      <c r="W382" s="1186">
        <v>9.1999999999999993</v>
      </c>
      <c r="X382" s="1186">
        <v>4.5</v>
      </c>
      <c r="Y382" s="1186">
        <v>8.4</v>
      </c>
      <c r="Z382" s="1186">
        <v>3.2</v>
      </c>
      <c r="AA382" s="1186">
        <v>12.2</v>
      </c>
      <c r="AB382" s="1186">
        <v>5.8</v>
      </c>
      <c r="AC382" s="1186">
        <v>11</v>
      </c>
      <c r="AD382" s="1187">
        <v>3.9</v>
      </c>
    </row>
    <row r="383" spans="1:30" x14ac:dyDescent="0.2">
      <c r="A383">
        <f t="shared" si="39"/>
        <v>8</v>
      </c>
      <c r="B383">
        <v>374</v>
      </c>
      <c r="C383" s="1078">
        <v>3</v>
      </c>
      <c r="D383" s="1077" t="s">
        <v>3597</v>
      </c>
      <c r="E383" s="1077" t="s">
        <v>5599</v>
      </c>
      <c r="F383" s="1185">
        <v>4</v>
      </c>
      <c r="G383" s="1186"/>
      <c r="H383" s="1186"/>
      <c r="I383" s="1186"/>
      <c r="J383" s="1186"/>
      <c r="K383" s="1186"/>
      <c r="L383" s="1186"/>
      <c r="M383" s="1186"/>
      <c r="N383" s="1186"/>
      <c r="O383" s="1186"/>
      <c r="P383" s="1186"/>
      <c r="Q383" s="1186"/>
      <c r="R383" s="1186"/>
      <c r="S383" s="1186"/>
      <c r="T383" s="1186"/>
      <c r="U383" s="1186"/>
      <c r="V383" s="1186"/>
      <c r="W383" s="1186">
        <v>31</v>
      </c>
      <c r="X383" s="1186">
        <v>3.6</v>
      </c>
      <c r="Y383" s="1186">
        <v>25.2</v>
      </c>
      <c r="Z383" s="1186">
        <v>2.7</v>
      </c>
      <c r="AA383" s="1186">
        <v>43.2</v>
      </c>
      <c r="AB383" s="1186">
        <v>4.4000000000000004</v>
      </c>
      <c r="AC383" s="1186">
        <v>36.9</v>
      </c>
      <c r="AD383" s="1187">
        <v>3.2</v>
      </c>
    </row>
    <row r="384" spans="1:30" x14ac:dyDescent="0.2">
      <c r="A384">
        <f t="shared" si="39"/>
        <v>8</v>
      </c>
      <c r="B384">
        <v>375</v>
      </c>
      <c r="C384" s="1078">
        <v>3</v>
      </c>
      <c r="D384" s="1077" t="s">
        <v>3597</v>
      </c>
      <c r="E384" s="1077" t="s">
        <v>5600</v>
      </c>
      <c r="F384" s="1185">
        <v>4</v>
      </c>
      <c r="G384" s="1186"/>
      <c r="H384" s="1186"/>
      <c r="I384" s="1186"/>
      <c r="J384" s="1186"/>
      <c r="K384" s="1186"/>
      <c r="L384" s="1186"/>
      <c r="M384" s="1186"/>
      <c r="N384" s="1186"/>
      <c r="O384" s="1186"/>
      <c r="P384" s="1186"/>
      <c r="Q384" s="1186"/>
      <c r="R384" s="1186"/>
      <c r="S384" s="1186"/>
      <c r="T384" s="1186"/>
      <c r="U384" s="1186"/>
      <c r="V384" s="1186"/>
      <c r="W384" s="1186">
        <v>37.1</v>
      </c>
      <c r="X384" s="1186">
        <v>3.7</v>
      </c>
      <c r="Y384" s="1186">
        <v>30.4</v>
      </c>
      <c r="Z384" s="1186">
        <v>2.8</v>
      </c>
      <c r="AA384" s="1186">
        <v>51.6</v>
      </c>
      <c r="AB384" s="1186">
        <v>4.4000000000000004</v>
      </c>
      <c r="AC384" s="1186">
        <v>44.2</v>
      </c>
      <c r="AD384" s="1187">
        <v>3.3</v>
      </c>
    </row>
    <row r="385" spans="1:30" x14ac:dyDescent="0.2">
      <c r="A385">
        <f t="shared" si="39"/>
        <v>8</v>
      </c>
      <c r="B385">
        <v>376</v>
      </c>
      <c r="C385" s="1078">
        <v>3</v>
      </c>
      <c r="D385" s="1077" t="s">
        <v>3597</v>
      </c>
      <c r="E385" s="1077" t="s">
        <v>5601</v>
      </c>
      <c r="F385" s="1185">
        <v>4</v>
      </c>
      <c r="G385" s="1186"/>
      <c r="H385" s="1186"/>
      <c r="I385" s="1186"/>
      <c r="J385" s="1186"/>
      <c r="K385" s="1186"/>
      <c r="L385" s="1186"/>
      <c r="M385" s="1186"/>
      <c r="N385" s="1186"/>
      <c r="O385" s="1186"/>
      <c r="P385" s="1186"/>
      <c r="Q385" s="1186"/>
      <c r="R385" s="1186"/>
      <c r="S385" s="1186"/>
      <c r="T385" s="1186"/>
      <c r="U385" s="1186"/>
      <c r="V385" s="1186"/>
      <c r="W385" s="1186">
        <v>42.9</v>
      </c>
      <c r="X385" s="1186">
        <v>3.6</v>
      </c>
      <c r="Y385" s="1186">
        <v>34.9</v>
      </c>
      <c r="Z385" s="1186">
        <v>2.8</v>
      </c>
      <c r="AA385" s="1186">
        <v>60</v>
      </c>
      <c r="AB385" s="1186">
        <v>4.4000000000000004</v>
      </c>
      <c r="AC385" s="1186">
        <v>51</v>
      </c>
      <c r="AD385" s="1187">
        <v>3.2</v>
      </c>
    </row>
    <row r="386" spans="1:30" x14ac:dyDescent="0.2">
      <c r="A386">
        <f t="shared" si="39"/>
        <v>8</v>
      </c>
      <c r="B386">
        <v>377</v>
      </c>
      <c r="C386" s="1078">
        <v>3</v>
      </c>
      <c r="D386" s="1077" t="s">
        <v>3597</v>
      </c>
      <c r="E386" s="1077" t="s">
        <v>5602</v>
      </c>
      <c r="F386" s="1185">
        <v>4</v>
      </c>
      <c r="G386" s="1186"/>
      <c r="H386" s="1186"/>
      <c r="I386" s="1186"/>
      <c r="J386" s="1186"/>
      <c r="K386" s="1186"/>
      <c r="L386" s="1186"/>
      <c r="M386" s="1186"/>
      <c r="N386" s="1186"/>
      <c r="O386" s="1186"/>
      <c r="P386" s="1186"/>
      <c r="Q386" s="1186"/>
      <c r="R386" s="1186"/>
      <c r="S386" s="1186"/>
      <c r="T386" s="1186"/>
      <c r="U386" s="1186"/>
      <c r="V386" s="1186"/>
      <c r="W386" s="1186">
        <v>50.1</v>
      </c>
      <c r="X386" s="1186">
        <v>3.7</v>
      </c>
      <c r="Y386" s="1186">
        <v>40.799999999999997</v>
      </c>
      <c r="Z386" s="1186">
        <v>2.8</v>
      </c>
      <c r="AA386" s="1186">
        <v>69.7</v>
      </c>
      <c r="AB386" s="1186">
        <v>4.5</v>
      </c>
      <c r="AC386" s="1186">
        <v>59.7</v>
      </c>
      <c r="AD386" s="1187">
        <v>3.3</v>
      </c>
    </row>
    <row r="387" spans="1:30" x14ac:dyDescent="0.2">
      <c r="A387">
        <f t="shared" si="39"/>
        <v>8</v>
      </c>
      <c r="B387">
        <v>378</v>
      </c>
      <c r="C387" s="1078">
        <v>3</v>
      </c>
      <c r="D387" s="1077" t="s">
        <v>3597</v>
      </c>
      <c r="E387" s="1077" t="s">
        <v>5603</v>
      </c>
      <c r="F387" s="1185">
        <v>4</v>
      </c>
      <c r="G387" s="1186"/>
      <c r="H387" s="1186"/>
      <c r="I387" s="1186"/>
      <c r="J387" s="1186"/>
      <c r="K387" s="1186"/>
      <c r="L387" s="1186"/>
      <c r="M387" s="1186"/>
      <c r="N387" s="1186"/>
      <c r="O387" s="1186"/>
      <c r="P387" s="1186"/>
      <c r="Q387" s="1186"/>
      <c r="R387" s="1186"/>
      <c r="S387" s="1186"/>
      <c r="T387" s="1186"/>
      <c r="U387" s="1186"/>
      <c r="V387" s="1186"/>
      <c r="W387" s="1186">
        <v>62</v>
      </c>
      <c r="X387" s="1186">
        <v>3.6</v>
      </c>
      <c r="Y387" s="1186">
        <v>50.4</v>
      </c>
      <c r="Z387" s="1186">
        <v>2.7</v>
      </c>
      <c r="AA387" s="1186">
        <v>86.3</v>
      </c>
      <c r="AB387" s="1186">
        <v>4.4000000000000004</v>
      </c>
      <c r="AC387" s="1186">
        <v>74.400000000000006</v>
      </c>
      <c r="AD387" s="1187">
        <v>3.3</v>
      </c>
    </row>
    <row r="388" spans="1:30" x14ac:dyDescent="0.2">
      <c r="A388">
        <f t="shared" si="39"/>
        <v>8</v>
      </c>
      <c r="B388">
        <v>379</v>
      </c>
      <c r="C388" s="1078">
        <v>3</v>
      </c>
      <c r="D388" s="1077" t="s">
        <v>3597</v>
      </c>
      <c r="E388" s="1077" t="s">
        <v>5604</v>
      </c>
      <c r="F388" s="1185">
        <v>4</v>
      </c>
      <c r="G388" s="1186"/>
      <c r="H388" s="1186"/>
      <c r="I388" s="1186"/>
      <c r="J388" s="1186"/>
      <c r="K388" s="1186"/>
      <c r="L388" s="1186"/>
      <c r="M388" s="1186"/>
      <c r="N388" s="1186"/>
      <c r="O388" s="1186"/>
      <c r="P388" s="1186"/>
      <c r="Q388" s="1186"/>
      <c r="R388" s="1186"/>
      <c r="S388" s="1186"/>
      <c r="T388" s="1186"/>
      <c r="U388" s="1186"/>
      <c r="V388" s="1186"/>
      <c r="W388" s="1186">
        <v>74.2</v>
      </c>
      <c r="X388" s="1186">
        <v>3.7</v>
      </c>
      <c r="Y388" s="1186">
        <v>60.8</v>
      </c>
      <c r="Z388" s="1186">
        <v>2.8</v>
      </c>
      <c r="AA388" s="1186">
        <v>103.2</v>
      </c>
      <c r="AB388" s="1186">
        <v>4.4000000000000004</v>
      </c>
      <c r="AC388" s="1186">
        <v>88.3</v>
      </c>
      <c r="AD388" s="1187">
        <v>3.3</v>
      </c>
    </row>
    <row r="389" spans="1:30" x14ac:dyDescent="0.2">
      <c r="A389">
        <f t="shared" si="39"/>
        <v>8</v>
      </c>
      <c r="B389">
        <v>380</v>
      </c>
      <c r="C389" s="1078">
        <v>3</v>
      </c>
      <c r="D389" s="1077" t="s">
        <v>3597</v>
      </c>
      <c r="E389" s="1077" t="s">
        <v>5605</v>
      </c>
      <c r="F389" s="1185">
        <v>4</v>
      </c>
      <c r="G389" s="1186"/>
      <c r="H389" s="1186"/>
      <c r="I389" s="1186"/>
      <c r="J389" s="1186"/>
      <c r="K389" s="1186"/>
      <c r="L389" s="1186"/>
      <c r="M389" s="1186"/>
      <c r="N389" s="1186"/>
      <c r="O389" s="1186"/>
      <c r="P389" s="1186"/>
      <c r="Q389" s="1186"/>
      <c r="R389" s="1186"/>
      <c r="S389" s="1186"/>
      <c r="T389" s="1186"/>
      <c r="U389" s="1186"/>
      <c r="V389" s="1186"/>
      <c r="W389" s="1186">
        <v>85.9</v>
      </c>
      <c r="X389" s="1186">
        <v>3.6</v>
      </c>
      <c r="Y389" s="1186">
        <v>69.8</v>
      </c>
      <c r="Z389" s="1186">
        <v>2.8</v>
      </c>
      <c r="AA389" s="1186">
        <v>120</v>
      </c>
      <c r="AB389" s="1186">
        <v>4.4000000000000004</v>
      </c>
      <c r="AC389" s="1186">
        <v>100.2</v>
      </c>
      <c r="AD389" s="1187">
        <v>3.2</v>
      </c>
    </row>
    <row r="390" spans="1:30" x14ac:dyDescent="0.2">
      <c r="A390">
        <f t="shared" si="39"/>
        <v>8</v>
      </c>
      <c r="B390">
        <v>381</v>
      </c>
      <c r="C390" s="1078">
        <v>3</v>
      </c>
      <c r="D390" s="1077" t="s">
        <v>3597</v>
      </c>
      <c r="E390" s="1077" t="s">
        <v>5606</v>
      </c>
      <c r="F390" s="1185">
        <v>4</v>
      </c>
      <c r="G390" s="1186"/>
      <c r="H390" s="1186"/>
      <c r="I390" s="1186"/>
      <c r="J390" s="1186"/>
      <c r="K390" s="1186"/>
      <c r="L390" s="1186"/>
      <c r="M390" s="1186"/>
      <c r="N390" s="1186"/>
      <c r="O390" s="1186"/>
      <c r="P390" s="1186"/>
      <c r="Q390" s="1186"/>
      <c r="R390" s="1186"/>
      <c r="S390" s="1186"/>
      <c r="T390" s="1186"/>
      <c r="U390" s="1186"/>
      <c r="V390" s="1186"/>
      <c r="W390" s="1186">
        <v>100.1</v>
      </c>
      <c r="X390" s="1186">
        <v>3.7</v>
      </c>
      <c r="Y390" s="1186">
        <v>81.599999999999994</v>
      </c>
      <c r="Z390" s="1186">
        <v>29.2</v>
      </c>
      <c r="AA390" s="1186">
        <v>139.4</v>
      </c>
      <c r="AB390" s="1186">
        <v>4.5</v>
      </c>
      <c r="AC390" s="1186">
        <v>119.3</v>
      </c>
      <c r="AD390" s="1187">
        <v>3.3</v>
      </c>
    </row>
    <row r="391" spans="1:30" x14ac:dyDescent="0.2">
      <c r="A391">
        <f t="shared" si="39"/>
        <v>9</v>
      </c>
      <c r="B391">
        <v>382</v>
      </c>
      <c r="C391" s="1078">
        <v>3</v>
      </c>
      <c r="D391" s="1077" t="s">
        <v>5266</v>
      </c>
      <c r="E391" s="1077" t="s">
        <v>4444</v>
      </c>
      <c r="F391" s="1185">
        <v>1</v>
      </c>
      <c r="G391" s="1186"/>
      <c r="H391" s="1186"/>
      <c r="I391" s="1186"/>
      <c r="J391" s="1186"/>
      <c r="K391" s="1186"/>
      <c r="L391" s="1186"/>
      <c r="M391" s="1186"/>
      <c r="N391" s="1186"/>
      <c r="O391" s="1186"/>
      <c r="P391" s="1186"/>
      <c r="Q391" s="1186"/>
      <c r="R391" s="1186"/>
      <c r="S391" s="1186"/>
      <c r="T391" s="1186"/>
      <c r="U391" s="1186"/>
      <c r="V391" s="1186"/>
      <c r="W391" s="1186">
        <v>5.9</v>
      </c>
      <c r="X391" s="1186">
        <v>4.57</v>
      </c>
      <c r="Y391" s="1186">
        <v>5.17</v>
      </c>
      <c r="Z391" s="1186">
        <v>2.76</v>
      </c>
      <c r="AA391" s="1186"/>
      <c r="AB391" s="1186"/>
      <c r="AC391" s="1186"/>
      <c r="AD391" s="1187"/>
    </row>
    <row r="392" spans="1:30" x14ac:dyDescent="0.2">
      <c r="A392">
        <f t="shared" si="39"/>
        <v>9</v>
      </c>
      <c r="B392">
        <v>383</v>
      </c>
      <c r="C392" s="1078">
        <v>3</v>
      </c>
      <c r="D392" s="1077" t="s">
        <v>5266</v>
      </c>
      <c r="E392" s="1077" t="s">
        <v>4005</v>
      </c>
      <c r="F392" s="1185">
        <v>1</v>
      </c>
      <c r="G392" s="1186"/>
      <c r="H392" s="1186"/>
      <c r="I392" s="1186"/>
      <c r="J392" s="1186"/>
      <c r="K392" s="1186"/>
      <c r="L392" s="1186"/>
      <c r="M392" s="1186"/>
      <c r="N392" s="1186"/>
      <c r="O392" s="1186"/>
      <c r="P392" s="1186"/>
      <c r="Q392" s="1186"/>
      <c r="R392" s="1186"/>
      <c r="S392" s="1186"/>
      <c r="T392" s="1186"/>
      <c r="U392" s="1186"/>
      <c r="V392" s="1186"/>
      <c r="W392" s="1186">
        <v>8.19</v>
      </c>
      <c r="X392" s="1186">
        <v>4.58</v>
      </c>
      <c r="Y392" s="1186">
        <v>7.55</v>
      </c>
      <c r="Z392" s="1186">
        <v>2.99</v>
      </c>
      <c r="AA392" s="1186"/>
      <c r="AB392" s="1186"/>
      <c r="AC392" s="1186"/>
      <c r="AD392" s="1187"/>
    </row>
    <row r="393" spans="1:30" x14ac:dyDescent="0.2">
      <c r="A393">
        <f t="shared" si="39"/>
        <v>9</v>
      </c>
      <c r="B393">
        <v>384</v>
      </c>
      <c r="C393" s="1078">
        <v>3</v>
      </c>
      <c r="D393" s="1077" t="s">
        <v>5266</v>
      </c>
      <c r="E393" s="1077" t="s">
        <v>4007</v>
      </c>
      <c r="F393" s="1185">
        <v>1</v>
      </c>
      <c r="G393" s="1186"/>
      <c r="H393" s="1186"/>
      <c r="I393" s="1186"/>
      <c r="J393" s="1186"/>
      <c r="K393" s="1186"/>
      <c r="L393" s="1186"/>
      <c r="M393" s="1186"/>
      <c r="N393" s="1186"/>
      <c r="O393" s="1186"/>
      <c r="P393" s="1186"/>
      <c r="Q393" s="1186"/>
      <c r="R393" s="1186"/>
      <c r="S393" s="1186"/>
      <c r="T393" s="1186"/>
      <c r="U393" s="1186"/>
      <c r="V393" s="1186"/>
      <c r="W393" s="1186">
        <v>9.9700000000000006</v>
      </c>
      <c r="X393" s="1186">
        <v>4.5999999999999996</v>
      </c>
      <c r="Y393" s="1186">
        <v>9.2799999999999994</v>
      </c>
      <c r="Z393" s="1186">
        <v>2.98</v>
      </c>
      <c r="AA393" s="1186"/>
      <c r="AB393" s="1186"/>
      <c r="AC393" s="1186"/>
      <c r="AD393" s="1187"/>
    </row>
    <row r="394" spans="1:30" x14ac:dyDescent="0.2">
      <c r="A394">
        <f t="shared" si="39"/>
        <v>9</v>
      </c>
      <c r="B394">
        <v>385</v>
      </c>
      <c r="C394" s="1078">
        <v>3</v>
      </c>
      <c r="D394" s="1077" t="s">
        <v>5266</v>
      </c>
      <c r="E394" s="1077" t="s">
        <v>4009</v>
      </c>
      <c r="F394" s="1185">
        <v>1</v>
      </c>
      <c r="G394" s="1186"/>
      <c r="H394" s="1186"/>
      <c r="I394" s="1186"/>
      <c r="J394" s="1186"/>
      <c r="K394" s="1186"/>
      <c r="L394" s="1186"/>
      <c r="M394" s="1186"/>
      <c r="N394" s="1186"/>
      <c r="O394" s="1186"/>
      <c r="P394" s="1186"/>
      <c r="Q394" s="1186"/>
      <c r="R394" s="1186"/>
      <c r="S394" s="1186"/>
      <c r="T394" s="1186"/>
      <c r="U394" s="1186"/>
      <c r="V394" s="1186"/>
      <c r="W394" s="1186">
        <v>11.75</v>
      </c>
      <c r="X394" s="1186">
        <v>4.5999999999999996</v>
      </c>
      <c r="Y394" s="1186">
        <v>10.97</v>
      </c>
      <c r="Z394" s="1186">
        <v>2.96</v>
      </c>
      <c r="AA394" s="1186"/>
      <c r="AB394" s="1186"/>
      <c r="AC394" s="1186"/>
      <c r="AD394" s="1187"/>
    </row>
    <row r="395" spans="1:30" x14ac:dyDescent="0.2">
      <c r="A395">
        <f t="shared" si="39"/>
        <v>9</v>
      </c>
      <c r="B395">
        <v>386</v>
      </c>
      <c r="C395" s="1078">
        <v>3</v>
      </c>
      <c r="D395" s="1077" t="s">
        <v>5266</v>
      </c>
      <c r="E395" s="1077" t="s">
        <v>4003</v>
      </c>
      <c r="F395" s="1185">
        <v>1</v>
      </c>
      <c r="G395" s="1186"/>
      <c r="H395" s="1186"/>
      <c r="I395" s="1186"/>
      <c r="J395" s="1186"/>
      <c r="K395" s="1186"/>
      <c r="L395" s="1186"/>
      <c r="M395" s="1186"/>
      <c r="N395" s="1186"/>
      <c r="O395" s="1186"/>
      <c r="P395" s="1186"/>
      <c r="Q395" s="1186"/>
      <c r="R395" s="1186"/>
      <c r="S395" s="1186"/>
      <c r="T395" s="1186"/>
      <c r="U395" s="1186"/>
      <c r="V395" s="1186"/>
      <c r="W395" s="1186">
        <v>5.9</v>
      </c>
      <c r="X395" s="1186">
        <v>4.57</v>
      </c>
      <c r="Y395" s="1186">
        <v>5.17</v>
      </c>
      <c r="Z395" s="1186">
        <v>2.76</v>
      </c>
      <c r="AA395" s="1186"/>
      <c r="AB395" s="1186"/>
      <c r="AC395" s="1186"/>
      <c r="AD395" s="1187"/>
    </row>
    <row r="396" spans="1:30" x14ac:dyDescent="0.2">
      <c r="A396">
        <f t="shared" ref="A396:A459" si="40">A395+(D396&lt;&gt;D395)*1</f>
        <v>9</v>
      </c>
      <c r="B396">
        <v>387</v>
      </c>
      <c r="C396" s="1078">
        <v>3</v>
      </c>
      <c r="D396" s="1077" t="s">
        <v>5266</v>
      </c>
      <c r="E396" s="1077" t="s">
        <v>4006</v>
      </c>
      <c r="F396" s="1185">
        <v>1</v>
      </c>
      <c r="G396" s="1186"/>
      <c r="H396" s="1186"/>
      <c r="I396" s="1186"/>
      <c r="J396" s="1186"/>
      <c r="K396" s="1186"/>
      <c r="L396" s="1186"/>
      <c r="M396" s="1186"/>
      <c r="N396" s="1186"/>
      <c r="O396" s="1186"/>
      <c r="P396" s="1186"/>
      <c r="Q396" s="1186"/>
      <c r="R396" s="1186"/>
      <c r="S396" s="1186"/>
      <c r="T396" s="1186"/>
      <c r="U396" s="1186"/>
      <c r="V396" s="1186"/>
      <c r="W396" s="1186">
        <v>8.19</v>
      </c>
      <c r="X396" s="1186">
        <v>4.58</v>
      </c>
      <c r="Y396" s="1186">
        <v>7.55</v>
      </c>
      <c r="Z396" s="1186">
        <v>2.99</v>
      </c>
      <c r="AA396" s="1186"/>
      <c r="AB396" s="1186"/>
      <c r="AC396" s="1186"/>
      <c r="AD396" s="1187"/>
    </row>
    <row r="397" spans="1:30" x14ac:dyDescent="0.2">
      <c r="A397">
        <f t="shared" si="40"/>
        <v>9</v>
      </c>
      <c r="B397">
        <v>388</v>
      </c>
      <c r="C397" s="1078">
        <v>3</v>
      </c>
      <c r="D397" s="1077" t="s">
        <v>5266</v>
      </c>
      <c r="E397" s="1077" t="s">
        <v>4008</v>
      </c>
      <c r="F397" s="1185">
        <v>1</v>
      </c>
      <c r="G397" s="1186"/>
      <c r="H397" s="1186"/>
      <c r="I397" s="1186"/>
      <c r="J397" s="1186"/>
      <c r="K397" s="1186"/>
      <c r="L397" s="1186"/>
      <c r="M397" s="1186"/>
      <c r="N397" s="1186"/>
      <c r="O397" s="1186"/>
      <c r="P397" s="1186"/>
      <c r="Q397" s="1186"/>
      <c r="R397" s="1186"/>
      <c r="S397" s="1186"/>
      <c r="T397" s="1186"/>
      <c r="U397" s="1186"/>
      <c r="V397" s="1186"/>
      <c r="W397" s="1186">
        <v>9.2799999999999994</v>
      </c>
      <c r="X397" s="1186">
        <v>4.5999999999999996</v>
      </c>
      <c r="Y397" s="1186">
        <v>9.2799999999999994</v>
      </c>
      <c r="Z397" s="1186">
        <v>2.98</v>
      </c>
      <c r="AA397" s="1186"/>
      <c r="AB397" s="1186"/>
      <c r="AC397" s="1186"/>
      <c r="AD397" s="1187"/>
    </row>
    <row r="398" spans="1:30" x14ac:dyDescent="0.2">
      <c r="A398">
        <f t="shared" si="40"/>
        <v>9</v>
      </c>
      <c r="B398">
        <v>389</v>
      </c>
      <c r="C398" s="1078">
        <v>3</v>
      </c>
      <c r="D398" s="1077" t="s">
        <v>5266</v>
      </c>
      <c r="E398" s="1077" t="s">
        <v>4010</v>
      </c>
      <c r="F398" s="1185">
        <v>1</v>
      </c>
      <c r="G398" s="1186"/>
      <c r="H398" s="1186"/>
      <c r="I398" s="1186"/>
      <c r="J398" s="1186"/>
      <c r="K398" s="1186"/>
      <c r="L398" s="1186"/>
      <c r="M398" s="1186"/>
      <c r="N398" s="1186"/>
      <c r="O398" s="1186"/>
      <c r="P398" s="1186"/>
      <c r="Q398" s="1186"/>
      <c r="R398" s="1186"/>
      <c r="S398" s="1186"/>
      <c r="T398" s="1186"/>
      <c r="U398" s="1186"/>
      <c r="V398" s="1186"/>
      <c r="W398" s="1186">
        <v>11.75</v>
      </c>
      <c r="X398" s="1186">
        <v>4.5999999999999996</v>
      </c>
      <c r="Y398" s="1186">
        <v>10.97</v>
      </c>
      <c r="Z398" s="1186">
        <v>2.96</v>
      </c>
      <c r="AA398" s="1186"/>
      <c r="AB398" s="1186"/>
      <c r="AC398" s="1186"/>
      <c r="AD398" s="1187"/>
    </row>
    <row r="399" spans="1:30" x14ac:dyDescent="0.2">
      <c r="A399">
        <f t="shared" si="40"/>
        <v>9</v>
      </c>
      <c r="B399">
        <v>390</v>
      </c>
      <c r="C399" s="1078">
        <v>3</v>
      </c>
      <c r="D399" s="1077" t="s">
        <v>5266</v>
      </c>
      <c r="E399" s="1077" t="s">
        <v>4011</v>
      </c>
      <c r="F399" s="1185">
        <v>1</v>
      </c>
      <c r="G399" s="1186"/>
      <c r="H399" s="1186"/>
      <c r="I399" s="1186"/>
      <c r="J399" s="1186"/>
      <c r="K399" s="1186"/>
      <c r="L399" s="1186"/>
      <c r="M399" s="1186"/>
      <c r="N399" s="1186"/>
      <c r="O399" s="1186"/>
      <c r="P399" s="1186"/>
      <c r="Q399" s="1186"/>
      <c r="R399" s="1186"/>
      <c r="S399" s="1186"/>
      <c r="T399" s="1186"/>
      <c r="U399" s="1186"/>
      <c r="V399" s="1186"/>
      <c r="W399" s="1186">
        <v>14.47</v>
      </c>
      <c r="X399" s="1186">
        <v>4.54</v>
      </c>
      <c r="Y399" s="1186">
        <v>13.4</v>
      </c>
      <c r="Z399" s="1186">
        <v>2.95</v>
      </c>
      <c r="AA399" s="1186"/>
      <c r="AB399" s="1186"/>
      <c r="AC399" s="1186"/>
      <c r="AD399" s="1187"/>
    </row>
    <row r="400" spans="1:30" x14ac:dyDescent="0.2">
      <c r="A400">
        <f t="shared" si="40"/>
        <v>9</v>
      </c>
      <c r="B400">
        <v>391</v>
      </c>
      <c r="C400" s="1078">
        <v>3</v>
      </c>
      <c r="D400" s="1077" t="s">
        <v>5266</v>
      </c>
      <c r="E400" s="1077" t="s">
        <v>4012</v>
      </c>
      <c r="F400" s="1185">
        <v>1</v>
      </c>
      <c r="G400" s="1186"/>
      <c r="H400" s="1186"/>
      <c r="I400" s="1186"/>
      <c r="J400" s="1186"/>
      <c r="K400" s="1186"/>
      <c r="L400" s="1186"/>
      <c r="M400" s="1186"/>
      <c r="N400" s="1186"/>
      <c r="O400" s="1186"/>
      <c r="P400" s="1186"/>
      <c r="Q400" s="1186"/>
      <c r="R400" s="1186"/>
      <c r="S400" s="1186"/>
      <c r="T400" s="1186"/>
      <c r="U400" s="1186"/>
      <c r="V400" s="1186"/>
      <c r="W400" s="1186">
        <v>16.760000000000002</v>
      </c>
      <c r="X400" s="1186">
        <v>4.5199999999999996</v>
      </c>
      <c r="Y400" s="1186">
        <v>15.87</v>
      </c>
      <c r="Z400" s="1186">
        <v>3.07</v>
      </c>
      <c r="AA400" s="1186"/>
      <c r="AB400" s="1186"/>
      <c r="AC400" s="1186"/>
      <c r="AD400" s="1187"/>
    </row>
    <row r="401" spans="1:30" x14ac:dyDescent="0.2">
      <c r="A401">
        <f t="shared" si="40"/>
        <v>9</v>
      </c>
      <c r="B401">
        <v>392</v>
      </c>
      <c r="C401" s="1078">
        <v>3</v>
      </c>
      <c r="D401" s="1077" t="s">
        <v>5266</v>
      </c>
      <c r="E401" s="1077" t="s">
        <v>5267</v>
      </c>
      <c r="F401" s="1185">
        <v>2</v>
      </c>
      <c r="G401" s="1186"/>
      <c r="H401" s="1186"/>
      <c r="I401" s="1186"/>
      <c r="J401" s="1186"/>
      <c r="K401" s="1186"/>
      <c r="L401" s="1186"/>
      <c r="M401" s="1186"/>
      <c r="N401" s="1186"/>
      <c r="O401" s="1186"/>
      <c r="P401" s="1186"/>
      <c r="Q401" s="1186"/>
      <c r="R401" s="1186"/>
      <c r="S401" s="1186"/>
      <c r="T401" s="1186"/>
      <c r="U401" s="1186"/>
      <c r="V401" s="1186"/>
      <c r="W401" s="1186">
        <v>25.06</v>
      </c>
      <c r="X401" s="1186">
        <v>4.5599999999999996</v>
      </c>
      <c r="Y401" s="1186">
        <v>23.42</v>
      </c>
      <c r="Z401" s="1186">
        <v>3.03</v>
      </c>
      <c r="AA401" s="1186"/>
      <c r="AB401" s="1186"/>
      <c r="AC401" s="1186"/>
      <c r="AD401" s="1187"/>
    </row>
    <row r="402" spans="1:30" x14ac:dyDescent="0.2">
      <c r="A402">
        <f t="shared" si="40"/>
        <v>9</v>
      </c>
      <c r="B402">
        <v>393</v>
      </c>
      <c r="C402" s="1078">
        <v>3</v>
      </c>
      <c r="D402" s="1077" t="s">
        <v>5266</v>
      </c>
      <c r="E402" s="1077" t="s">
        <v>5268</v>
      </c>
      <c r="F402" s="1185">
        <v>2</v>
      </c>
      <c r="G402" s="1186"/>
      <c r="H402" s="1186"/>
      <c r="I402" s="1186"/>
      <c r="J402" s="1186"/>
      <c r="K402" s="1186"/>
      <c r="L402" s="1186"/>
      <c r="M402" s="1186"/>
      <c r="N402" s="1186"/>
      <c r="O402" s="1186"/>
      <c r="P402" s="1186"/>
      <c r="Q402" s="1186"/>
      <c r="R402" s="1186"/>
      <c r="S402" s="1186"/>
      <c r="T402" s="1186"/>
      <c r="U402" s="1186"/>
      <c r="V402" s="1186"/>
      <c r="W402" s="1186">
        <v>28.62</v>
      </c>
      <c r="X402" s="1186">
        <v>4.5599999999999996</v>
      </c>
      <c r="Y402" s="1186">
        <v>26.84</v>
      </c>
      <c r="Z402" s="1186">
        <v>3.02</v>
      </c>
      <c r="AA402" s="1186"/>
      <c r="AB402" s="1186"/>
      <c r="AC402" s="1186"/>
      <c r="AD402" s="1187"/>
    </row>
    <row r="403" spans="1:30" x14ac:dyDescent="0.2">
      <c r="A403">
        <f t="shared" si="40"/>
        <v>9</v>
      </c>
      <c r="B403">
        <v>394</v>
      </c>
      <c r="C403" s="1078">
        <v>3</v>
      </c>
      <c r="D403" s="1077" t="s">
        <v>5266</v>
      </c>
      <c r="E403" s="1077" t="s">
        <v>5269</v>
      </c>
      <c r="F403" s="1185">
        <v>2</v>
      </c>
      <c r="G403" s="1186"/>
      <c r="H403" s="1186"/>
      <c r="I403" s="1186"/>
      <c r="J403" s="1186"/>
      <c r="K403" s="1186"/>
      <c r="L403" s="1186"/>
      <c r="M403" s="1186"/>
      <c r="N403" s="1186"/>
      <c r="O403" s="1186"/>
      <c r="P403" s="1186"/>
      <c r="Q403" s="1186"/>
      <c r="R403" s="1186"/>
      <c r="S403" s="1186"/>
      <c r="T403" s="1186"/>
      <c r="U403" s="1186"/>
      <c r="V403" s="1186"/>
      <c r="W403" s="1186">
        <v>33.74</v>
      </c>
      <c r="X403" s="1186">
        <v>4.55</v>
      </c>
      <c r="Y403" s="1186">
        <v>31.74</v>
      </c>
      <c r="Z403" s="1186">
        <v>3.07</v>
      </c>
      <c r="AA403" s="1186"/>
      <c r="AB403" s="1186"/>
      <c r="AC403" s="1186"/>
      <c r="AD403" s="1187"/>
    </row>
    <row r="404" spans="1:30" x14ac:dyDescent="0.2">
      <c r="A404">
        <f t="shared" si="40"/>
        <v>9</v>
      </c>
      <c r="B404">
        <v>395</v>
      </c>
      <c r="C404" s="1078">
        <v>3</v>
      </c>
      <c r="D404" s="1077" t="s">
        <v>5266</v>
      </c>
      <c r="E404" s="1077" t="s">
        <v>4013</v>
      </c>
      <c r="F404" s="1185">
        <v>2</v>
      </c>
      <c r="G404" s="1186"/>
      <c r="H404" s="1186"/>
      <c r="I404" s="1186"/>
      <c r="J404" s="1186"/>
      <c r="K404" s="1186"/>
      <c r="L404" s="1186"/>
      <c r="M404" s="1186"/>
      <c r="N404" s="1186"/>
      <c r="O404" s="1186"/>
      <c r="P404" s="1186"/>
      <c r="Q404" s="1186"/>
      <c r="R404" s="1186"/>
      <c r="S404" s="1186"/>
      <c r="T404" s="1186"/>
      <c r="U404" s="1186"/>
      <c r="V404" s="1186"/>
      <c r="W404" s="1186">
        <v>25.06</v>
      </c>
      <c r="X404" s="1186">
        <v>4.5599999999999996</v>
      </c>
      <c r="Y404" s="1186">
        <v>23.42</v>
      </c>
      <c r="Z404" s="1186">
        <v>3.03</v>
      </c>
      <c r="AA404" s="1186"/>
      <c r="AB404" s="1186"/>
      <c r="AC404" s="1186"/>
      <c r="AD404" s="1187"/>
    </row>
    <row r="405" spans="1:30" x14ac:dyDescent="0.2">
      <c r="A405">
        <f t="shared" si="40"/>
        <v>9</v>
      </c>
      <c r="B405">
        <v>396</v>
      </c>
      <c r="C405" s="1078">
        <v>3</v>
      </c>
      <c r="D405" s="1077" t="s">
        <v>5266</v>
      </c>
      <c r="E405" s="1077" t="s">
        <v>4014</v>
      </c>
      <c r="F405" s="1185">
        <v>2</v>
      </c>
      <c r="G405" s="1186"/>
      <c r="H405" s="1186"/>
      <c r="I405" s="1186"/>
      <c r="J405" s="1186"/>
      <c r="K405" s="1186"/>
      <c r="L405" s="1186"/>
      <c r="M405" s="1186"/>
      <c r="N405" s="1186"/>
      <c r="O405" s="1186"/>
      <c r="P405" s="1186"/>
      <c r="Q405" s="1186"/>
      <c r="R405" s="1186"/>
      <c r="S405" s="1186"/>
      <c r="T405" s="1186"/>
      <c r="U405" s="1186"/>
      <c r="V405" s="1186"/>
      <c r="W405" s="1186">
        <v>28.62</v>
      </c>
      <c r="X405" s="1186">
        <v>4.5599999999999996</v>
      </c>
      <c r="Y405" s="1186">
        <v>26.84</v>
      </c>
      <c r="Z405" s="1186">
        <v>3.02</v>
      </c>
      <c r="AA405" s="1186"/>
      <c r="AB405" s="1186"/>
      <c r="AC405" s="1186"/>
      <c r="AD405" s="1187"/>
    </row>
    <row r="406" spans="1:30" x14ac:dyDescent="0.2">
      <c r="A406">
        <f t="shared" si="40"/>
        <v>9</v>
      </c>
      <c r="B406">
        <v>397</v>
      </c>
      <c r="C406" s="1078">
        <v>3</v>
      </c>
      <c r="D406" s="1077" t="s">
        <v>5266</v>
      </c>
      <c r="E406" s="1077" t="s">
        <v>4015</v>
      </c>
      <c r="F406" s="1185">
        <v>2</v>
      </c>
      <c r="G406" s="1186"/>
      <c r="H406" s="1186"/>
      <c r="I406" s="1186"/>
      <c r="J406" s="1186"/>
      <c r="K406" s="1186"/>
      <c r="L406" s="1186"/>
      <c r="M406" s="1186"/>
      <c r="N406" s="1186"/>
      <c r="O406" s="1186"/>
      <c r="P406" s="1186"/>
      <c r="Q406" s="1186"/>
      <c r="R406" s="1186"/>
      <c r="S406" s="1186"/>
      <c r="T406" s="1186"/>
      <c r="U406" s="1186"/>
      <c r="V406" s="1186"/>
      <c r="W406" s="1186">
        <v>33.74</v>
      </c>
      <c r="X406" s="1186">
        <v>4.55</v>
      </c>
      <c r="Y406" s="1186">
        <v>31.74</v>
      </c>
      <c r="Z406" s="1186">
        <v>3.07</v>
      </c>
      <c r="AA406" s="1186"/>
      <c r="AB406" s="1186"/>
      <c r="AC406" s="1186"/>
      <c r="AD406" s="1187"/>
    </row>
    <row r="407" spans="1:30" x14ac:dyDescent="0.2">
      <c r="A407">
        <f t="shared" si="40"/>
        <v>9</v>
      </c>
      <c r="B407">
        <v>398</v>
      </c>
      <c r="C407" s="1078">
        <v>3</v>
      </c>
      <c r="D407" s="1077" t="s">
        <v>5266</v>
      </c>
      <c r="E407" s="1077" t="s">
        <v>5270</v>
      </c>
      <c r="F407" s="1185">
        <v>4</v>
      </c>
      <c r="G407" s="1186"/>
      <c r="H407" s="1186"/>
      <c r="I407" s="1186"/>
      <c r="J407" s="1186"/>
      <c r="K407" s="1186"/>
      <c r="L407" s="1186"/>
      <c r="M407" s="1186"/>
      <c r="N407" s="1186"/>
      <c r="O407" s="1186"/>
      <c r="P407" s="1186"/>
      <c r="Q407" s="1186"/>
      <c r="R407" s="1186"/>
      <c r="S407" s="1186"/>
      <c r="T407" s="1186"/>
      <c r="U407" s="1186"/>
      <c r="V407" s="1186"/>
      <c r="W407" s="1186">
        <v>5.91</v>
      </c>
      <c r="X407" s="1186">
        <v>4.5599999999999996</v>
      </c>
      <c r="Y407" s="1186">
        <v>5.22</v>
      </c>
      <c r="Z407" s="1186">
        <v>2.75</v>
      </c>
      <c r="AA407" s="1186"/>
      <c r="AB407" s="1186"/>
      <c r="AC407" s="1186"/>
      <c r="AD407" s="1187"/>
    </row>
    <row r="408" spans="1:30" x14ac:dyDescent="0.2">
      <c r="A408">
        <f t="shared" si="40"/>
        <v>9</v>
      </c>
      <c r="B408">
        <v>399</v>
      </c>
      <c r="C408" s="1078">
        <v>3</v>
      </c>
      <c r="D408" s="1077" t="s">
        <v>5266</v>
      </c>
      <c r="E408" s="1077" t="s">
        <v>5271</v>
      </c>
      <c r="F408" s="1185">
        <v>4</v>
      </c>
      <c r="G408" s="1186"/>
      <c r="H408" s="1186"/>
      <c r="I408" s="1186"/>
      <c r="J408" s="1186"/>
      <c r="K408" s="1186"/>
      <c r="L408" s="1186"/>
      <c r="M408" s="1186"/>
      <c r="N408" s="1186"/>
      <c r="O408" s="1186"/>
      <c r="P408" s="1186"/>
      <c r="Q408" s="1186"/>
      <c r="R408" s="1186"/>
      <c r="S408" s="1186"/>
      <c r="T408" s="1186"/>
      <c r="U408" s="1186"/>
      <c r="V408" s="1186"/>
      <c r="W408" s="1186">
        <v>5.91</v>
      </c>
      <c r="X408" s="1186">
        <v>4.5599999999999996</v>
      </c>
      <c r="Y408" s="1186">
        <v>5.22</v>
      </c>
      <c r="Z408" s="1186">
        <v>2.75</v>
      </c>
      <c r="AA408" s="1186"/>
      <c r="AB408" s="1186"/>
      <c r="AC408" s="1186"/>
      <c r="AD408" s="1187"/>
    </row>
    <row r="409" spans="1:30" x14ac:dyDescent="0.2">
      <c r="A409">
        <f t="shared" si="40"/>
        <v>9</v>
      </c>
      <c r="B409">
        <v>400</v>
      </c>
      <c r="C409" s="1078">
        <v>3</v>
      </c>
      <c r="D409" s="1077" t="s">
        <v>5266</v>
      </c>
      <c r="E409" s="1077" t="s">
        <v>5272</v>
      </c>
      <c r="F409" s="1185">
        <v>4</v>
      </c>
      <c r="G409" s="1186"/>
      <c r="H409" s="1186"/>
      <c r="I409" s="1186"/>
      <c r="J409" s="1186"/>
      <c r="K409" s="1186"/>
      <c r="L409" s="1186"/>
      <c r="M409" s="1186"/>
      <c r="N409" s="1186"/>
      <c r="O409" s="1186"/>
      <c r="P409" s="1186"/>
      <c r="Q409" s="1186"/>
      <c r="R409" s="1186"/>
      <c r="S409" s="1186"/>
      <c r="T409" s="1186"/>
      <c r="U409" s="1186"/>
      <c r="V409" s="1186"/>
      <c r="W409" s="1186">
        <v>10.52</v>
      </c>
      <c r="X409" s="1186">
        <v>4.5</v>
      </c>
      <c r="Y409" s="1186">
        <v>8.9</v>
      </c>
      <c r="Z409" s="1186">
        <v>2.72</v>
      </c>
      <c r="AA409" s="1186"/>
      <c r="AB409" s="1186"/>
      <c r="AC409" s="1186"/>
      <c r="AD409" s="1187"/>
    </row>
    <row r="410" spans="1:30" x14ac:dyDescent="0.2">
      <c r="A410">
        <f t="shared" si="40"/>
        <v>9</v>
      </c>
      <c r="B410">
        <v>401</v>
      </c>
      <c r="C410" s="1078">
        <v>3</v>
      </c>
      <c r="D410" s="1077" t="s">
        <v>5266</v>
      </c>
      <c r="E410" s="1077" t="s">
        <v>5273</v>
      </c>
      <c r="F410" s="1185">
        <v>4</v>
      </c>
      <c r="G410" s="1186"/>
      <c r="H410" s="1186"/>
      <c r="I410" s="1186"/>
      <c r="J410" s="1186"/>
      <c r="K410" s="1186"/>
      <c r="L410" s="1186"/>
      <c r="M410" s="1186"/>
      <c r="N410" s="1186"/>
      <c r="O410" s="1186"/>
      <c r="P410" s="1186"/>
      <c r="Q410" s="1186"/>
      <c r="R410" s="1186"/>
      <c r="S410" s="1186"/>
      <c r="T410" s="1186"/>
      <c r="U410" s="1186"/>
      <c r="V410" s="1186"/>
      <c r="W410" s="1186">
        <v>5.91</v>
      </c>
      <c r="X410" s="1186">
        <v>4.5599999999999996</v>
      </c>
      <c r="Y410" s="1186">
        <v>5.22</v>
      </c>
      <c r="Z410" s="1186">
        <v>2.75</v>
      </c>
      <c r="AA410" s="1186"/>
      <c r="AB410" s="1186"/>
      <c r="AC410" s="1186"/>
      <c r="AD410" s="1187"/>
    </row>
    <row r="411" spans="1:30" x14ac:dyDescent="0.2">
      <c r="A411">
        <f t="shared" si="40"/>
        <v>9</v>
      </c>
      <c r="B411">
        <v>402</v>
      </c>
      <c r="C411" s="1078">
        <v>3</v>
      </c>
      <c r="D411" s="1077" t="s">
        <v>5266</v>
      </c>
      <c r="E411" s="1077" t="s">
        <v>5274</v>
      </c>
      <c r="F411" s="1185">
        <v>4</v>
      </c>
      <c r="G411" s="1186"/>
      <c r="H411" s="1186"/>
      <c r="I411" s="1186"/>
      <c r="J411" s="1186"/>
      <c r="K411" s="1186"/>
      <c r="L411" s="1186"/>
      <c r="M411" s="1186"/>
      <c r="N411" s="1186"/>
      <c r="O411" s="1186"/>
      <c r="P411" s="1186"/>
      <c r="Q411" s="1186"/>
      <c r="R411" s="1186"/>
      <c r="S411" s="1186"/>
      <c r="T411" s="1186"/>
      <c r="U411" s="1186"/>
      <c r="V411" s="1186"/>
      <c r="W411" s="1186">
        <v>10.52</v>
      </c>
      <c r="X411" s="1186">
        <v>4.5</v>
      </c>
      <c r="Y411" s="1186">
        <v>8.9</v>
      </c>
      <c r="Z411" s="1186">
        <v>2.72</v>
      </c>
      <c r="AA411" s="1186"/>
      <c r="AB411" s="1186"/>
      <c r="AC411" s="1186"/>
      <c r="AD411" s="1187"/>
    </row>
    <row r="412" spans="1:30" x14ac:dyDescent="0.2">
      <c r="A412">
        <f t="shared" si="40"/>
        <v>9</v>
      </c>
      <c r="B412">
        <v>403</v>
      </c>
      <c r="C412" s="1078">
        <v>3</v>
      </c>
      <c r="D412" s="1077" t="s">
        <v>5266</v>
      </c>
      <c r="E412" s="1077" t="s">
        <v>5275</v>
      </c>
      <c r="F412" s="1185">
        <v>4</v>
      </c>
      <c r="G412" s="1186"/>
      <c r="H412" s="1186"/>
      <c r="I412" s="1186"/>
      <c r="J412" s="1186"/>
      <c r="K412" s="1186"/>
      <c r="L412" s="1186"/>
      <c r="M412" s="1186"/>
      <c r="N412" s="1186"/>
      <c r="O412" s="1186"/>
      <c r="P412" s="1186"/>
      <c r="Q412" s="1186"/>
      <c r="R412" s="1186"/>
      <c r="S412" s="1186"/>
      <c r="T412" s="1186"/>
      <c r="U412" s="1186"/>
      <c r="V412" s="1186"/>
      <c r="W412" s="1186">
        <v>5.91</v>
      </c>
      <c r="X412" s="1186">
        <v>4.5599999999999996</v>
      </c>
      <c r="Y412" s="1186">
        <v>5.22</v>
      </c>
      <c r="Z412" s="1186">
        <v>2.75</v>
      </c>
      <c r="AA412" s="1186"/>
      <c r="AB412" s="1186"/>
      <c r="AC412" s="1186"/>
      <c r="AD412" s="1187"/>
    </row>
    <row r="413" spans="1:30" x14ac:dyDescent="0.2">
      <c r="A413">
        <f t="shared" si="40"/>
        <v>9</v>
      </c>
      <c r="B413">
        <v>404</v>
      </c>
      <c r="C413" s="1078">
        <v>3</v>
      </c>
      <c r="D413" s="1077" t="s">
        <v>5266</v>
      </c>
      <c r="E413" s="1077" t="s">
        <v>5276</v>
      </c>
      <c r="F413" s="1185">
        <v>4</v>
      </c>
      <c r="G413" s="1186"/>
      <c r="H413" s="1186"/>
      <c r="I413" s="1186"/>
      <c r="J413" s="1186"/>
      <c r="K413" s="1186"/>
      <c r="L413" s="1186"/>
      <c r="M413" s="1186"/>
      <c r="N413" s="1186"/>
      <c r="O413" s="1186"/>
      <c r="P413" s="1186"/>
      <c r="Q413" s="1186"/>
      <c r="R413" s="1186"/>
      <c r="S413" s="1186"/>
      <c r="T413" s="1186"/>
      <c r="U413" s="1186"/>
      <c r="V413" s="1186"/>
      <c r="W413" s="1186">
        <v>5.91</v>
      </c>
      <c r="X413" s="1186">
        <v>4.5599999999999996</v>
      </c>
      <c r="Y413" s="1186">
        <v>5.22</v>
      </c>
      <c r="Z413" s="1186">
        <v>2.75</v>
      </c>
      <c r="AA413" s="1186"/>
      <c r="AB413" s="1186"/>
      <c r="AC413" s="1186"/>
      <c r="AD413" s="1187"/>
    </row>
    <row r="414" spans="1:30" x14ac:dyDescent="0.2">
      <c r="A414">
        <f t="shared" si="40"/>
        <v>9</v>
      </c>
      <c r="B414">
        <v>405</v>
      </c>
      <c r="C414" s="1078">
        <v>3</v>
      </c>
      <c r="D414" s="1077" t="s">
        <v>5266</v>
      </c>
      <c r="E414" s="1077" t="s">
        <v>5277</v>
      </c>
      <c r="F414" s="1185">
        <v>4</v>
      </c>
      <c r="G414" s="1186"/>
      <c r="H414" s="1186"/>
      <c r="I414" s="1186"/>
      <c r="J414" s="1186"/>
      <c r="K414" s="1186"/>
      <c r="L414" s="1186"/>
      <c r="M414" s="1186"/>
      <c r="N414" s="1186"/>
      <c r="O414" s="1186"/>
      <c r="P414" s="1186"/>
      <c r="Q414" s="1186"/>
      <c r="R414" s="1186"/>
      <c r="S414" s="1186"/>
      <c r="T414" s="1186"/>
      <c r="U414" s="1186"/>
      <c r="V414" s="1186"/>
      <c r="W414" s="1186">
        <v>10.52</v>
      </c>
      <c r="X414" s="1186">
        <v>4.5</v>
      </c>
      <c r="Y414" s="1186">
        <v>8.9</v>
      </c>
      <c r="Z414" s="1186">
        <v>2.72</v>
      </c>
      <c r="AA414" s="1186"/>
      <c r="AB414" s="1186"/>
      <c r="AC414" s="1186"/>
      <c r="AD414" s="1187"/>
    </row>
    <row r="415" spans="1:30" x14ac:dyDescent="0.2">
      <c r="A415">
        <f t="shared" si="40"/>
        <v>9</v>
      </c>
      <c r="B415">
        <v>406</v>
      </c>
      <c r="C415" s="1078">
        <v>3</v>
      </c>
      <c r="D415" s="1077" t="s">
        <v>5266</v>
      </c>
      <c r="E415" s="1077" t="s">
        <v>5278</v>
      </c>
      <c r="F415" s="1185">
        <v>2</v>
      </c>
      <c r="G415" s="1186"/>
      <c r="H415" s="1186"/>
      <c r="I415" s="1186"/>
      <c r="J415" s="1186"/>
      <c r="K415" s="1186"/>
      <c r="L415" s="1186"/>
      <c r="M415" s="1186"/>
      <c r="N415" s="1186"/>
      <c r="O415" s="1186"/>
      <c r="P415" s="1186"/>
      <c r="Q415" s="1186"/>
      <c r="R415" s="1186"/>
      <c r="S415" s="1186"/>
      <c r="T415" s="1186"/>
      <c r="U415" s="1186"/>
      <c r="V415" s="1186"/>
      <c r="W415" s="1186">
        <v>20.2</v>
      </c>
      <c r="X415" s="1186">
        <v>4.7</v>
      </c>
      <c r="Y415" s="1186">
        <v>19.600000000000001</v>
      </c>
      <c r="Z415" s="1186">
        <v>2.9</v>
      </c>
      <c r="AA415" s="1186"/>
      <c r="AB415" s="1186"/>
      <c r="AC415" s="1186"/>
      <c r="AD415" s="1187"/>
    </row>
    <row r="416" spans="1:30" x14ac:dyDescent="0.2">
      <c r="A416">
        <f t="shared" si="40"/>
        <v>9</v>
      </c>
      <c r="B416">
        <v>407</v>
      </c>
      <c r="C416" s="1078">
        <v>3</v>
      </c>
      <c r="D416" s="1077" t="s">
        <v>5266</v>
      </c>
      <c r="E416" s="1077" t="s">
        <v>5279</v>
      </c>
      <c r="F416" s="1185">
        <v>2</v>
      </c>
      <c r="G416" s="1186"/>
      <c r="H416" s="1186"/>
      <c r="I416" s="1186"/>
      <c r="J416" s="1186"/>
      <c r="K416" s="1186"/>
      <c r="L416" s="1186"/>
      <c r="M416" s="1186"/>
      <c r="N416" s="1186"/>
      <c r="O416" s="1186"/>
      <c r="P416" s="1186"/>
      <c r="Q416" s="1186"/>
      <c r="R416" s="1186"/>
      <c r="S416" s="1186"/>
      <c r="T416" s="1186"/>
      <c r="U416" s="1186"/>
      <c r="V416" s="1186"/>
      <c r="W416" s="1186">
        <v>25.6</v>
      </c>
      <c r="X416" s="1186">
        <v>4.5999999999999996</v>
      </c>
      <c r="Y416" s="1186">
        <v>24</v>
      </c>
      <c r="Z416" s="1186">
        <v>2.8</v>
      </c>
      <c r="AA416" s="1186"/>
      <c r="AB416" s="1186"/>
      <c r="AC416" s="1186"/>
      <c r="AD416" s="1187"/>
    </row>
    <row r="417" spans="1:30" x14ac:dyDescent="0.2">
      <c r="A417">
        <f t="shared" si="40"/>
        <v>9</v>
      </c>
      <c r="B417">
        <v>408</v>
      </c>
      <c r="C417" s="1078">
        <v>3</v>
      </c>
      <c r="D417" s="1077" t="s">
        <v>5266</v>
      </c>
      <c r="E417" s="1077" t="s">
        <v>5280</v>
      </c>
      <c r="F417" s="1185">
        <v>2</v>
      </c>
      <c r="G417" s="1186"/>
      <c r="H417" s="1186"/>
      <c r="I417" s="1186"/>
      <c r="J417" s="1186"/>
      <c r="K417" s="1186"/>
      <c r="L417" s="1186"/>
      <c r="M417" s="1186"/>
      <c r="N417" s="1186"/>
      <c r="O417" s="1186"/>
      <c r="P417" s="1186"/>
      <c r="Q417" s="1186"/>
      <c r="R417" s="1186"/>
      <c r="S417" s="1186"/>
      <c r="T417" s="1186"/>
      <c r="U417" s="1186"/>
      <c r="V417" s="1186"/>
      <c r="W417" s="1186">
        <v>34.1</v>
      </c>
      <c r="X417" s="1186">
        <v>4.5</v>
      </c>
      <c r="Y417" s="1186">
        <v>31.6</v>
      </c>
      <c r="Z417" s="1186">
        <v>2.8</v>
      </c>
      <c r="AA417" s="1186"/>
      <c r="AB417" s="1186"/>
      <c r="AC417" s="1186"/>
      <c r="AD417" s="1187"/>
    </row>
    <row r="418" spans="1:30" x14ac:dyDescent="0.2">
      <c r="A418">
        <f t="shared" si="40"/>
        <v>9</v>
      </c>
      <c r="B418">
        <v>409</v>
      </c>
      <c r="C418" s="1078">
        <v>3</v>
      </c>
      <c r="D418" s="1077" t="s">
        <v>5266</v>
      </c>
      <c r="E418" s="1077" t="s">
        <v>5281</v>
      </c>
      <c r="F418" s="1185">
        <v>2</v>
      </c>
      <c r="G418" s="1186"/>
      <c r="H418" s="1186"/>
      <c r="I418" s="1186"/>
      <c r="J418" s="1186"/>
      <c r="K418" s="1186"/>
      <c r="L418" s="1186"/>
      <c r="M418" s="1186"/>
      <c r="N418" s="1186"/>
      <c r="O418" s="1186"/>
      <c r="P418" s="1186"/>
      <c r="Q418" s="1186"/>
      <c r="R418" s="1186"/>
      <c r="S418" s="1186"/>
      <c r="T418" s="1186"/>
      <c r="U418" s="1186"/>
      <c r="V418" s="1186"/>
      <c r="W418" s="1186">
        <v>42.4</v>
      </c>
      <c r="X418" s="1186">
        <v>4.5999999999999996</v>
      </c>
      <c r="Y418" s="1186">
        <v>39</v>
      </c>
      <c r="Z418" s="1186">
        <v>2.9</v>
      </c>
      <c r="AA418" s="1186"/>
      <c r="AB418" s="1186"/>
      <c r="AC418" s="1186"/>
      <c r="AD418" s="1187"/>
    </row>
    <row r="419" spans="1:30" x14ac:dyDescent="0.2">
      <c r="A419">
        <f t="shared" si="40"/>
        <v>9</v>
      </c>
      <c r="B419">
        <v>410</v>
      </c>
      <c r="C419" s="1078">
        <v>3</v>
      </c>
      <c r="D419" s="1077" t="s">
        <v>5266</v>
      </c>
      <c r="E419" s="1077" t="s">
        <v>5282</v>
      </c>
      <c r="F419" s="1185">
        <v>3</v>
      </c>
      <c r="G419" s="1186"/>
      <c r="H419" s="1186"/>
      <c r="I419" s="1186"/>
      <c r="J419" s="1186"/>
      <c r="K419" s="1186"/>
      <c r="L419" s="1186"/>
      <c r="M419" s="1186"/>
      <c r="N419" s="1186"/>
      <c r="O419" s="1186"/>
      <c r="P419" s="1186"/>
      <c r="Q419" s="1186"/>
      <c r="R419" s="1186"/>
      <c r="S419" s="1186"/>
      <c r="T419" s="1186"/>
      <c r="U419" s="1186"/>
      <c r="V419" s="1186"/>
      <c r="W419" s="1186">
        <v>51.2</v>
      </c>
      <c r="X419" s="1186">
        <v>4.5</v>
      </c>
      <c r="Y419" s="1186">
        <v>48</v>
      </c>
      <c r="Z419" s="1186">
        <v>2.7</v>
      </c>
      <c r="AA419" s="1186"/>
      <c r="AB419" s="1186"/>
      <c r="AC419" s="1186"/>
      <c r="AD419" s="1187"/>
    </row>
    <row r="420" spans="1:30" x14ac:dyDescent="0.2">
      <c r="A420">
        <f t="shared" si="40"/>
        <v>9</v>
      </c>
      <c r="B420">
        <v>411</v>
      </c>
      <c r="C420" s="1081">
        <v>3</v>
      </c>
      <c r="D420" s="1082" t="s">
        <v>5266</v>
      </c>
      <c r="E420" s="1082" t="s">
        <v>5283</v>
      </c>
      <c r="F420" s="1188">
        <v>3</v>
      </c>
      <c r="G420" s="1189"/>
      <c r="H420" s="1189"/>
      <c r="I420" s="1189"/>
      <c r="J420" s="1189"/>
      <c r="K420" s="1189"/>
      <c r="L420" s="1189"/>
      <c r="M420" s="1189"/>
      <c r="N420" s="1189"/>
      <c r="O420" s="1189"/>
      <c r="P420" s="1189"/>
      <c r="Q420" s="1189"/>
      <c r="R420" s="1189"/>
      <c r="S420" s="1189"/>
      <c r="T420" s="1189"/>
      <c r="U420" s="1189"/>
      <c r="V420" s="1189"/>
      <c r="W420" s="1189">
        <v>68.3</v>
      </c>
      <c r="X420" s="1189">
        <v>4.4000000000000004</v>
      </c>
      <c r="Y420" s="1189">
        <v>63.2</v>
      </c>
      <c r="Z420" s="1189">
        <v>2.7</v>
      </c>
      <c r="AA420" s="1189"/>
      <c r="AB420" s="1189"/>
      <c r="AC420" s="1189"/>
      <c r="AD420" s="1194"/>
    </row>
    <row r="421" spans="1:30" x14ac:dyDescent="0.2">
      <c r="A421">
        <f t="shared" si="40"/>
        <v>9</v>
      </c>
      <c r="B421">
        <v>412</v>
      </c>
      <c r="C421" s="1190">
        <v>3</v>
      </c>
      <c r="D421" s="1191" t="s">
        <v>5266</v>
      </c>
      <c r="E421" s="1191" t="s">
        <v>5284</v>
      </c>
      <c r="F421" s="1192">
        <v>3</v>
      </c>
      <c r="G421" s="1193"/>
      <c r="H421" s="1193"/>
      <c r="I421" s="1193"/>
      <c r="J421" s="1193"/>
      <c r="K421" s="1193"/>
      <c r="L421" s="1193"/>
      <c r="M421" s="1193"/>
      <c r="N421" s="1193"/>
      <c r="O421" s="1193"/>
      <c r="P421" s="1193"/>
      <c r="Q421" s="1193"/>
      <c r="R421" s="1193"/>
      <c r="S421" s="1193"/>
      <c r="T421" s="1193"/>
      <c r="U421" s="1193"/>
      <c r="V421" s="1193"/>
      <c r="W421" s="1193">
        <v>84.9</v>
      </c>
      <c r="X421" s="1193">
        <v>4.5</v>
      </c>
      <c r="Y421" s="1193">
        <v>78.099999999999994</v>
      </c>
      <c r="Z421" s="1193">
        <v>2.8</v>
      </c>
      <c r="AA421" s="1193"/>
      <c r="AB421" s="1193"/>
      <c r="AC421" s="1193"/>
      <c r="AD421" s="1195"/>
    </row>
    <row r="422" spans="1:30" x14ac:dyDescent="0.2">
      <c r="A422">
        <f t="shared" si="40"/>
        <v>9</v>
      </c>
      <c r="B422">
        <v>413</v>
      </c>
      <c r="C422" s="1078">
        <v>2</v>
      </c>
      <c r="D422" s="1077" t="s">
        <v>5266</v>
      </c>
      <c r="E422" s="1077" t="s">
        <v>4439</v>
      </c>
      <c r="F422" s="1185">
        <v>1</v>
      </c>
      <c r="G422" s="1186">
        <v>2.94</v>
      </c>
      <c r="H422" s="1186">
        <v>2.4300000000000002</v>
      </c>
      <c r="I422" s="1186">
        <v>3.87</v>
      </c>
      <c r="J422" s="1186">
        <v>3.1</v>
      </c>
      <c r="K422" s="1186">
        <v>4.8</v>
      </c>
      <c r="L422" s="1186">
        <v>3.69</v>
      </c>
      <c r="M422" s="1186">
        <v>6.22</v>
      </c>
      <c r="N422" s="1186">
        <v>4.78</v>
      </c>
      <c r="O422" s="1186">
        <v>7.68</v>
      </c>
      <c r="P422" s="1186">
        <v>5.79</v>
      </c>
      <c r="Q422" s="1186">
        <v>3.45</v>
      </c>
      <c r="R422" s="1186">
        <v>2</v>
      </c>
      <c r="S422" s="1186">
        <v>5.67</v>
      </c>
      <c r="T422" s="1186">
        <v>3.05</v>
      </c>
      <c r="U422" s="1186">
        <v>8.6999999999999993</v>
      </c>
      <c r="V422" s="1186">
        <v>3.34</v>
      </c>
      <c r="W422" s="1186"/>
      <c r="X422" s="1186"/>
      <c r="Y422" s="1186"/>
      <c r="Z422" s="1186"/>
      <c r="AA422" s="1186"/>
      <c r="AB422" s="1186"/>
      <c r="AC422" s="1186"/>
      <c r="AD422" s="1187"/>
    </row>
    <row r="423" spans="1:30" x14ac:dyDescent="0.2">
      <c r="A423">
        <f t="shared" si="40"/>
        <v>9</v>
      </c>
      <c r="B423">
        <v>414</v>
      </c>
      <c r="C423" s="1078">
        <v>2</v>
      </c>
      <c r="D423" s="1077" t="s">
        <v>5266</v>
      </c>
      <c r="E423" s="1077" t="s">
        <v>4440</v>
      </c>
      <c r="F423" s="1185">
        <v>1</v>
      </c>
      <c r="G423" s="1186">
        <v>3.63</v>
      </c>
      <c r="H423" s="1186">
        <v>2.42</v>
      </c>
      <c r="I423" s="1186">
        <v>4.7300000000000004</v>
      </c>
      <c r="J423" s="1186">
        <v>3.01</v>
      </c>
      <c r="K423" s="1186">
        <v>6</v>
      </c>
      <c r="L423" s="1186">
        <v>3.76</v>
      </c>
      <c r="M423" s="1186">
        <v>7.83</v>
      </c>
      <c r="N423" s="1186">
        <v>4.83</v>
      </c>
      <c r="O423" s="1186">
        <v>9.6999999999999993</v>
      </c>
      <c r="P423" s="1186">
        <v>5.89</v>
      </c>
      <c r="Q423" s="1186">
        <v>4.3899999999999997</v>
      </c>
      <c r="R423" s="1186">
        <v>2.08</v>
      </c>
      <c r="S423" s="1186">
        <v>7.08</v>
      </c>
      <c r="T423" s="1186">
        <v>3.11</v>
      </c>
      <c r="U423" s="1186">
        <v>9.75</v>
      </c>
      <c r="V423" s="1186">
        <v>3.4</v>
      </c>
      <c r="W423" s="1186"/>
      <c r="X423" s="1186"/>
      <c r="Y423" s="1186"/>
      <c r="Z423" s="1186"/>
      <c r="AA423" s="1186"/>
      <c r="AB423" s="1186"/>
      <c r="AC423" s="1186"/>
      <c r="AD423" s="1187"/>
    </row>
    <row r="424" spans="1:30" x14ac:dyDescent="0.2">
      <c r="A424">
        <f t="shared" si="40"/>
        <v>9</v>
      </c>
      <c r="B424">
        <v>415</v>
      </c>
      <c r="C424" s="1078">
        <v>2</v>
      </c>
      <c r="D424" s="1077" t="s">
        <v>5266</v>
      </c>
      <c r="E424" s="1077" t="s">
        <v>4441</v>
      </c>
      <c r="F424" s="1185">
        <v>1</v>
      </c>
      <c r="G424" s="1186">
        <v>5.63</v>
      </c>
      <c r="H424" s="1186">
        <v>2.64</v>
      </c>
      <c r="I424" s="1186">
        <v>7.32</v>
      </c>
      <c r="J424" s="1186">
        <v>3.2</v>
      </c>
      <c r="K424" s="1186">
        <v>8.8000000000000007</v>
      </c>
      <c r="L424" s="1186">
        <v>3.83</v>
      </c>
      <c r="M424" s="1186">
        <v>11.45</v>
      </c>
      <c r="N424" s="1186">
        <v>4.8499999999999996</v>
      </c>
      <c r="O424" s="1186">
        <v>13.98</v>
      </c>
      <c r="P424" s="1186">
        <v>5.8</v>
      </c>
      <c r="Q424" s="1186">
        <v>6.63</v>
      </c>
      <c r="R424" s="1186">
        <v>2.1800000000000002</v>
      </c>
      <c r="S424" s="1186">
        <v>10.48</v>
      </c>
      <c r="T424" s="1186">
        <v>3.18</v>
      </c>
      <c r="U424" s="1186">
        <v>13.67</v>
      </c>
      <c r="V424" s="1186">
        <v>3.54</v>
      </c>
      <c r="W424" s="1186"/>
      <c r="X424" s="1186"/>
      <c r="Y424" s="1186"/>
      <c r="Z424" s="1186"/>
      <c r="AA424" s="1186"/>
      <c r="AB424" s="1186"/>
      <c r="AC424" s="1186"/>
      <c r="AD424" s="1187"/>
    </row>
    <row r="425" spans="1:30" x14ac:dyDescent="0.2">
      <c r="A425">
        <f t="shared" si="40"/>
        <v>9</v>
      </c>
      <c r="B425">
        <v>416</v>
      </c>
      <c r="C425" s="1078">
        <v>2</v>
      </c>
      <c r="D425" s="1077" t="s">
        <v>5266</v>
      </c>
      <c r="E425" s="1077" t="s">
        <v>4442</v>
      </c>
      <c r="F425" s="1185">
        <v>1</v>
      </c>
      <c r="G425" s="1186">
        <v>7.77</v>
      </c>
      <c r="H425" s="1186">
        <v>2.5099999999999998</v>
      </c>
      <c r="I425" s="1186">
        <v>10.029999999999999</v>
      </c>
      <c r="J425" s="1186">
        <v>3.04</v>
      </c>
      <c r="K425" s="1186">
        <v>12</v>
      </c>
      <c r="L425" s="1186">
        <v>3.57</v>
      </c>
      <c r="M425" s="1186">
        <v>15.92</v>
      </c>
      <c r="N425" s="1186">
        <v>4.5199999999999996</v>
      </c>
      <c r="O425" s="1186">
        <v>19.350000000000001</v>
      </c>
      <c r="P425" s="1186">
        <v>5.37</v>
      </c>
      <c r="Q425" s="1186">
        <v>9.4</v>
      </c>
      <c r="R425" s="1186">
        <v>2.2200000000000002</v>
      </c>
      <c r="S425" s="1186">
        <v>14.46</v>
      </c>
      <c r="T425" s="1186">
        <v>3.1</v>
      </c>
      <c r="U425" s="1186">
        <v>19.11</v>
      </c>
      <c r="V425" s="1186">
        <v>3.52</v>
      </c>
      <c r="W425" s="1186"/>
      <c r="X425" s="1186"/>
      <c r="Y425" s="1186"/>
      <c r="Z425" s="1186"/>
      <c r="AA425" s="1186"/>
      <c r="AB425" s="1186"/>
      <c r="AC425" s="1186"/>
      <c r="AD425" s="1187"/>
    </row>
    <row r="426" spans="1:30" x14ac:dyDescent="0.2">
      <c r="A426">
        <f t="shared" si="40"/>
        <v>9</v>
      </c>
      <c r="B426">
        <v>417</v>
      </c>
      <c r="C426" s="1078">
        <v>2</v>
      </c>
      <c r="D426" s="1077" t="s">
        <v>5266</v>
      </c>
      <c r="E426" s="1077" t="s">
        <v>4443</v>
      </c>
      <c r="F426" s="1185">
        <v>1</v>
      </c>
      <c r="G426" s="1186">
        <v>9.52</v>
      </c>
      <c r="H426" s="1186">
        <v>2.52</v>
      </c>
      <c r="I426" s="1186">
        <v>11.51</v>
      </c>
      <c r="J426" s="1186">
        <v>2.92</v>
      </c>
      <c r="K426" s="1186">
        <v>13.9</v>
      </c>
      <c r="L426" s="1186">
        <v>3.54</v>
      </c>
      <c r="M426" s="1186">
        <v>17.52</v>
      </c>
      <c r="N426" s="1186">
        <v>4.1399999999999997</v>
      </c>
      <c r="O426" s="1186">
        <v>21.02</v>
      </c>
      <c r="P426" s="1186">
        <v>4.92</v>
      </c>
      <c r="Q426" s="1186">
        <v>11.41</v>
      </c>
      <c r="R426" s="1186">
        <v>2.19</v>
      </c>
      <c r="S426" s="1186">
        <v>17.3</v>
      </c>
      <c r="T426" s="1186">
        <v>3.06</v>
      </c>
      <c r="U426" s="1186">
        <v>20.8</v>
      </c>
      <c r="V426" s="1186">
        <v>3.47</v>
      </c>
      <c r="W426" s="1186"/>
      <c r="X426" s="1186"/>
      <c r="Y426" s="1186"/>
      <c r="Z426" s="1186"/>
      <c r="AA426" s="1186"/>
      <c r="AB426" s="1186"/>
      <c r="AC426" s="1186"/>
      <c r="AD426" s="1187"/>
    </row>
    <row r="427" spans="1:30" x14ac:dyDescent="0.2">
      <c r="A427">
        <f t="shared" si="40"/>
        <v>9</v>
      </c>
      <c r="B427">
        <v>418</v>
      </c>
      <c r="C427" s="1078">
        <v>2</v>
      </c>
      <c r="D427" s="1077" t="s">
        <v>5266</v>
      </c>
      <c r="E427" s="1077" t="s">
        <v>4526</v>
      </c>
      <c r="F427" s="1185">
        <v>4</v>
      </c>
      <c r="G427" s="1186">
        <v>5.01</v>
      </c>
      <c r="H427" s="1186">
        <v>2.13</v>
      </c>
      <c r="I427" s="1186">
        <v>6.2</v>
      </c>
      <c r="J427" s="1186">
        <v>2.82</v>
      </c>
      <c r="K427" s="1186">
        <v>5.31</v>
      </c>
      <c r="L427" s="1186">
        <v>4.05</v>
      </c>
      <c r="M427" s="1186">
        <v>2.5499999999999998</v>
      </c>
      <c r="N427" s="1186">
        <v>5.0599999999999996</v>
      </c>
      <c r="O427" s="1186">
        <v>3.2</v>
      </c>
      <c r="P427" s="1186">
        <v>6.6</v>
      </c>
      <c r="Q427" s="1186">
        <v>3.75</v>
      </c>
      <c r="R427" s="1186">
        <v>2.12</v>
      </c>
      <c r="S427" s="1186">
        <v>5.6</v>
      </c>
      <c r="T427" s="1186">
        <v>3</v>
      </c>
      <c r="U427" s="1186"/>
      <c r="V427" s="1186"/>
      <c r="W427" s="1186"/>
      <c r="X427" s="1186"/>
      <c r="Y427" s="1186"/>
      <c r="Z427" s="1186"/>
      <c r="AA427" s="1186"/>
      <c r="AB427" s="1186"/>
      <c r="AC427" s="1186"/>
      <c r="AD427" s="1187"/>
    </row>
    <row r="428" spans="1:30" x14ac:dyDescent="0.2">
      <c r="A428">
        <f t="shared" si="40"/>
        <v>9</v>
      </c>
      <c r="B428">
        <v>419</v>
      </c>
      <c r="C428" s="1078">
        <v>2</v>
      </c>
      <c r="D428" s="1077" t="s">
        <v>5266</v>
      </c>
      <c r="E428" s="1077" t="s">
        <v>4527</v>
      </c>
      <c r="F428" s="1185">
        <v>4</v>
      </c>
      <c r="G428" s="1186">
        <v>7.57</v>
      </c>
      <c r="H428" s="1186">
        <v>1.98</v>
      </c>
      <c r="I428" s="1186">
        <v>9.3000000000000007</v>
      </c>
      <c r="J428" s="1186">
        <v>2.34</v>
      </c>
      <c r="K428" s="1186">
        <v>5.31</v>
      </c>
      <c r="L428" s="1186">
        <v>4.05</v>
      </c>
      <c r="M428" s="1186">
        <v>2.5499999999999998</v>
      </c>
      <c r="N428" s="1186">
        <v>5.0599999999999996</v>
      </c>
      <c r="O428" s="1186">
        <v>3.2</v>
      </c>
      <c r="P428" s="1186">
        <v>5.4</v>
      </c>
      <c r="Q428" s="1186">
        <v>3.75</v>
      </c>
      <c r="R428" s="1186">
        <v>2.12</v>
      </c>
      <c r="S428" s="1186">
        <v>5.6</v>
      </c>
      <c r="T428" s="1186">
        <v>3</v>
      </c>
      <c r="U428" s="1186">
        <v>6.52</v>
      </c>
      <c r="V428" s="1186">
        <v>3.45</v>
      </c>
      <c r="W428" s="1186"/>
      <c r="X428" s="1186"/>
      <c r="Y428" s="1186"/>
      <c r="Z428" s="1186"/>
      <c r="AA428" s="1186"/>
      <c r="AB428" s="1186"/>
      <c r="AC428" s="1186"/>
      <c r="AD428" s="1187"/>
    </row>
    <row r="429" spans="1:30" x14ac:dyDescent="0.2">
      <c r="A429">
        <f t="shared" si="40"/>
        <v>9</v>
      </c>
      <c r="B429">
        <v>420</v>
      </c>
      <c r="C429" s="1078">
        <v>2</v>
      </c>
      <c r="D429" s="1077" t="s">
        <v>5266</v>
      </c>
      <c r="E429" s="1077" t="s">
        <v>4528</v>
      </c>
      <c r="F429" s="1185">
        <v>4</v>
      </c>
      <c r="G429" s="1186">
        <v>12.05</v>
      </c>
      <c r="H429" s="1186">
        <v>2.0099999999999998</v>
      </c>
      <c r="I429" s="1186">
        <v>14.97</v>
      </c>
      <c r="J429" s="1186">
        <v>2.37</v>
      </c>
      <c r="K429" s="1186">
        <v>8.27</v>
      </c>
      <c r="L429" s="1186">
        <v>3.78</v>
      </c>
      <c r="M429" s="1186">
        <v>4.74</v>
      </c>
      <c r="N429" s="1186">
        <v>4.9000000000000004</v>
      </c>
      <c r="O429" s="1186">
        <v>5.4</v>
      </c>
      <c r="P429" s="1186">
        <v>5.45</v>
      </c>
      <c r="Q429" s="1186">
        <v>14.47</v>
      </c>
      <c r="R429" s="1186">
        <v>1.71</v>
      </c>
      <c r="S429" s="1186">
        <v>5.36</v>
      </c>
      <c r="T429" s="1186">
        <v>3.17</v>
      </c>
      <c r="U429" s="1186">
        <v>6.03</v>
      </c>
      <c r="V429" s="1186">
        <v>3.52</v>
      </c>
      <c r="W429" s="1186"/>
      <c r="X429" s="1186"/>
      <c r="Y429" s="1186"/>
      <c r="Z429" s="1186"/>
      <c r="AA429" s="1186"/>
      <c r="AB429" s="1186"/>
      <c r="AC429" s="1186"/>
      <c r="AD429" s="1187"/>
    </row>
    <row r="430" spans="1:30" x14ac:dyDescent="0.2">
      <c r="A430">
        <f t="shared" si="40"/>
        <v>9</v>
      </c>
      <c r="B430">
        <v>421</v>
      </c>
      <c r="C430" s="1078">
        <v>2</v>
      </c>
      <c r="D430" s="1077" t="s">
        <v>5266</v>
      </c>
      <c r="E430" s="1077" t="s">
        <v>5285</v>
      </c>
      <c r="F430" s="1185">
        <v>1</v>
      </c>
      <c r="G430" s="1186">
        <v>4.7</v>
      </c>
      <c r="H430" s="1186">
        <v>3</v>
      </c>
      <c r="I430" s="1186">
        <v>5.8</v>
      </c>
      <c r="J430" s="1186">
        <v>3.6</v>
      </c>
      <c r="K430" s="1186">
        <v>7.2</v>
      </c>
      <c r="L430" s="1186">
        <v>4.3</v>
      </c>
      <c r="M430" s="1186">
        <v>8.1</v>
      </c>
      <c r="N430" s="1186">
        <v>4.7</v>
      </c>
      <c r="O430" s="1186">
        <v>9.5</v>
      </c>
      <c r="P430" s="1186">
        <v>5.5</v>
      </c>
      <c r="Q430" s="1186">
        <v>6.2</v>
      </c>
      <c r="R430" s="1186">
        <v>2.6</v>
      </c>
      <c r="S430" s="1186">
        <v>8.5</v>
      </c>
      <c r="T430" s="1186">
        <v>3.4</v>
      </c>
      <c r="U430" s="1186">
        <v>9.5</v>
      </c>
      <c r="V430" s="1186">
        <v>3.7</v>
      </c>
      <c r="W430" s="1186"/>
      <c r="X430" s="1186"/>
      <c r="Y430" s="1186"/>
      <c r="Z430" s="1186"/>
      <c r="AA430" s="1186"/>
      <c r="AB430" s="1186"/>
      <c r="AC430" s="1186"/>
      <c r="AD430" s="1187"/>
    </row>
    <row r="431" spans="1:30" x14ac:dyDescent="0.2">
      <c r="A431">
        <f t="shared" si="40"/>
        <v>9</v>
      </c>
      <c r="B431">
        <v>422</v>
      </c>
      <c r="C431" s="1078">
        <v>2</v>
      </c>
      <c r="D431" s="1077" t="s">
        <v>5266</v>
      </c>
      <c r="E431" s="1077" t="s">
        <v>5286</v>
      </c>
      <c r="F431" s="1185">
        <v>1</v>
      </c>
      <c r="G431" s="1186">
        <v>6.3</v>
      </c>
      <c r="H431" s="1186">
        <v>3.1</v>
      </c>
      <c r="I431" s="1186">
        <v>7.6</v>
      </c>
      <c r="J431" s="1186">
        <v>3.5</v>
      </c>
      <c r="K431" s="1186">
        <v>9.3000000000000007</v>
      </c>
      <c r="L431" s="1186">
        <v>4.2</v>
      </c>
      <c r="M431" s="1186">
        <v>10.5</v>
      </c>
      <c r="N431" s="1186">
        <v>4.5999999999999996</v>
      </c>
      <c r="O431" s="1186">
        <v>12.6</v>
      </c>
      <c r="P431" s="1186">
        <v>5.5</v>
      </c>
      <c r="Q431" s="1186">
        <v>8.1</v>
      </c>
      <c r="R431" s="1186">
        <v>2.6</v>
      </c>
      <c r="S431" s="1186">
        <v>10.8</v>
      </c>
      <c r="T431" s="1186">
        <v>3.1</v>
      </c>
      <c r="U431" s="1186">
        <v>12.7</v>
      </c>
      <c r="V431" s="1186">
        <v>3.6</v>
      </c>
      <c r="W431" s="1186"/>
      <c r="X431" s="1186"/>
      <c r="Y431" s="1186"/>
      <c r="Z431" s="1186"/>
      <c r="AA431" s="1186"/>
      <c r="AB431" s="1186"/>
      <c r="AC431" s="1186"/>
      <c r="AD431" s="1187"/>
    </row>
    <row r="432" spans="1:30" x14ac:dyDescent="0.2">
      <c r="A432">
        <f t="shared" si="40"/>
        <v>9</v>
      </c>
      <c r="B432">
        <v>423</v>
      </c>
      <c r="C432" s="1078">
        <v>2</v>
      </c>
      <c r="D432" s="1077" t="s">
        <v>5266</v>
      </c>
      <c r="E432" s="1077" t="s">
        <v>5287</v>
      </c>
      <c r="F432" s="1185">
        <v>1</v>
      </c>
      <c r="G432" s="1186">
        <v>9.5</v>
      </c>
      <c r="H432" s="1186">
        <v>3.1</v>
      </c>
      <c r="I432" s="1186">
        <v>11.2</v>
      </c>
      <c r="J432" s="1186">
        <v>2.6</v>
      </c>
      <c r="K432" s="1186">
        <v>13.9</v>
      </c>
      <c r="L432" s="1186">
        <v>4.3</v>
      </c>
      <c r="M432" s="1186">
        <v>15.5</v>
      </c>
      <c r="N432" s="1186">
        <v>5</v>
      </c>
      <c r="O432" s="1186">
        <v>18.5</v>
      </c>
      <c r="P432" s="1186">
        <v>5.7</v>
      </c>
      <c r="Q432" s="1186">
        <v>11.8</v>
      </c>
      <c r="R432" s="1186">
        <v>2.6</v>
      </c>
      <c r="S432" s="1186">
        <v>15</v>
      </c>
      <c r="T432" s="1186">
        <v>3.4</v>
      </c>
      <c r="U432" s="1186">
        <v>18.399999999999999</v>
      </c>
      <c r="V432" s="1186">
        <v>3.7</v>
      </c>
      <c r="W432" s="1186"/>
      <c r="X432" s="1186"/>
      <c r="Y432" s="1186"/>
      <c r="Z432" s="1186"/>
      <c r="AA432" s="1186"/>
      <c r="AB432" s="1186"/>
      <c r="AC432" s="1186"/>
      <c r="AD432" s="1187"/>
    </row>
    <row r="433" spans="1:30" x14ac:dyDescent="0.2">
      <c r="A433">
        <f t="shared" si="40"/>
        <v>9</v>
      </c>
      <c r="B433">
        <v>424</v>
      </c>
      <c r="C433" s="1078">
        <v>2</v>
      </c>
      <c r="D433" s="1077" t="s">
        <v>5266</v>
      </c>
      <c r="E433" s="1077" t="s">
        <v>5288</v>
      </c>
      <c r="F433" s="1185">
        <v>1</v>
      </c>
      <c r="G433" s="1186">
        <v>13.3</v>
      </c>
      <c r="H433" s="1186">
        <v>3</v>
      </c>
      <c r="I433" s="1186">
        <v>15.6</v>
      </c>
      <c r="J433" s="1186">
        <v>3.5</v>
      </c>
      <c r="K433" s="1186">
        <v>18.7</v>
      </c>
      <c r="L433" s="1186">
        <v>4.2</v>
      </c>
      <c r="M433" s="1186">
        <v>20.8</v>
      </c>
      <c r="N433" s="1186">
        <v>4.5999999999999996</v>
      </c>
      <c r="O433" s="1186">
        <v>25</v>
      </c>
      <c r="P433" s="1186">
        <v>5.5</v>
      </c>
      <c r="Q433" s="1186">
        <v>16.5</v>
      </c>
      <c r="R433" s="1186">
        <v>2.5</v>
      </c>
      <c r="S433" s="1186">
        <v>21.5</v>
      </c>
      <c r="T433" s="1186">
        <v>3.2</v>
      </c>
      <c r="U433" s="1186">
        <v>25.3</v>
      </c>
      <c r="V433" s="1186">
        <v>3.7</v>
      </c>
      <c r="W433" s="1186"/>
      <c r="X433" s="1186"/>
      <c r="Y433" s="1186"/>
      <c r="Z433" s="1186"/>
      <c r="AA433" s="1186"/>
      <c r="AB433" s="1186"/>
      <c r="AC433" s="1186"/>
      <c r="AD433" s="1187"/>
    </row>
    <row r="434" spans="1:30" x14ac:dyDescent="0.2">
      <c r="A434">
        <f t="shared" si="40"/>
        <v>9</v>
      </c>
      <c r="B434">
        <v>425</v>
      </c>
      <c r="C434" s="1078">
        <v>2</v>
      </c>
      <c r="D434" s="1077" t="s">
        <v>5266</v>
      </c>
      <c r="E434" s="1077" t="s">
        <v>5289</v>
      </c>
      <c r="F434" s="1185">
        <v>1</v>
      </c>
      <c r="G434" s="1186">
        <v>16</v>
      </c>
      <c r="H434" s="1186">
        <v>3</v>
      </c>
      <c r="I434" s="1186">
        <v>19.5</v>
      </c>
      <c r="J434" s="1186">
        <v>3.5</v>
      </c>
      <c r="K434" s="1186">
        <v>23.2</v>
      </c>
      <c r="L434" s="1186">
        <v>4</v>
      </c>
      <c r="M434" s="1186">
        <v>26</v>
      </c>
      <c r="N434" s="1186">
        <v>4.5</v>
      </c>
      <c r="O434" s="1186">
        <v>31.2</v>
      </c>
      <c r="P434" s="1186">
        <v>5.3</v>
      </c>
      <c r="Q434" s="1186">
        <v>20.100000000000001</v>
      </c>
      <c r="R434" s="1186">
        <v>2.5</v>
      </c>
      <c r="S434" s="1186">
        <v>26.1</v>
      </c>
      <c r="T434" s="1186">
        <v>3.2</v>
      </c>
      <c r="U434" s="1186">
        <v>32</v>
      </c>
      <c r="V434" s="1186">
        <v>3.6</v>
      </c>
      <c r="W434" s="1186"/>
      <c r="X434" s="1186"/>
      <c r="Y434" s="1186"/>
      <c r="Z434" s="1186"/>
      <c r="AA434" s="1186"/>
      <c r="AB434" s="1186"/>
      <c r="AC434" s="1186"/>
      <c r="AD434" s="1187"/>
    </row>
    <row r="435" spans="1:30" x14ac:dyDescent="0.2">
      <c r="A435">
        <f t="shared" si="40"/>
        <v>9</v>
      </c>
      <c r="B435">
        <v>426</v>
      </c>
      <c r="C435" s="1078">
        <v>2</v>
      </c>
      <c r="D435" s="1077" t="s">
        <v>5266</v>
      </c>
      <c r="E435" s="1077" t="s">
        <v>5290</v>
      </c>
      <c r="F435" s="1185">
        <v>1</v>
      </c>
      <c r="G435" s="1186">
        <v>21.5</v>
      </c>
      <c r="H435" s="1186">
        <v>3</v>
      </c>
      <c r="I435" s="1186">
        <v>25.6</v>
      </c>
      <c r="J435" s="1186">
        <v>3.5</v>
      </c>
      <c r="K435" s="1186">
        <v>29.8</v>
      </c>
      <c r="L435" s="1186">
        <v>4</v>
      </c>
      <c r="M435" s="1186">
        <v>32.9</v>
      </c>
      <c r="N435" s="1186">
        <v>4.4000000000000004</v>
      </c>
      <c r="O435" s="1186">
        <v>39</v>
      </c>
      <c r="P435" s="1186">
        <v>5.2</v>
      </c>
      <c r="Q435" s="1186">
        <v>27.5</v>
      </c>
      <c r="R435" s="1186">
        <v>2.5</v>
      </c>
      <c r="S435" s="1186">
        <v>34.5</v>
      </c>
      <c r="T435" s="1186">
        <v>3.2</v>
      </c>
      <c r="U435" s="1186">
        <v>42</v>
      </c>
      <c r="V435" s="1186">
        <v>3.6</v>
      </c>
      <c r="W435" s="1186"/>
      <c r="X435" s="1186"/>
      <c r="Y435" s="1186"/>
      <c r="Z435" s="1186"/>
      <c r="AA435" s="1186"/>
      <c r="AB435" s="1186"/>
      <c r="AC435" s="1186"/>
      <c r="AD435" s="1187"/>
    </row>
    <row r="436" spans="1:30" x14ac:dyDescent="0.2">
      <c r="A436">
        <f t="shared" si="40"/>
        <v>9</v>
      </c>
      <c r="B436">
        <v>427</v>
      </c>
      <c r="C436" s="1078">
        <v>2</v>
      </c>
      <c r="D436" s="1077" t="s">
        <v>5266</v>
      </c>
      <c r="E436" s="1077" t="s">
        <v>5591</v>
      </c>
      <c r="F436" s="1185">
        <v>4</v>
      </c>
      <c r="G436" s="1186">
        <v>4.13</v>
      </c>
      <c r="H436" s="1186">
        <v>2.5499999999999998</v>
      </c>
      <c r="I436" s="1186">
        <v>5.51</v>
      </c>
      <c r="J436" s="1186">
        <v>3.15</v>
      </c>
      <c r="K436" s="1186">
        <v>3.84</v>
      </c>
      <c r="L436" s="1186">
        <v>3.91</v>
      </c>
      <c r="M436" s="1186">
        <v>1.99</v>
      </c>
      <c r="N436" s="1186">
        <v>5.01</v>
      </c>
      <c r="O436" s="1186">
        <v>2.4500000000000002</v>
      </c>
      <c r="P436" s="1186">
        <v>8.9600000000000009</v>
      </c>
      <c r="Q436" s="1186">
        <v>4.84</v>
      </c>
      <c r="R436" s="1186">
        <v>2.2000000000000002</v>
      </c>
      <c r="S436" s="1186">
        <v>4.8099999999999996</v>
      </c>
      <c r="T436" s="1186">
        <v>3.28</v>
      </c>
      <c r="U436" s="1186">
        <v>2.19</v>
      </c>
      <c r="V436" s="1186">
        <v>3.99</v>
      </c>
      <c r="W436" s="1186"/>
      <c r="X436" s="1186"/>
      <c r="Y436" s="1186"/>
      <c r="Z436" s="1186"/>
      <c r="AA436" s="1186"/>
      <c r="AB436" s="1186"/>
      <c r="AC436" s="1186"/>
      <c r="AD436" s="1187"/>
    </row>
    <row r="437" spans="1:30" x14ac:dyDescent="0.2">
      <c r="A437">
        <f t="shared" si="40"/>
        <v>9</v>
      </c>
      <c r="B437">
        <v>428</v>
      </c>
      <c r="C437" s="1078">
        <v>2</v>
      </c>
      <c r="D437" s="1077" t="s">
        <v>5266</v>
      </c>
      <c r="E437" s="1077" t="s">
        <v>5592</v>
      </c>
      <c r="F437" s="1185">
        <v>4</v>
      </c>
      <c r="G437" s="1186">
        <v>6.23</v>
      </c>
      <c r="H437" s="1186">
        <v>2.27</v>
      </c>
      <c r="I437" s="1186">
        <v>7.11</v>
      </c>
      <c r="J437" s="1186">
        <v>2.54</v>
      </c>
      <c r="K437" s="1186">
        <v>3.84</v>
      </c>
      <c r="L437" s="1186">
        <v>3.91</v>
      </c>
      <c r="M437" s="1186">
        <v>1.99</v>
      </c>
      <c r="N437" s="1186">
        <v>5.01</v>
      </c>
      <c r="O437" s="1186">
        <v>2.4500000000000002</v>
      </c>
      <c r="P437" s="1186">
        <v>8.9600000000000009</v>
      </c>
      <c r="Q437" s="1186">
        <v>7.32</v>
      </c>
      <c r="R437" s="1186">
        <v>2.0299999999999998</v>
      </c>
      <c r="S437" s="1186">
        <v>4.8099999999999996</v>
      </c>
      <c r="T437" s="1186">
        <v>3.28</v>
      </c>
      <c r="U437" s="1186">
        <v>2.19</v>
      </c>
      <c r="V437" s="1186">
        <v>3.99</v>
      </c>
      <c r="W437" s="1186"/>
      <c r="X437" s="1186"/>
      <c r="Y437" s="1186"/>
      <c r="Z437" s="1186"/>
      <c r="AA437" s="1186"/>
      <c r="AB437" s="1186"/>
      <c r="AC437" s="1186"/>
      <c r="AD437" s="1187"/>
    </row>
    <row r="438" spans="1:30" x14ac:dyDescent="0.2">
      <c r="A438">
        <f t="shared" si="40"/>
        <v>9</v>
      </c>
      <c r="B438">
        <v>429</v>
      </c>
      <c r="C438" s="1078">
        <v>2</v>
      </c>
      <c r="D438" s="1077" t="s">
        <v>5266</v>
      </c>
      <c r="E438" s="1077" t="s">
        <v>5593</v>
      </c>
      <c r="F438" s="1185">
        <v>4</v>
      </c>
      <c r="G438" s="1186">
        <v>12.01</v>
      </c>
      <c r="H438" s="1186">
        <v>2</v>
      </c>
      <c r="I438" s="1186">
        <v>13.57</v>
      </c>
      <c r="J438" s="1186">
        <v>2.2400000000000002</v>
      </c>
      <c r="K438" s="1186">
        <v>7.77</v>
      </c>
      <c r="L438" s="1186">
        <v>3.77</v>
      </c>
      <c r="M438" s="1186">
        <v>4.6399999999999997</v>
      </c>
      <c r="N438" s="1186">
        <v>4.42</v>
      </c>
      <c r="O438" s="1186">
        <v>4.91</v>
      </c>
      <c r="P438" s="1186">
        <v>8.9499999999999993</v>
      </c>
      <c r="Q438" s="1186">
        <v>14.24</v>
      </c>
      <c r="R438" s="1186">
        <v>1.9</v>
      </c>
      <c r="S438" s="1186">
        <v>9.8000000000000007</v>
      </c>
      <c r="T438" s="1186">
        <v>3.27</v>
      </c>
      <c r="U438" s="1186">
        <v>4.5</v>
      </c>
      <c r="V438" s="1186">
        <v>4.54</v>
      </c>
      <c r="W438" s="1186"/>
      <c r="X438" s="1186"/>
      <c r="Y438" s="1186"/>
      <c r="Z438" s="1186"/>
      <c r="AA438" s="1186"/>
      <c r="AB438" s="1186"/>
      <c r="AC438" s="1186"/>
      <c r="AD438" s="1187"/>
    </row>
    <row r="439" spans="1:30" x14ac:dyDescent="0.2">
      <c r="A439">
        <f t="shared" si="40"/>
        <v>10</v>
      </c>
      <c r="B439">
        <v>430</v>
      </c>
      <c r="C439" s="1078">
        <v>2</v>
      </c>
      <c r="D439" s="1077" t="s">
        <v>5594</v>
      </c>
      <c r="E439" s="1077" t="s">
        <v>5595</v>
      </c>
      <c r="F439" s="1185">
        <v>4</v>
      </c>
      <c r="G439" s="1186">
        <v>12.87</v>
      </c>
      <c r="H439" s="1186">
        <v>2.5099999999999998</v>
      </c>
      <c r="I439" s="1186">
        <v>16.100000000000001</v>
      </c>
      <c r="J439" s="1186">
        <v>3.08</v>
      </c>
      <c r="K439" s="1186">
        <v>20.2</v>
      </c>
      <c r="L439" s="1186">
        <v>4.09</v>
      </c>
      <c r="M439" s="1186">
        <v>22</v>
      </c>
      <c r="N439" s="1186">
        <v>4.5199999999999996</v>
      </c>
      <c r="O439" s="1186">
        <v>25.24</v>
      </c>
      <c r="P439" s="1186">
        <v>6.7</v>
      </c>
      <c r="Q439" s="1186">
        <v>14.95</v>
      </c>
      <c r="R439" s="1186">
        <v>2.11</v>
      </c>
      <c r="S439" s="1186">
        <v>20.97</v>
      </c>
      <c r="T439" s="1186">
        <v>3.01</v>
      </c>
      <c r="U439" s="1186">
        <v>27.54</v>
      </c>
      <c r="V439" s="1186">
        <v>4.13</v>
      </c>
      <c r="W439" s="1186"/>
      <c r="X439" s="1186"/>
      <c r="Y439" s="1186"/>
      <c r="Z439" s="1186"/>
      <c r="AA439" s="1186"/>
      <c r="AB439" s="1186"/>
      <c r="AC439" s="1186"/>
      <c r="AD439" s="1187"/>
    </row>
    <row r="440" spans="1:30" x14ac:dyDescent="0.2">
      <c r="A440">
        <f t="shared" si="40"/>
        <v>10</v>
      </c>
      <c r="B440">
        <v>431</v>
      </c>
      <c r="C440" s="1078">
        <v>2</v>
      </c>
      <c r="D440" s="1077" t="s">
        <v>5594</v>
      </c>
      <c r="E440" s="1077" t="s">
        <v>5596</v>
      </c>
      <c r="F440" s="1185">
        <v>4</v>
      </c>
      <c r="G440" s="1186">
        <v>17.09</v>
      </c>
      <c r="H440" s="1186">
        <v>2.72</v>
      </c>
      <c r="I440" s="1186">
        <v>20.89</v>
      </c>
      <c r="J440" s="1186">
        <v>3.29</v>
      </c>
      <c r="K440" s="1186">
        <v>24.82</v>
      </c>
      <c r="L440" s="1186">
        <v>4.37</v>
      </c>
      <c r="M440" s="1186">
        <v>28.11</v>
      </c>
      <c r="N440" s="1186">
        <v>4.97</v>
      </c>
      <c r="O440" s="1186">
        <v>37.15</v>
      </c>
      <c r="P440" s="1186">
        <v>6.72</v>
      </c>
      <c r="Q440" s="1186">
        <v>20.03</v>
      </c>
      <c r="R440" s="1186">
        <v>2.23</v>
      </c>
      <c r="S440" s="1186">
        <v>26.59</v>
      </c>
      <c r="T440" s="1186">
        <v>3.34</v>
      </c>
      <c r="U440" s="1186">
        <v>34.85</v>
      </c>
      <c r="V440" s="1186">
        <v>4.42</v>
      </c>
      <c r="W440" s="1186"/>
      <c r="X440" s="1186"/>
      <c r="Y440" s="1186"/>
      <c r="Z440" s="1186"/>
      <c r="AA440" s="1186"/>
      <c r="AB440" s="1186"/>
      <c r="AC440" s="1186"/>
      <c r="AD440" s="1187"/>
    </row>
    <row r="441" spans="1:30" x14ac:dyDescent="0.2">
      <c r="A441">
        <f t="shared" si="40"/>
        <v>10</v>
      </c>
      <c r="B441">
        <v>432</v>
      </c>
      <c r="C441" s="1078">
        <v>2</v>
      </c>
      <c r="D441" s="1077" t="s">
        <v>5594</v>
      </c>
      <c r="E441" s="1077" t="s">
        <v>5597</v>
      </c>
      <c r="F441" s="1185">
        <v>4</v>
      </c>
      <c r="G441" s="1186">
        <v>20.56</v>
      </c>
      <c r="H441" s="1186">
        <v>2.61</v>
      </c>
      <c r="I441" s="1186">
        <v>25.6</v>
      </c>
      <c r="J441" s="1186">
        <v>3.19</v>
      </c>
      <c r="K441" s="1186">
        <v>30.65</v>
      </c>
      <c r="L441" s="1186">
        <v>4.28</v>
      </c>
      <c r="M441" s="1186">
        <v>35</v>
      </c>
      <c r="N441" s="1186">
        <v>4.92</v>
      </c>
      <c r="O441" s="1186">
        <v>46.64</v>
      </c>
      <c r="P441" s="1186">
        <v>6.92</v>
      </c>
      <c r="Q441" s="1186">
        <v>24.12</v>
      </c>
      <c r="R441" s="1186">
        <v>2.2200000000000002</v>
      </c>
      <c r="S441" s="1186">
        <v>33.619999999999997</v>
      </c>
      <c r="T441" s="1186">
        <v>3.3</v>
      </c>
      <c r="U441" s="1186">
        <v>43.43</v>
      </c>
      <c r="V441" s="1186">
        <v>4.3600000000000003</v>
      </c>
      <c r="W441" s="1186"/>
      <c r="X441" s="1186"/>
      <c r="Y441" s="1186"/>
      <c r="Z441" s="1186"/>
      <c r="AA441" s="1186"/>
      <c r="AB441" s="1186"/>
      <c r="AC441" s="1186"/>
      <c r="AD441" s="1187"/>
    </row>
    <row r="442" spans="1:30" x14ac:dyDescent="0.2">
      <c r="A442">
        <f t="shared" si="40"/>
        <v>10</v>
      </c>
      <c r="B442">
        <v>433</v>
      </c>
      <c r="C442" s="1078">
        <v>2</v>
      </c>
      <c r="D442" s="1077" t="s">
        <v>5594</v>
      </c>
      <c r="E442" s="1077" t="s">
        <v>5598</v>
      </c>
      <c r="F442" s="1185">
        <v>4</v>
      </c>
      <c r="G442" s="1186">
        <v>23.72</v>
      </c>
      <c r="H442" s="1186">
        <v>2.52</v>
      </c>
      <c r="I442" s="1186">
        <v>29.34</v>
      </c>
      <c r="J442" s="1186">
        <v>3.04</v>
      </c>
      <c r="K442" s="1186">
        <v>35.35</v>
      </c>
      <c r="L442" s="1186">
        <v>4.07</v>
      </c>
      <c r="M442" s="1186">
        <v>40</v>
      </c>
      <c r="N442" s="1186">
        <v>4.72</v>
      </c>
      <c r="O442" s="1186">
        <v>53.67</v>
      </c>
      <c r="P442" s="1186">
        <v>6.61</v>
      </c>
      <c r="Q442" s="1186">
        <v>28.04</v>
      </c>
      <c r="R442" s="1186">
        <v>2.23</v>
      </c>
      <c r="S442" s="1186">
        <v>37.5</v>
      </c>
      <c r="T442" s="1186">
        <v>3.12</v>
      </c>
      <c r="U442" s="1186">
        <v>49.86</v>
      </c>
      <c r="V442" s="1186">
        <v>4.09</v>
      </c>
      <c r="W442" s="1186"/>
      <c r="X442" s="1186"/>
      <c r="Y442" s="1186"/>
      <c r="Z442" s="1186"/>
      <c r="AA442" s="1186"/>
      <c r="AB442" s="1186"/>
      <c r="AC442" s="1186"/>
      <c r="AD442" s="1187"/>
    </row>
    <row r="443" spans="1:30" x14ac:dyDescent="0.2">
      <c r="A443">
        <f t="shared" si="40"/>
        <v>11</v>
      </c>
      <c r="B443">
        <v>434</v>
      </c>
      <c r="C443" s="1078">
        <v>2</v>
      </c>
      <c r="D443" s="1077" t="s">
        <v>3600</v>
      </c>
      <c r="E443" s="1077" t="s">
        <v>4052</v>
      </c>
      <c r="F443" s="1185"/>
      <c r="G443" s="1186"/>
      <c r="H443" s="1186"/>
      <c r="I443" s="1186">
        <v>5.4</v>
      </c>
      <c r="J443" s="1186">
        <v>2.9</v>
      </c>
      <c r="K443" s="1186">
        <v>4.7</v>
      </c>
      <c r="L443" s="1186">
        <v>3.8</v>
      </c>
      <c r="M443" s="1186">
        <v>6.1</v>
      </c>
      <c r="N443" s="1186">
        <v>4.8</v>
      </c>
      <c r="O443" s="1186"/>
      <c r="P443" s="1186"/>
      <c r="Q443" s="1186">
        <v>2.8</v>
      </c>
      <c r="R443" s="1186">
        <v>1.3</v>
      </c>
      <c r="S443" s="1186">
        <v>5.4</v>
      </c>
      <c r="T443" s="1186">
        <v>3</v>
      </c>
      <c r="U443" s="1186"/>
      <c r="V443" s="1186"/>
      <c r="W443" s="1186"/>
      <c r="X443" s="1186"/>
      <c r="Y443" s="1186"/>
      <c r="Z443" s="1186"/>
      <c r="AA443" s="1186"/>
      <c r="AB443" s="1186"/>
      <c r="AC443" s="1186"/>
      <c r="AD443" s="1187"/>
    </row>
    <row r="444" spans="1:30" x14ac:dyDescent="0.2">
      <c r="A444">
        <f t="shared" si="40"/>
        <v>11</v>
      </c>
      <c r="B444">
        <v>435</v>
      </c>
      <c r="C444" s="1078">
        <v>2</v>
      </c>
      <c r="D444" s="1077" t="s">
        <v>3600</v>
      </c>
      <c r="E444" s="1077" t="s">
        <v>4053</v>
      </c>
      <c r="F444" s="1185"/>
      <c r="G444" s="1186"/>
      <c r="H444" s="1186"/>
      <c r="I444" s="1186">
        <v>5.4</v>
      </c>
      <c r="J444" s="1186">
        <v>2.9</v>
      </c>
      <c r="K444" s="1186">
        <v>4.7</v>
      </c>
      <c r="L444" s="1186">
        <v>3.8</v>
      </c>
      <c r="M444" s="1186">
        <v>6.1</v>
      </c>
      <c r="N444" s="1186">
        <v>4.8</v>
      </c>
      <c r="O444" s="1186"/>
      <c r="P444" s="1186"/>
      <c r="Q444" s="1186">
        <v>2.8</v>
      </c>
      <c r="R444" s="1186">
        <v>1.3</v>
      </c>
      <c r="S444" s="1186">
        <v>5.4</v>
      </c>
      <c r="T444" s="1186">
        <v>3</v>
      </c>
      <c r="U444" s="1186"/>
      <c r="V444" s="1186"/>
      <c r="W444" s="1186"/>
      <c r="X444" s="1186"/>
      <c r="Y444" s="1186"/>
      <c r="Z444" s="1186"/>
      <c r="AA444" s="1186"/>
      <c r="AB444" s="1186"/>
      <c r="AC444" s="1186"/>
      <c r="AD444" s="1187"/>
    </row>
    <row r="445" spans="1:30" x14ac:dyDescent="0.2">
      <c r="A445">
        <f t="shared" si="40"/>
        <v>11</v>
      </c>
      <c r="B445">
        <v>436</v>
      </c>
      <c r="C445" s="1078">
        <v>2</v>
      </c>
      <c r="D445" s="1077" t="s">
        <v>3600</v>
      </c>
      <c r="E445" s="1077" t="s">
        <v>4054</v>
      </c>
      <c r="F445" s="1185"/>
      <c r="G445" s="1186"/>
      <c r="H445" s="1186"/>
      <c r="I445" s="1186">
        <v>5.4</v>
      </c>
      <c r="J445" s="1186">
        <v>2.9</v>
      </c>
      <c r="K445" s="1186">
        <v>4.7</v>
      </c>
      <c r="L445" s="1186">
        <v>3.8</v>
      </c>
      <c r="M445" s="1186">
        <v>6.1</v>
      </c>
      <c r="N445" s="1186">
        <v>4.8</v>
      </c>
      <c r="O445" s="1186"/>
      <c r="P445" s="1186"/>
      <c r="Q445" s="1186">
        <v>2.8</v>
      </c>
      <c r="R445" s="1186">
        <v>1.3</v>
      </c>
      <c r="S445" s="1186">
        <v>5.4</v>
      </c>
      <c r="T445" s="1186">
        <v>3</v>
      </c>
      <c r="U445" s="1186"/>
      <c r="V445" s="1186"/>
      <c r="W445" s="1186"/>
      <c r="X445" s="1186"/>
      <c r="Y445" s="1186"/>
      <c r="Z445" s="1186"/>
      <c r="AA445" s="1186"/>
      <c r="AB445" s="1186"/>
      <c r="AC445" s="1186"/>
      <c r="AD445" s="1187"/>
    </row>
    <row r="446" spans="1:30" x14ac:dyDescent="0.2">
      <c r="A446">
        <f t="shared" si="40"/>
        <v>11</v>
      </c>
      <c r="B446">
        <v>437</v>
      </c>
      <c r="C446" s="1078">
        <v>2</v>
      </c>
      <c r="D446" s="1077" t="s">
        <v>3600</v>
      </c>
      <c r="E446" s="1077" t="s">
        <v>4055</v>
      </c>
      <c r="F446" s="1185"/>
      <c r="G446" s="1186"/>
      <c r="H446" s="1186"/>
      <c r="I446" s="1186">
        <v>5.4</v>
      </c>
      <c r="J446" s="1186">
        <v>2.9</v>
      </c>
      <c r="K446" s="1186">
        <v>4.7</v>
      </c>
      <c r="L446" s="1186">
        <v>3.8</v>
      </c>
      <c r="M446" s="1186">
        <v>6.1</v>
      </c>
      <c r="N446" s="1186">
        <v>4.8</v>
      </c>
      <c r="O446" s="1186"/>
      <c r="P446" s="1186"/>
      <c r="Q446" s="1186">
        <v>2.8</v>
      </c>
      <c r="R446" s="1186">
        <v>1.3</v>
      </c>
      <c r="S446" s="1186">
        <v>5.4</v>
      </c>
      <c r="T446" s="1186">
        <v>3</v>
      </c>
      <c r="U446" s="1186"/>
      <c r="V446" s="1186"/>
      <c r="W446" s="1186"/>
      <c r="X446" s="1186"/>
      <c r="Y446" s="1186"/>
      <c r="Z446" s="1186"/>
      <c r="AA446" s="1186"/>
      <c r="AB446" s="1186"/>
      <c r="AC446" s="1186"/>
      <c r="AD446" s="1187"/>
    </row>
    <row r="447" spans="1:30" x14ac:dyDescent="0.2">
      <c r="A447">
        <f t="shared" si="40"/>
        <v>11</v>
      </c>
      <c r="B447">
        <v>438</v>
      </c>
      <c r="C447" s="1078">
        <v>2</v>
      </c>
      <c r="D447" s="1077" t="s">
        <v>3600</v>
      </c>
      <c r="E447" s="1077" t="s">
        <v>4056</v>
      </c>
      <c r="F447" s="1185"/>
      <c r="G447" s="1186"/>
      <c r="H447" s="1186"/>
      <c r="I447" s="1186">
        <v>5.5</v>
      </c>
      <c r="J447" s="1186">
        <v>2.7</v>
      </c>
      <c r="K447" s="1186">
        <v>5.8</v>
      </c>
      <c r="L447" s="1186">
        <v>3.5</v>
      </c>
      <c r="M447" s="1186">
        <v>7.4</v>
      </c>
      <c r="N447" s="1186">
        <v>4.5</v>
      </c>
      <c r="O447" s="1186"/>
      <c r="P447" s="1186"/>
      <c r="Q447" s="1186">
        <v>5.5</v>
      </c>
      <c r="R447" s="1186">
        <v>1.7</v>
      </c>
      <c r="S447" s="1186">
        <v>8.5</v>
      </c>
      <c r="T447" s="1186">
        <v>2.7</v>
      </c>
      <c r="U447" s="1186"/>
      <c r="V447" s="1186"/>
      <c r="W447" s="1186"/>
      <c r="X447" s="1186"/>
      <c r="Y447" s="1186"/>
      <c r="Z447" s="1186"/>
      <c r="AA447" s="1186"/>
      <c r="AB447" s="1186"/>
      <c r="AC447" s="1186"/>
      <c r="AD447" s="1187"/>
    </row>
    <row r="448" spans="1:30" x14ac:dyDescent="0.2">
      <c r="A448">
        <f t="shared" si="40"/>
        <v>11</v>
      </c>
      <c r="B448">
        <v>439</v>
      </c>
      <c r="C448" s="1078">
        <v>2</v>
      </c>
      <c r="D448" s="1077" t="s">
        <v>3600</v>
      </c>
      <c r="E448" s="1077" t="s">
        <v>4057</v>
      </c>
      <c r="F448" s="1185"/>
      <c r="G448" s="1186"/>
      <c r="H448" s="1186"/>
      <c r="I448" s="1186">
        <v>5.5</v>
      </c>
      <c r="J448" s="1186">
        <v>2.7</v>
      </c>
      <c r="K448" s="1186">
        <v>5.8</v>
      </c>
      <c r="L448" s="1186">
        <v>3.5</v>
      </c>
      <c r="M448" s="1186">
        <v>7.4</v>
      </c>
      <c r="N448" s="1186">
        <v>4.5</v>
      </c>
      <c r="O448" s="1186"/>
      <c r="P448" s="1186"/>
      <c r="Q448" s="1186">
        <v>5.5</v>
      </c>
      <c r="R448" s="1186">
        <v>1.7</v>
      </c>
      <c r="S448" s="1186">
        <v>8.5</v>
      </c>
      <c r="T448" s="1186">
        <v>2.7</v>
      </c>
      <c r="U448" s="1186"/>
      <c r="V448" s="1186"/>
      <c r="W448" s="1186"/>
      <c r="X448" s="1186"/>
      <c r="Y448" s="1186"/>
      <c r="Z448" s="1186"/>
      <c r="AA448" s="1186"/>
      <c r="AB448" s="1186"/>
      <c r="AC448" s="1186"/>
      <c r="AD448" s="1187"/>
    </row>
    <row r="449" spans="1:30" x14ac:dyDescent="0.2">
      <c r="A449">
        <f t="shared" si="40"/>
        <v>11</v>
      </c>
      <c r="B449">
        <v>440</v>
      </c>
      <c r="C449" s="1078">
        <v>2</v>
      </c>
      <c r="D449" s="1077" t="s">
        <v>3600</v>
      </c>
      <c r="E449" s="1077" t="s">
        <v>4058</v>
      </c>
      <c r="F449" s="1185"/>
      <c r="G449" s="1186"/>
      <c r="H449" s="1186"/>
      <c r="I449" s="1186">
        <v>5.5</v>
      </c>
      <c r="J449" s="1186">
        <v>2.7</v>
      </c>
      <c r="K449" s="1186">
        <v>5.8</v>
      </c>
      <c r="L449" s="1186">
        <v>3.5</v>
      </c>
      <c r="M449" s="1186">
        <v>7.4</v>
      </c>
      <c r="N449" s="1186">
        <v>4.5</v>
      </c>
      <c r="O449" s="1186"/>
      <c r="P449" s="1186"/>
      <c r="Q449" s="1186">
        <v>5.5</v>
      </c>
      <c r="R449" s="1186">
        <v>1.7</v>
      </c>
      <c r="S449" s="1186">
        <v>8.5</v>
      </c>
      <c r="T449" s="1186">
        <v>2.7</v>
      </c>
      <c r="U449" s="1186"/>
      <c r="V449" s="1186"/>
      <c r="W449" s="1186"/>
      <c r="X449" s="1186"/>
      <c r="Y449" s="1186"/>
      <c r="Z449" s="1186"/>
      <c r="AA449" s="1186"/>
      <c r="AB449" s="1186"/>
      <c r="AC449" s="1186"/>
      <c r="AD449" s="1187"/>
    </row>
    <row r="450" spans="1:30" x14ac:dyDescent="0.2">
      <c r="A450">
        <f t="shared" si="40"/>
        <v>11</v>
      </c>
      <c r="B450">
        <v>441</v>
      </c>
      <c r="C450" s="1078">
        <v>2</v>
      </c>
      <c r="D450" s="1077" t="s">
        <v>3600</v>
      </c>
      <c r="E450" s="1077" t="s">
        <v>4059</v>
      </c>
      <c r="F450" s="1185"/>
      <c r="G450" s="1186"/>
      <c r="H450" s="1186"/>
      <c r="I450" s="1186">
        <v>5.5</v>
      </c>
      <c r="J450" s="1186">
        <v>2.7</v>
      </c>
      <c r="K450" s="1186">
        <v>5.8</v>
      </c>
      <c r="L450" s="1186">
        <v>3.5</v>
      </c>
      <c r="M450" s="1186">
        <v>7.4</v>
      </c>
      <c r="N450" s="1186">
        <v>4.5</v>
      </c>
      <c r="O450" s="1186"/>
      <c r="P450" s="1186"/>
      <c r="Q450" s="1186">
        <v>5.5</v>
      </c>
      <c r="R450" s="1186">
        <v>1.7</v>
      </c>
      <c r="S450" s="1186">
        <v>8.5</v>
      </c>
      <c r="T450" s="1186">
        <v>2.7</v>
      </c>
      <c r="U450" s="1186"/>
      <c r="V450" s="1186"/>
      <c r="W450" s="1186"/>
      <c r="X450" s="1186"/>
      <c r="Y450" s="1186"/>
      <c r="Z450" s="1186"/>
      <c r="AA450" s="1186"/>
      <c r="AB450" s="1186"/>
      <c r="AC450" s="1186"/>
      <c r="AD450" s="1187"/>
    </row>
    <row r="451" spans="1:30" x14ac:dyDescent="0.2">
      <c r="A451">
        <f t="shared" si="40"/>
        <v>11</v>
      </c>
      <c r="B451">
        <v>442</v>
      </c>
      <c r="C451" s="1081">
        <v>2</v>
      </c>
      <c r="D451" s="1077" t="s">
        <v>3600</v>
      </c>
      <c r="E451" s="1082" t="s">
        <v>4060</v>
      </c>
      <c r="F451" s="1188"/>
      <c r="G451" s="1189"/>
      <c r="H451" s="1189"/>
      <c r="I451" s="1189">
        <v>8.6</v>
      </c>
      <c r="J451" s="1189">
        <v>2.8</v>
      </c>
      <c r="K451" s="1189">
        <v>8.6</v>
      </c>
      <c r="L451" s="1189">
        <v>3.6</v>
      </c>
      <c r="M451" s="1189">
        <v>11.2</v>
      </c>
      <c r="N451" s="1189">
        <v>4.5999999999999996</v>
      </c>
      <c r="O451" s="1189"/>
      <c r="P451" s="1189"/>
      <c r="Q451" s="1189">
        <v>7.8</v>
      </c>
      <c r="R451" s="1189">
        <v>1.7</v>
      </c>
      <c r="S451" s="1189">
        <v>10</v>
      </c>
      <c r="T451" s="1189">
        <v>2.5</v>
      </c>
      <c r="U451" s="1189"/>
      <c r="V451" s="1189"/>
      <c r="W451" s="1189"/>
      <c r="X451" s="1189"/>
      <c r="Y451" s="1189"/>
      <c r="Z451" s="1189"/>
      <c r="AA451" s="1189"/>
      <c r="AB451" s="1189"/>
      <c r="AC451" s="1189"/>
      <c r="AD451" s="1194"/>
    </row>
    <row r="452" spans="1:30" x14ac:dyDescent="0.2">
      <c r="A452">
        <f t="shared" si="40"/>
        <v>11</v>
      </c>
      <c r="B452">
        <v>443</v>
      </c>
      <c r="C452" s="1190">
        <v>2</v>
      </c>
      <c r="D452" s="1077" t="s">
        <v>3600</v>
      </c>
      <c r="E452" s="1191" t="s">
        <v>4061</v>
      </c>
      <c r="F452" s="1192"/>
      <c r="G452" s="1193"/>
      <c r="H452" s="1193"/>
      <c r="I452" s="1193">
        <v>8.6</v>
      </c>
      <c r="J452" s="1193">
        <v>2.8</v>
      </c>
      <c r="K452" s="1193">
        <v>8.6</v>
      </c>
      <c r="L452" s="1193">
        <v>3.6</v>
      </c>
      <c r="M452" s="1193">
        <v>11.2</v>
      </c>
      <c r="N452" s="1193">
        <v>4.5999999999999996</v>
      </c>
      <c r="O452" s="1193"/>
      <c r="P452" s="1193"/>
      <c r="Q452" s="1193">
        <v>7.8</v>
      </c>
      <c r="R452" s="1193">
        <v>1.7</v>
      </c>
      <c r="S452" s="1193">
        <v>10</v>
      </c>
      <c r="T452" s="1193">
        <v>2.5</v>
      </c>
      <c r="U452" s="1193"/>
      <c r="V452" s="1193"/>
      <c r="W452" s="1193"/>
      <c r="X452" s="1193"/>
      <c r="Y452" s="1193"/>
      <c r="Z452" s="1193"/>
      <c r="AA452" s="1193"/>
      <c r="AB452" s="1193"/>
      <c r="AC452" s="1193"/>
      <c r="AD452" s="1195"/>
    </row>
    <row r="453" spans="1:30" x14ac:dyDescent="0.2">
      <c r="A453">
        <f t="shared" si="40"/>
        <v>11</v>
      </c>
      <c r="B453">
        <v>444</v>
      </c>
      <c r="C453" s="1190">
        <v>2</v>
      </c>
      <c r="D453" s="1077" t="s">
        <v>3600</v>
      </c>
      <c r="E453" s="1077" t="s">
        <v>4062</v>
      </c>
      <c r="F453" s="1185"/>
      <c r="G453" s="1186"/>
      <c r="H453" s="1186"/>
      <c r="I453" s="1186">
        <v>8.6</v>
      </c>
      <c r="J453" s="1186">
        <v>2.8</v>
      </c>
      <c r="K453" s="1186">
        <v>8.6</v>
      </c>
      <c r="L453" s="1186">
        <v>3.6</v>
      </c>
      <c r="M453" s="1186">
        <v>11.2</v>
      </c>
      <c r="N453" s="1186">
        <v>4.5999999999999996</v>
      </c>
      <c r="O453" s="1186"/>
      <c r="P453" s="1186"/>
      <c r="Q453" s="1186">
        <v>7.8</v>
      </c>
      <c r="R453" s="1186">
        <v>1.7</v>
      </c>
      <c r="S453" s="1186">
        <v>10</v>
      </c>
      <c r="T453" s="1186">
        <v>2.5</v>
      </c>
      <c r="U453" s="1186"/>
      <c r="V453" s="1186"/>
      <c r="W453" s="1186"/>
      <c r="X453" s="1186"/>
      <c r="Y453" s="1186"/>
      <c r="Z453" s="1186"/>
      <c r="AA453" s="1186"/>
      <c r="AB453" s="1186"/>
      <c r="AC453" s="1186"/>
      <c r="AD453" s="1187"/>
    </row>
    <row r="454" spans="1:30" x14ac:dyDescent="0.2">
      <c r="A454">
        <f t="shared" si="40"/>
        <v>11</v>
      </c>
      <c r="B454">
        <v>445</v>
      </c>
      <c r="C454" s="1190">
        <v>2</v>
      </c>
      <c r="D454" s="1077" t="s">
        <v>3600</v>
      </c>
      <c r="E454" s="1077" t="s">
        <v>4063</v>
      </c>
      <c r="F454" s="1185"/>
      <c r="G454" s="1186"/>
      <c r="H454" s="1186"/>
      <c r="I454" s="1186">
        <v>10</v>
      </c>
      <c r="J454" s="1186">
        <v>2.7</v>
      </c>
      <c r="K454" s="1186">
        <v>10.3</v>
      </c>
      <c r="L454" s="1186">
        <v>3.4</v>
      </c>
      <c r="M454" s="1186">
        <v>14.5</v>
      </c>
      <c r="N454" s="1186">
        <v>4.3</v>
      </c>
      <c r="O454" s="1186"/>
      <c r="P454" s="1186"/>
      <c r="Q454" s="1186">
        <v>8.9</v>
      </c>
      <c r="R454" s="1186">
        <v>1.7</v>
      </c>
      <c r="S454" s="1186">
        <v>12.7</v>
      </c>
      <c r="T454" s="1186">
        <v>3.1</v>
      </c>
      <c r="U454" s="1186"/>
      <c r="V454" s="1186"/>
      <c r="W454" s="1186"/>
      <c r="X454" s="1186"/>
      <c r="Y454" s="1186"/>
      <c r="Z454" s="1186"/>
      <c r="AA454" s="1186"/>
      <c r="AB454" s="1186"/>
      <c r="AC454" s="1186"/>
      <c r="AD454" s="1187"/>
    </row>
    <row r="455" spans="1:30" x14ac:dyDescent="0.2">
      <c r="A455">
        <f t="shared" si="40"/>
        <v>11</v>
      </c>
      <c r="B455">
        <v>446</v>
      </c>
      <c r="C455" s="1078">
        <v>2</v>
      </c>
      <c r="D455" s="1077" t="s">
        <v>3600</v>
      </c>
      <c r="E455" s="1077" t="s">
        <v>4064</v>
      </c>
      <c r="F455" s="1185"/>
      <c r="G455" s="1186"/>
      <c r="H455" s="1186"/>
      <c r="I455" s="1186">
        <v>10</v>
      </c>
      <c r="J455" s="1186">
        <v>2.7</v>
      </c>
      <c r="K455" s="1186">
        <v>10.3</v>
      </c>
      <c r="L455" s="1186">
        <v>3.4</v>
      </c>
      <c r="M455" s="1186">
        <v>14.5</v>
      </c>
      <c r="N455" s="1186">
        <v>4.3</v>
      </c>
      <c r="O455" s="1186"/>
      <c r="P455" s="1186"/>
      <c r="Q455" s="1186">
        <v>8.9</v>
      </c>
      <c r="R455" s="1186">
        <v>1.7</v>
      </c>
      <c r="S455" s="1186">
        <v>12.7</v>
      </c>
      <c r="T455" s="1186">
        <v>3.1</v>
      </c>
      <c r="U455" s="1186"/>
      <c r="V455" s="1186"/>
      <c r="W455" s="1186"/>
      <c r="X455" s="1186"/>
      <c r="Y455" s="1186"/>
      <c r="Z455" s="1186"/>
      <c r="AA455" s="1186"/>
      <c r="AB455" s="1186"/>
      <c r="AC455" s="1186"/>
      <c r="AD455" s="1187"/>
    </row>
    <row r="456" spans="1:30" x14ac:dyDescent="0.2">
      <c r="A456">
        <f t="shared" si="40"/>
        <v>11</v>
      </c>
      <c r="B456">
        <v>447</v>
      </c>
      <c r="C456" s="1078">
        <v>2</v>
      </c>
      <c r="D456" s="1077" t="s">
        <v>3600</v>
      </c>
      <c r="E456" s="1077" t="s">
        <v>4065</v>
      </c>
      <c r="F456" s="1185"/>
      <c r="G456" s="1186"/>
      <c r="H456" s="1186"/>
      <c r="I456" s="1186">
        <v>10</v>
      </c>
      <c r="J456" s="1186">
        <v>2.7</v>
      </c>
      <c r="K456" s="1186">
        <v>10.3</v>
      </c>
      <c r="L456" s="1186">
        <v>3.4</v>
      </c>
      <c r="M456" s="1186">
        <v>14.5</v>
      </c>
      <c r="N456" s="1186">
        <v>4.3</v>
      </c>
      <c r="O456" s="1186"/>
      <c r="P456" s="1186"/>
      <c r="Q456" s="1186">
        <v>8.9</v>
      </c>
      <c r="R456" s="1186">
        <v>1.7</v>
      </c>
      <c r="S456" s="1186">
        <v>12.7</v>
      </c>
      <c r="T456" s="1186">
        <v>3.1</v>
      </c>
      <c r="U456" s="1186"/>
      <c r="V456" s="1186"/>
      <c r="W456" s="1186"/>
      <c r="X456" s="1186"/>
      <c r="Y456" s="1186"/>
      <c r="Z456" s="1186"/>
      <c r="AA456" s="1186"/>
      <c r="AB456" s="1186"/>
      <c r="AC456" s="1186"/>
      <c r="AD456" s="1187"/>
    </row>
    <row r="457" spans="1:30" x14ac:dyDescent="0.2">
      <c r="A457">
        <f t="shared" si="40"/>
        <v>11</v>
      </c>
      <c r="B457">
        <v>448</v>
      </c>
      <c r="C457" s="1078">
        <v>2</v>
      </c>
      <c r="D457" s="1077" t="s">
        <v>3600</v>
      </c>
      <c r="E457" s="1077" t="s">
        <v>4066</v>
      </c>
      <c r="F457" s="1185"/>
      <c r="G457" s="1186"/>
      <c r="H457" s="1186"/>
      <c r="I457" s="1186">
        <v>10</v>
      </c>
      <c r="J457" s="1186">
        <v>2.7</v>
      </c>
      <c r="K457" s="1186">
        <v>10.3</v>
      </c>
      <c r="L457" s="1186">
        <v>3.4</v>
      </c>
      <c r="M457" s="1186">
        <v>14.5</v>
      </c>
      <c r="N457" s="1186">
        <v>4.3</v>
      </c>
      <c r="O457" s="1186"/>
      <c r="P457" s="1186"/>
      <c r="Q457" s="1186">
        <v>8.9</v>
      </c>
      <c r="R457" s="1186">
        <v>1.7</v>
      </c>
      <c r="S457" s="1186">
        <v>12.7</v>
      </c>
      <c r="T457" s="1186">
        <v>3.1</v>
      </c>
      <c r="U457" s="1186"/>
      <c r="V457" s="1186"/>
      <c r="W457" s="1186"/>
      <c r="X457" s="1186"/>
      <c r="Y457" s="1186"/>
      <c r="Z457" s="1186"/>
      <c r="AA457" s="1186"/>
      <c r="AB457" s="1186"/>
      <c r="AC457" s="1186"/>
      <c r="AD457" s="1187"/>
    </row>
    <row r="458" spans="1:30" x14ac:dyDescent="0.2">
      <c r="A458">
        <f t="shared" si="40"/>
        <v>11</v>
      </c>
      <c r="B458">
        <v>449</v>
      </c>
      <c r="C458" s="1078">
        <v>2</v>
      </c>
      <c r="D458" s="1077" t="s">
        <v>3600</v>
      </c>
      <c r="E458" s="1077" t="s">
        <v>4067</v>
      </c>
      <c r="F458" s="1185"/>
      <c r="G458" s="1186"/>
      <c r="H458" s="1186"/>
      <c r="I458" s="1186">
        <v>12.1</v>
      </c>
      <c r="J458" s="1186">
        <v>2.6</v>
      </c>
      <c r="K458" s="1186">
        <v>11.7</v>
      </c>
      <c r="L458" s="1186">
        <v>3.4</v>
      </c>
      <c r="M458" s="1186">
        <v>16.600000000000001</v>
      </c>
      <c r="N458" s="1186">
        <v>4.3</v>
      </c>
      <c r="O458" s="1186"/>
      <c r="P458" s="1186"/>
      <c r="Q458" s="1186">
        <v>12.7</v>
      </c>
      <c r="R458" s="1186">
        <v>1.9</v>
      </c>
      <c r="S458" s="1186">
        <v>15</v>
      </c>
      <c r="T458" s="1186">
        <v>2.8</v>
      </c>
      <c r="U458" s="1186"/>
      <c r="V458" s="1186"/>
      <c r="W458" s="1186"/>
      <c r="X458" s="1186"/>
      <c r="Y458" s="1186"/>
      <c r="Z458" s="1186"/>
      <c r="AA458" s="1186"/>
      <c r="AB458" s="1186"/>
      <c r="AC458" s="1186"/>
      <c r="AD458" s="1187"/>
    </row>
    <row r="459" spans="1:30" x14ac:dyDescent="0.2">
      <c r="A459">
        <f t="shared" si="40"/>
        <v>11</v>
      </c>
      <c r="B459">
        <v>450</v>
      </c>
      <c r="C459" s="1078">
        <v>2</v>
      </c>
      <c r="D459" s="1077" t="s">
        <v>3600</v>
      </c>
      <c r="E459" s="1077" t="s">
        <v>4068</v>
      </c>
      <c r="F459" s="1185"/>
      <c r="G459" s="1186"/>
      <c r="H459" s="1186"/>
      <c r="I459" s="1186">
        <v>12.1</v>
      </c>
      <c r="J459" s="1186">
        <v>2.6</v>
      </c>
      <c r="K459" s="1186">
        <v>11.7</v>
      </c>
      <c r="L459" s="1186">
        <v>3.4</v>
      </c>
      <c r="M459" s="1186">
        <v>16.600000000000001</v>
      </c>
      <c r="N459" s="1186">
        <v>4.3</v>
      </c>
      <c r="O459" s="1186"/>
      <c r="P459" s="1186"/>
      <c r="Q459" s="1186">
        <v>12.7</v>
      </c>
      <c r="R459" s="1186">
        <v>1.9</v>
      </c>
      <c r="S459" s="1186">
        <v>15</v>
      </c>
      <c r="T459" s="1186">
        <v>2.8</v>
      </c>
      <c r="U459" s="1186"/>
      <c r="V459" s="1186"/>
      <c r="W459" s="1186"/>
      <c r="X459" s="1186"/>
      <c r="Y459" s="1186"/>
      <c r="Z459" s="1186"/>
      <c r="AA459" s="1186"/>
      <c r="AB459" s="1186"/>
      <c r="AC459" s="1186"/>
      <c r="AD459" s="1187"/>
    </row>
    <row r="460" spans="1:30" x14ac:dyDescent="0.2">
      <c r="A460">
        <f t="shared" ref="A460:A523" si="41">A459+(D460&lt;&gt;D459)*1</f>
        <v>11</v>
      </c>
      <c r="B460">
        <v>451</v>
      </c>
      <c r="C460" s="1078">
        <v>2</v>
      </c>
      <c r="D460" s="1077" t="s">
        <v>3600</v>
      </c>
      <c r="E460" s="1077" t="s">
        <v>4069</v>
      </c>
      <c r="F460" s="1185"/>
      <c r="G460" s="1186"/>
      <c r="H460" s="1186"/>
      <c r="I460" s="1186">
        <v>12.1</v>
      </c>
      <c r="J460" s="1186">
        <v>2.6</v>
      </c>
      <c r="K460" s="1186">
        <v>11.7</v>
      </c>
      <c r="L460" s="1186">
        <v>3.4</v>
      </c>
      <c r="M460" s="1186">
        <v>16.600000000000001</v>
      </c>
      <c r="N460" s="1186">
        <v>4.3</v>
      </c>
      <c r="O460" s="1186"/>
      <c r="P460" s="1186"/>
      <c r="Q460" s="1186">
        <v>12.7</v>
      </c>
      <c r="R460" s="1186">
        <v>1.9</v>
      </c>
      <c r="S460" s="1186">
        <v>15</v>
      </c>
      <c r="T460" s="1186">
        <v>2.8</v>
      </c>
      <c r="U460" s="1186"/>
      <c r="V460" s="1186"/>
      <c r="W460" s="1186"/>
      <c r="X460" s="1186"/>
      <c r="Y460" s="1186"/>
      <c r="Z460" s="1186"/>
      <c r="AA460" s="1186"/>
      <c r="AB460" s="1186"/>
      <c r="AC460" s="1186"/>
      <c r="AD460" s="1187"/>
    </row>
    <row r="461" spans="1:30" x14ac:dyDescent="0.2">
      <c r="A461">
        <f t="shared" si="41"/>
        <v>11</v>
      </c>
      <c r="B461">
        <v>452</v>
      </c>
      <c r="C461" s="1078">
        <v>2</v>
      </c>
      <c r="D461" s="1077" t="s">
        <v>3600</v>
      </c>
      <c r="E461" s="1077" t="s">
        <v>4070</v>
      </c>
      <c r="F461" s="1185"/>
      <c r="G461" s="1186"/>
      <c r="H461" s="1186"/>
      <c r="I461" s="1186">
        <v>12.1</v>
      </c>
      <c r="J461" s="1186">
        <v>2.6</v>
      </c>
      <c r="K461" s="1186">
        <v>11.7</v>
      </c>
      <c r="L461" s="1186">
        <v>3.4</v>
      </c>
      <c r="M461" s="1186">
        <v>16.600000000000001</v>
      </c>
      <c r="N461" s="1186">
        <v>4.3</v>
      </c>
      <c r="O461" s="1186"/>
      <c r="P461" s="1186"/>
      <c r="Q461" s="1186">
        <v>12.7</v>
      </c>
      <c r="R461" s="1186">
        <v>1.9</v>
      </c>
      <c r="S461" s="1186">
        <v>15</v>
      </c>
      <c r="T461" s="1186">
        <v>2.8</v>
      </c>
      <c r="U461" s="1186"/>
      <c r="V461" s="1186"/>
      <c r="W461" s="1186"/>
      <c r="X461" s="1186"/>
      <c r="Y461" s="1186"/>
      <c r="Z461" s="1186"/>
      <c r="AA461" s="1186"/>
      <c r="AB461" s="1186"/>
      <c r="AC461" s="1186"/>
      <c r="AD461" s="1187"/>
    </row>
    <row r="462" spans="1:30" x14ac:dyDescent="0.2">
      <c r="A462">
        <f t="shared" si="41"/>
        <v>12</v>
      </c>
      <c r="B462">
        <v>453</v>
      </c>
      <c r="C462" s="1078">
        <v>2</v>
      </c>
      <c r="D462" s="1077" t="s">
        <v>3978</v>
      </c>
      <c r="E462" s="1077" t="s">
        <v>4071</v>
      </c>
      <c r="F462" s="1185"/>
      <c r="G462" s="1186"/>
      <c r="H462" s="1186"/>
      <c r="I462" s="1186">
        <v>4.3</v>
      </c>
      <c r="J462" s="1186">
        <v>2.9</v>
      </c>
      <c r="K462" s="1186">
        <v>3.5</v>
      </c>
      <c r="L462" s="1186">
        <v>4.0999999999999996</v>
      </c>
      <c r="M462" s="1186">
        <v>4.5</v>
      </c>
      <c r="N462" s="1186">
        <v>5.2</v>
      </c>
      <c r="O462" s="1186"/>
      <c r="P462" s="1186"/>
      <c r="Q462" s="1186">
        <v>3.8</v>
      </c>
      <c r="R462" s="1186">
        <v>1.6</v>
      </c>
      <c r="S462" s="1186">
        <v>3.7</v>
      </c>
      <c r="T462" s="1186">
        <v>2.9</v>
      </c>
      <c r="U462" s="1186"/>
      <c r="V462" s="1186"/>
      <c r="W462" s="1186"/>
      <c r="X462" s="1186"/>
      <c r="Y462" s="1186"/>
      <c r="Z462" s="1186"/>
      <c r="AA462" s="1186"/>
      <c r="AB462" s="1186"/>
      <c r="AC462" s="1186"/>
      <c r="AD462" s="1187"/>
    </row>
    <row r="463" spans="1:30" x14ac:dyDescent="0.2">
      <c r="A463">
        <f t="shared" si="41"/>
        <v>12</v>
      </c>
      <c r="B463">
        <v>454</v>
      </c>
      <c r="C463" s="1078">
        <v>2</v>
      </c>
      <c r="D463" s="1077" t="s">
        <v>3978</v>
      </c>
      <c r="E463" s="1077" t="s">
        <v>4072</v>
      </c>
      <c r="F463" s="1185"/>
      <c r="G463" s="1186"/>
      <c r="H463" s="1186"/>
      <c r="I463" s="1186">
        <v>5.3</v>
      </c>
      <c r="J463" s="1186">
        <v>2.9</v>
      </c>
      <c r="K463" s="1186">
        <v>4.5999999999999996</v>
      </c>
      <c r="L463" s="1186">
        <v>3.7</v>
      </c>
      <c r="M463" s="1186">
        <v>6.2</v>
      </c>
      <c r="N463" s="1186">
        <v>4.9000000000000004</v>
      </c>
      <c r="O463" s="1186"/>
      <c r="P463" s="1186"/>
      <c r="Q463" s="1186">
        <v>4.5999999999999996</v>
      </c>
      <c r="R463" s="1186">
        <v>1.8</v>
      </c>
      <c r="S463" s="1186">
        <v>7.1</v>
      </c>
      <c r="T463" s="1186">
        <v>2.9</v>
      </c>
      <c r="U463" s="1186"/>
      <c r="V463" s="1186"/>
      <c r="W463" s="1186"/>
      <c r="X463" s="1186"/>
      <c r="Y463" s="1186"/>
      <c r="Z463" s="1186"/>
      <c r="AA463" s="1186"/>
      <c r="AB463" s="1186"/>
      <c r="AC463" s="1186"/>
      <c r="AD463" s="1187"/>
    </row>
    <row r="464" spans="1:30" x14ac:dyDescent="0.2">
      <c r="A464">
        <f t="shared" si="41"/>
        <v>12</v>
      </c>
      <c r="B464">
        <v>455</v>
      </c>
      <c r="C464" s="1078">
        <v>2</v>
      </c>
      <c r="D464" s="1077" t="s">
        <v>3978</v>
      </c>
      <c r="E464" s="1077" t="s">
        <v>4073</v>
      </c>
      <c r="F464" s="1185"/>
      <c r="G464" s="1186"/>
      <c r="H464" s="1186"/>
      <c r="I464" s="1186">
        <v>5.3</v>
      </c>
      <c r="J464" s="1186">
        <v>2.9</v>
      </c>
      <c r="K464" s="1186">
        <v>4.5999999999999996</v>
      </c>
      <c r="L464" s="1186">
        <v>3.7</v>
      </c>
      <c r="M464" s="1186">
        <v>6.2</v>
      </c>
      <c r="N464" s="1186">
        <v>4.9000000000000004</v>
      </c>
      <c r="O464" s="1186"/>
      <c r="P464" s="1186"/>
      <c r="Q464" s="1186">
        <v>4.5999999999999996</v>
      </c>
      <c r="R464" s="1186">
        <v>1.8</v>
      </c>
      <c r="S464" s="1186">
        <v>4.5999999999999996</v>
      </c>
      <c r="T464" s="1186">
        <v>2.7</v>
      </c>
      <c r="U464" s="1186"/>
      <c r="V464" s="1186"/>
      <c r="W464" s="1186"/>
      <c r="X464" s="1186"/>
      <c r="Y464" s="1186"/>
      <c r="Z464" s="1186"/>
      <c r="AA464" s="1186"/>
      <c r="AB464" s="1186"/>
      <c r="AC464" s="1186"/>
      <c r="AD464" s="1187"/>
    </row>
    <row r="465" spans="1:30" x14ac:dyDescent="0.2">
      <c r="A465">
        <f t="shared" si="41"/>
        <v>12</v>
      </c>
      <c r="B465">
        <v>456</v>
      </c>
      <c r="C465" s="1078">
        <v>2</v>
      </c>
      <c r="D465" s="1077" t="s">
        <v>3978</v>
      </c>
      <c r="E465" s="1077" t="s">
        <v>4074</v>
      </c>
      <c r="F465" s="1185"/>
      <c r="G465" s="1186"/>
      <c r="H465" s="1186"/>
      <c r="I465" s="1186">
        <v>5.5</v>
      </c>
      <c r="J465" s="1186">
        <v>2.8</v>
      </c>
      <c r="K465" s="1186">
        <v>5.5</v>
      </c>
      <c r="L465" s="1186">
        <v>3.5</v>
      </c>
      <c r="M465" s="1186">
        <v>7.8</v>
      </c>
      <c r="N465" s="1186">
        <v>4.5999999999999996</v>
      </c>
      <c r="O465" s="1186"/>
      <c r="P465" s="1186"/>
      <c r="Q465" s="1186">
        <v>5.4</v>
      </c>
      <c r="R465" s="1186">
        <v>1.7</v>
      </c>
      <c r="S465" s="1186">
        <v>4.5999999999999996</v>
      </c>
      <c r="T465" s="1186">
        <v>2.7</v>
      </c>
      <c r="U465" s="1186"/>
      <c r="V465" s="1186"/>
      <c r="W465" s="1186"/>
      <c r="X465" s="1186"/>
      <c r="Y465" s="1186"/>
      <c r="Z465" s="1186"/>
      <c r="AA465" s="1186"/>
      <c r="AB465" s="1186"/>
      <c r="AC465" s="1186"/>
      <c r="AD465" s="1187"/>
    </row>
    <row r="466" spans="1:30" x14ac:dyDescent="0.2">
      <c r="A466">
        <f t="shared" si="41"/>
        <v>12</v>
      </c>
      <c r="B466">
        <v>457</v>
      </c>
      <c r="C466" s="1078">
        <v>2</v>
      </c>
      <c r="D466" s="1077" t="s">
        <v>3978</v>
      </c>
      <c r="E466" s="1077" t="s">
        <v>4075</v>
      </c>
      <c r="F466" s="1185"/>
      <c r="G466" s="1186"/>
      <c r="H466" s="1186"/>
      <c r="I466" s="1186">
        <v>5.5</v>
      </c>
      <c r="J466" s="1186">
        <v>2.8</v>
      </c>
      <c r="K466" s="1186">
        <v>5.5</v>
      </c>
      <c r="L466" s="1186">
        <v>3.5</v>
      </c>
      <c r="M466" s="1186">
        <v>7.9</v>
      </c>
      <c r="N466" s="1186">
        <v>4.5999999999999996</v>
      </c>
      <c r="O466" s="1186"/>
      <c r="P466" s="1186"/>
      <c r="Q466" s="1186">
        <v>5.4</v>
      </c>
      <c r="R466" s="1186">
        <v>1.7</v>
      </c>
      <c r="S466" s="1186">
        <v>4.5999999999999996</v>
      </c>
      <c r="T466" s="1186">
        <v>2.7</v>
      </c>
      <c r="U466" s="1186"/>
      <c r="V466" s="1186"/>
      <c r="W466" s="1186"/>
      <c r="X466" s="1186"/>
      <c r="Y466" s="1186"/>
      <c r="Z466" s="1186"/>
      <c r="AA466" s="1186"/>
      <c r="AB466" s="1186"/>
      <c r="AC466" s="1186"/>
      <c r="AD466" s="1187"/>
    </row>
    <row r="467" spans="1:30" x14ac:dyDescent="0.2">
      <c r="A467">
        <f t="shared" si="41"/>
        <v>12</v>
      </c>
      <c r="B467">
        <v>458</v>
      </c>
      <c r="C467" s="1078">
        <v>2</v>
      </c>
      <c r="D467" s="1077" t="s">
        <v>3978</v>
      </c>
      <c r="E467" s="1077" t="s">
        <v>4076</v>
      </c>
      <c r="F467" s="1185"/>
      <c r="G467" s="1186"/>
      <c r="H467" s="1186"/>
      <c r="I467" s="1186">
        <v>6</v>
      </c>
      <c r="J467" s="1186">
        <v>2.5</v>
      </c>
      <c r="K467" s="1186">
        <v>7.7</v>
      </c>
      <c r="L467" s="1186">
        <v>3.3</v>
      </c>
      <c r="M467" s="1186">
        <v>11.3</v>
      </c>
      <c r="N467" s="1186">
        <v>4.4000000000000004</v>
      </c>
      <c r="O467" s="1186"/>
      <c r="P467" s="1186"/>
      <c r="Q467" s="1186">
        <v>6.2</v>
      </c>
      <c r="R467" s="1186">
        <v>1.5</v>
      </c>
      <c r="S467" s="1186">
        <v>10.199999999999999</v>
      </c>
      <c r="T467" s="1186">
        <v>2.6</v>
      </c>
      <c r="U467" s="1186"/>
      <c r="V467" s="1186"/>
      <c r="W467" s="1186"/>
      <c r="X467" s="1186"/>
      <c r="Y467" s="1186"/>
      <c r="Z467" s="1186"/>
      <c r="AA467" s="1186"/>
      <c r="AB467" s="1186"/>
      <c r="AC467" s="1186"/>
      <c r="AD467" s="1187"/>
    </row>
    <row r="468" spans="1:30" x14ac:dyDescent="0.2">
      <c r="A468">
        <f t="shared" si="41"/>
        <v>12</v>
      </c>
      <c r="B468">
        <v>459</v>
      </c>
      <c r="C468" s="1078">
        <v>2</v>
      </c>
      <c r="D468" s="1077" t="s">
        <v>3978</v>
      </c>
      <c r="E468" s="1077" t="s">
        <v>4077</v>
      </c>
      <c r="F468" s="1185"/>
      <c r="G468" s="1186"/>
      <c r="H468" s="1186"/>
      <c r="I468" s="1186">
        <v>8.3000000000000007</v>
      </c>
      <c r="J468" s="1186">
        <v>2.6</v>
      </c>
      <c r="K468" s="1186">
        <v>9.6</v>
      </c>
      <c r="L468" s="1186">
        <v>3.2</v>
      </c>
      <c r="M468" s="1186">
        <v>14.8</v>
      </c>
      <c r="N468" s="1186">
        <v>4.3</v>
      </c>
      <c r="O468" s="1186"/>
      <c r="P468" s="1186"/>
      <c r="Q468" s="1186">
        <v>5.4</v>
      </c>
      <c r="R468" s="1186">
        <v>1.3</v>
      </c>
      <c r="S468" s="1186">
        <v>12.4</v>
      </c>
      <c r="T468" s="1186">
        <v>2.5</v>
      </c>
      <c r="U468" s="1186"/>
      <c r="V468" s="1186"/>
      <c r="W468" s="1186"/>
      <c r="X468" s="1186"/>
      <c r="Y468" s="1186"/>
      <c r="Z468" s="1186"/>
      <c r="AA468" s="1186"/>
      <c r="AB468" s="1186"/>
      <c r="AC468" s="1186"/>
      <c r="AD468" s="1187"/>
    </row>
    <row r="469" spans="1:30" x14ac:dyDescent="0.2">
      <c r="A469">
        <f t="shared" si="41"/>
        <v>12</v>
      </c>
      <c r="B469">
        <v>460</v>
      </c>
      <c r="C469" s="1078">
        <v>2</v>
      </c>
      <c r="D469" s="1077" t="s">
        <v>3978</v>
      </c>
      <c r="E469" s="1077" t="s">
        <v>4078</v>
      </c>
      <c r="F469" s="1185"/>
      <c r="G469" s="1186"/>
      <c r="H469" s="1186"/>
      <c r="I469" s="1186">
        <v>8</v>
      </c>
      <c r="J469" s="1186">
        <v>2.4</v>
      </c>
      <c r="K469" s="1186">
        <v>10.1</v>
      </c>
      <c r="L469" s="1186">
        <v>3.2</v>
      </c>
      <c r="M469" s="1186">
        <v>15.3</v>
      </c>
      <c r="N469" s="1186">
        <v>4.0999999999999996</v>
      </c>
      <c r="O469" s="1186"/>
      <c r="P469" s="1186"/>
      <c r="Q469" s="1186">
        <v>6.3</v>
      </c>
      <c r="R469" s="1186">
        <v>1.4</v>
      </c>
      <c r="S469" s="1186">
        <v>14.3</v>
      </c>
      <c r="T469" s="1186">
        <v>2.5</v>
      </c>
      <c r="U469" s="1186"/>
      <c r="V469" s="1186"/>
      <c r="W469" s="1186"/>
      <c r="X469" s="1186"/>
      <c r="Y469" s="1186"/>
      <c r="Z469" s="1186"/>
      <c r="AA469" s="1186"/>
      <c r="AB469" s="1186"/>
      <c r="AC469" s="1186"/>
      <c r="AD469" s="1187"/>
    </row>
    <row r="470" spans="1:30" x14ac:dyDescent="0.2">
      <c r="A470">
        <f t="shared" si="41"/>
        <v>13</v>
      </c>
      <c r="B470">
        <v>461</v>
      </c>
      <c r="C470" s="1078">
        <v>2</v>
      </c>
      <c r="D470" s="1077" t="s">
        <v>5264</v>
      </c>
      <c r="E470" s="1077" t="s">
        <v>5151</v>
      </c>
      <c r="F470" s="1185">
        <v>4</v>
      </c>
      <c r="G470" s="1186">
        <v>6.43</v>
      </c>
      <c r="H470" s="1186">
        <v>2.66</v>
      </c>
      <c r="I470" s="1186">
        <v>7.49</v>
      </c>
      <c r="J470" s="1186">
        <v>3.13</v>
      </c>
      <c r="K470" s="1186">
        <v>7.75</v>
      </c>
      <c r="L470" s="1186">
        <v>4.28</v>
      </c>
      <c r="M470" s="1186">
        <v>7.95</v>
      </c>
      <c r="N470" s="1186">
        <v>4.88</v>
      </c>
      <c r="O470" s="1186">
        <v>8.98</v>
      </c>
      <c r="P470" s="1186">
        <v>7.24</v>
      </c>
      <c r="Q470" s="1186">
        <v>7.55</v>
      </c>
      <c r="R470" s="1186">
        <v>2.13</v>
      </c>
      <c r="S470" s="1186">
        <v>9.1199999999999992</v>
      </c>
      <c r="T470" s="1186">
        <v>3.13</v>
      </c>
      <c r="U470" s="1186">
        <v>8.91</v>
      </c>
      <c r="V470" s="1186">
        <v>3.84</v>
      </c>
      <c r="W470" s="1186"/>
      <c r="X470" s="1186"/>
      <c r="Y470" s="1186"/>
      <c r="Z470" s="1186"/>
      <c r="AA470" s="1186"/>
      <c r="AB470" s="1186"/>
      <c r="AC470" s="1186"/>
      <c r="AD470" s="1187"/>
    </row>
    <row r="471" spans="1:30" x14ac:dyDescent="0.2">
      <c r="A471">
        <f t="shared" si="41"/>
        <v>13</v>
      </c>
      <c r="B471">
        <v>462</v>
      </c>
      <c r="C471" s="1078">
        <v>2</v>
      </c>
      <c r="D471" s="1077" t="s">
        <v>5264</v>
      </c>
      <c r="E471" s="1077" t="s">
        <v>5152</v>
      </c>
      <c r="F471" s="1185">
        <v>4</v>
      </c>
      <c r="G471" s="1186">
        <v>7.44</v>
      </c>
      <c r="H471" s="1186">
        <v>2.63</v>
      </c>
      <c r="I471" s="1186">
        <v>8.84</v>
      </c>
      <c r="J471" s="1186">
        <v>3.05</v>
      </c>
      <c r="K471" s="1186">
        <v>8.0500000000000007</v>
      </c>
      <c r="L471" s="1186">
        <v>3.87</v>
      </c>
      <c r="M471" s="1186">
        <v>9.25</v>
      </c>
      <c r="N471" s="1186">
        <v>4.67</v>
      </c>
      <c r="O471" s="1186">
        <v>10.51</v>
      </c>
      <c r="P471" s="1186">
        <v>6.91</v>
      </c>
      <c r="Q471" s="1186">
        <v>9.1</v>
      </c>
      <c r="R471" s="1186">
        <v>2.2599999999999998</v>
      </c>
      <c r="S471" s="1186">
        <v>10.61</v>
      </c>
      <c r="T471" s="1186">
        <v>3.01</v>
      </c>
      <c r="U471" s="1186">
        <v>10.43</v>
      </c>
      <c r="V471" s="1186">
        <v>3.69</v>
      </c>
      <c r="W471" s="1186"/>
      <c r="X471" s="1186"/>
      <c r="Y471" s="1186"/>
      <c r="Z471" s="1186"/>
      <c r="AA471" s="1186"/>
      <c r="AB471" s="1186"/>
      <c r="AC471" s="1186"/>
      <c r="AD471" s="1187"/>
    </row>
    <row r="472" spans="1:30" x14ac:dyDescent="0.2">
      <c r="A472">
        <f t="shared" si="41"/>
        <v>13</v>
      </c>
      <c r="B472">
        <v>463</v>
      </c>
      <c r="C472" s="1078">
        <v>2</v>
      </c>
      <c r="D472" s="1077" t="s">
        <v>5264</v>
      </c>
      <c r="E472" s="1077" t="s">
        <v>5153</v>
      </c>
      <c r="F472" s="1185">
        <v>4</v>
      </c>
      <c r="G472" s="1186">
        <v>8.64</v>
      </c>
      <c r="H472" s="1186">
        <v>2.58</v>
      </c>
      <c r="I472" s="1186">
        <v>10.28</v>
      </c>
      <c r="J472" s="1186">
        <v>3.01</v>
      </c>
      <c r="K472" s="1186">
        <v>8.09</v>
      </c>
      <c r="L472" s="1186">
        <v>3.63</v>
      </c>
      <c r="M472" s="1186">
        <v>9.9700000000000006</v>
      </c>
      <c r="N472" s="1186">
        <v>4.51</v>
      </c>
      <c r="O472" s="1186">
        <v>11.28</v>
      </c>
      <c r="P472" s="1186">
        <v>6.64</v>
      </c>
      <c r="Q472" s="1186">
        <v>10.58</v>
      </c>
      <c r="R472" s="1186">
        <v>2.2000000000000002</v>
      </c>
      <c r="S472" s="1186">
        <v>11.44</v>
      </c>
      <c r="T472" s="1186">
        <v>2.91</v>
      </c>
      <c r="U472" s="1186">
        <v>11.19</v>
      </c>
      <c r="V472" s="1186">
        <v>3.58</v>
      </c>
      <c r="W472" s="1186"/>
      <c r="X472" s="1186"/>
      <c r="Y472" s="1186"/>
      <c r="Z472" s="1186"/>
      <c r="AA472" s="1186"/>
      <c r="AB472" s="1186"/>
      <c r="AC472" s="1186"/>
      <c r="AD472" s="1187"/>
    </row>
    <row r="473" spans="1:30" x14ac:dyDescent="0.2">
      <c r="A473">
        <f t="shared" si="41"/>
        <v>13</v>
      </c>
      <c r="B473">
        <v>464</v>
      </c>
      <c r="C473" s="1078">
        <v>2</v>
      </c>
      <c r="D473" s="1077" t="s">
        <v>5264</v>
      </c>
      <c r="E473" s="1077" t="s">
        <v>5154</v>
      </c>
      <c r="F473" s="1185">
        <v>4</v>
      </c>
      <c r="G473" s="1186">
        <v>9.43</v>
      </c>
      <c r="H473" s="1186">
        <v>2.46</v>
      </c>
      <c r="I473" s="1186">
        <v>10.65</v>
      </c>
      <c r="J473" s="1186">
        <v>3.03</v>
      </c>
      <c r="K473" s="1186">
        <v>8.5500000000000007</v>
      </c>
      <c r="L473" s="1186">
        <v>3.33</v>
      </c>
      <c r="M473" s="1186">
        <v>9.75</v>
      </c>
      <c r="N473" s="1186">
        <v>4.49</v>
      </c>
      <c r="O473" s="1186">
        <v>9.93</v>
      </c>
      <c r="P473" s="1186">
        <v>7.2</v>
      </c>
      <c r="Q473" s="1186">
        <v>10.99</v>
      </c>
      <c r="R473" s="1186">
        <v>2.29</v>
      </c>
      <c r="S473" s="1186">
        <v>10.42</v>
      </c>
      <c r="T473" s="1186">
        <v>3.06</v>
      </c>
      <c r="U473" s="1186">
        <v>9.5299999999999994</v>
      </c>
      <c r="V473" s="1186">
        <v>4.13</v>
      </c>
      <c r="W473" s="1186"/>
      <c r="X473" s="1186"/>
      <c r="Y473" s="1186"/>
      <c r="Z473" s="1186"/>
      <c r="AA473" s="1186"/>
      <c r="AB473" s="1186"/>
      <c r="AC473" s="1186"/>
      <c r="AD473" s="1187"/>
    </row>
    <row r="474" spans="1:30" x14ac:dyDescent="0.2">
      <c r="A474">
        <f t="shared" si="41"/>
        <v>13</v>
      </c>
      <c r="B474">
        <v>465</v>
      </c>
      <c r="C474" s="1078">
        <v>2</v>
      </c>
      <c r="D474" s="1077" t="s">
        <v>5264</v>
      </c>
      <c r="E474" s="1077" t="s">
        <v>5155</v>
      </c>
      <c r="F474" s="1185">
        <v>4</v>
      </c>
      <c r="G474" s="1186">
        <v>10.44</v>
      </c>
      <c r="H474" s="1186">
        <v>2.4500000000000002</v>
      </c>
      <c r="I474" s="1186">
        <v>11.79</v>
      </c>
      <c r="J474" s="1186">
        <v>3.03</v>
      </c>
      <c r="K474" s="1186">
        <v>9.16</v>
      </c>
      <c r="L474" s="1186">
        <v>3.33</v>
      </c>
      <c r="M474" s="1186">
        <v>10.44</v>
      </c>
      <c r="N474" s="1186">
        <v>4.5</v>
      </c>
      <c r="O474" s="1186">
        <v>10.64</v>
      </c>
      <c r="P474" s="1186">
        <v>7.19</v>
      </c>
      <c r="Q474" s="1186">
        <v>12.5</v>
      </c>
      <c r="R474" s="1186">
        <v>2.29</v>
      </c>
      <c r="S474" s="1186">
        <v>11.42</v>
      </c>
      <c r="T474" s="1186">
        <v>3.06</v>
      </c>
      <c r="U474" s="1186">
        <v>10.44</v>
      </c>
      <c r="V474" s="1186">
        <v>4.13</v>
      </c>
      <c r="W474" s="1186"/>
      <c r="X474" s="1186"/>
      <c r="Y474" s="1186"/>
      <c r="Z474" s="1186"/>
      <c r="AA474" s="1186"/>
      <c r="AB474" s="1186"/>
      <c r="AC474" s="1186"/>
      <c r="AD474" s="1187"/>
    </row>
    <row r="475" spans="1:30" x14ac:dyDescent="0.2">
      <c r="A475">
        <f t="shared" si="41"/>
        <v>13</v>
      </c>
      <c r="B475">
        <v>466</v>
      </c>
      <c r="C475" s="1078">
        <v>2</v>
      </c>
      <c r="D475" s="1077" t="s">
        <v>5264</v>
      </c>
      <c r="E475" s="1077" t="s">
        <v>5156</v>
      </c>
      <c r="F475" s="1185">
        <v>4</v>
      </c>
      <c r="G475" s="1186">
        <v>11.23</v>
      </c>
      <c r="H475" s="1186">
        <v>2.4500000000000002</v>
      </c>
      <c r="I475" s="1186">
        <v>12.67</v>
      </c>
      <c r="J475" s="1186">
        <v>3.02</v>
      </c>
      <c r="K475" s="1186">
        <v>10.17</v>
      </c>
      <c r="L475" s="1186">
        <v>3.06</v>
      </c>
      <c r="M475" s="1186">
        <v>11.6</v>
      </c>
      <c r="N475" s="1186">
        <v>4.5</v>
      </c>
      <c r="O475" s="1186">
        <v>11.83</v>
      </c>
      <c r="P475" s="1186">
        <v>7.21</v>
      </c>
      <c r="Q475" s="1186">
        <v>13.08</v>
      </c>
      <c r="R475" s="1186">
        <v>2.29</v>
      </c>
      <c r="S475" s="1186">
        <v>12.41</v>
      </c>
      <c r="T475" s="1186">
        <v>3.06</v>
      </c>
      <c r="U475" s="1186">
        <v>11.35</v>
      </c>
      <c r="V475" s="1186">
        <v>4.13</v>
      </c>
      <c r="W475" s="1186"/>
      <c r="X475" s="1186"/>
      <c r="Y475" s="1186"/>
      <c r="Z475" s="1186"/>
      <c r="AA475" s="1186"/>
      <c r="AB475" s="1186"/>
      <c r="AC475" s="1186"/>
      <c r="AD475" s="1187"/>
    </row>
    <row r="476" spans="1:30" x14ac:dyDescent="0.2">
      <c r="A476">
        <f t="shared" si="41"/>
        <v>14</v>
      </c>
      <c r="B476">
        <v>467</v>
      </c>
      <c r="C476" s="1078">
        <v>2</v>
      </c>
      <c r="D476" s="1077" t="s">
        <v>3606</v>
      </c>
      <c r="E476" s="1077" t="s">
        <v>4079</v>
      </c>
      <c r="F476" s="1185"/>
      <c r="G476" s="1186"/>
      <c r="H476" s="1186"/>
      <c r="I476" s="1186">
        <v>4.2</v>
      </c>
      <c r="J476" s="1186">
        <v>2.8</v>
      </c>
      <c r="K476" s="1186">
        <v>4.8</v>
      </c>
      <c r="L476" s="1186">
        <v>3.4</v>
      </c>
      <c r="M476" s="1186">
        <v>5.6</v>
      </c>
      <c r="N476" s="1186">
        <v>5.6</v>
      </c>
      <c r="O476" s="1186"/>
      <c r="P476" s="1186"/>
      <c r="Q476" s="1186">
        <v>3.6</v>
      </c>
      <c r="R476" s="1186">
        <v>1.7</v>
      </c>
      <c r="S476" s="1186">
        <v>4.9000000000000004</v>
      </c>
      <c r="T476" s="1186">
        <v>2.6</v>
      </c>
      <c r="U476" s="1186"/>
      <c r="V476" s="1186"/>
      <c r="W476" s="1186"/>
      <c r="X476" s="1186"/>
      <c r="Y476" s="1186"/>
      <c r="Z476" s="1186"/>
      <c r="AA476" s="1186"/>
      <c r="AB476" s="1186"/>
      <c r="AC476" s="1186"/>
      <c r="AD476" s="1187"/>
    </row>
    <row r="477" spans="1:30" x14ac:dyDescent="0.2">
      <c r="A477">
        <f t="shared" si="41"/>
        <v>14</v>
      </c>
      <c r="B477">
        <v>468</v>
      </c>
      <c r="C477" s="1078">
        <v>2</v>
      </c>
      <c r="D477" s="1077" t="s">
        <v>3606</v>
      </c>
      <c r="E477" s="1077" t="s">
        <v>4080</v>
      </c>
      <c r="F477" s="1185"/>
      <c r="G477" s="1186">
        <v>3.5</v>
      </c>
      <c r="H477" s="1186">
        <v>2.4</v>
      </c>
      <c r="I477" s="1186">
        <v>4.2</v>
      </c>
      <c r="J477" s="1186">
        <v>2.8</v>
      </c>
      <c r="K477" s="1186">
        <v>4.8</v>
      </c>
      <c r="L477" s="1186">
        <v>3.4</v>
      </c>
      <c r="M477" s="1186">
        <v>5.6</v>
      </c>
      <c r="N477" s="1186">
        <v>4.8</v>
      </c>
      <c r="O477" s="1186"/>
      <c r="P477" s="1186"/>
      <c r="Q477" s="1186">
        <v>3.6</v>
      </c>
      <c r="R477" s="1186">
        <v>1.7</v>
      </c>
      <c r="S477" s="1186">
        <v>4.9000000000000004</v>
      </c>
      <c r="T477" s="1186">
        <v>2.6</v>
      </c>
      <c r="U477" s="1186"/>
      <c r="V477" s="1186"/>
      <c r="W477" s="1186"/>
      <c r="X477" s="1186"/>
      <c r="Y477" s="1186"/>
      <c r="Z477" s="1186"/>
      <c r="AA477" s="1186"/>
      <c r="AB477" s="1186"/>
      <c r="AC477" s="1186"/>
      <c r="AD477" s="1187"/>
    </row>
    <row r="478" spans="1:30" x14ac:dyDescent="0.2">
      <c r="A478">
        <f t="shared" si="41"/>
        <v>14</v>
      </c>
      <c r="B478">
        <v>469</v>
      </c>
      <c r="C478" s="1078">
        <v>2</v>
      </c>
      <c r="D478" s="1077" t="s">
        <v>3606</v>
      </c>
      <c r="E478" s="1077" t="s">
        <v>4081</v>
      </c>
      <c r="F478" s="1185"/>
      <c r="G478" s="1186">
        <v>3</v>
      </c>
      <c r="H478" s="1186">
        <v>2.2000000000000002</v>
      </c>
      <c r="I478" s="1186">
        <v>3.9</v>
      </c>
      <c r="J478" s="1186">
        <v>2.9</v>
      </c>
      <c r="K478" s="1186">
        <v>5.0999999999999996</v>
      </c>
      <c r="L478" s="1186">
        <v>3.8</v>
      </c>
      <c r="M478" s="1186">
        <v>6.4</v>
      </c>
      <c r="N478" s="1186">
        <v>4.5999999999999996</v>
      </c>
      <c r="O478" s="1186">
        <v>8</v>
      </c>
      <c r="P478" s="1186">
        <v>5.7</v>
      </c>
      <c r="Q478" s="1186">
        <v>3.6</v>
      </c>
      <c r="R478" s="1186">
        <v>1.8</v>
      </c>
      <c r="S478" s="1186">
        <v>5.7</v>
      </c>
      <c r="T478" s="1186">
        <v>2.7</v>
      </c>
      <c r="U478" s="1186">
        <v>7.3</v>
      </c>
      <c r="V478" s="1186">
        <v>3.4</v>
      </c>
      <c r="W478" s="1186"/>
      <c r="X478" s="1186"/>
      <c r="Y478" s="1186"/>
      <c r="Z478" s="1186"/>
      <c r="AA478" s="1186"/>
      <c r="AB478" s="1186"/>
      <c r="AC478" s="1186"/>
      <c r="AD478" s="1187"/>
    </row>
    <row r="479" spans="1:30" x14ac:dyDescent="0.2">
      <c r="A479">
        <f t="shared" si="41"/>
        <v>14</v>
      </c>
      <c r="B479">
        <v>470</v>
      </c>
      <c r="C479" s="1078">
        <v>2</v>
      </c>
      <c r="D479" s="1077" t="s">
        <v>3606</v>
      </c>
      <c r="E479" s="1077" t="s">
        <v>4082</v>
      </c>
      <c r="F479" s="1185"/>
      <c r="G479" s="1186">
        <v>5.5</v>
      </c>
      <c r="H479" s="1186">
        <v>2.2999999999999998</v>
      </c>
      <c r="I479" s="1186">
        <v>6.7</v>
      </c>
      <c r="J479" s="1186">
        <v>2.8</v>
      </c>
      <c r="K479" s="1186">
        <v>5.3</v>
      </c>
      <c r="L479" s="1186">
        <v>3.6</v>
      </c>
      <c r="M479" s="1186">
        <v>5.6</v>
      </c>
      <c r="N479" s="1186">
        <v>4.8</v>
      </c>
      <c r="O479" s="1186"/>
      <c r="P479" s="1186"/>
      <c r="Q479" s="1186">
        <v>4.8</v>
      </c>
      <c r="R479" s="1186">
        <v>1.8</v>
      </c>
      <c r="S479" s="1186">
        <v>4.9000000000000004</v>
      </c>
      <c r="T479" s="1186">
        <v>2.6</v>
      </c>
      <c r="U479" s="1186"/>
      <c r="V479" s="1186"/>
      <c r="W479" s="1186"/>
      <c r="X479" s="1186"/>
      <c r="Y479" s="1186"/>
      <c r="Z479" s="1186"/>
      <c r="AA479" s="1186"/>
      <c r="AB479" s="1186"/>
      <c r="AC479" s="1186"/>
      <c r="AD479" s="1187"/>
    </row>
    <row r="480" spans="1:30" x14ac:dyDescent="0.2">
      <c r="A480">
        <f t="shared" si="41"/>
        <v>14</v>
      </c>
      <c r="B480">
        <v>471</v>
      </c>
      <c r="C480" s="1078">
        <v>2</v>
      </c>
      <c r="D480" s="1077" t="s">
        <v>3606</v>
      </c>
      <c r="E480" s="1077" t="s">
        <v>4083</v>
      </c>
      <c r="F480" s="1185"/>
      <c r="G480" s="1186">
        <v>5.5</v>
      </c>
      <c r="H480" s="1186">
        <v>2.2999999999999998</v>
      </c>
      <c r="I480" s="1186">
        <v>6.7</v>
      </c>
      <c r="J480" s="1186">
        <v>2.8</v>
      </c>
      <c r="K480" s="1186">
        <v>5.3</v>
      </c>
      <c r="L480" s="1186">
        <v>3.6</v>
      </c>
      <c r="M480" s="1186">
        <v>5.6</v>
      </c>
      <c r="N480" s="1186">
        <v>4.8</v>
      </c>
      <c r="O480" s="1186">
        <v>7.3</v>
      </c>
      <c r="P480" s="1186">
        <v>6.2</v>
      </c>
      <c r="Q480" s="1186">
        <v>4.8</v>
      </c>
      <c r="R480" s="1186">
        <v>1.8</v>
      </c>
      <c r="S480" s="1186">
        <v>4.9000000000000004</v>
      </c>
      <c r="T480" s="1186">
        <v>2.6</v>
      </c>
      <c r="U480" s="1186">
        <v>7</v>
      </c>
      <c r="V480" s="1186">
        <v>4.4000000000000004</v>
      </c>
      <c r="W480" s="1186"/>
      <c r="X480" s="1186"/>
      <c r="Y480" s="1186"/>
      <c r="Z480" s="1186"/>
      <c r="AA480" s="1186"/>
      <c r="AB480" s="1186"/>
      <c r="AC480" s="1186"/>
      <c r="AD480" s="1187"/>
    </row>
    <row r="481" spans="1:30" x14ac:dyDescent="0.2">
      <c r="A481">
        <f t="shared" si="41"/>
        <v>14</v>
      </c>
      <c r="B481">
        <v>472</v>
      </c>
      <c r="C481" s="1078">
        <v>2</v>
      </c>
      <c r="D481" s="1077" t="s">
        <v>3606</v>
      </c>
      <c r="E481" s="1077" t="s">
        <v>4084</v>
      </c>
      <c r="F481" s="1185"/>
      <c r="G481" s="1186"/>
      <c r="H481" s="1186"/>
      <c r="I481" s="1186">
        <v>5.3</v>
      </c>
      <c r="J481" s="1186">
        <v>2.8</v>
      </c>
      <c r="K481" s="1186">
        <v>6.6</v>
      </c>
      <c r="L481" s="1186">
        <v>3.5</v>
      </c>
      <c r="M481" s="1186">
        <v>7.7</v>
      </c>
      <c r="N481" s="1186">
        <v>4</v>
      </c>
      <c r="O481" s="1186"/>
      <c r="P481" s="1186"/>
      <c r="Q481" s="1186">
        <v>4.9000000000000004</v>
      </c>
      <c r="R481" s="1186">
        <v>1.8</v>
      </c>
      <c r="S481" s="1186">
        <v>7.1</v>
      </c>
      <c r="T481" s="1186">
        <v>2.5</v>
      </c>
      <c r="U481" s="1186"/>
      <c r="V481" s="1186"/>
      <c r="W481" s="1186"/>
      <c r="X481" s="1186"/>
      <c r="Y481" s="1186"/>
      <c r="Z481" s="1186"/>
      <c r="AA481" s="1186"/>
      <c r="AB481" s="1186"/>
      <c r="AC481" s="1186"/>
      <c r="AD481" s="1187"/>
    </row>
    <row r="482" spans="1:30" x14ac:dyDescent="0.2">
      <c r="A482">
        <f t="shared" si="41"/>
        <v>14</v>
      </c>
      <c r="B482">
        <v>473</v>
      </c>
      <c r="C482" s="1078">
        <v>2</v>
      </c>
      <c r="D482" s="1077" t="s">
        <v>3606</v>
      </c>
      <c r="E482" s="1077" t="s">
        <v>4085</v>
      </c>
      <c r="F482" s="1185"/>
      <c r="G482" s="1186"/>
      <c r="H482" s="1186"/>
      <c r="I482" s="1186">
        <v>5.3</v>
      </c>
      <c r="J482" s="1186">
        <v>2.8</v>
      </c>
      <c r="K482" s="1186">
        <v>6.6</v>
      </c>
      <c r="L482" s="1186">
        <v>3.5</v>
      </c>
      <c r="M482" s="1186">
        <v>7.7</v>
      </c>
      <c r="N482" s="1186">
        <v>4</v>
      </c>
      <c r="O482" s="1186"/>
      <c r="P482" s="1186"/>
      <c r="Q482" s="1186">
        <v>4.9000000000000004</v>
      </c>
      <c r="R482" s="1186">
        <v>1.8</v>
      </c>
      <c r="S482" s="1186">
        <v>7.1</v>
      </c>
      <c r="T482" s="1186">
        <v>2.5</v>
      </c>
      <c r="U482" s="1186"/>
      <c r="V482" s="1186"/>
      <c r="W482" s="1186"/>
      <c r="X482" s="1186"/>
      <c r="Y482" s="1186"/>
      <c r="Z482" s="1186"/>
      <c r="AA482" s="1186"/>
      <c r="AB482" s="1186"/>
      <c r="AC482" s="1186"/>
      <c r="AD482" s="1187"/>
    </row>
    <row r="483" spans="1:30" x14ac:dyDescent="0.2">
      <c r="A483">
        <f t="shared" si="41"/>
        <v>14</v>
      </c>
      <c r="B483">
        <v>474</v>
      </c>
      <c r="C483" s="1078">
        <v>2</v>
      </c>
      <c r="D483" s="1077" t="s">
        <v>3606</v>
      </c>
      <c r="E483" s="1077" t="s">
        <v>4086</v>
      </c>
      <c r="F483" s="1185"/>
      <c r="G483" s="1186">
        <v>4.2</v>
      </c>
      <c r="H483" s="1186">
        <v>2.4</v>
      </c>
      <c r="I483" s="1186">
        <v>5.4</v>
      </c>
      <c r="J483" s="1186">
        <v>3</v>
      </c>
      <c r="K483" s="1186">
        <v>6.8</v>
      </c>
      <c r="L483" s="1186">
        <v>3.9</v>
      </c>
      <c r="M483" s="1186">
        <v>8.5</v>
      </c>
      <c r="N483" s="1186">
        <v>4.7</v>
      </c>
      <c r="O483" s="1186">
        <v>10.6</v>
      </c>
      <c r="P483" s="1186">
        <v>5.6</v>
      </c>
      <c r="Q483" s="1186">
        <v>5</v>
      </c>
      <c r="R483" s="1186">
        <v>1.9</v>
      </c>
      <c r="S483" s="1186">
        <v>7.5</v>
      </c>
      <c r="T483" s="1186">
        <v>2.9</v>
      </c>
      <c r="U483" s="1186">
        <v>9.6</v>
      </c>
      <c r="V483" s="1186">
        <v>3.5</v>
      </c>
      <c r="W483" s="1186"/>
      <c r="X483" s="1186"/>
      <c r="Y483" s="1186"/>
      <c r="Z483" s="1186"/>
      <c r="AA483" s="1186"/>
      <c r="AB483" s="1186"/>
      <c r="AC483" s="1186"/>
      <c r="AD483" s="1187"/>
    </row>
    <row r="484" spans="1:30" x14ac:dyDescent="0.2">
      <c r="A484">
        <f t="shared" si="41"/>
        <v>14</v>
      </c>
      <c r="B484">
        <v>475</v>
      </c>
      <c r="C484" s="1078">
        <v>2</v>
      </c>
      <c r="D484" s="1077" t="s">
        <v>3606</v>
      </c>
      <c r="E484" s="1077" t="s">
        <v>4087</v>
      </c>
      <c r="F484" s="1185"/>
      <c r="G484" s="1186"/>
      <c r="H484" s="1186"/>
      <c r="I484" s="1186">
        <v>5.5</v>
      </c>
      <c r="J484" s="1186">
        <v>3.2</v>
      </c>
      <c r="K484" s="1186">
        <v>7.2</v>
      </c>
      <c r="L484" s="1186">
        <v>4.2</v>
      </c>
      <c r="M484" s="1186">
        <v>8.4</v>
      </c>
      <c r="N484" s="1186">
        <v>4.8</v>
      </c>
      <c r="O484" s="1186"/>
      <c r="P484" s="1186"/>
      <c r="Q484" s="1186">
        <v>5.5</v>
      </c>
      <c r="R484" s="1186">
        <v>2.2000000000000002</v>
      </c>
      <c r="S484" s="1186">
        <v>8</v>
      </c>
      <c r="T484" s="1186">
        <v>3.1</v>
      </c>
      <c r="U484" s="1186"/>
      <c r="V484" s="1186"/>
      <c r="W484" s="1186"/>
      <c r="X484" s="1186"/>
      <c r="Y484" s="1186"/>
      <c r="Z484" s="1186"/>
      <c r="AA484" s="1186"/>
      <c r="AB484" s="1186"/>
      <c r="AC484" s="1186"/>
      <c r="AD484" s="1187"/>
    </row>
    <row r="485" spans="1:30" x14ac:dyDescent="0.2">
      <c r="A485">
        <f t="shared" si="41"/>
        <v>14</v>
      </c>
      <c r="B485">
        <v>476</v>
      </c>
      <c r="C485" s="1078">
        <v>2</v>
      </c>
      <c r="D485" s="1077" t="s">
        <v>3606</v>
      </c>
      <c r="E485" s="1077" t="s">
        <v>4088</v>
      </c>
      <c r="F485" s="1185"/>
      <c r="G485" s="1186"/>
      <c r="H485" s="1186"/>
      <c r="I485" s="1186">
        <v>5.5</v>
      </c>
      <c r="J485" s="1186">
        <v>3.2</v>
      </c>
      <c r="K485" s="1186">
        <v>7.2</v>
      </c>
      <c r="L485" s="1186">
        <v>4.2</v>
      </c>
      <c r="M485" s="1186">
        <v>8.4</v>
      </c>
      <c r="N485" s="1186">
        <v>4.8</v>
      </c>
      <c r="O485" s="1186"/>
      <c r="P485" s="1186"/>
      <c r="Q485" s="1186">
        <v>5.5</v>
      </c>
      <c r="R485" s="1186">
        <v>2.2000000000000002</v>
      </c>
      <c r="S485" s="1186">
        <v>8</v>
      </c>
      <c r="T485" s="1186">
        <v>3.1</v>
      </c>
      <c r="U485" s="1186"/>
      <c r="V485" s="1186"/>
      <c r="W485" s="1186"/>
      <c r="X485" s="1186"/>
      <c r="Y485" s="1186"/>
      <c r="Z485" s="1186"/>
      <c r="AA485" s="1186"/>
      <c r="AB485" s="1186"/>
      <c r="AC485" s="1186"/>
      <c r="AD485" s="1187"/>
    </row>
    <row r="486" spans="1:30" x14ac:dyDescent="0.2">
      <c r="A486">
        <f t="shared" si="41"/>
        <v>14</v>
      </c>
      <c r="B486">
        <v>477</v>
      </c>
      <c r="C486" s="1078">
        <v>2</v>
      </c>
      <c r="D486" s="1077" t="s">
        <v>3606</v>
      </c>
      <c r="E486" s="1077" t="s">
        <v>4089</v>
      </c>
      <c r="F486" s="1185"/>
      <c r="G486" s="1186"/>
      <c r="H486" s="1186"/>
      <c r="I486" s="1186">
        <v>5.6</v>
      </c>
      <c r="J486" s="1186">
        <v>3.2</v>
      </c>
      <c r="K486" s="1186">
        <v>7.3</v>
      </c>
      <c r="L486" s="1186">
        <v>4.2</v>
      </c>
      <c r="M486" s="1186">
        <v>8.3000000000000007</v>
      </c>
      <c r="N486" s="1186">
        <v>4.8</v>
      </c>
      <c r="O486" s="1186"/>
      <c r="P486" s="1186"/>
      <c r="Q486" s="1186">
        <v>5.5</v>
      </c>
      <c r="R486" s="1186">
        <v>2.2000000000000002</v>
      </c>
      <c r="S486" s="1186">
        <v>7.7</v>
      </c>
      <c r="T486" s="1186">
        <v>3.1</v>
      </c>
      <c r="U486" s="1186"/>
      <c r="V486" s="1186"/>
      <c r="W486" s="1186"/>
      <c r="X486" s="1186"/>
      <c r="Y486" s="1186"/>
      <c r="Z486" s="1186"/>
      <c r="AA486" s="1186"/>
      <c r="AB486" s="1186"/>
      <c r="AC486" s="1186"/>
      <c r="AD486" s="1187"/>
    </row>
    <row r="487" spans="1:30" x14ac:dyDescent="0.2">
      <c r="A487">
        <f t="shared" si="41"/>
        <v>14</v>
      </c>
      <c r="B487">
        <v>478</v>
      </c>
      <c r="C487" s="1078">
        <v>2</v>
      </c>
      <c r="D487" s="1077" t="s">
        <v>3606</v>
      </c>
      <c r="E487" s="1077" t="s">
        <v>4090</v>
      </c>
      <c r="F487" s="1185"/>
      <c r="G487" s="1186"/>
      <c r="H487" s="1186"/>
      <c r="I487" s="1186">
        <v>5.5</v>
      </c>
      <c r="J487" s="1186">
        <v>2.8</v>
      </c>
      <c r="K487" s="1186">
        <v>7.6</v>
      </c>
      <c r="L487" s="1186">
        <v>3.7</v>
      </c>
      <c r="M487" s="1186">
        <v>9.6</v>
      </c>
      <c r="N487" s="1186">
        <v>4.3</v>
      </c>
      <c r="O487" s="1186"/>
      <c r="P487" s="1186"/>
      <c r="Q487" s="1186">
        <v>3.9</v>
      </c>
      <c r="R487" s="1186">
        <v>1.9</v>
      </c>
      <c r="S487" s="1186">
        <v>7.2</v>
      </c>
      <c r="T487" s="1186">
        <v>2.7</v>
      </c>
      <c r="U487" s="1186">
        <v>9.9</v>
      </c>
      <c r="V487" s="1186">
        <v>3.4</v>
      </c>
      <c r="W487" s="1186"/>
      <c r="X487" s="1186"/>
      <c r="Y487" s="1186"/>
      <c r="Z487" s="1186"/>
      <c r="AA487" s="1186"/>
      <c r="AB487" s="1186"/>
      <c r="AC487" s="1186"/>
      <c r="AD487" s="1187"/>
    </row>
    <row r="488" spans="1:30" x14ac:dyDescent="0.2">
      <c r="A488">
        <f t="shared" si="41"/>
        <v>14</v>
      </c>
      <c r="B488">
        <v>479</v>
      </c>
      <c r="C488" s="1078">
        <v>2</v>
      </c>
      <c r="D488" s="1077" t="s">
        <v>3606</v>
      </c>
      <c r="E488" s="1077" t="s">
        <v>4091</v>
      </c>
      <c r="F488" s="1185"/>
      <c r="G488" s="1186"/>
      <c r="H488" s="1186"/>
      <c r="I488" s="1186">
        <v>7</v>
      </c>
      <c r="J488" s="1186">
        <v>3</v>
      </c>
      <c r="K488" s="1186">
        <v>8.3000000000000007</v>
      </c>
      <c r="L488" s="1186">
        <v>3.6</v>
      </c>
      <c r="M488" s="1186">
        <v>10</v>
      </c>
      <c r="N488" s="1186">
        <v>4.2</v>
      </c>
      <c r="O488" s="1186"/>
      <c r="P488" s="1186"/>
      <c r="Q488" s="1186">
        <v>6.6</v>
      </c>
      <c r="R488" s="1186">
        <v>2</v>
      </c>
      <c r="S488" s="1186">
        <v>9.8000000000000007</v>
      </c>
      <c r="T488" s="1186">
        <v>2.8</v>
      </c>
      <c r="U488" s="1186"/>
      <c r="V488" s="1186"/>
      <c r="W488" s="1186"/>
      <c r="X488" s="1186"/>
      <c r="Y488" s="1186"/>
      <c r="Z488" s="1186"/>
      <c r="AA488" s="1186"/>
      <c r="AB488" s="1186"/>
      <c r="AC488" s="1186"/>
      <c r="AD488" s="1187"/>
    </row>
    <row r="489" spans="1:30" x14ac:dyDescent="0.2">
      <c r="A489">
        <f t="shared" si="41"/>
        <v>14</v>
      </c>
      <c r="B489">
        <v>480</v>
      </c>
      <c r="C489" s="1078">
        <v>2</v>
      </c>
      <c r="D489" s="1077" t="s">
        <v>3606</v>
      </c>
      <c r="E489" s="1077" t="s">
        <v>4092</v>
      </c>
      <c r="F489" s="1185"/>
      <c r="G489" s="1186"/>
      <c r="H489" s="1186"/>
      <c r="I489" s="1186">
        <v>7.2</v>
      </c>
      <c r="J489" s="1186">
        <v>2.8</v>
      </c>
      <c r="K489" s="1186">
        <v>8.6</v>
      </c>
      <c r="L489" s="1186">
        <v>3.4</v>
      </c>
      <c r="M489" s="1186">
        <v>10.1</v>
      </c>
      <c r="N489" s="1186">
        <v>4</v>
      </c>
      <c r="O489" s="1186"/>
      <c r="P489" s="1186"/>
      <c r="Q489" s="1186">
        <v>7.1</v>
      </c>
      <c r="R489" s="1186">
        <v>1.9</v>
      </c>
      <c r="S489" s="1186">
        <v>10.3</v>
      </c>
      <c r="T489" s="1186">
        <v>2.7</v>
      </c>
      <c r="U489" s="1186"/>
      <c r="V489" s="1186"/>
      <c r="W489" s="1186"/>
      <c r="X489" s="1186"/>
      <c r="Y489" s="1186"/>
      <c r="Z489" s="1186"/>
      <c r="AA489" s="1186"/>
      <c r="AB489" s="1186"/>
      <c r="AC489" s="1186"/>
      <c r="AD489" s="1187"/>
    </row>
    <row r="490" spans="1:30" x14ac:dyDescent="0.2">
      <c r="A490">
        <f t="shared" si="41"/>
        <v>14</v>
      </c>
      <c r="B490">
        <v>481</v>
      </c>
      <c r="C490" s="1078">
        <v>2</v>
      </c>
      <c r="D490" s="1077" t="s">
        <v>3606</v>
      </c>
      <c r="E490" s="1077" t="s">
        <v>4093</v>
      </c>
      <c r="F490" s="1185"/>
      <c r="G490" s="1186"/>
      <c r="H490" s="1186"/>
      <c r="I490" s="1186">
        <v>7.6</v>
      </c>
      <c r="J490" s="1186">
        <v>2.9</v>
      </c>
      <c r="K490" s="1186">
        <v>9.4</v>
      </c>
      <c r="L490" s="1186">
        <v>3.7</v>
      </c>
      <c r="M490" s="1186">
        <v>11.6</v>
      </c>
      <c r="N490" s="1186">
        <v>4.3</v>
      </c>
      <c r="O490" s="1186"/>
      <c r="P490" s="1186"/>
      <c r="Q490" s="1186"/>
      <c r="R490" s="1186"/>
      <c r="S490" s="1186">
        <v>10</v>
      </c>
      <c r="T490" s="1186">
        <v>2.7</v>
      </c>
      <c r="U490" s="1186"/>
      <c r="V490" s="1186"/>
      <c r="W490" s="1186"/>
      <c r="X490" s="1186"/>
      <c r="Y490" s="1186"/>
      <c r="Z490" s="1186"/>
      <c r="AA490" s="1186"/>
      <c r="AB490" s="1186"/>
      <c r="AC490" s="1186"/>
      <c r="AD490" s="1187"/>
    </row>
    <row r="491" spans="1:30" x14ac:dyDescent="0.2">
      <c r="A491">
        <f t="shared" si="41"/>
        <v>14</v>
      </c>
      <c r="B491">
        <v>482</v>
      </c>
      <c r="C491" s="1078">
        <v>2</v>
      </c>
      <c r="D491" s="1077" t="s">
        <v>3606</v>
      </c>
      <c r="E491" s="1077" t="s">
        <v>4094</v>
      </c>
      <c r="F491" s="1185"/>
      <c r="G491" s="1186">
        <v>5.7</v>
      </c>
      <c r="H491" s="1186">
        <v>2.6</v>
      </c>
      <c r="I491" s="1186">
        <v>7.2</v>
      </c>
      <c r="J491" s="1186">
        <v>3.1</v>
      </c>
      <c r="K491" s="1186">
        <v>9.4</v>
      </c>
      <c r="L491" s="1186">
        <v>4.0999999999999996</v>
      </c>
      <c r="M491" s="1186">
        <v>11.2</v>
      </c>
      <c r="N491" s="1186">
        <v>4.7</v>
      </c>
      <c r="O491" s="1186">
        <v>14.1</v>
      </c>
      <c r="P491" s="1186">
        <v>6.4</v>
      </c>
      <c r="Q491" s="1186">
        <v>6.9</v>
      </c>
      <c r="R491" s="1186">
        <v>2.1</v>
      </c>
      <c r="S491" s="1186">
        <v>10.6</v>
      </c>
      <c r="T491" s="1186">
        <v>3.1</v>
      </c>
      <c r="U491" s="1186">
        <v>12.9</v>
      </c>
      <c r="V491" s="1186">
        <v>3.6</v>
      </c>
      <c r="W491" s="1186"/>
      <c r="X491" s="1186"/>
      <c r="Y491" s="1186"/>
      <c r="Z491" s="1186"/>
      <c r="AA491" s="1186"/>
      <c r="AB491" s="1186"/>
      <c r="AC491" s="1186"/>
      <c r="AD491" s="1187"/>
    </row>
    <row r="492" spans="1:30" x14ac:dyDescent="0.2">
      <c r="A492">
        <f t="shared" si="41"/>
        <v>14</v>
      </c>
      <c r="B492">
        <v>483</v>
      </c>
      <c r="C492" s="1081">
        <v>2</v>
      </c>
      <c r="D492" s="1077" t="s">
        <v>3606</v>
      </c>
      <c r="E492" s="1082" t="s">
        <v>4095</v>
      </c>
      <c r="F492" s="1188"/>
      <c r="G492" s="1189"/>
      <c r="H492" s="1189"/>
      <c r="I492" s="1189">
        <v>7.3</v>
      </c>
      <c r="J492" s="1189">
        <v>3.1</v>
      </c>
      <c r="K492" s="1189">
        <v>9.5</v>
      </c>
      <c r="L492" s="1189">
        <v>4</v>
      </c>
      <c r="M492" s="1189">
        <v>11.3</v>
      </c>
      <c r="N492" s="1189">
        <v>4.7</v>
      </c>
      <c r="O492" s="1189"/>
      <c r="P492" s="1189"/>
      <c r="Q492" s="1189">
        <v>7.2</v>
      </c>
      <c r="R492" s="1189">
        <v>2.2000000000000002</v>
      </c>
      <c r="S492" s="1189">
        <v>10</v>
      </c>
      <c r="T492" s="1189">
        <v>3</v>
      </c>
      <c r="U492" s="1189"/>
      <c r="V492" s="1189"/>
      <c r="W492" s="1189"/>
      <c r="X492" s="1189"/>
      <c r="Y492" s="1189"/>
      <c r="Z492" s="1189"/>
      <c r="AA492" s="1189"/>
      <c r="AB492" s="1189"/>
      <c r="AC492" s="1189"/>
      <c r="AD492" s="1194"/>
    </row>
    <row r="493" spans="1:30" x14ac:dyDescent="0.2">
      <c r="A493">
        <f t="shared" si="41"/>
        <v>14</v>
      </c>
      <c r="B493">
        <v>484</v>
      </c>
      <c r="C493" s="1190">
        <v>2</v>
      </c>
      <c r="D493" s="1077" t="s">
        <v>3606</v>
      </c>
      <c r="E493" s="1191" t="s">
        <v>4096</v>
      </c>
      <c r="F493" s="1192"/>
      <c r="G493" s="1193"/>
      <c r="H493" s="1193"/>
      <c r="I493" s="1193">
        <v>13.9</v>
      </c>
      <c r="J493" s="1193">
        <v>2.9</v>
      </c>
      <c r="K493" s="1193">
        <v>10.5</v>
      </c>
      <c r="L493" s="1193">
        <v>3.6</v>
      </c>
      <c r="M493" s="1193">
        <v>10.6</v>
      </c>
      <c r="N493" s="1193">
        <v>4.0999999999999996</v>
      </c>
      <c r="O493" s="1193"/>
      <c r="P493" s="1193"/>
      <c r="Q493" s="1193">
        <v>11.3</v>
      </c>
      <c r="R493" s="1193">
        <v>2.1</v>
      </c>
      <c r="S493" s="1193">
        <v>8.8000000000000007</v>
      </c>
      <c r="T493" s="1193">
        <v>2.9</v>
      </c>
      <c r="U493" s="1193"/>
      <c r="V493" s="1193"/>
      <c r="W493" s="1193"/>
      <c r="X493" s="1193"/>
      <c r="Y493" s="1193"/>
      <c r="Z493" s="1193"/>
      <c r="AA493" s="1193"/>
      <c r="AB493" s="1193"/>
      <c r="AC493" s="1193"/>
      <c r="AD493" s="1195"/>
    </row>
    <row r="494" spans="1:30" x14ac:dyDescent="0.2">
      <c r="A494">
        <f t="shared" si="41"/>
        <v>14</v>
      </c>
      <c r="B494">
        <v>485</v>
      </c>
      <c r="C494" s="1078">
        <v>2</v>
      </c>
      <c r="D494" s="1077" t="s">
        <v>3606</v>
      </c>
      <c r="E494" s="1077" t="s">
        <v>4097</v>
      </c>
      <c r="F494" s="1185"/>
      <c r="G494" s="1186"/>
      <c r="H494" s="1186"/>
      <c r="I494" s="1186">
        <v>13.9</v>
      </c>
      <c r="J494" s="1186">
        <v>2.9</v>
      </c>
      <c r="K494" s="1186">
        <v>10.5</v>
      </c>
      <c r="L494" s="1186">
        <v>3.6</v>
      </c>
      <c r="M494" s="1186">
        <v>10.6</v>
      </c>
      <c r="N494" s="1186">
        <v>4.0999999999999996</v>
      </c>
      <c r="O494" s="1186"/>
      <c r="P494" s="1186"/>
      <c r="Q494" s="1186">
        <v>11.3</v>
      </c>
      <c r="R494" s="1186">
        <v>2.1</v>
      </c>
      <c r="S494" s="1186">
        <v>8.8000000000000007</v>
      </c>
      <c r="T494" s="1186">
        <v>2.9</v>
      </c>
      <c r="U494" s="1186"/>
      <c r="V494" s="1186"/>
      <c r="W494" s="1186"/>
      <c r="X494" s="1186"/>
      <c r="Y494" s="1186"/>
      <c r="Z494" s="1186"/>
      <c r="AA494" s="1186"/>
      <c r="AB494" s="1186"/>
      <c r="AC494" s="1186"/>
      <c r="AD494" s="1187"/>
    </row>
    <row r="495" spans="1:30" x14ac:dyDescent="0.2">
      <c r="A495">
        <f t="shared" si="41"/>
        <v>14</v>
      </c>
      <c r="B495">
        <v>486</v>
      </c>
      <c r="C495" s="1078">
        <v>2</v>
      </c>
      <c r="D495" s="1077" t="s">
        <v>3606</v>
      </c>
      <c r="E495" s="1077" t="s">
        <v>4098</v>
      </c>
      <c r="F495" s="1185"/>
      <c r="G495" s="1186"/>
      <c r="H495" s="1186"/>
      <c r="I495" s="1186">
        <v>10</v>
      </c>
      <c r="J495" s="1186">
        <v>2.7</v>
      </c>
      <c r="K495" s="1186">
        <v>11.7</v>
      </c>
      <c r="L495" s="1186">
        <v>3.2</v>
      </c>
      <c r="M495" s="1186">
        <v>14.6</v>
      </c>
      <c r="N495" s="1186">
        <v>3.7</v>
      </c>
      <c r="O495" s="1186"/>
      <c r="P495" s="1186"/>
      <c r="Q495" s="1186">
        <v>9</v>
      </c>
      <c r="R495" s="1186">
        <v>1.9</v>
      </c>
      <c r="S495" s="1186">
        <v>14.4</v>
      </c>
      <c r="T495" s="1186">
        <v>2.7</v>
      </c>
      <c r="U495" s="1186"/>
      <c r="V495" s="1186"/>
      <c r="W495" s="1186"/>
      <c r="X495" s="1186"/>
      <c r="Y495" s="1186"/>
      <c r="Z495" s="1186"/>
      <c r="AA495" s="1186"/>
      <c r="AB495" s="1186"/>
      <c r="AC495" s="1186"/>
      <c r="AD495" s="1187"/>
    </row>
    <row r="496" spans="1:30" x14ac:dyDescent="0.2">
      <c r="A496">
        <f t="shared" si="41"/>
        <v>14</v>
      </c>
      <c r="B496">
        <v>487</v>
      </c>
      <c r="C496" s="1190">
        <v>2</v>
      </c>
      <c r="D496" s="1077" t="s">
        <v>3606</v>
      </c>
      <c r="E496" s="1191" t="s">
        <v>4099</v>
      </c>
      <c r="F496" s="1192"/>
      <c r="G496" s="1193"/>
      <c r="H496" s="1193"/>
      <c r="I496" s="1193">
        <v>10.7</v>
      </c>
      <c r="J496" s="1193">
        <v>2.7</v>
      </c>
      <c r="K496" s="1193">
        <v>13.4</v>
      </c>
      <c r="L496" s="1193">
        <v>3.3</v>
      </c>
      <c r="M496" s="1193">
        <v>16.399999999999999</v>
      </c>
      <c r="N496" s="1193">
        <v>4</v>
      </c>
      <c r="O496" s="1193"/>
      <c r="P496" s="1193"/>
      <c r="Q496" s="1193">
        <v>11</v>
      </c>
      <c r="R496" s="1193">
        <v>1.9</v>
      </c>
      <c r="S496" s="1193">
        <v>15.5</v>
      </c>
      <c r="T496" s="1193">
        <v>2.5</v>
      </c>
      <c r="U496" s="1193"/>
      <c r="V496" s="1193"/>
      <c r="W496" s="1193"/>
      <c r="X496" s="1193"/>
      <c r="Y496" s="1193"/>
      <c r="Z496" s="1193"/>
      <c r="AA496" s="1193"/>
      <c r="AB496" s="1193"/>
      <c r="AC496" s="1193"/>
      <c r="AD496" s="1195"/>
    </row>
    <row r="497" spans="1:30" x14ac:dyDescent="0.2">
      <c r="A497">
        <f t="shared" si="41"/>
        <v>14</v>
      </c>
      <c r="B497">
        <v>488</v>
      </c>
      <c r="C497" s="1078">
        <v>2</v>
      </c>
      <c r="D497" s="1077" t="s">
        <v>3606</v>
      </c>
      <c r="E497" s="1077" t="s">
        <v>4808</v>
      </c>
      <c r="F497" s="1185">
        <v>4</v>
      </c>
      <c r="G497" s="1186">
        <v>8.6999999999999993</v>
      </c>
      <c r="H497" s="1186">
        <v>2.6</v>
      </c>
      <c r="I497" s="1186">
        <v>10.7</v>
      </c>
      <c r="J497" s="1186">
        <v>3.1</v>
      </c>
      <c r="K497" s="1186">
        <v>6</v>
      </c>
      <c r="L497" s="1186">
        <v>4.2</v>
      </c>
      <c r="M497" s="1186">
        <v>7.1</v>
      </c>
      <c r="N497" s="1186">
        <v>5.0999999999999996</v>
      </c>
      <c r="O497" s="1186">
        <v>8.4</v>
      </c>
      <c r="P497" s="1186">
        <v>6.1</v>
      </c>
      <c r="Q497" s="1186">
        <v>9.4</v>
      </c>
      <c r="R497" s="1186">
        <v>2</v>
      </c>
      <c r="S497" s="1186">
        <v>7.1</v>
      </c>
      <c r="T497" s="1186">
        <v>3.2</v>
      </c>
      <c r="U497" s="1186">
        <v>13.2</v>
      </c>
      <c r="V497" s="1186">
        <v>3.6</v>
      </c>
      <c r="W497" s="1186"/>
      <c r="X497" s="1186"/>
      <c r="Y497" s="1186"/>
      <c r="Z497" s="1186"/>
      <c r="AA497" s="1186"/>
      <c r="AB497" s="1186"/>
      <c r="AC497" s="1186"/>
      <c r="AD497" s="1187"/>
    </row>
    <row r="498" spans="1:30" x14ac:dyDescent="0.2">
      <c r="A498">
        <f t="shared" si="41"/>
        <v>14</v>
      </c>
      <c r="B498">
        <v>489</v>
      </c>
      <c r="C498" s="1078">
        <v>2</v>
      </c>
      <c r="D498" s="1077" t="s">
        <v>3606</v>
      </c>
      <c r="E498" s="1077" t="s">
        <v>4100</v>
      </c>
      <c r="F498" s="1185"/>
      <c r="G498" s="1186">
        <v>8.1</v>
      </c>
      <c r="H498" s="1186">
        <v>2.2999999999999998</v>
      </c>
      <c r="I498" s="1186">
        <v>11.4</v>
      </c>
      <c r="J498" s="1186">
        <v>2.7</v>
      </c>
      <c r="K498" s="1186">
        <v>14.1</v>
      </c>
      <c r="L498" s="1186">
        <v>3.1</v>
      </c>
      <c r="M498" s="1186">
        <v>17</v>
      </c>
      <c r="N498" s="1186">
        <v>3.4</v>
      </c>
      <c r="O498" s="1186"/>
      <c r="P498" s="1186"/>
      <c r="Q498" s="1186">
        <v>10.4</v>
      </c>
      <c r="R498" s="1186">
        <v>2.2999999999999998</v>
      </c>
      <c r="S498" s="1186">
        <v>16.7</v>
      </c>
      <c r="T498" s="1186">
        <v>2.8</v>
      </c>
      <c r="U498" s="1186">
        <v>21.7</v>
      </c>
      <c r="V498" s="1186">
        <v>3.3</v>
      </c>
      <c r="W498" s="1186"/>
      <c r="X498" s="1186"/>
      <c r="Y498" s="1186"/>
      <c r="Z498" s="1186"/>
      <c r="AA498" s="1186"/>
      <c r="AB498" s="1186"/>
      <c r="AC498" s="1186"/>
      <c r="AD498" s="1187"/>
    </row>
    <row r="499" spans="1:30" x14ac:dyDescent="0.2">
      <c r="A499">
        <f t="shared" si="41"/>
        <v>14</v>
      </c>
      <c r="B499">
        <v>490</v>
      </c>
      <c r="C499" s="1078">
        <v>2</v>
      </c>
      <c r="D499" s="1077" t="s">
        <v>3606</v>
      </c>
      <c r="E499" s="1077" t="s">
        <v>4101</v>
      </c>
      <c r="F499" s="1185"/>
      <c r="G499" s="1186"/>
      <c r="H499" s="1186"/>
      <c r="I499" s="1186">
        <v>11.5</v>
      </c>
      <c r="J499" s="1186">
        <v>2.7</v>
      </c>
      <c r="K499" s="1186">
        <v>14.5</v>
      </c>
      <c r="L499" s="1186">
        <v>3.4</v>
      </c>
      <c r="M499" s="1186">
        <v>17.399999999999999</v>
      </c>
      <c r="N499" s="1186">
        <v>3.9</v>
      </c>
      <c r="O499" s="1186"/>
      <c r="P499" s="1186"/>
      <c r="Q499" s="1186">
        <v>11</v>
      </c>
      <c r="R499" s="1186">
        <v>2</v>
      </c>
      <c r="S499" s="1186">
        <v>16.3</v>
      </c>
      <c r="T499" s="1186">
        <v>2.7</v>
      </c>
      <c r="U499" s="1186"/>
      <c r="V499" s="1186"/>
      <c r="W499" s="1186"/>
      <c r="X499" s="1186"/>
      <c r="Y499" s="1186"/>
      <c r="Z499" s="1186"/>
      <c r="AA499" s="1186"/>
      <c r="AB499" s="1186"/>
      <c r="AC499" s="1186"/>
      <c r="AD499" s="1187"/>
    </row>
    <row r="500" spans="1:30" x14ac:dyDescent="0.2">
      <c r="A500">
        <f t="shared" si="41"/>
        <v>14</v>
      </c>
      <c r="B500">
        <v>491</v>
      </c>
      <c r="C500" s="1078">
        <v>2</v>
      </c>
      <c r="D500" s="1077" t="s">
        <v>3606</v>
      </c>
      <c r="E500" s="1077" t="s">
        <v>4102</v>
      </c>
      <c r="F500" s="1185"/>
      <c r="G500" s="1186">
        <v>8.6999999999999993</v>
      </c>
      <c r="H500" s="1186">
        <v>2.2999999999999998</v>
      </c>
      <c r="I500" s="1186">
        <v>10.3</v>
      </c>
      <c r="J500" s="1186">
        <v>2.7</v>
      </c>
      <c r="K500" s="1186">
        <v>14.7</v>
      </c>
      <c r="L500" s="1186">
        <v>3.7</v>
      </c>
      <c r="M500" s="1186">
        <v>19.600000000000001</v>
      </c>
      <c r="N500" s="1186">
        <v>4.4000000000000004</v>
      </c>
      <c r="O500" s="1186"/>
      <c r="P500" s="1186"/>
      <c r="Q500" s="1186">
        <v>10</v>
      </c>
      <c r="R500" s="1186">
        <v>1.7</v>
      </c>
      <c r="S500" s="1186">
        <v>18.8</v>
      </c>
      <c r="T500" s="1186">
        <v>2.9</v>
      </c>
      <c r="U500" s="1186">
        <v>22.1</v>
      </c>
      <c r="V500" s="1186">
        <v>3.4</v>
      </c>
      <c r="W500" s="1186"/>
      <c r="X500" s="1186"/>
      <c r="Y500" s="1186"/>
      <c r="Z500" s="1186"/>
      <c r="AA500" s="1186"/>
      <c r="AB500" s="1186"/>
      <c r="AC500" s="1186"/>
      <c r="AD500" s="1187"/>
    </row>
    <row r="501" spans="1:30" x14ac:dyDescent="0.2">
      <c r="A501">
        <f t="shared" si="41"/>
        <v>14</v>
      </c>
      <c r="B501">
        <v>492</v>
      </c>
      <c r="C501" s="1078">
        <v>2</v>
      </c>
      <c r="D501" s="1077" t="s">
        <v>3606</v>
      </c>
      <c r="E501" s="1077" t="s">
        <v>4103</v>
      </c>
      <c r="F501" s="1185"/>
      <c r="G501" s="1186">
        <v>10.3</v>
      </c>
      <c r="H501" s="1186">
        <v>2.4</v>
      </c>
      <c r="I501" s="1186">
        <v>12.8</v>
      </c>
      <c r="J501" s="1186">
        <v>2.9</v>
      </c>
      <c r="K501" s="1186">
        <v>14.8</v>
      </c>
      <c r="L501" s="1186">
        <v>3.3</v>
      </c>
      <c r="M501" s="1186">
        <v>17.7</v>
      </c>
      <c r="N501" s="1186">
        <v>4</v>
      </c>
      <c r="O501" s="1186"/>
      <c r="P501" s="1186"/>
      <c r="Q501" s="1186">
        <v>13.1</v>
      </c>
      <c r="R501" s="1186">
        <v>2</v>
      </c>
      <c r="S501" s="1186">
        <v>18.7</v>
      </c>
      <c r="T501" s="1186">
        <v>2.7</v>
      </c>
      <c r="U501" s="1186">
        <v>23.9</v>
      </c>
      <c r="V501" s="1186">
        <v>3.2</v>
      </c>
      <c r="W501" s="1186"/>
      <c r="X501" s="1186"/>
      <c r="Y501" s="1186"/>
      <c r="Z501" s="1186"/>
      <c r="AA501" s="1186"/>
      <c r="AB501" s="1186"/>
      <c r="AC501" s="1186"/>
      <c r="AD501" s="1187"/>
    </row>
    <row r="502" spans="1:30" x14ac:dyDescent="0.2">
      <c r="A502">
        <f t="shared" si="41"/>
        <v>14</v>
      </c>
      <c r="B502">
        <v>493</v>
      </c>
      <c r="C502" s="1078">
        <v>2</v>
      </c>
      <c r="D502" s="1077" t="s">
        <v>3606</v>
      </c>
      <c r="E502" s="1077" t="s">
        <v>4104</v>
      </c>
      <c r="F502" s="1185"/>
      <c r="G502" s="1186">
        <v>14.4</v>
      </c>
      <c r="H502" s="1186">
        <v>2.5</v>
      </c>
      <c r="I502" s="1186">
        <v>16.7</v>
      </c>
      <c r="J502" s="1186">
        <v>3</v>
      </c>
      <c r="K502" s="1186">
        <v>19.600000000000001</v>
      </c>
      <c r="L502" s="1186">
        <v>3.7</v>
      </c>
      <c r="M502" s="1186">
        <v>26.1</v>
      </c>
      <c r="N502" s="1186">
        <v>4.4000000000000004</v>
      </c>
      <c r="O502" s="1186">
        <v>33</v>
      </c>
      <c r="P502" s="1186">
        <v>5.5</v>
      </c>
      <c r="Q502" s="1186">
        <v>16</v>
      </c>
      <c r="R502" s="1186">
        <v>2</v>
      </c>
      <c r="S502" s="1186">
        <v>25</v>
      </c>
      <c r="T502" s="1186">
        <v>2.9</v>
      </c>
      <c r="U502" s="1186">
        <v>30.3</v>
      </c>
      <c r="V502" s="1186">
        <v>3.3</v>
      </c>
      <c r="W502" s="1186"/>
      <c r="X502" s="1186"/>
      <c r="Y502" s="1186"/>
      <c r="Z502" s="1186"/>
      <c r="AA502" s="1186"/>
      <c r="AB502" s="1186"/>
      <c r="AC502" s="1186"/>
      <c r="AD502" s="1187"/>
    </row>
    <row r="503" spans="1:30" x14ac:dyDescent="0.2">
      <c r="A503">
        <f t="shared" si="41"/>
        <v>14</v>
      </c>
      <c r="B503">
        <v>494</v>
      </c>
      <c r="C503" s="1078">
        <v>2</v>
      </c>
      <c r="D503" s="1077" t="s">
        <v>3606</v>
      </c>
      <c r="E503" s="1077" t="s">
        <v>4105</v>
      </c>
      <c r="F503" s="1185"/>
      <c r="G503" s="1186">
        <v>12.9</v>
      </c>
      <c r="H503" s="1186">
        <v>2.2999999999999998</v>
      </c>
      <c r="I503" s="1186">
        <v>15.7</v>
      </c>
      <c r="J503" s="1186">
        <v>2.7</v>
      </c>
      <c r="K503" s="1186">
        <v>19.899999999999999</v>
      </c>
      <c r="L503" s="1186">
        <v>3.4</v>
      </c>
      <c r="M503" s="1186">
        <v>23.4</v>
      </c>
      <c r="N503" s="1186">
        <v>3.9</v>
      </c>
      <c r="O503" s="1186"/>
      <c r="P503" s="1186"/>
      <c r="Q503" s="1186">
        <v>15.7</v>
      </c>
      <c r="R503" s="1186">
        <v>1.9</v>
      </c>
      <c r="S503" s="1186">
        <v>22.3</v>
      </c>
      <c r="T503" s="1186">
        <v>2.6</v>
      </c>
      <c r="U503" s="1186"/>
      <c r="V503" s="1186"/>
      <c r="W503" s="1186"/>
      <c r="X503" s="1186"/>
      <c r="Y503" s="1186"/>
      <c r="Z503" s="1186"/>
      <c r="AA503" s="1186"/>
      <c r="AB503" s="1186"/>
      <c r="AC503" s="1186"/>
      <c r="AD503" s="1187"/>
    </row>
    <row r="504" spans="1:30" x14ac:dyDescent="0.2">
      <c r="A504">
        <f t="shared" si="41"/>
        <v>14</v>
      </c>
      <c r="B504">
        <v>495</v>
      </c>
      <c r="C504" s="1078">
        <v>2</v>
      </c>
      <c r="D504" s="1077" t="s">
        <v>3606</v>
      </c>
      <c r="E504" s="1077" t="s">
        <v>4106</v>
      </c>
      <c r="F504" s="1185"/>
      <c r="G504" s="1186"/>
      <c r="H504" s="1186"/>
      <c r="I504" s="1186">
        <v>16.899999999999999</v>
      </c>
      <c r="J504" s="1186">
        <v>2.9</v>
      </c>
      <c r="K504" s="1186">
        <v>20.3</v>
      </c>
      <c r="L504" s="1186">
        <v>3.4</v>
      </c>
      <c r="M504" s="1186">
        <v>25.1</v>
      </c>
      <c r="N504" s="1186">
        <v>3.9</v>
      </c>
      <c r="O504" s="1186"/>
      <c r="P504" s="1186"/>
      <c r="Q504" s="1186">
        <v>16</v>
      </c>
      <c r="R504" s="1186">
        <v>2.1</v>
      </c>
      <c r="S504" s="1186">
        <v>23.7</v>
      </c>
      <c r="T504" s="1186">
        <v>2.7</v>
      </c>
      <c r="U504" s="1186"/>
      <c r="V504" s="1186"/>
      <c r="W504" s="1186"/>
      <c r="X504" s="1186"/>
      <c r="Y504" s="1186"/>
      <c r="Z504" s="1186"/>
      <c r="AA504" s="1186"/>
      <c r="AB504" s="1186"/>
      <c r="AC504" s="1186"/>
      <c r="AD504" s="1187"/>
    </row>
    <row r="505" spans="1:30" x14ac:dyDescent="0.2">
      <c r="A505">
        <f t="shared" si="41"/>
        <v>14</v>
      </c>
      <c r="B505">
        <v>496</v>
      </c>
      <c r="C505" s="1078">
        <v>2</v>
      </c>
      <c r="D505" s="1077" t="s">
        <v>3606</v>
      </c>
      <c r="E505" s="1077" t="s">
        <v>4107</v>
      </c>
      <c r="F505" s="1185"/>
      <c r="G505" s="1186"/>
      <c r="H505" s="1186"/>
      <c r="I505" s="1186">
        <v>21.6</v>
      </c>
      <c r="J505" s="1186">
        <v>2.8</v>
      </c>
      <c r="K505" s="1186">
        <v>25.2</v>
      </c>
      <c r="L505" s="1186">
        <v>3.3</v>
      </c>
      <c r="M505" s="1186">
        <v>27.8</v>
      </c>
      <c r="N505" s="1186">
        <v>3.5</v>
      </c>
      <c r="O505" s="1186"/>
      <c r="P505" s="1186"/>
      <c r="Q505" s="1186">
        <v>21.7</v>
      </c>
      <c r="R505" s="1186">
        <v>2</v>
      </c>
      <c r="S505" s="1186">
        <v>26.4</v>
      </c>
      <c r="T505" s="1186">
        <v>2.4</v>
      </c>
      <c r="U505" s="1186"/>
      <c r="V505" s="1186"/>
      <c r="W505" s="1186"/>
      <c r="X505" s="1186"/>
      <c r="Y505" s="1186"/>
      <c r="Z505" s="1186"/>
      <c r="AA505" s="1186"/>
      <c r="AB505" s="1186"/>
      <c r="AC505" s="1186"/>
      <c r="AD505" s="1187"/>
    </row>
    <row r="506" spans="1:30" x14ac:dyDescent="0.2">
      <c r="A506">
        <f t="shared" si="41"/>
        <v>14</v>
      </c>
      <c r="B506">
        <v>497</v>
      </c>
      <c r="C506" s="1078">
        <v>2</v>
      </c>
      <c r="D506" s="1077" t="s">
        <v>3606</v>
      </c>
      <c r="E506" s="1077" t="s">
        <v>5167</v>
      </c>
      <c r="F506" s="1185">
        <v>2</v>
      </c>
      <c r="G506" s="1186">
        <v>16</v>
      </c>
      <c r="H506" s="1186">
        <v>2.6</v>
      </c>
      <c r="I506" s="1186">
        <v>19.899999999999999</v>
      </c>
      <c r="J506" s="1186">
        <v>3.1</v>
      </c>
      <c r="K506" s="1186">
        <v>13.3</v>
      </c>
      <c r="L506" s="1186">
        <v>4</v>
      </c>
      <c r="M506" s="1186">
        <v>16.2</v>
      </c>
      <c r="N506" s="1186">
        <v>4.9000000000000004</v>
      </c>
      <c r="O506" s="1186">
        <v>23.2</v>
      </c>
      <c r="P506" s="1186">
        <v>6.8</v>
      </c>
      <c r="Q506" s="1186">
        <v>19.7</v>
      </c>
      <c r="R506" s="1186">
        <v>2.2999999999999998</v>
      </c>
      <c r="S506" s="1186">
        <v>15.4</v>
      </c>
      <c r="T506" s="1186">
        <v>3.4</v>
      </c>
      <c r="U506" s="1186">
        <v>21.2</v>
      </c>
      <c r="V506" s="1186">
        <v>4.7</v>
      </c>
      <c r="W506" s="1186"/>
      <c r="X506" s="1186"/>
      <c r="Y506" s="1186"/>
      <c r="Z506" s="1186"/>
      <c r="AA506" s="1186"/>
      <c r="AB506" s="1186"/>
      <c r="AC506" s="1186"/>
      <c r="AD506" s="1187"/>
    </row>
    <row r="507" spans="1:30" x14ac:dyDescent="0.2">
      <c r="A507">
        <f t="shared" si="41"/>
        <v>14</v>
      </c>
      <c r="B507">
        <v>498</v>
      </c>
      <c r="C507" s="1078">
        <v>2</v>
      </c>
      <c r="D507" s="1077" t="s">
        <v>3606</v>
      </c>
      <c r="E507" s="1077" t="s">
        <v>4809</v>
      </c>
      <c r="F507" s="1185">
        <v>2</v>
      </c>
      <c r="G507" s="1186">
        <v>18.5</v>
      </c>
      <c r="H507" s="1186">
        <v>2.78</v>
      </c>
      <c r="I507" s="1186">
        <v>22.3</v>
      </c>
      <c r="J507" s="1186">
        <v>3.1</v>
      </c>
      <c r="K507" s="1186">
        <v>14.21</v>
      </c>
      <c r="L507" s="1186">
        <v>3.59</v>
      </c>
      <c r="M507" s="1186">
        <v>17.63</v>
      </c>
      <c r="N507" s="1186">
        <v>4.33</v>
      </c>
      <c r="O507" s="1186">
        <v>23.5</v>
      </c>
      <c r="P507" s="1186">
        <v>5.35</v>
      </c>
      <c r="Q507" s="1186">
        <v>21.8</v>
      </c>
      <c r="R507" s="1186">
        <v>2.34</v>
      </c>
      <c r="S507" s="1186">
        <v>17.37</v>
      </c>
      <c r="T507" s="1186">
        <v>3.11</v>
      </c>
      <c r="U507" s="1186">
        <v>21.73</v>
      </c>
      <c r="V507" s="1186">
        <v>3.9</v>
      </c>
      <c r="W507" s="1186"/>
      <c r="X507" s="1186"/>
      <c r="Y507" s="1186"/>
      <c r="Z507" s="1186"/>
      <c r="AA507" s="1186"/>
      <c r="AB507" s="1186"/>
      <c r="AC507" s="1186"/>
      <c r="AD507" s="1187"/>
    </row>
    <row r="508" spans="1:30" x14ac:dyDescent="0.2">
      <c r="A508">
        <f t="shared" si="41"/>
        <v>14</v>
      </c>
      <c r="B508">
        <v>499</v>
      </c>
      <c r="C508" s="1078">
        <v>2</v>
      </c>
      <c r="D508" s="1077" t="s">
        <v>3606</v>
      </c>
      <c r="E508" s="1077" t="s">
        <v>5294</v>
      </c>
      <c r="F508" s="1185">
        <v>2</v>
      </c>
      <c r="G508" s="1186">
        <v>31.7</v>
      </c>
      <c r="H508" s="1186">
        <v>2.6</v>
      </c>
      <c r="I508" s="1186">
        <v>38</v>
      </c>
      <c r="J508" s="1186">
        <v>3</v>
      </c>
      <c r="K508" s="1186">
        <v>26.6</v>
      </c>
      <c r="L508" s="1186">
        <v>3.6</v>
      </c>
      <c r="M508" s="1186">
        <v>35.299999999999997</v>
      </c>
      <c r="N508" s="1186">
        <v>4.5</v>
      </c>
      <c r="O508" s="1186">
        <v>44.4</v>
      </c>
      <c r="P508" s="1186">
        <v>5.25</v>
      </c>
      <c r="Q508" s="1186">
        <v>36.799999999999997</v>
      </c>
      <c r="R508" s="1186">
        <v>2.2999999999999998</v>
      </c>
      <c r="S508" s="1186">
        <v>31.7</v>
      </c>
      <c r="T508" s="1186">
        <v>3.2</v>
      </c>
      <c r="U508" s="1186">
        <v>40.5</v>
      </c>
      <c r="V508" s="1186">
        <v>3.9</v>
      </c>
      <c r="W508" s="1186"/>
      <c r="X508" s="1186"/>
      <c r="Y508" s="1186"/>
      <c r="Z508" s="1186"/>
      <c r="AA508" s="1186"/>
      <c r="AB508" s="1186"/>
      <c r="AC508" s="1186"/>
      <c r="AD508" s="1187"/>
    </row>
    <row r="509" spans="1:30" x14ac:dyDescent="0.2">
      <c r="A509">
        <f t="shared" si="41"/>
        <v>14</v>
      </c>
      <c r="B509">
        <v>500</v>
      </c>
      <c r="C509" s="1078">
        <v>2</v>
      </c>
      <c r="D509" s="1077" t="s">
        <v>3606</v>
      </c>
      <c r="E509" s="1077" t="s">
        <v>4108</v>
      </c>
      <c r="F509" s="1185"/>
      <c r="G509" s="1186">
        <v>17.899999999999999</v>
      </c>
      <c r="H509" s="1186">
        <v>2.2999999999999998</v>
      </c>
      <c r="I509" s="1186">
        <v>23.3</v>
      </c>
      <c r="J509" s="1186">
        <v>3</v>
      </c>
      <c r="K509" s="1186">
        <v>28.1</v>
      </c>
      <c r="L509" s="1186">
        <v>3.7</v>
      </c>
      <c r="M509" s="1186">
        <v>34.700000000000003</v>
      </c>
      <c r="N509" s="1186">
        <v>4.3</v>
      </c>
      <c r="O509" s="1186"/>
      <c r="P509" s="1186"/>
      <c r="Q509" s="1186">
        <v>21.6</v>
      </c>
      <c r="R509" s="1186">
        <v>1.8</v>
      </c>
      <c r="S509" s="1186">
        <v>32</v>
      </c>
      <c r="T509" s="1186">
        <v>2.6</v>
      </c>
      <c r="U509" s="1186">
        <v>42.7</v>
      </c>
      <c r="V509" s="1186">
        <v>3.3</v>
      </c>
      <c r="W509" s="1186"/>
      <c r="X509" s="1186"/>
      <c r="Y509" s="1186"/>
      <c r="Z509" s="1186"/>
      <c r="AA509" s="1186"/>
      <c r="AB509" s="1186"/>
      <c r="AC509" s="1186"/>
      <c r="AD509" s="1187"/>
    </row>
    <row r="510" spans="1:30" x14ac:dyDescent="0.2">
      <c r="A510">
        <f t="shared" si="41"/>
        <v>14</v>
      </c>
      <c r="B510">
        <v>501</v>
      </c>
      <c r="C510" s="1078">
        <v>2</v>
      </c>
      <c r="D510" s="1077" t="s">
        <v>3606</v>
      </c>
      <c r="E510" s="1077" t="s">
        <v>4810</v>
      </c>
      <c r="F510" s="1185">
        <v>2</v>
      </c>
      <c r="G510" s="1186">
        <v>31.7</v>
      </c>
      <c r="H510" s="1186">
        <v>2.6</v>
      </c>
      <c r="I510" s="1186">
        <v>38</v>
      </c>
      <c r="J510" s="1186">
        <v>3</v>
      </c>
      <c r="K510" s="1186">
        <v>26.6</v>
      </c>
      <c r="L510" s="1186">
        <v>3.6</v>
      </c>
      <c r="M510" s="1186">
        <v>35.299999999999997</v>
      </c>
      <c r="N510" s="1186">
        <v>4.5</v>
      </c>
      <c r="O510" s="1186">
        <v>44.4</v>
      </c>
      <c r="P510" s="1186">
        <v>5.25</v>
      </c>
      <c r="Q510" s="1186">
        <v>36.799999999999997</v>
      </c>
      <c r="R510" s="1186">
        <v>2.2999999999999998</v>
      </c>
      <c r="S510" s="1186">
        <v>31.7</v>
      </c>
      <c r="T510" s="1186">
        <v>3.2</v>
      </c>
      <c r="U510" s="1186">
        <v>40.5</v>
      </c>
      <c r="V510" s="1186">
        <v>3.9</v>
      </c>
      <c r="W510" s="1186"/>
      <c r="X510" s="1186"/>
      <c r="Y510" s="1186"/>
      <c r="Z510" s="1186"/>
      <c r="AA510" s="1186"/>
      <c r="AB510" s="1186"/>
      <c r="AC510" s="1186"/>
      <c r="AD510" s="1187"/>
    </row>
    <row r="511" spans="1:30" x14ac:dyDescent="0.2">
      <c r="A511">
        <f t="shared" si="41"/>
        <v>14</v>
      </c>
      <c r="B511">
        <v>502</v>
      </c>
      <c r="C511" s="1078">
        <v>2</v>
      </c>
      <c r="D511" s="1077" t="s">
        <v>3606</v>
      </c>
      <c r="E511" s="1077" t="s">
        <v>4811</v>
      </c>
      <c r="F511" s="1185">
        <v>2</v>
      </c>
      <c r="G511" s="1186">
        <v>31.7</v>
      </c>
      <c r="H511" s="1186">
        <v>2.6</v>
      </c>
      <c r="I511" s="1186">
        <v>38</v>
      </c>
      <c r="J511" s="1186">
        <v>3</v>
      </c>
      <c r="K511" s="1186">
        <v>26.6</v>
      </c>
      <c r="L511" s="1186">
        <v>3.6</v>
      </c>
      <c r="M511" s="1186">
        <v>35.299999999999997</v>
      </c>
      <c r="N511" s="1186">
        <v>4.5</v>
      </c>
      <c r="O511" s="1186">
        <v>44.4</v>
      </c>
      <c r="P511" s="1186">
        <v>5.25</v>
      </c>
      <c r="Q511" s="1186">
        <v>36.799999999999997</v>
      </c>
      <c r="R511" s="1186">
        <v>2.2999999999999998</v>
      </c>
      <c r="S511" s="1186">
        <v>31.7</v>
      </c>
      <c r="T511" s="1186">
        <v>3.2</v>
      </c>
      <c r="U511" s="1186">
        <v>40.5</v>
      </c>
      <c r="V511" s="1186">
        <v>3.9</v>
      </c>
      <c r="W511" s="1186"/>
      <c r="X511" s="1186"/>
      <c r="Y511" s="1186"/>
      <c r="Z511" s="1186"/>
      <c r="AA511" s="1186"/>
      <c r="AB511" s="1186"/>
      <c r="AC511" s="1186"/>
      <c r="AD511" s="1187"/>
    </row>
    <row r="512" spans="1:30" x14ac:dyDescent="0.2">
      <c r="A512">
        <f t="shared" si="41"/>
        <v>14</v>
      </c>
      <c r="B512">
        <v>503</v>
      </c>
      <c r="C512" s="1078">
        <v>2</v>
      </c>
      <c r="D512" s="1077" t="s">
        <v>3606</v>
      </c>
      <c r="E512" s="1077" t="s">
        <v>5168</v>
      </c>
      <c r="F512" s="1185">
        <v>2</v>
      </c>
      <c r="G512" s="1186">
        <v>34.6</v>
      </c>
      <c r="H512" s="1186">
        <v>2.7</v>
      </c>
      <c r="I512" s="1186">
        <v>42.1</v>
      </c>
      <c r="J512" s="1186">
        <v>3.1</v>
      </c>
      <c r="K512" s="1186">
        <v>25.7</v>
      </c>
      <c r="L512" s="1186">
        <v>3.9</v>
      </c>
      <c r="M512" s="1186">
        <v>33.299999999999997</v>
      </c>
      <c r="N512" s="1186">
        <v>4.9000000000000004</v>
      </c>
      <c r="O512" s="1186">
        <v>42.5</v>
      </c>
      <c r="P512" s="1186">
        <v>6.4</v>
      </c>
      <c r="Q512" s="1186">
        <v>41.5</v>
      </c>
      <c r="R512" s="1186">
        <v>2.2999999999999998</v>
      </c>
      <c r="S512" s="1186">
        <v>31.8</v>
      </c>
      <c r="T512" s="1186">
        <v>3.4</v>
      </c>
      <c r="U512" s="1186">
        <v>37.9</v>
      </c>
      <c r="V512" s="1186">
        <v>4.2</v>
      </c>
      <c r="W512" s="1186"/>
      <c r="X512" s="1186"/>
      <c r="Y512" s="1186"/>
      <c r="Z512" s="1186"/>
      <c r="AA512" s="1186"/>
      <c r="AB512" s="1186"/>
      <c r="AC512" s="1186"/>
      <c r="AD512" s="1187"/>
    </row>
    <row r="513" spans="1:30" x14ac:dyDescent="0.2">
      <c r="A513">
        <f t="shared" si="41"/>
        <v>14</v>
      </c>
      <c r="B513">
        <v>504</v>
      </c>
      <c r="C513" s="1078">
        <v>2</v>
      </c>
      <c r="D513" s="1077" t="s">
        <v>3606</v>
      </c>
      <c r="E513" s="1077" t="s">
        <v>5299</v>
      </c>
      <c r="F513" s="1185">
        <v>2</v>
      </c>
      <c r="G513" s="1186">
        <v>7.95</v>
      </c>
      <c r="H513" s="1186">
        <v>2.52</v>
      </c>
      <c r="I513" s="1186">
        <v>11.04</v>
      </c>
      <c r="J513" s="1186">
        <v>3.28</v>
      </c>
      <c r="K513" s="1186">
        <v>7.2549999999999999</v>
      </c>
      <c r="L513" s="1186">
        <v>4.1900000000000004</v>
      </c>
      <c r="M513" s="1186">
        <v>8.266</v>
      </c>
      <c r="N513" s="1186">
        <v>4.8</v>
      </c>
      <c r="O513" s="1186">
        <v>11.04</v>
      </c>
      <c r="P513" s="1186">
        <v>6.56</v>
      </c>
      <c r="Q513" s="1186">
        <v>10.76</v>
      </c>
      <c r="R513" s="1186">
        <v>2.1800000000000002</v>
      </c>
      <c r="S513" s="1186">
        <v>7.74</v>
      </c>
      <c r="T513" s="1186">
        <v>3.11</v>
      </c>
      <c r="U513" s="1186">
        <v>9.6999999999999993</v>
      </c>
      <c r="V513" s="1186">
        <v>3.85</v>
      </c>
      <c r="W513" s="1186"/>
      <c r="X513" s="1186"/>
      <c r="Y513" s="1186"/>
      <c r="Z513" s="1186"/>
      <c r="AA513" s="1186"/>
      <c r="AB513" s="1186"/>
      <c r="AC513" s="1186"/>
      <c r="AD513" s="1187"/>
    </row>
    <row r="514" spans="1:30" x14ac:dyDescent="0.2">
      <c r="A514">
        <f t="shared" si="41"/>
        <v>14</v>
      </c>
      <c r="B514">
        <v>505</v>
      </c>
      <c r="C514" s="1078">
        <v>2</v>
      </c>
      <c r="D514" s="1077" t="s">
        <v>3606</v>
      </c>
      <c r="E514" s="1077" t="s">
        <v>5300</v>
      </c>
      <c r="F514" s="1185">
        <v>1</v>
      </c>
      <c r="G514" s="1186">
        <v>5.6</v>
      </c>
      <c r="H514" s="1186">
        <v>2.4</v>
      </c>
      <c r="I514" s="1186">
        <v>7.3</v>
      </c>
      <c r="J514" s="1186">
        <v>3.1</v>
      </c>
      <c r="K514" s="1186">
        <v>9.5</v>
      </c>
      <c r="L514" s="1186">
        <v>4</v>
      </c>
      <c r="M514" s="1186">
        <v>11.26</v>
      </c>
      <c r="N514" s="1186">
        <v>4.72</v>
      </c>
      <c r="O514" s="1186">
        <v>14.68</v>
      </c>
      <c r="P514" s="1186">
        <v>5.34</v>
      </c>
      <c r="Q514" s="1186">
        <v>7.23</v>
      </c>
      <c r="R514" s="1186">
        <v>2.1800000000000002</v>
      </c>
      <c r="S514" s="1186">
        <v>9.9700000000000006</v>
      </c>
      <c r="T514" s="1186">
        <v>2.96</v>
      </c>
      <c r="U514" s="1186">
        <v>13.1</v>
      </c>
      <c r="V514" s="1186">
        <v>3.93</v>
      </c>
      <c r="W514" s="1186"/>
      <c r="X514" s="1186"/>
      <c r="Y514" s="1186"/>
      <c r="Z514" s="1186"/>
      <c r="AA514" s="1186"/>
      <c r="AB514" s="1186"/>
      <c r="AC514" s="1186"/>
      <c r="AD514" s="1187"/>
    </row>
    <row r="515" spans="1:30" x14ac:dyDescent="0.2">
      <c r="A515">
        <f t="shared" si="41"/>
        <v>14</v>
      </c>
      <c r="B515">
        <v>506</v>
      </c>
      <c r="C515" s="1078">
        <v>3</v>
      </c>
      <c r="D515" s="1077" t="s">
        <v>3606</v>
      </c>
      <c r="E515" s="1077" t="s">
        <v>5301</v>
      </c>
      <c r="F515" s="1185">
        <v>2</v>
      </c>
      <c r="G515" s="1186">
        <v>11.39</v>
      </c>
      <c r="H515" s="1186">
        <v>2.67</v>
      </c>
      <c r="I515" s="1186">
        <v>13.89</v>
      </c>
      <c r="J515" s="1186">
        <v>3.11</v>
      </c>
      <c r="K515" s="1186">
        <v>15.86</v>
      </c>
      <c r="L515" s="1186">
        <v>3.7</v>
      </c>
      <c r="M515" s="1186">
        <v>11.67</v>
      </c>
      <c r="N515" s="1186">
        <v>5.04</v>
      </c>
      <c r="O515" s="1186">
        <v>13.57</v>
      </c>
      <c r="P515" s="1186">
        <v>5.93</v>
      </c>
      <c r="Q515" s="1186">
        <v>13.19</v>
      </c>
      <c r="R515" s="1186">
        <v>2.25</v>
      </c>
      <c r="S515" s="1186">
        <v>10.79</v>
      </c>
      <c r="T515" s="1186">
        <v>3.17</v>
      </c>
      <c r="U515" s="1186">
        <v>12.23</v>
      </c>
      <c r="V515" s="1186">
        <v>3.63</v>
      </c>
      <c r="W515" s="1186"/>
      <c r="X515" s="1186"/>
      <c r="Y515" s="1186"/>
      <c r="Z515" s="1186"/>
      <c r="AA515" s="1186"/>
      <c r="AB515" s="1186"/>
      <c r="AC515" s="1186"/>
      <c r="AD515" s="1187"/>
    </row>
    <row r="516" spans="1:30" x14ac:dyDescent="0.2">
      <c r="A516">
        <f t="shared" si="41"/>
        <v>14</v>
      </c>
      <c r="B516">
        <v>507</v>
      </c>
      <c r="C516" s="1078">
        <v>3</v>
      </c>
      <c r="D516" s="1077" t="s">
        <v>3606</v>
      </c>
      <c r="E516" s="1077" t="s">
        <v>5302</v>
      </c>
      <c r="F516" s="1185">
        <v>2</v>
      </c>
      <c r="G516" s="1186">
        <v>13.74</v>
      </c>
      <c r="H516" s="1186">
        <v>2.6</v>
      </c>
      <c r="I516" s="1186">
        <v>18.350000000000001</v>
      </c>
      <c r="J516" s="1186">
        <v>3.24</v>
      </c>
      <c r="K516" s="1186">
        <v>18.63</v>
      </c>
      <c r="L516" s="1186">
        <v>3.65</v>
      </c>
      <c r="M516" s="1186">
        <v>14.17</v>
      </c>
      <c r="N516" s="1186">
        <v>4.8099999999999996</v>
      </c>
      <c r="O516" s="1186">
        <v>17.989999999999998</v>
      </c>
      <c r="P516" s="1186">
        <v>6.2</v>
      </c>
      <c r="Q516" s="1186">
        <v>18.190000000000001</v>
      </c>
      <c r="R516" s="1186">
        <v>2.31</v>
      </c>
      <c r="S516" s="1186">
        <v>13.05</v>
      </c>
      <c r="T516" s="1186">
        <v>3.08</v>
      </c>
      <c r="U516" s="1186">
        <v>16.38</v>
      </c>
      <c r="V516" s="1186">
        <v>3.86</v>
      </c>
      <c r="W516" s="1186"/>
      <c r="X516" s="1186"/>
      <c r="Y516" s="1186"/>
      <c r="Z516" s="1186"/>
      <c r="AA516" s="1186"/>
      <c r="AB516" s="1186"/>
      <c r="AC516" s="1186"/>
      <c r="AD516" s="1187"/>
    </row>
    <row r="517" spans="1:30" x14ac:dyDescent="0.2">
      <c r="A517">
        <f t="shared" si="41"/>
        <v>14</v>
      </c>
      <c r="B517">
        <v>508</v>
      </c>
      <c r="C517" s="1078">
        <v>3</v>
      </c>
      <c r="D517" s="1077" t="s">
        <v>3606</v>
      </c>
      <c r="E517" s="1077" t="s">
        <v>5303</v>
      </c>
      <c r="F517" s="1185">
        <v>4</v>
      </c>
      <c r="G517" s="1186">
        <v>9.4</v>
      </c>
      <c r="H517" s="1186">
        <v>2.4</v>
      </c>
      <c r="I517" s="1186">
        <v>11.2</v>
      </c>
      <c r="J517" s="1186">
        <v>2.9</v>
      </c>
      <c r="K517" s="1186">
        <v>4.9000000000000004</v>
      </c>
      <c r="L517" s="1186">
        <v>4.5</v>
      </c>
      <c r="M517" s="1186">
        <v>4.6500000000000004</v>
      </c>
      <c r="N517" s="1186">
        <v>5.6</v>
      </c>
      <c r="O517" s="1186">
        <v>5.96</v>
      </c>
      <c r="P517" s="1186">
        <v>7.86</v>
      </c>
      <c r="Q517" s="1186">
        <v>10.14</v>
      </c>
      <c r="R517" s="1186">
        <v>2.0299999999999998</v>
      </c>
      <c r="S517" s="1186">
        <v>4</v>
      </c>
      <c r="T517" s="1186">
        <v>3.2</v>
      </c>
      <c r="U517" s="1186">
        <v>5.31</v>
      </c>
      <c r="V517" s="1186">
        <v>4.32</v>
      </c>
      <c r="W517" s="1186"/>
      <c r="X517" s="1186"/>
      <c r="Y517" s="1186"/>
      <c r="Z517" s="1186"/>
      <c r="AA517" s="1186"/>
      <c r="AB517" s="1186"/>
      <c r="AC517" s="1186"/>
      <c r="AD517" s="1187"/>
    </row>
    <row r="518" spans="1:30" x14ac:dyDescent="0.2">
      <c r="A518">
        <f t="shared" si="41"/>
        <v>14</v>
      </c>
      <c r="B518">
        <v>509</v>
      </c>
      <c r="C518" s="1078">
        <v>3</v>
      </c>
      <c r="D518" s="1077" t="s">
        <v>3606</v>
      </c>
      <c r="E518" s="1077" t="s">
        <v>5304</v>
      </c>
      <c r="F518" s="1185">
        <v>2</v>
      </c>
      <c r="G518" s="1186">
        <v>11.39</v>
      </c>
      <c r="H518" s="1186">
        <v>2.67</v>
      </c>
      <c r="I518" s="1186">
        <v>13.89</v>
      </c>
      <c r="J518" s="1186">
        <v>3.11</v>
      </c>
      <c r="K518" s="1186">
        <v>15.86</v>
      </c>
      <c r="L518" s="1186">
        <v>3.7</v>
      </c>
      <c r="M518" s="1186">
        <v>11.67</v>
      </c>
      <c r="N518" s="1186">
        <v>5.04</v>
      </c>
      <c r="O518" s="1186">
        <v>13.57</v>
      </c>
      <c r="P518" s="1186">
        <v>5.93</v>
      </c>
      <c r="Q518" s="1186">
        <v>13.19</v>
      </c>
      <c r="R518" s="1186">
        <v>2.25</v>
      </c>
      <c r="S518" s="1186">
        <v>10.79</v>
      </c>
      <c r="T518" s="1186">
        <v>3.17</v>
      </c>
      <c r="U518" s="1186">
        <v>12.23</v>
      </c>
      <c r="V518" s="1186">
        <v>3.63</v>
      </c>
      <c r="W518" s="1186"/>
      <c r="X518" s="1186"/>
      <c r="Y518" s="1186"/>
      <c r="Z518" s="1186"/>
      <c r="AA518" s="1186"/>
      <c r="AB518" s="1186"/>
      <c r="AC518" s="1186"/>
      <c r="AD518" s="1187"/>
    </row>
    <row r="519" spans="1:30" x14ac:dyDescent="0.2">
      <c r="A519">
        <f t="shared" si="41"/>
        <v>14</v>
      </c>
      <c r="B519">
        <v>510</v>
      </c>
      <c r="C519" s="1078">
        <v>2</v>
      </c>
      <c r="D519" s="1077" t="s">
        <v>3606</v>
      </c>
      <c r="E519" s="1077" t="s">
        <v>5713</v>
      </c>
      <c r="F519" s="1185">
        <v>4</v>
      </c>
      <c r="G519" s="1186">
        <v>18.23</v>
      </c>
      <c r="H519" s="1186">
        <v>2.4700000000000002</v>
      </c>
      <c r="I519" s="1186">
        <v>19.55</v>
      </c>
      <c r="J519" s="1186">
        <v>2.78</v>
      </c>
      <c r="K519" s="1186">
        <v>17.41</v>
      </c>
      <c r="L519" s="1186">
        <v>3.73</v>
      </c>
      <c r="M519" s="1186">
        <v>18.98</v>
      </c>
      <c r="N519" s="1186">
        <v>5</v>
      </c>
      <c r="O519" s="1186">
        <v>23.6</v>
      </c>
      <c r="P519" s="1186">
        <v>6.28</v>
      </c>
      <c r="Q519" s="1186">
        <v>21.71</v>
      </c>
      <c r="R519" s="1186">
        <v>2.08</v>
      </c>
      <c r="S519" s="1186">
        <v>17.41</v>
      </c>
      <c r="T519" s="1186">
        <v>3.16</v>
      </c>
      <c r="U519" s="1186">
        <v>21.54</v>
      </c>
      <c r="V519" s="1186">
        <v>3.94</v>
      </c>
      <c r="W519" s="1186"/>
      <c r="X519" s="1186"/>
      <c r="Y519" s="1186"/>
      <c r="Z519" s="1186"/>
      <c r="AA519" s="1186"/>
      <c r="AB519" s="1186"/>
      <c r="AC519" s="1186"/>
      <c r="AD519" s="1187"/>
    </row>
    <row r="520" spans="1:30" x14ac:dyDescent="0.2">
      <c r="A520">
        <f t="shared" si="41"/>
        <v>14</v>
      </c>
      <c r="B520">
        <v>511</v>
      </c>
      <c r="C520" s="1078">
        <v>2</v>
      </c>
      <c r="D520" s="1077" t="s">
        <v>3606</v>
      </c>
      <c r="E520" s="1077" t="s">
        <v>5714</v>
      </c>
      <c r="F520" s="1185">
        <v>4</v>
      </c>
      <c r="G520" s="1186">
        <v>34.9</v>
      </c>
      <c r="H520" s="1186">
        <v>2.2999999999999998</v>
      </c>
      <c r="I520" s="1186">
        <v>42.5</v>
      </c>
      <c r="J520" s="1186">
        <v>2.7</v>
      </c>
      <c r="K520" s="1186">
        <v>35.700000000000003</v>
      </c>
      <c r="L520" s="1186">
        <v>3.4</v>
      </c>
      <c r="M520" s="1186">
        <v>40.200000000000003</v>
      </c>
      <c r="N520" s="1186">
        <v>4.5999999999999996</v>
      </c>
      <c r="O520" s="1186">
        <v>42.09</v>
      </c>
      <c r="P520" s="1186">
        <v>5.89</v>
      </c>
      <c r="Q520" s="1186">
        <v>41.48</v>
      </c>
      <c r="R520" s="1186">
        <v>2</v>
      </c>
      <c r="S520" s="1186">
        <v>36.619999999999997</v>
      </c>
      <c r="T520" s="1186">
        <v>2.94</v>
      </c>
      <c r="U520" s="1186">
        <v>38.44</v>
      </c>
      <c r="V520" s="1186">
        <v>3.75</v>
      </c>
      <c r="W520" s="1186"/>
      <c r="X520" s="1186"/>
      <c r="Y520" s="1186"/>
      <c r="Z520" s="1186"/>
      <c r="AA520" s="1186"/>
      <c r="AB520" s="1186"/>
      <c r="AC520" s="1186"/>
      <c r="AD520" s="1187"/>
    </row>
    <row r="521" spans="1:30" x14ac:dyDescent="0.2">
      <c r="A521">
        <f t="shared" si="41"/>
        <v>14</v>
      </c>
      <c r="B521">
        <v>512</v>
      </c>
      <c r="C521" s="1078">
        <v>2</v>
      </c>
      <c r="D521" s="1077" t="s">
        <v>3606</v>
      </c>
      <c r="E521" s="1077" t="s">
        <v>5715</v>
      </c>
      <c r="F521" s="1185">
        <v>4</v>
      </c>
      <c r="G521" s="1186">
        <v>7.85</v>
      </c>
      <c r="H521" s="1186">
        <v>2.4900000000000002</v>
      </c>
      <c r="I521" s="1186">
        <v>9.1199999999999992</v>
      </c>
      <c r="J521" s="1186">
        <v>2.75</v>
      </c>
      <c r="K521" s="1186">
        <v>11.2</v>
      </c>
      <c r="L521" s="1186">
        <v>3.78</v>
      </c>
      <c r="M521" s="1186">
        <v>11.61</v>
      </c>
      <c r="N521" s="1186">
        <v>4.53</v>
      </c>
      <c r="O521" s="1186">
        <v>10.14</v>
      </c>
      <c r="P521" s="1186">
        <v>7.04</v>
      </c>
      <c r="Q521" s="1186">
        <v>7.95</v>
      </c>
      <c r="R521" s="1186">
        <v>2.23</v>
      </c>
      <c r="S521" s="1186">
        <v>10.49</v>
      </c>
      <c r="T521" s="1186">
        <v>3.04</v>
      </c>
      <c r="U521" s="1186">
        <v>9.2899999999999991</v>
      </c>
      <c r="V521" s="1186">
        <v>4.2300000000000004</v>
      </c>
      <c r="W521" s="1186"/>
      <c r="X521" s="1186"/>
      <c r="Y521" s="1186"/>
      <c r="Z521" s="1186"/>
      <c r="AA521" s="1186"/>
      <c r="AB521" s="1186"/>
      <c r="AC521" s="1186"/>
      <c r="AD521" s="1187"/>
    </row>
    <row r="522" spans="1:30" x14ac:dyDescent="0.2">
      <c r="A522">
        <f t="shared" si="41"/>
        <v>14</v>
      </c>
      <c r="B522">
        <v>513</v>
      </c>
      <c r="C522" s="1078">
        <v>2</v>
      </c>
      <c r="D522" s="1077" t="s">
        <v>3606</v>
      </c>
      <c r="E522" s="1077" t="s">
        <v>5716</v>
      </c>
      <c r="F522" s="1185">
        <v>4</v>
      </c>
      <c r="G522" s="1186">
        <v>13.14</v>
      </c>
      <c r="H522" s="1186">
        <v>2.4700000000000002</v>
      </c>
      <c r="I522" s="1186">
        <v>14.5</v>
      </c>
      <c r="J522" s="1186">
        <v>2.75</v>
      </c>
      <c r="K522" s="1186">
        <v>12.82</v>
      </c>
      <c r="L522" s="1186">
        <v>3.43</v>
      </c>
      <c r="M522" s="1186">
        <v>16.84</v>
      </c>
      <c r="N522" s="1186">
        <v>4.74</v>
      </c>
      <c r="O522" s="1186">
        <v>20.28</v>
      </c>
      <c r="P522" s="1186">
        <v>5.85</v>
      </c>
      <c r="Q522" s="1186">
        <v>14.31</v>
      </c>
      <c r="R522" s="1186">
        <v>1.93</v>
      </c>
      <c r="S522" s="1186">
        <v>15.44</v>
      </c>
      <c r="T522" s="1186">
        <v>2.99</v>
      </c>
      <c r="U522" s="1186">
        <v>19.010000000000002</v>
      </c>
      <c r="V522" s="1186">
        <v>3.77</v>
      </c>
      <c r="W522" s="1186"/>
      <c r="X522" s="1186"/>
      <c r="Y522" s="1186"/>
      <c r="Z522" s="1186"/>
      <c r="AA522" s="1186"/>
      <c r="AB522" s="1186"/>
      <c r="AC522" s="1186"/>
      <c r="AD522" s="1187"/>
    </row>
    <row r="523" spans="1:30" x14ac:dyDescent="0.2">
      <c r="A523">
        <f t="shared" si="41"/>
        <v>14</v>
      </c>
      <c r="B523">
        <v>514</v>
      </c>
      <c r="C523" s="1078">
        <v>2</v>
      </c>
      <c r="D523" s="1077" t="s">
        <v>3606</v>
      </c>
      <c r="E523" s="1077" t="s">
        <v>4812</v>
      </c>
      <c r="F523" s="1185">
        <v>4</v>
      </c>
      <c r="G523" s="1186">
        <v>3.2</v>
      </c>
      <c r="H523" s="1186">
        <v>2.5</v>
      </c>
      <c r="I523" s="1186">
        <v>6</v>
      </c>
      <c r="J523" s="1186">
        <v>3.03</v>
      </c>
      <c r="K523" s="1186">
        <v>4.2</v>
      </c>
      <c r="L523" s="1186">
        <v>4.16</v>
      </c>
      <c r="M523" s="1186">
        <v>4.7</v>
      </c>
      <c r="N523" s="1186">
        <v>4.76</v>
      </c>
      <c r="O523" s="1186">
        <v>6.5</v>
      </c>
      <c r="P523" s="1186">
        <v>6.4</v>
      </c>
      <c r="Q523" s="1186">
        <v>5.66</v>
      </c>
      <c r="R523" s="1186">
        <v>2</v>
      </c>
      <c r="S523" s="1186">
        <v>5.4</v>
      </c>
      <c r="T523" s="1186">
        <v>2.92</v>
      </c>
      <c r="U523" s="1186">
        <v>6.88</v>
      </c>
      <c r="V523" s="1186">
        <v>3.25</v>
      </c>
      <c r="W523" s="1186"/>
      <c r="X523" s="1186"/>
      <c r="Y523" s="1186"/>
      <c r="Z523" s="1186"/>
      <c r="AA523" s="1186"/>
      <c r="AB523" s="1186"/>
      <c r="AC523" s="1186"/>
      <c r="AD523" s="1187"/>
    </row>
    <row r="524" spans="1:30" x14ac:dyDescent="0.2">
      <c r="A524">
        <f t="shared" ref="A524:A587" si="42">A523+(D524&lt;&gt;D523)*1</f>
        <v>14</v>
      </c>
      <c r="B524">
        <v>515</v>
      </c>
      <c r="C524" s="1078">
        <v>2</v>
      </c>
      <c r="D524" s="1077" t="s">
        <v>3606</v>
      </c>
      <c r="E524" s="1077" t="s">
        <v>4813</v>
      </c>
      <c r="F524" s="1185">
        <v>4</v>
      </c>
      <c r="G524" s="1186">
        <v>7.6</v>
      </c>
      <c r="H524" s="1186">
        <v>2.4</v>
      </c>
      <c r="I524" s="1186">
        <v>9.4</v>
      </c>
      <c r="J524" s="1186">
        <v>3.03</v>
      </c>
      <c r="K524" s="1186">
        <v>6.5</v>
      </c>
      <c r="L524" s="1186">
        <v>4.33</v>
      </c>
      <c r="M524" s="1186">
        <v>6.9</v>
      </c>
      <c r="N524" s="1186">
        <v>4.96</v>
      </c>
      <c r="O524" s="1186">
        <v>8.3000000000000007</v>
      </c>
      <c r="P524" s="1186">
        <v>6.2</v>
      </c>
      <c r="Q524" s="1186">
        <v>8.81</v>
      </c>
      <c r="R524" s="1186">
        <v>1.87</v>
      </c>
      <c r="S524" s="1186">
        <v>6.94</v>
      </c>
      <c r="T524" s="1186">
        <v>3.01</v>
      </c>
      <c r="U524" s="1186">
        <v>13.83</v>
      </c>
      <c r="V524" s="1186">
        <v>3.38</v>
      </c>
      <c r="W524" s="1186"/>
      <c r="X524" s="1186"/>
      <c r="Y524" s="1186"/>
      <c r="Z524" s="1186"/>
      <c r="AA524" s="1186"/>
      <c r="AB524" s="1186"/>
      <c r="AC524" s="1186"/>
      <c r="AD524" s="1187"/>
    </row>
    <row r="525" spans="1:30" x14ac:dyDescent="0.2">
      <c r="A525">
        <f t="shared" si="42"/>
        <v>14</v>
      </c>
      <c r="B525">
        <v>516</v>
      </c>
      <c r="C525" s="1078">
        <v>3</v>
      </c>
      <c r="D525" s="1077" t="s">
        <v>3606</v>
      </c>
      <c r="E525" s="1077" t="s">
        <v>4109</v>
      </c>
      <c r="F525" s="1185">
        <v>1</v>
      </c>
      <c r="G525" s="1186"/>
      <c r="H525" s="1186"/>
      <c r="I525" s="1186"/>
      <c r="J525" s="1186"/>
      <c r="K525" s="1186"/>
      <c r="L525" s="1186"/>
      <c r="M525" s="1186"/>
      <c r="N525" s="1186"/>
      <c r="O525" s="1186"/>
      <c r="P525" s="1186"/>
      <c r="Q525" s="1186"/>
      <c r="R525" s="1186"/>
      <c r="S525" s="1186"/>
      <c r="T525" s="1186"/>
      <c r="U525" s="1186"/>
      <c r="V525" s="1186"/>
      <c r="W525" s="1186">
        <v>5.8</v>
      </c>
      <c r="X525" s="1186">
        <v>4.7</v>
      </c>
      <c r="Y525" s="1186">
        <v>5.4</v>
      </c>
      <c r="Z525" s="1186">
        <v>2.9</v>
      </c>
      <c r="AA525" s="1186"/>
      <c r="AB525" s="1186"/>
      <c r="AC525" s="1186"/>
      <c r="AD525" s="1187"/>
    </row>
    <row r="526" spans="1:30" x14ac:dyDescent="0.2">
      <c r="A526">
        <f t="shared" si="42"/>
        <v>14</v>
      </c>
      <c r="B526">
        <v>517</v>
      </c>
      <c r="C526" s="1078">
        <v>3</v>
      </c>
      <c r="D526" s="1077" t="s">
        <v>3606</v>
      </c>
      <c r="E526" s="1077" t="s">
        <v>4110</v>
      </c>
      <c r="F526" s="1185">
        <v>1</v>
      </c>
      <c r="G526" s="1186"/>
      <c r="H526" s="1186"/>
      <c r="I526" s="1186"/>
      <c r="J526" s="1186"/>
      <c r="K526" s="1186"/>
      <c r="L526" s="1186"/>
      <c r="M526" s="1186"/>
      <c r="N526" s="1186"/>
      <c r="O526" s="1186"/>
      <c r="P526" s="1186"/>
      <c r="Q526" s="1186"/>
      <c r="R526" s="1186"/>
      <c r="S526" s="1186"/>
      <c r="T526" s="1186"/>
      <c r="U526" s="1186"/>
      <c r="V526" s="1186"/>
      <c r="W526" s="1186">
        <v>5.8</v>
      </c>
      <c r="X526" s="1186">
        <v>4.7</v>
      </c>
      <c r="Y526" s="1186">
        <v>5.4</v>
      </c>
      <c r="Z526" s="1186">
        <v>2.9</v>
      </c>
      <c r="AA526" s="1186"/>
      <c r="AB526" s="1186"/>
      <c r="AC526" s="1186"/>
      <c r="AD526" s="1187"/>
    </row>
    <row r="527" spans="1:30" x14ac:dyDescent="0.2">
      <c r="A527">
        <f t="shared" si="42"/>
        <v>14</v>
      </c>
      <c r="B527">
        <v>518</v>
      </c>
      <c r="C527" s="1081">
        <v>3</v>
      </c>
      <c r="D527" s="1082" t="s">
        <v>3606</v>
      </c>
      <c r="E527" s="1082" t="s">
        <v>4111</v>
      </c>
      <c r="F527" s="1188">
        <v>1</v>
      </c>
      <c r="G527" s="1189"/>
      <c r="H527" s="1189"/>
      <c r="I527" s="1189"/>
      <c r="J527" s="1189"/>
      <c r="K527" s="1189"/>
      <c r="L527" s="1189"/>
      <c r="M527" s="1189"/>
      <c r="N527" s="1189"/>
      <c r="O527" s="1189"/>
      <c r="P527" s="1189"/>
      <c r="Q527" s="1189"/>
      <c r="R527" s="1189"/>
      <c r="S527" s="1189"/>
      <c r="T527" s="1189"/>
      <c r="U527" s="1189"/>
      <c r="V527" s="1189"/>
      <c r="W527" s="1189">
        <v>6.1</v>
      </c>
      <c r="X527" s="1189">
        <v>4.7</v>
      </c>
      <c r="Y527" s="1189">
        <v>5.5</v>
      </c>
      <c r="Z527" s="1189">
        <v>2.8</v>
      </c>
      <c r="AA527" s="1189"/>
      <c r="AB527" s="1189"/>
      <c r="AC527" s="1189"/>
      <c r="AD527" s="1194"/>
    </row>
    <row r="528" spans="1:30" x14ac:dyDescent="0.2">
      <c r="A528">
        <f t="shared" si="42"/>
        <v>14</v>
      </c>
      <c r="B528">
        <v>519</v>
      </c>
      <c r="C528" s="1190">
        <v>3</v>
      </c>
      <c r="D528" s="1191" t="s">
        <v>3606</v>
      </c>
      <c r="E528" s="1191" t="s">
        <v>4112</v>
      </c>
      <c r="F528" s="1192">
        <v>1</v>
      </c>
      <c r="G528" s="1193"/>
      <c r="H528" s="1193"/>
      <c r="I528" s="1193"/>
      <c r="J528" s="1193"/>
      <c r="K528" s="1193"/>
      <c r="L528" s="1193"/>
      <c r="M528" s="1193"/>
      <c r="N528" s="1193"/>
      <c r="O528" s="1193"/>
      <c r="P528" s="1193"/>
      <c r="Q528" s="1193"/>
      <c r="R528" s="1193"/>
      <c r="S528" s="1193"/>
      <c r="T528" s="1193"/>
      <c r="U528" s="1193"/>
      <c r="V528" s="1193"/>
      <c r="W528" s="1193">
        <v>6.4</v>
      </c>
      <c r="X528" s="1193">
        <v>4.4000000000000004</v>
      </c>
      <c r="Y528" s="1193">
        <v>5.9</v>
      </c>
      <c r="Z528" s="1193">
        <v>2.8</v>
      </c>
      <c r="AA528" s="1193"/>
      <c r="AB528" s="1193"/>
      <c r="AC528" s="1193"/>
      <c r="AD528" s="1195"/>
    </row>
    <row r="529" spans="1:30" x14ac:dyDescent="0.2">
      <c r="A529">
        <f t="shared" si="42"/>
        <v>14</v>
      </c>
      <c r="B529">
        <v>520</v>
      </c>
      <c r="C529" s="1078">
        <v>3</v>
      </c>
      <c r="D529" s="1077" t="s">
        <v>3606</v>
      </c>
      <c r="E529" s="1077" t="s">
        <v>4113</v>
      </c>
      <c r="F529" s="1185">
        <v>1</v>
      </c>
      <c r="G529" s="1186"/>
      <c r="H529" s="1186"/>
      <c r="I529" s="1186"/>
      <c r="J529" s="1186"/>
      <c r="K529" s="1186"/>
      <c r="L529" s="1186"/>
      <c r="M529" s="1186"/>
      <c r="N529" s="1186"/>
      <c r="O529" s="1186"/>
      <c r="P529" s="1186"/>
      <c r="Q529" s="1186"/>
      <c r="R529" s="1186"/>
      <c r="S529" s="1186"/>
      <c r="T529" s="1186"/>
      <c r="U529" s="1186"/>
      <c r="V529" s="1186"/>
      <c r="W529" s="1186">
        <v>7.8</v>
      </c>
      <c r="X529" s="1186">
        <v>4.8</v>
      </c>
      <c r="Y529" s="1186">
        <v>7.1</v>
      </c>
      <c r="Z529" s="1186">
        <v>2.9</v>
      </c>
      <c r="AA529" s="1186"/>
      <c r="AB529" s="1186"/>
      <c r="AC529" s="1186"/>
      <c r="AD529" s="1187"/>
    </row>
    <row r="530" spans="1:30" x14ac:dyDescent="0.2">
      <c r="A530">
        <f t="shared" si="42"/>
        <v>14</v>
      </c>
      <c r="B530">
        <v>521</v>
      </c>
      <c r="C530" s="1078">
        <v>3</v>
      </c>
      <c r="D530" s="1077" t="s">
        <v>3606</v>
      </c>
      <c r="E530" s="1077" t="s">
        <v>4114</v>
      </c>
      <c r="F530" s="1185">
        <v>1</v>
      </c>
      <c r="G530" s="1186"/>
      <c r="H530" s="1186"/>
      <c r="I530" s="1186"/>
      <c r="J530" s="1186"/>
      <c r="K530" s="1186"/>
      <c r="L530" s="1186"/>
      <c r="M530" s="1186"/>
      <c r="N530" s="1186"/>
      <c r="O530" s="1186"/>
      <c r="P530" s="1186"/>
      <c r="Q530" s="1186"/>
      <c r="R530" s="1186"/>
      <c r="S530" s="1186"/>
      <c r="T530" s="1186"/>
      <c r="U530" s="1186"/>
      <c r="V530" s="1186"/>
      <c r="W530" s="1186">
        <v>7.8</v>
      </c>
      <c r="X530" s="1186">
        <v>4.8</v>
      </c>
      <c r="Y530" s="1186">
        <v>7.1</v>
      </c>
      <c r="Z530" s="1186">
        <v>2.9</v>
      </c>
      <c r="AA530" s="1186"/>
      <c r="AB530" s="1186"/>
      <c r="AC530" s="1186"/>
      <c r="AD530" s="1187"/>
    </row>
    <row r="531" spans="1:30" x14ac:dyDescent="0.2">
      <c r="A531">
        <f t="shared" si="42"/>
        <v>14</v>
      </c>
      <c r="B531">
        <v>522</v>
      </c>
      <c r="C531" s="1078">
        <v>3</v>
      </c>
      <c r="D531" s="1077" t="s">
        <v>3606</v>
      </c>
      <c r="E531" s="1077" t="s">
        <v>4115</v>
      </c>
      <c r="F531" s="1185">
        <v>1</v>
      </c>
      <c r="G531" s="1186"/>
      <c r="H531" s="1186"/>
      <c r="I531" s="1186"/>
      <c r="J531" s="1186"/>
      <c r="K531" s="1186"/>
      <c r="L531" s="1186"/>
      <c r="M531" s="1186"/>
      <c r="N531" s="1186"/>
      <c r="O531" s="1186"/>
      <c r="P531" s="1186"/>
      <c r="Q531" s="1186"/>
      <c r="R531" s="1186"/>
      <c r="S531" s="1186"/>
      <c r="T531" s="1186"/>
      <c r="U531" s="1186"/>
      <c r="V531" s="1186"/>
      <c r="W531" s="1186">
        <v>8.1</v>
      </c>
      <c r="X531" s="1186">
        <v>4.8</v>
      </c>
      <c r="Y531" s="1186">
        <v>7.1</v>
      </c>
      <c r="Z531" s="1186">
        <v>2.8</v>
      </c>
      <c r="AA531" s="1186"/>
      <c r="AB531" s="1186"/>
      <c r="AC531" s="1186"/>
      <c r="AD531" s="1187"/>
    </row>
    <row r="532" spans="1:30" x14ac:dyDescent="0.2">
      <c r="A532">
        <f t="shared" si="42"/>
        <v>14</v>
      </c>
      <c r="B532">
        <v>523</v>
      </c>
      <c r="C532" s="1078">
        <v>3</v>
      </c>
      <c r="D532" s="1077" t="s">
        <v>3606</v>
      </c>
      <c r="E532" s="1077" t="s">
        <v>4116</v>
      </c>
      <c r="F532" s="1185">
        <v>1</v>
      </c>
      <c r="G532" s="1186"/>
      <c r="H532" s="1186"/>
      <c r="I532" s="1186"/>
      <c r="J532" s="1186"/>
      <c r="K532" s="1186"/>
      <c r="L532" s="1186"/>
      <c r="M532" s="1186"/>
      <c r="N532" s="1186"/>
      <c r="O532" s="1186"/>
      <c r="P532" s="1186"/>
      <c r="Q532" s="1186"/>
      <c r="R532" s="1186"/>
      <c r="S532" s="1186"/>
      <c r="T532" s="1186"/>
      <c r="U532" s="1186"/>
      <c r="V532" s="1186"/>
      <c r="W532" s="1186">
        <v>9.1</v>
      </c>
      <c r="X532" s="1186">
        <v>4.4000000000000004</v>
      </c>
      <c r="Y532" s="1186">
        <v>8.6</v>
      </c>
      <c r="Z532" s="1186">
        <v>2.8</v>
      </c>
      <c r="AA532" s="1186"/>
      <c r="AB532" s="1186"/>
      <c r="AC532" s="1186"/>
      <c r="AD532" s="1187"/>
    </row>
    <row r="533" spans="1:30" x14ac:dyDescent="0.2">
      <c r="A533">
        <f t="shared" si="42"/>
        <v>14</v>
      </c>
      <c r="B533">
        <v>524</v>
      </c>
      <c r="C533" s="1078">
        <v>3</v>
      </c>
      <c r="D533" s="1077" t="s">
        <v>3606</v>
      </c>
      <c r="E533" s="1077" t="s">
        <v>4117</v>
      </c>
      <c r="F533" s="1185">
        <v>1</v>
      </c>
      <c r="G533" s="1186"/>
      <c r="H533" s="1186"/>
      <c r="I533" s="1186"/>
      <c r="J533" s="1186"/>
      <c r="K533" s="1186"/>
      <c r="L533" s="1186"/>
      <c r="M533" s="1186"/>
      <c r="N533" s="1186"/>
      <c r="O533" s="1186"/>
      <c r="P533" s="1186"/>
      <c r="Q533" s="1186"/>
      <c r="R533" s="1186"/>
      <c r="S533" s="1186"/>
      <c r="T533" s="1186"/>
      <c r="U533" s="1186"/>
      <c r="V533" s="1186"/>
      <c r="W533" s="1186">
        <v>10.6</v>
      </c>
      <c r="X533" s="1186">
        <v>5</v>
      </c>
      <c r="Y533" s="1186">
        <v>9.8000000000000007</v>
      </c>
      <c r="Z533" s="1186">
        <v>3.1</v>
      </c>
      <c r="AA533" s="1186"/>
      <c r="AB533" s="1186"/>
      <c r="AC533" s="1186"/>
      <c r="AD533" s="1187"/>
    </row>
    <row r="534" spans="1:30" x14ac:dyDescent="0.2">
      <c r="A534">
        <f t="shared" si="42"/>
        <v>14</v>
      </c>
      <c r="B534">
        <v>525</v>
      </c>
      <c r="C534" s="1078">
        <v>3</v>
      </c>
      <c r="D534" s="1077" t="s">
        <v>3606</v>
      </c>
      <c r="E534" s="1077" t="s">
        <v>4118</v>
      </c>
      <c r="F534" s="1185">
        <v>1</v>
      </c>
      <c r="G534" s="1186"/>
      <c r="H534" s="1186"/>
      <c r="I534" s="1186"/>
      <c r="J534" s="1186"/>
      <c r="K534" s="1186"/>
      <c r="L534" s="1186"/>
      <c r="M534" s="1186"/>
      <c r="N534" s="1186"/>
      <c r="O534" s="1186"/>
      <c r="P534" s="1186"/>
      <c r="Q534" s="1186"/>
      <c r="R534" s="1186"/>
      <c r="S534" s="1186"/>
      <c r="T534" s="1186"/>
      <c r="U534" s="1186"/>
      <c r="V534" s="1186"/>
      <c r="W534" s="1186">
        <v>10.6</v>
      </c>
      <c r="X534" s="1186">
        <v>5</v>
      </c>
      <c r="Y534" s="1186">
        <v>9.8000000000000007</v>
      </c>
      <c r="Z534" s="1186">
        <v>3.1</v>
      </c>
      <c r="AA534" s="1186"/>
      <c r="AB534" s="1186"/>
      <c r="AC534" s="1186"/>
      <c r="AD534" s="1187"/>
    </row>
    <row r="535" spans="1:30" x14ac:dyDescent="0.2">
      <c r="A535">
        <f t="shared" si="42"/>
        <v>14</v>
      </c>
      <c r="B535">
        <v>526</v>
      </c>
      <c r="C535" s="1078">
        <v>3</v>
      </c>
      <c r="D535" s="1077" t="s">
        <v>3606</v>
      </c>
      <c r="E535" s="1077" t="s">
        <v>4119</v>
      </c>
      <c r="F535" s="1185">
        <v>1</v>
      </c>
      <c r="G535" s="1186"/>
      <c r="H535" s="1186"/>
      <c r="I535" s="1186"/>
      <c r="J535" s="1186"/>
      <c r="K535" s="1186"/>
      <c r="L535" s="1186"/>
      <c r="M535" s="1186"/>
      <c r="N535" s="1186"/>
      <c r="O535" s="1186"/>
      <c r="P535" s="1186"/>
      <c r="Q535" s="1186"/>
      <c r="R535" s="1186"/>
      <c r="S535" s="1186"/>
      <c r="T535" s="1186"/>
      <c r="U535" s="1186"/>
      <c r="V535" s="1186"/>
      <c r="W535" s="1186">
        <v>10.9</v>
      </c>
      <c r="X535" s="1186">
        <v>4.9000000000000004</v>
      </c>
      <c r="Y535" s="1186">
        <v>10</v>
      </c>
      <c r="Z535" s="1186">
        <v>2.9</v>
      </c>
      <c r="AA535" s="1186"/>
      <c r="AB535" s="1186"/>
      <c r="AC535" s="1186"/>
      <c r="AD535" s="1187"/>
    </row>
    <row r="536" spans="1:30" x14ac:dyDescent="0.2">
      <c r="A536">
        <f t="shared" si="42"/>
        <v>14</v>
      </c>
      <c r="B536">
        <v>527</v>
      </c>
      <c r="C536" s="1078">
        <v>3</v>
      </c>
      <c r="D536" s="1077" t="s">
        <v>3606</v>
      </c>
      <c r="E536" s="1077" t="s">
        <v>4120</v>
      </c>
      <c r="F536" s="1185">
        <v>1</v>
      </c>
      <c r="G536" s="1186"/>
      <c r="H536" s="1186"/>
      <c r="I536" s="1186"/>
      <c r="J536" s="1186"/>
      <c r="K536" s="1186"/>
      <c r="L536" s="1186"/>
      <c r="M536" s="1186"/>
      <c r="N536" s="1186"/>
      <c r="O536" s="1186"/>
      <c r="P536" s="1186"/>
      <c r="Q536" s="1186"/>
      <c r="R536" s="1186"/>
      <c r="S536" s="1186"/>
      <c r="T536" s="1186"/>
      <c r="U536" s="1186"/>
      <c r="V536" s="1186"/>
      <c r="W536" s="1186">
        <v>10.9</v>
      </c>
      <c r="X536" s="1186">
        <v>4.5</v>
      </c>
      <c r="Y536" s="1186">
        <v>10.4</v>
      </c>
      <c r="Z536" s="1186">
        <v>2.9</v>
      </c>
      <c r="AA536" s="1186"/>
      <c r="AB536" s="1186"/>
      <c r="AC536" s="1186"/>
      <c r="AD536" s="1187"/>
    </row>
    <row r="537" spans="1:30" x14ac:dyDescent="0.2">
      <c r="A537">
        <f t="shared" si="42"/>
        <v>14</v>
      </c>
      <c r="B537">
        <v>528</v>
      </c>
      <c r="C537" s="1078">
        <v>3</v>
      </c>
      <c r="D537" s="1077" t="s">
        <v>3606</v>
      </c>
      <c r="E537" s="1077" t="s">
        <v>4121</v>
      </c>
      <c r="F537" s="1185">
        <v>1</v>
      </c>
      <c r="G537" s="1186"/>
      <c r="H537" s="1186"/>
      <c r="I537" s="1186"/>
      <c r="J537" s="1186"/>
      <c r="K537" s="1186"/>
      <c r="L537" s="1186"/>
      <c r="M537" s="1186"/>
      <c r="N537" s="1186"/>
      <c r="O537" s="1186"/>
      <c r="P537" s="1186"/>
      <c r="Q537" s="1186"/>
      <c r="R537" s="1186"/>
      <c r="S537" s="1186"/>
      <c r="T537" s="1186"/>
      <c r="U537" s="1186"/>
      <c r="V537" s="1186"/>
      <c r="W537" s="1186">
        <v>13.1</v>
      </c>
      <c r="X537" s="1186">
        <v>4.7</v>
      </c>
      <c r="Y537" s="1186">
        <v>12.2</v>
      </c>
      <c r="Z537" s="1186">
        <v>3</v>
      </c>
      <c r="AA537" s="1186"/>
      <c r="AB537" s="1186"/>
      <c r="AC537" s="1186"/>
      <c r="AD537" s="1187"/>
    </row>
    <row r="538" spans="1:30" x14ac:dyDescent="0.2">
      <c r="A538">
        <f t="shared" si="42"/>
        <v>14</v>
      </c>
      <c r="B538">
        <v>529</v>
      </c>
      <c r="C538" s="1078">
        <v>3</v>
      </c>
      <c r="D538" s="1077" t="s">
        <v>3606</v>
      </c>
      <c r="E538" s="1077" t="s">
        <v>4122</v>
      </c>
      <c r="F538" s="1185">
        <v>1</v>
      </c>
      <c r="G538" s="1186"/>
      <c r="H538" s="1186"/>
      <c r="I538" s="1186"/>
      <c r="J538" s="1186"/>
      <c r="K538" s="1186"/>
      <c r="L538" s="1186"/>
      <c r="M538" s="1186"/>
      <c r="N538" s="1186"/>
      <c r="O538" s="1186"/>
      <c r="P538" s="1186"/>
      <c r="Q538" s="1186"/>
      <c r="R538" s="1186"/>
      <c r="S538" s="1186"/>
      <c r="T538" s="1186"/>
      <c r="U538" s="1186"/>
      <c r="V538" s="1186"/>
      <c r="W538" s="1186">
        <v>13.9</v>
      </c>
      <c r="X538" s="1186">
        <v>5</v>
      </c>
      <c r="Y538" s="1186">
        <v>12.7</v>
      </c>
      <c r="Z538" s="1186">
        <v>3</v>
      </c>
      <c r="AA538" s="1186"/>
      <c r="AB538" s="1186"/>
      <c r="AC538" s="1186"/>
      <c r="AD538" s="1187"/>
    </row>
    <row r="539" spans="1:30" x14ac:dyDescent="0.2">
      <c r="A539">
        <f t="shared" si="42"/>
        <v>14</v>
      </c>
      <c r="B539">
        <v>530</v>
      </c>
      <c r="C539" s="1078">
        <v>3</v>
      </c>
      <c r="D539" s="1077" t="s">
        <v>3606</v>
      </c>
      <c r="E539" s="1077" t="s">
        <v>4122</v>
      </c>
      <c r="F539" s="1185">
        <v>1</v>
      </c>
      <c r="G539" s="1186"/>
      <c r="H539" s="1186"/>
      <c r="I539" s="1186"/>
      <c r="J539" s="1186"/>
      <c r="K539" s="1186"/>
      <c r="L539" s="1186"/>
      <c r="M539" s="1186"/>
      <c r="N539" s="1186"/>
      <c r="O539" s="1186"/>
      <c r="P539" s="1186"/>
      <c r="Q539" s="1186"/>
      <c r="R539" s="1186"/>
      <c r="S539" s="1186"/>
      <c r="T539" s="1186"/>
      <c r="U539" s="1186"/>
      <c r="V539" s="1186"/>
      <c r="W539" s="1186">
        <v>14</v>
      </c>
      <c r="X539" s="1186">
        <v>5</v>
      </c>
      <c r="Y539" s="1186">
        <v>12.7</v>
      </c>
      <c r="Z539" s="1186">
        <v>3</v>
      </c>
      <c r="AA539" s="1186"/>
      <c r="AB539" s="1186"/>
      <c r="AC539" s="1186"/>
      <c r="AD539" s="1187"/>
    </row>
    <row r="540" spans="1:30" x14ac:dyDescent="0.2">
      <c r="A540">
        <f t="shared" si="42"/>
        <v>14</v>
      </c>
      <c r="B540">
        <v>531</v>
      </c>
      <c r="C540" s="1078">
        <v>3</v>
      </c>
      <c r="D540" s="1077" t="s">
        <v>3606</v>
      </c>
      <c r="E540" s="1077" t="s">
        <v>4123</v>
      </c>
      <c r="F540" s="1185">
        <v>1</v>
      </c>
      <c r="G540" s="1186"/>
      <c r="H540" s="1186"/>
      <c r="I540" s="1186"/>
      <c r="J540" s="1186"/>
      <c r="K540" s="1186"/>
      <c r="L540" s="1186"/>
      <c r="M540" s="1186"/>
      <c r="N540" s="1186"/>
      <c r="O540" s="1186"/>
      <c r="P540" s="1186"/>
      <c r="Q540" s="1186"/>
      <c r="R540" s="1186"/>
      <c r="S540" s="1186"/>
      <c r="T540" s="1186"/>
      <c r="U540" s="1186"/>
      <c r="V540" s="1186"/>
      <c r="W540" s="1186">
        <v>17.5</v>
      </c>
      <c r="X540" s="1186">
        <v>4.7</v>
      </c>
      <c r="Y540" s="1186">
        <v>16.5</v>
      </c>
      <c r="Z540" s="1186">
        <v>2.9</v>
      </c>
      <c r="AA540" s="1186"/>
      <c r="AB540" s="1186"/>
      <c r="AC540" s="1186"/>
      <c r="AD540" s="1187"/>
    </row>
    <row r="541" spans="1:30" x14ac:dyDescent="0.2">
      <c r="A541">
        <f t="shared" si="42"/>
        <v>14</v>
      </c>
      <c r="B541">
        <v>532</v>
      </c>
      <c r="C541" s="1078">
        <v>3</v>
      </c>
      <c r="D541" s="1077" t="s">
        <v>3606</v>
      </c>
      <c r="E541" s="1077" t="s">
        <v>4124</v>
      </c>
      <c r="F541" s="1185">
        <v>3</v>
      </c>
      <c r="G541" s="1186"/>
      <c r="H541" s="1186"/>
      <c r="I541" s="1186"/>
      <c r="J541" s="1186"/>
      <c r="K541" s="1186"/>
      <c r="L541" s="1186"/>
      <c r="M541" s="1186"/>
      <c r="N541" s="1186"/>
      <c r="O541" s="1186"/>
      <c r="P541" s="1186"/>
      <c r="Q541" s="1186"/>
      <c r="R541" s="1186"/>
      <c r="S541" s="1186"/>
      <c r="T541" s="1186"/>
      <c r="U541" s="1186"/>
      <c r="V541" s="1186"/>
      <c r="W541" s="1186">
        <v>21.3</v>
      </c>
      <c r="X541" s="1186">
        <v>4.4000000000000004</v>
      </c>
      <c r="Y541" s="1186">
        <v>20.399999999999999</v>
      </c>
      <c r="Z541" s="1186">
        <v>2.8</v>
      </c>
      <c r="AA541" s="1186"/>
      <c r="AB541" s="1186"/>
      <c r="AC541" s="1186"/>
      <c r="AD541" s="1187"/>
    </row>
    <row r="542" spans="1:30" x14ac:dyDescent="0.2">
      <c r="A542">
        <f t="shared" si="42"/>
        <v>14</v>
      </c>
      <c r="B542">
        <v>533</v>
      </c>
      <c r="C542" s="1078">
        <v>3</v>
      </c>
      <c r="D542" s="1077" t="s">
        <v>3606</v>
      </c>
      <c r="E542" s="1077" t="s">
        <v>4125</v>
      </c>
      <c r="F542" s="1185">
        <v>3</v>
      </c>
      <c r="G542" s="1186"/>
      <c r="H542" s="1186"/>
      <c r="I542" s="1186"/>
      <c r="J542" s="1186"/>
      <c r="K542" s="1186"/>
      <c r="L542" s="1186"/>
      <c r="M542" s="1186"/>
      <c r="N542" s="1186"/>
      <c r="O542" s="1186"/>
      <c r="P542" s="1186"/>
      <c r="Q542" s="1186"/>
      <c r="R542" s="1186"/>
      <c r="S542" s="1186"/>
      <c r="T542" s="1186"/>
      <c r="U542" s="1186"/>
      <c r="V542" s="1186"/>
      <c r="W542" s="1186">
        <v>26.7</v>
      </c>
      <c r="X542" s="1186">
        <v>4.9000000000000004</v>
      </c>
      <c r="Y542" s="1186">
        <v>24.7</v>
      </c>
      <c r="Z542" s="1186">
        <v>3.1</v>
      </c>
      <c r="AA542" s="1186"/>
      <c r="AB542" s="1186"/>
      <c r="AC542" s="1186"/>
      <c r="AD542" s="1187"/>
    </row>
    <row r="543" spans="1:30" x14ac:dyDescent="0.2">
      <c r="A543">
        <f t="shared" si="42"/>
        <v>14</v>
      </c>
      <c r="B543">
        <v>534</v>
      </c>
      <c r="C543" s="1078">
        <v>3</v>
      </c>
      <c r="D543" s="1077" t="s">
        <v>3606</v>
      </c>
      <c r="E543" s="1077" t="s">
        <v>4126</v>
      </c>
      <c r="F543" s="1185">
        <v>3</v>
      </c>
      <c r="G543" s="1186"/>
      <c r="H543" s="1186"/>
      <c r="I543" s="1186"/>
      <c r="J543" s="1186"/>
      <c r="K543" s="1186"/>
      <c r="L543" s="1186"/>
      <c r="M543" s="1186"/>
      <c r="N543" s="1186"/>
      <c r="O543" s="1186"/>
      <c r="P543" s="1186"/>
      <c r="Q543" s="1186"/>
      <c r="R543" s="1186"/>
      <c r="S543" s="1186"/>
      <c r="T543" s="1186"/>
      <c r="U543" s="1186"/>
      <c r="V543" s="1186"/>
      <c r="W543" s="1186">
        <v>34.799999999999997</v>
      </c>
      <c r="X543" s="1186">
        <v>4.8</v>
      </c>
      <c r="Y543" s="1186">
        <v>32.1</v>
      </c>
      <c r="Z543" s="1186">
        <v>3</v>
      </c>
      <c r="AA543" s="1186"/>
      <c r="AB543" s="1186"/>
      <c r="AC543" s="1186"/>
      <c r="AD543" s="1187"/>
    </row>
    <row r="544" spans="1:30" x14ac:dyDescent="0.2">
      <c r="A544">
        <f t="shared" si="42"/>
        <v>14</v>
      </c>
      <c r="B544">
        <v>535</v>
      </c>
      <c r="C544" s="1078">
        <v>3</v>
      </c>
      <c r="D544" s="1077" t="s">
        <v>3606</v>
      </c>
      <c r="E544" s="1077" t="s">
        <v>4127</v>
      </c>
      <c r="F544" s="1185">
        <v>3</v>
      </c>
      <c r="G544" s="1186"/>
      <c r="H544" s="1186"/>
      <c r="I544" s="1186"/>
      <c r="J544" s="1186"/>
      <c r="K544" s="1186"/>
      <c r="L544" s="1186"/>
      <c r="M544" s="1186"/>
      <c r="N544" s="1186"/>
      <c r="O544" s="1186"/>
      <c r="P544" s="1186"/>
      <c r="Q544" s="1186"/>
      <c r="R544" s="1186"/>
      <c r="S544" s="1186"/>
      <c r="T544" s="1186"/>
      <c r="U544" s="1186"/>
      <c r="V544" s="1186"/>
      <c r="W544" s="1186">
        <v>52</v>
      </c>
      <c r="X544" s="1186">
        <v>5</v>
      </c>
      <c r="Y544" s="1186">
        <v>44.1</v>
      </c>
      <c r="Z544" s="1186">
        <v>2.8</v>
      </c>
      <c r="AA544" s="1186"/>
      <c r="AB544" s="1186"/>
      <c r="AC544" s="1186"/>
      <c r="AD544" s="1187"/>
    </row>
    <row r="545" spans="1:30" x14ac:dyDescent="0.2">
      <c r="A545">
        <f t="shared" si="42"/>
        <v>14</v>
      </c>
      <c r="B545">
        <v>536</v>
      </c>
      <c r="C545" s="1078">
        <v>3</v>
      </c>
      <c r="D545" s="1077" t="s">
        <v>3606</v>
      </c>
      <c r="E545" s="1077" t="s">
        <v>4128</v>
      </c>
      <c r="F545" s="1185">
        <v>3</v>
      </c>
      <c r="G545" s="1186"/>
      <c r="H545" s="1186"/>
      <c r="I545" s="1186"/>
      <c r="J545" s="1186"/>
      <c r="K545" s="1186"/>
      <c r="L545" s="1186"/>
      <c r="M545" s="1186"/>
      <c r="N545" s="1186"/>
      <c r="O545" s="1186"/>
      <c r="P545" s="1186"/>
      <c r="Q545" s="1186"/>
      <c r="R545" s="1186"/>
      <c r="S545" s="1186"/>
      <c r="T545" s="1186"/>
      <c r="U545" s="1186"/>
      <c r="V545" s="1186"/>
      <c r="W545" s="1186">
        <v>73.5</v>
      </c>
      <c r="X545" s="1186">
        <v>4.8</v>
      </c>
      <c r="Y545" s="1186">
        <v>67.3</v>
      </c>
      <c r="Z545" s="1186">
        <v>3</v>
      </c>
      <c r="AA545" s="1186"/>
      <c r="AB545" s="1186"/>
      <c r="AC545" s="1186"/>
      <c r="AD545" s="1187"/>
    </row>
    <row r="546" spans="1:30" x14ac:dyDescent="0.2">
      <c r="A546">
        <f t="shared" si="42"/>
        <v>14</v>
      </c>
      <c r="B546">
        <v>537</v>
      </c>
      <c r="C546" s="1078">
        <v>4</v>
      </c>
      <c r="D546" s="1077" t="s">
        <v>3606</v>
      </c>
      <c r="E546" s="1077" t="s">
        <v>4129</v>
      </c>
      <c r="F546" s="1185">
        <v>1</v>
      </c>
      <c r="G546" s="1186"/>
      <c r="H546" s="1186"/>
      <c r="I546" s="1186"/>
      <c r="J546" s="1186"/>
      <c r="K546" s="1186"/>
      <c r="L546" s="1186"/>
      <c r="M546" s="1186"/>
      <c r="N546" s="1186"/>
      <c r="O546" s="1186"/>
      <c r="P546" s="1186"/>
      <c r="Q546" s="1186"/>
      <c r="R546" s="1186"/>
      <c r="S546" s="1186"/>
      <c r="T546" s="1186"/>
      <c r="U546" s="1186"/>
      <c r="V546" s="1186"/>
      <c r="W546" s="1186"/>
      <c r="X546" s="1186"/>
      <c r="Y546" s="1186"/>
      <c r="Z546" s="1186"/>
      <c r="AA546" s="1186">
        <v>9.6</v>
      </c>
      <c r="AB546" s="1186">
        <v>5.9</v>
      </c>
      <c r="AC546" s="1186">
        <v>8.4</v>
      </c>
      <c r="AD546" s="1187">
        <v>3.2</v>
      </c>
    </row>
    <row r="547" spans="1:30" x14ac:dyDescent="0.2">
      <c r="A547">
        <f t="shared" si="42"/>
        <v>14</v>
      </c>
      <c r="B547">
        <v>538</v>
      </c>
      <c r="C547" s="1078">
        <v>4</v>
      </c>
      <c r="D547" s="1077" t="s">
        <v>3606</v>
      </c>
      <c r="E547" s="1077" t="s">
        <v>4130</v>
      </c>
      <c r="F547" s="1185">
        <v>1</v>
      </c>
      <c r="G547" s="1186"/>
      <c r="H547" s="1186"/>
      <c r="I547" s="1186"/>
      <c r="J547" s="1186"/>
      <c r="K547" s="1186"/>
      <c r="L547" s="1186"/>
      <c r="M547" s="1186"/>
      <c r="N547" s="1186"/>
      <c r="O547" s="1186"/>
      <c r="P547" s="1186"/>
      <c r="Q547" s="1186"/>
      <c r="R547" s="1186"/>
      <c r="S547" s="1186"/>
      <c r="T547" s="1186"/>
      <c r="U547" s="1186"/>
      <c r="V547" s="1186"/>
      <c r="W547" s="1186"/>
      <c r="X547" s="1186"/>
      <c r="Y547" s="1186"/>
      <c r="Z547" s="1186"/>
      <c r="AA547" s="1186">
        <v>13.3</v>
      </c>
      <c r="AB547" s="1186">
        <v>6.1</v>
      </c>
      <c r="AC547" s="1186">
        <v>11.5</v>
      </c>
      <c r="AD547" s="1187">
        <v>3.3</v>
      </c>
    </row>
    <row r="548" spans="1:30" x14ac:dyDescent="0.2">
      <c r="A548">
        <f t="shared" si="42"/>
        <v>14</v>
      </c>
      <c r="B548">
        <v>539</v>
      </c>
      <c r="C548" s="1078">
        <v>4</v>
      </c>
      <c r="D548" s="1077" t="s">
        <v>3606</v>
      </c>
      <c r="E548" s="1077" t="s">
        <v>4131</v>
      </c>
      <c r="F548" s="1185">
        <v>1</v>
      </c>
      <c r="G548" s="1186"/>
      <c r="H548" s="1186"/>
      <c r="I548" s="1186"/>
      <c r="J548" s="1186"/>
      <c r="K548" s="1186"/>
      <c r="L548" s="1186"/>
      <c r="M548" s="1186"/>
      <c r="N548" s="1186"/>
      <c r="O548" s="1186"/>
      <c r="P548" s="1186"/>
      <c r="Q548" s="1186"/>
      <c r="R548" s="1186"/>
      <c r="S548" s="1186"/>
      <c r="T548" s="1186"/>
      <c r="U548" s="1186"/>
      <c r="V548" s="1186"/>
      <c r="W548" s="1186"/>
      <c r="X548" s="1186"/>
      <c r="Y548" s="1186"/>
      <c r="Z548" s="1186"/>
      <c r="AA548" s="1186">
        <v>17.100000000000001</v>
      </c>
      <c r="AB548" s="1186">
        <v>5.8</v>
      </c>
      <c r="AC548" s="1186">
        <v>15.1</v>
      </c>
      <c r="AD548" s="1187">
        <v>3.6</v>
      </c>
    </row>
    <row r="549" spans="1:30" x14ac:dyDescent="0.2">
      <c r="A549">
        <f t="shared" si="42"/>
        <v>14</v>
      </c>
      <c r="B549">
        <v>540</v>
      </c>
      <c r="C549" s="1078">
        <v>4</v>
      </c>
      <c r="D549" s="1077" t="s">
        <v>3606</v>
      </c>
      <c r="E549" s="1077" t="s">
        <v>4132</v>
      </c>
      <c r="F549" s="1185">
        <v>1</v>
      </c>
      <c r="G549" s="1186"/>
      <c r="H549" s="1186"/>
      <c r="I549" s="1186"/>
      <c r="J549" s="1186"/>
      <c r="K549" s="1186"/>
      <c r="L549" s="1186"/>
      <c r="M549" s="1186"/>
      <c r="N549" s="1186"/>
      <c r="O549" s="1186"/>
      <c r="P549" s="1186"/>
      <c r="Q549" s="1186"/>
      <c r="R549" s="1186"/>
      <c r="S549" s="1186"/>
      <c r="T549" s="1186"/>
      <c r="U549" s="1186"/>
      <c r="V549" s="1186"/>
      <c r="W549" s="1186"/>
      <c r="X549" s="1186"/>
      <c r="Y549" s="1186"/>
      <c r="Z549" s="1186"/>
      <c r="AA549" s="1186">
        <v>22.3</v>
      </c>
      <c r="AB549" s="1186">
        <v>5.7</v>
      </c>
      <c r="AC549" s="1186">
        <v>20</v>
      </c>
      <c r="AD549" s="1187">
        <v>3.6</v>
      </c>
    </row>
    <row r="550" spans="1:30" x14ac:dyDescent="0.2">
      <c r="A550">
        <f t="shared" si="42"/>
        <v>14</v>
      </c>
      <c r="B550">
        <v>541</v>
      </c>
      <c r="C550" s="1078">
        <v>4</v>
      </c>
      <c r="D550" s="1077" t="s">
        <v>3606</v>
      </c>
      <c r="E550" s="1077" t="s">
        <v>4133</v>
      </c>
      <c r="F550" s="1185">
        <v>3</v>
      </c>
      <c r="G550" s="1186"/>
      <c r="H550" s="1186"/>
      <c r="I550" s="1186"/>
      <c r="J550" s="1186"/>
      <c r="K550" s="1186"/>
      <c r="L550" s="1186"/>
      <c r="M550" s="1186"/>
      <c r="N550" s="1186"/>
      <c r="O550" s="1186"/>
      <c r="P550" s="1186"/>
      <c r="Q550" s="1186"/>
      <c r="R550" s="1186"/>
      <c r="S550" s="1186"/>
      <c r="T550" s="1186"/>
      <c r="U550" s="1186"/>
      <c r="V550" s="1186"/>
      <c r="W550" s="1186"/>
      <c r="X550" s="1186"/>
      <c r="Y550" s="1186"/>
      <c r="Z550" s="1186"/>
      <c r="AA550" s="1186">
        <v>35.6</v>
      </c>
      <c r="AB550" s="1186">
        <v>6.2</v>
      </c>
      <c r="AC550" s="1186">
        <v>32.1</v>
      </c>
      <c r="AD550" s="1187">
        <v>3.8</v>
      </c>
    </row>
    <row r="551" spans="1:30" x14ac:dyDescent="0.2">
      <c r="A551">
        <f t="shared" si="42"/>
        <v>14</v>
      </c>
      <c r="B551">
        <v>542</v>
      </c>
      <c r="C551" s="1078">
        <v>4</v>
      </c>
      <c r="D551" s="1077" t="s">
        <v>3606</v>
      </c>
      <c r="E551" s="1077" t="s">
        <v>4134</v>
      </c>
      <c r="F551" s="1185">
        <v>1</v>
      </c>
      <c r="G551" s="1186"/>
      <c r="H551" s="1186"/>
      <c r="I551" s="1186"/>
      <c r="J551" s="1186"/>
      <c r="K551" s="1186"/>
      <c r="L551" s="1186"/>
      <c r="M551" s="1186"/>
      <c r="N551" s="1186"/>
      <c r="O551" s="1186"/>
      <c r="P551" s="1186"/>
      <c r="Q551" s="1186"/>
      <c r="R551" s="1186"/>
      <c r="S551" s="1186"/>
      <c r="T551" s="1186"/>
      <c r="U551" s="1186"/>
      <c r="V551" s="1186"/>
      <c r="W551" s="1186"/>
      <c r="X551" s="1186"/>
      <c r="Y551" s="1186"/>
      <c r="Z551" s="1186"/>
      <c r="AA551" s="1186">
        <v>46.2</v>
      </c>
      <c r="AB551" s="1186">
        <v>5.8</v>
      </c>
      <c r="AC551" s="1186">
        <v>42.5</v>
      </c>
      <c r="AD551" s="1187">
        <v>3.7</v>
      </c>
    </row>
    <row r="552" spans="1:30" x14ac:dyDescent="0.2">
      <c r="A552">
        <f t="shared" si="42"/>
        <v>14</v>
      </c>
      <c r="B552">
        <v>543</v>
      </c>
      <c r="C552" s="1078">
        <v>4</v>
      </c>
      <c r="D552" s="1077" t="s">
        <v>3606</v>
      </c>
      <c r="E552" s="1077" t="s">
        <v>4135</v>
      </c>
      <c r="F552" s="1185">
        <v>1</v>
      </c>
      <c r="G552" s="1186"/>
      <c r="H552" s="1186"/>
      <c r="I552" s="1186"/>
      <c r="J552" s="1186"/>
      <c r="K552" s="1186"/>
      <c r="L552" s="1186"/>
      <c r="M552" s="1186"/>
      <c r="N552" s="1186"/>
      <c r="O552" s="1186"/>
      <c r="P552" s="1186"/>
      <c r="Q552" s="1186"/>
      <c r="R552" s="1186"/>
      <c r="S552" s="1186"/>
      <c r="T552" s="1186"/>
      <c r="U552" s="1186"/>
      <c r="V552" s="1186"/>
      <c r="W552" s="1186"/>
      <c r="X552" s="1186"/>
      <c r="Y552" s="1186"/>
      <c r="Z552" s="1186"/>
      <c r="AA552" s="1186">
        <v>47.6</v>
      </c>
      <c r="AB552" s="1186">
        <v>5.7</v>
      </c>
      <c r="AC552" s="1186">
        <v>41</v>
      </c>
      <c r="AD552" s="1187">
        <v>3.2</v>
      </c>
    </row>
    <row r="553" spans="1:30" x14ac:dyDescent="0.2">
      <c r="A553">
        <f t="shared" si="42"/>
        <v>14</v>
      </c>
      <c r="B553">
        <v>544</v>
      </c>
      <c r="C553" s="1078">
        <v>4</v>
      </c>
      <c r="D553" s="1077" t="s">
        <v>3606</v>
      </c>
      <c r="E553" s="1077" t="s">
        <v>4136</v>
      </c>
      <c r="F553" s="1185">
        <v>3</v>
      </c>
      <c r="G553" s="1186"/>
      <c r="H553" s="1186"/>
      <c r="I553" s="1186"/>
      <c r="J553" s="1186"/>
      <c r="K553" s="1186"/>
      <c r="L553" s="1186"/>
      <c r="M553" s="1186"/>
      <c r="N553" s="1186"/>
      <c r="O553" s="1186"/>
      <c r="P553" s="1186"/>
      <c r="Q553" s="1186"/>
      <c r="R553" s="1186"/>
      <c r="S553" s="1186"/>
      <c r="T553" s="1186"/>
      <c r="U553" s="1186"/>
      <c r="V553" s="1186"/>
      <c r="W553" s="1186"/>
      <c r="X553" s="1186"/>
      <c r="Y553" s="1186"/>
      <c r="Z553" s="1186"/>
      <c r="AA553" s="1186">
        <v>68.900000000000006</v>
      </c>
      <c r="AB553" s="1186">
        <v>6.2</v>
      </c>
      <c r="AC553" s="1186">
        <v>59.9</v>
      </c>
      <c r="AD553" s="1187">
        <v>3.7</v>
      </c>
    </row>
    <row r="554" spans="1:30" x14ac:dyDescent="0.2">
      <c r="A554">
        <f t="shared" si="42"/>
        <v>14</v>
      </c>
      <c r="B554">
        <v>545</v>
      </c>
      <c r="C554" s="1078">
        <v>4</v>
      </c>
      <c r="D554" s="1077" t="s">
        <v>3606</v>
      </c>
      <c r="E554" s="1077" t="s">
        <v>4137</v>
      </c>
      <c r="F554" s="1185">
        <v>3</v>
      </c>
      <c r="G554" s="1186"/>
      <c r="H554" s="1186"/>
      <c r="I554" s="1186"/>
      <c r="J554" s="1186"/>
      <c r="K554" s="1186"/>
      <c r="L554" s="1186"/>
      <c r="M554" s="1186"/>
      <c r="N554" s="1186"/>
      <c r="O554" s="1186"/>
      <c r="P554" s="1186"/>
      <c r="Q554" s="1186"/>
      <c r="R554" s="1186"/>
      <c r="S554" s="1186"/>
      <c r="T554" s="1186"/>
      <c r="U554" s="1186"/>
      <c r="V554" s="1186"/>
      <c r="W554" s="1186"/>
      <c r="X554" s="1186"/>
      <c r="Y554" s="1186"/>
      <c r="Z554" s="1186"/>
      <c r="AA554" s="1186">
        <v>98.9</v>
      </c>
      <c r="AB554" s="1186">
        <v>5.9</v>
      </c>
      <c r="AC554" s="1186">
        <v>89.9</v>
      </c>
      <c r="AD554" s="1187">
        <v>3.7</v>
      </c>
    </row>
    <row r="555" spans="1:30" x14ac:dyDescent="0.2">
      <c r="A555">
        <f t="shared" si="42"/>
        <v>15</v>
      </c>
      <c r="B555">
        <v>546</v>
      </c>
      <c r="C555" s="1078">
        <v>2</v>
      </c>
      <c r="D555" s="1077" t="s">
        <v>3915</v>
      </c>
      <c r="E555" s="1077" t="s">
        <v>4454</v>
      </c>
      <c r="F555" s="1185">
        <v>4</v>
      </c>
      <c r="G555" s="1186">
        <v>5.6</v>
      </c>
      <c r="H555" s="1186">
        <v>2.2999999999999998</v>
      </c>
      <c r="I555" s="1186">
        <v>6.72</v>
      </c>
      <c r="J555" s="1186">
        <v>2.64</v>
      </c>
      <c r="K555" s="1186">
        <v>4.25</v>
      </c>
      <c r="L555" s="1186">
        <v>3.7</v>
      </c>
      <c r="M555" s="1186">
        <v>3.39</v>
      </c>
      <c r="N555" s="1186">
        <v>4.2699999999999996</v>
      </c>
      <c r="O555" s="1186"/>
      <c r="P555" s="1186"/>
      <c r="Q555" s="1186">
        <v>5.6</v>
      </c>
      <c r="R555" s="1186">
        <v>2.2000000000000002</v>
      </c>
      <c r="S555" s="1186">
        <v>3.55</v>
      </c>
      <c r="T555" s="1186">
        <v>2.82</v>
      </c>
      <c r="U555" s="1186">
        <v>4</v>
      </c>
      <c r="V555" s="1186">
        <v>3.5</v>
      </c>
      <c r="W555" s="1186"/>
      <c r="X555" s="1186"/>
      <c r="Y555" s="1186"/>
      <c r="Z555" s="1186"/>
      <c r="AA555" s="1186"/>
      <c r="AB555" s="1186"/>
      <c r="AC555" s="1186"/>
      <c r="AD555" s="1187"/>
    </row>
    <row r="556" spans="1:30" x14ac:dyDescent="0.2">
      <c r="A556">
        <f t="shared" si="42"/>
        <v>15</v>
      </c>
      <c r="B556">
        <v>547</v>
      </c>
      <c r="C556" s="1078">
        <v>3</v>
      </c>
      <c r="D556" s="1077" t="s">
        <v>3915</v>
      </c>
      <c r="E556" s="1077" t="s">
        <v>4455</v>
      </c>
      <c r="F556" s="1185" t="s">
        <v>3913</v>
      </c>
      <c r="G556" s="1186"/>
      <c r="H556" s="1186"/>
      <c r="I556" s="1186"/>
      <c r="J556" s="1186"/>
      <c r="K556" s="1186"/>
      <c r="L556" s="1186"/>
      <c r="M556" s="1186"/>
      <c r="N556" s="1186"/>
      <c r="O556" s="1186"/>
      <c r="P556" s="1186"/>
      <c r="Q556" s="1186"/>
      <c r="R556" s="1186"/>
      <c r="S556" s="1186"/>
      <c r="T556" s="1186"/>
      <c r="U556" s="1186"/>
      <c r="V556" s="1186"/>
      <c r="W556" s="1186">
        <v>4</v>
      </c>
      <c r="X556" s="1186">
        <v>4.4000000000000004</v>
      </c>
      <c r="Y556" s="1186">
        <v>3.6</v>
      </c>
      <c r="Z556" s="1186">
        <v>2.9</v>
      </c>
      <c r="AA556" s="1186"/>
      <c r="AB556" s="1186"/>
      <c r="AC556" s="1186"/>
      <c r="AD556" s="1187"/>
    </row>
    <row r="557" spans="1:30" x14ac:dyDescent="0.2">
      <c r="A557">
        <f t="shared" si="42"/>
        <v>15</v>
      </c>
      <c r="B557">
        <v>548</v>
      </c>
      <c r="C557" s="1078">
        <v>3</v>
      </c>
      <c r="D557" s="1077" t="s">
        <v>3915</v>
      </c>
      <c r="E557" s="1077" t="s">
        <v>4456</v>
      </c>
      <c r="F557" s="1185" t="s">
        <v>3913</v>
      </c>
      <c r="G557" s="1186"/>
      <c r="H557" s="1186"/>
      <c r="I557" s="1186"/>
      <c r="J557" s="1186"/>
      <c r="K557" s="1186"/>
      <c r="L557" s="1186"/>
      <c r="M557" s="1186"/>
      <c r="N557" s="1186"/>
      <c r="O557" s="1186"/>
      <c r="P557" s="1186"/>
      <c r="Q557" s="1186"/>
      <c r="R557" s="1186"/>
      <c r="S557" s="1186"/>
      <c r="T557" s="1186"/>
      <c r="U557" s="1186"/>
      <c r="V557" s="1186"/>
      <c r="W557" s="1186">
        <v>5</v>
      </c>
      <c r="X557" s="1186">
        <v>4.3</v>
      </c>
      <c r="Y557" s="1186">
        <v>4.4000000000000004</v>
      </c>
      <c r="Z557" s="1186">
        <v>3</v>
      </c>
      <c r="AA557" s="1186"/>
      <c r="AB557" s="1186"/>
      <c r="AC557" s="1186"/>
      <c r="AD557" s="1187"/>
    </row>
    <row r="558" spans="1:30" x14ac:dyDescent="0.2">
      <c r="A558">
        <f t="shared" si="42"/>
        <v>15</v>
      </c>
      <c r="B558">
        <v>549</v>
      </c>
      <c r="C558" s="1078">
        <v>3</v>
      </c>
      <c r="D558" s="1077" t="s">
        <v>3915</v>
      </c>
      <c r="E558" s="1077" t="s">
        <v>4457</v>
      </c>
      <c r="F558" s="1185">
        <v>1</v>
      </c>
      <c r="G558" s="1186"/>
      <c r="H558" s="1186"/>
      <c r="I558" s="1186"/>
      <c r="J558" s="1186"/>
      <c r="K558" s="1186"/>
      <c r="L558" s="1186"/>
      <c r="M558" s="1186"/>
      <c r="N558" s="1186"/>
      <c r="O558" s="1186"/>
      <c r="P558" s="1186"/>
      <c r="Q558" s="1186"/>
      <c r="R558" s="1186"/>
      <c r="S558" s="1186"/>
      <c r="T558" s="1186"/>
      <c r="U558" s="1186"/>
      <c r="V558" s="1186"/>
      <c r="W558" s="1186">
        <v>7.2</v>
      </c>
      <c r="X558" s="1186">
        <v>4.4000000000000004</v>
      </c>
      <c r="Y558" s="1186">
        <v>6.5</v>
      </c>
      <c r="Z558" s="1186">
        <v>2.9</v>
      </c>
      <c r="AA558" s="1186"/>
      <c r="AB558" s="1186"/>
      <c r="AC558" s="1186"/>
      <c r="AD558" s="1187"/>
    </row>
    <row r="559" spans="1:30" x14ac:dyDescent="0.2">
      <c r="A559">
        <f t="shared" si="42"/>
        <v>15</v>
      </c>
      <c r="B559">
        <v>550</v>
      </c>
      <c r="C559" s="1078">
        <v>3</v>
      </c>
      <c r="D559" s="1077" t="s">
        <v>3915</v>
      </c>
      <c r="E559" s="1077" t="s">
        <v>4458</v>
      </c>
      <c r="F559" s="1185">
        <v>1</v>
      </c>
      <c r="G559" s="1186"/>
      <c r="H559" s="1186"/>
      <c r="I559" s="1186"/>
      <c r="J559" s="1186"/>
      <c r="K559" s="1186"/>
      <c r="L559" s="1186"/>
      <c r="M559" s="1186"/>
      <c r="N559" s="1186"/>
      <c r="O559" s="1186"/>
      <c r="P559" s="1186"/>
      <c r="Q559" s="1186"/>
      <c r="R559" s="1186"/>
      <c r="S559" s="1186"/>
      <c r="T559" s="1186"/>
      <c r="U559" s="1186"/>
      <c r="V559" s="1186"/>
      <c r="W559" s="1186">
        <v>9.5</v>
      </c>
      <c r="X559" s="1186">
        <v>4.5999999999999996</v>
      </c>
      <c r="Y559" s="1186">
        <v>8.6</v>
      </c>
      <c r="Z559" s="1186">
        <v>3</v>
      </c>
      <c r="AA559" s="1186"/>
      <c r="AB559" s="1186"/>
      <c r="AC559" s="1186"/>
      <c r="AD559" s="1187"/>
    </row>
    <row r="560" spans="1:30" x14ac:dyDescent="0.2">
      <c r="A560">
        <f t="shared" si="42"/>
        <v>16</v>
      </c>
      <c r="B560">
        <v>551</v>
      </c>
      <c r="C560" s="1078">
        <v>2</v>
      </c>
      <c r="D560" s="1077" t="s">
        <v>3601</v>
      </c>
      <c r="E560" s="1077" t="s">
        <v>4782</v>
      </c>
      <c r="F560" s="1185">
        <v>4</v>
      </c>
      <c r="G560" s="1186">
        <v>5.0999999999999996</v>
      </c>
      <c r="H560" s="1186">
        <v>2.6</v>
      </c>
      <c r="I560" s="1186">
        <v>6.3</v>
      </c>
      <c r="J560" s="1186">
        <v>3.1</v>
      </c>
      <c r="K560" s="1186">
        <v>4.9000000000000004</v>
      </c>
      <c r="L560" s="1186">
        <v>4.3</v>
      </c>
      <c r="M560" s="1186">
        <v>4.8</v>
      </c>
      <c r="N560" s="1186">
        <v>5</v>
      </c>
      <c r="O560" s="1186"/>
      <c r="P560" s="1186"/>
      <c r="Q560" s="1186">
        <v>4.2</v>
      </c>
      <c r="R560" s="1186">
        <v>2.2000000000000002</v>
      </c>
      <c r="S560" s="1186">
        <v>4.2</v>
      </c>
      <c r="T560" s="1186">
        <v>3</v>
      </c>
      <c r="U560" s="1186">
        <v>5</v>
      </c>
      <c r="V560" s="1186">
        <v>3.4</v>
      </c>
      <c r="W560" s="1186"/>
      <c r="X560" s="1186"/>
      <c r="Y560" s="1186"/>
      <c r="Z560" s="1186"/>
      <c r="AA560" s="1186"/>
      <c r="AB560" s="1186"/>
      <c r="AC560" s="1186"/>
      <c r="AD560" s="1187"/>
    </row>
    <row r="561" spans="1:30" x14ac:dyDescent="0.2">
      <c r="A561">
        <f t="shared" si="42"/>
        <v>16</v>
      </c>
      <c r="B561">
        <v>552</v>
      </c>
      <c r="C561" s="1081">
        <v>2</v>
      </c>
      <c r="D561" s="1082" t="s">
        <v>3601</v>
      </c>
      <c r="E561" s="1082" t="s">
        <v>4783</v>
      </c>
      <c r="F561" s="1188">
        <v>4</v>
      </c>
      <c r="G561" s="1189">
        <v>6.6</v>
      </c>
      <c r="H561" s="1189">
        <v>2.5</v>
      </c>
      <c r="I561" s="1189">
        <v>8.3000000000000007</v>
      </c>
      <c r="J561" s="1189">
        <v>3</v>
      </c>
      <c r="K561" s="1189">
        <v>5.7</v>
      </c>
      <c r="L561" s="1189">
        <v>4.2</v>
      </c>
      <c r="M561" s="1189">
        <v>5.7</v>
      </c>
      <c r="N561" s="1189">
        <v>5</v>
      </c>
      <c r="O561" s="1189"/>
      <c r="P561" s="1189"/>
      <c r="Q561" s="1189">
        <v>6.6</v>
      </c>
      <c r="R561" s="1189">
        <v>2.2999999999999998</v>
      </c>
      <c r="S561" s="1189">
        <v>5</v>
      </c>
      <c r="T561" s="1189">
        <v>3.1</v>
      </c>
      <c r="U561" s="1189">
        <v>7.1</v>
      </c>
      <c r="V561" s="1189">
        <v>3.7</v>
      </c>
      <c r="W561" s="1189"/>
      <c r="X561" s="1189"/>
      <c r="Y561" s="1189"/>
      <c r="Z561" s="1189"/>
      <c r="AA561" s="1189"/>
      <c r="AB561" s="1189"/>
      <c r="AC561" s="1189"/>
      <c r="AD561" s="1194"/>
    </row>
    <row r="562" spans="1:30" x14ac:dyDescent="0.2">
      <c r="A562">
        <f t="shared" si="42"/>
        <v>16</v>
      </c>
      <c r="B562">
        <v>553</v>
      </c>
      <c r="C562" s="1190">
        <v>2</v>
      </c>
      <c r="D562" s="1191" t="s">
        <v>3601</v>
      </c>
      <c r="E562" s="1191" t="s">
        <v>4784</v>
      </c>
      <c r="F562" s="1192">
        <v>4</v>
      </c>
      <c r="G562" s="1193">
        <v>8.1999999999999993</v>
      </c>
      <c r="H562" s="1193">
        <v>2.4</v>
      </c>
      <c r="I562" s="1193">
        <v>10.199999999999999</v>
      </c>
      <c r="J562" s="1193">
        <v>2.9</v>
      </c>
      <c r="K562" s="1193">
        <v>6.5</v>
      </c>
      <c r="L562" s="1193">
        <v>4.3</v>
      </c>
      <c r="M562" s="1193">
        <v>6.7</v>
      </c>
      <c r="N562" s="1193">
        <v>5</v>
      </c>
      <c r="O562" s="1193"/>
      <c r="P562" s="1193"/>
      <c r="Q562" s="1193">
        <v>7.2</v>
      </c>
      <c r="R562" s="1193">
        <v>2.2000000000000002</v>
      </c>
      <c r="S562" s="1193">
        <v>5.8</v>
      </c>
      <c r="T562" s="1193">
        <v>3.1</v>
      </c>
      <c r="U562" s="1193">
        <v>8.5</v>
      </c>
      <c r="V562" s="1193">
        <v>3.7</v>
      </c>
      <c r="W562" s="1193"/>
      <c r="X562" s="1193"/>
      <c r="Y562" s="1193"/>
      <c r="Z562" s="1193"/>
      <c r="AA562" s="1193"/>
      <c r="AB562" s="1193"/>
      <c r="AC562" s="1193"/>
      <c r="AD562" s="1195"/>
    </row>
    <row r="563" spans="1:30" x14ac:dyDescent="0.2">
      <c r="A563">
        <f t="shared" si="42"/>
        <v>16</v>
      </c>
      <c r="B563">
        <v>554</v>
      </c>
      <c r="C563" s="1078">
        <v>2</v>
      </c>
      <c r="D563" s="1077" t="s">
        <v>3601</v>
      </c>
      <c r="E563" s="1077" t="s">
        <v>4785</v>
      </c>
      <c r="F563" s="1185">
        <v>4</v>
      </c>
      <c r="G563" s="1186">
        <v>12</v>
      </c>
      <c r="H563" s="1186">
        <v>3.1</v>
      </c>
      <c r="I563" s="1186">
        <v>14.7</v>
      </c>
      <c r="J563" s="1186">
        <v>3.6</v>
      </c>
      <c r="K563" s="1186">
        <v>8</v>
      </c>
      <c r="L563" s="1186">
        <v>4</v>
      </c>
      <c r="M563" s="1186">
        <v>8</v>
      </c>
      <c r="N563" s="1186">
        <v>4.9000000000000004</v>
      </c>
      <c r="O563" s="1186"/>
      <c r="P563" s="1186"/>
      <c r="Q563" s="1186">
        <v>10.9</v>
      </c>
      <c r="R563" s="1186">
        <v>2.2000000000000002</v>
      </c>
      <c r="S563" s="1186">
        <v>7.4</v>
      </c>
      <c r="T563" s="1186">
        <v>3</v>
      </c>
      <c r="U563" s="1186">
        <v>8.8000000000000007</v>
      </c>
      <c r="V563" s="1186">
        <v>3.6</v>
      </c>
      <c r="W563" s="1186"/>
      <c r="X563" s="1186"/>
      <c r="Y563" s="1186"/>
      <c r="Z563" s="1186"/>
      <c r="AA563" s="1186"/>
      <c r="AB563" s="1186"/>
      <c r="AC563" s="1186"/>
      <c r="AD563" s="1187"/>
    </row>
    <row r="564" spans="1:30" x14ac:dyDescent="0.2">
      <c r="A564">
        <f t="shared" si="42"/>
        <v>16</v>
      </c>
      <c r="B564">
        <v>555</v>
      </c>
      <c r="C564" s="1078">
        <v>2</v>
      </c>
      <c r="D564" s="1077" t="s">
        <v>3601</v>
      </c>
      <c r="E564" s="1077" t="s">
        <v>4786</v>
      </c>
      <c r="F564" s="1185">
        <v>4</v>
      </c>
      <c r="G564" s="1186">
        <v>13.6</v>
      </c>
      <c r="H564" s="1186">
        <v>3</v>
      </c>
      <c r="I564" s="1186">
        <v>16.899999999999999</v>
      </c>
      <c r="J564" s="1186">
        <v>3.5</v>
      </c>
      <c r="K564" s="1186">
        <v>9.6</v>
      </c>
      <c r="L564" s="1186">
        <v>4.2</v>
      </c>
      <c r="M564" s="1186">
        <v>9.6</v>
      </c>
      <c r="N564" s="1186">
        <v>4.9000000000000004</v>
      </c>
      <c r="O564" s="1186"/>
      <c r="P564" s="1186"/>
      <c r="Q564" s="1186">
        <v>14.2</v>
      </c>
      <c r="R564" s="1186">
        <v>2.2999999999999998</v>
      </c>
      <c r="S564" s="1186">
        <v>8.6999999999999993</v>
      </c>
      <c r="T564" s="1186">
        <v>3.1</v>
      </c>
      <c r="U564" s="1186">
        <v>9.9</v>
      </c>
      <c r="V564" s="1186">
        <v>3.6</v>
      </c>
      <c r="W564" s="1186"/>
      <c r="X564" s="1186"/>
      <c r="Y564" s="1186"/>
      <c r="Z564" s="1186"/>
      <c r="AA564" s="1186"/>
      <c r="AB564" s="1186"/>
      <c r="AC564" s="1186"/>
      <c r="AD564" s="1187"/>
    </row>
    <row r="565" spans="1:30" x14ac:dyDescent="0.2">
      <c r="A565">
        <f t="shared" si="42"/>
        <v>16</v>
      </c>
      <c r="B565">
        <v>556</v>
      </c>
      <c r="C565" s="1078">
        <v>2</v>
      </c>
      <c r="D565" s="1077" t="s">
        <v>3601</v>
      </c>
      <c r="E565" s="1077" t="s">
        <v>5158</v>
      </c>
      <c r="F565" s="1185">
        <v>4</v>
      </c>
      <c r="G565" s="1186">
        <v>7.9</v>
      </c>
      <c r="H565" s="1186">
        <v>2.5</v>
      </c>
      <c r="I565" s="1186">
        <v>9.6999999999999993</v>
      </c>
      <c r="J565" s="1186">
        <v>2.9</v>
      </c>
      <c r="K565" s="1186">
        <v>5.4</v>
      </c>
      <c r="L565" s="1186">
        <v>4.47</v>
      </c>
      <c r="M565" s="1186">
        <v>5.0999999999999996</v>
      </c>
      <c r="N565" s="1186">
        <v>5.35</v>
      </c>
      <c r="O565" s="1186"/>
      <c r="P565" s="1186"/>
      <c r="Q565" s="1186">
        <v>7.7</v>
      </c>
      <c r="R565" s="1186">
        <v>2.29</v>
      </c>
      <c r="S565" s="1186">
        <v>4.8499999999999996</v>
      </c>
      <c r="T565" s="1186">
        <v>3.24</v>
      </c>
      <c r="U565" s="1186">
        <v>7.5</v>
      </c>
      <c r="V565" s="1186">
        <v>5</v>
      </c>
      <c r="W565" s="1186"/>
      <c r="X565" s="1186"/>
      <c r="Y565" s="1186"/>
      <c r="Z565" s="1186"/>
      <c r="AA565" s="1186"/>
      <c r="AB565" s="1186"/>
      <c r="AC565" s="1186"/>
      <c r="AD565" s="1187"/>
    </row>
    <row r="566" spans="1:30" x14ac:dyDescent="0.2">
      <c r="A566">
        <f t="shared" si="42"/>
        <v>16</v>
      </c>
      <c r="B566">
        <v>557</v>
      </c>
      <c r="C566" s="1078">
        <v>2</v>
      </c>
      <c r="D566" s="1077" t="s">
        <v>3601</v>
      </c>
      <c r="E566" s="1077" t="s">
        <v>5159</v>
      </c>
      <c r="F566" s="1185">
        <v>4</v>
      </c>
      <c r="G566" s="1186">
        <v>9.5</v>
      </c>
      <c r="H566" s="1186">
        <v>2.6</v>
      </c>
      <c r="I566" s="1186">
        <v>11.9</v>
      </c>
      <c r="J566" s="1186">
        <v>2.9</v>
      </c>
      <c r="K566" s="1186">
        <v>8.1999999999999993</v>
      </c>
      <c r="L566" s="1186">
        <v>4.47</v>
      </c>
      <c r="M566" s="1186">
        <v>7.15</v>
      </c>
      <c r="N566" s="1186">
        <v>5.4</v>
      </c>
      <c r="O566" s="1186"/>
      <c r="P566" s="1186"/>
      <c r="Q566" s="1186">
        <v>10.53</v>
      </c>
      <c r="R566" s="1186">
        <v>2.4</v>
      </c>
      <c r="S566" s="1186">
        <v>6.7</v>
      </c>
      <c r="T566" s="1186">
        <v>3.16</v>
      </c>
      <c r="U566" s="1186">
        <v>10.3</v>
      </c>
      <c r="V566" s="1186">
        <v>5.45</v>
      </c>
      <c r="W566" s="1186"/>
      <c r="X566" s="1186"/>
      <c r="Y566" s="1186"/>
      <c r="Z566" s="1186"/>
      <c r="AA566" s="1186"/>
      <c r="AB566" s="1186"/>
      <c r="AC566" s="1186"/>
      <c r="AD566" s="1187"/>
    </row>
    <row r="567" spans="1:30" x14ac:dyDescent="0.2">
      <c r="A567">
        <f t="shared" si="42"/>
        <v>16</v>
      </c>
      <c r="B567">
        <v>558</v>
      </c>
      <c r="C567" s="1078">
        <v>2</v>
      </c>
      <c r="D567" s="1077" t="s">
        <v>3601</v>
      </c>
      <c r="E567" s="1077" t="s">
        <v>5160</v>
      </c>
      <c r="F567" s="1185">
        <v>4</v>
      </c>
      <c r="G567" s="1186">
        <v>11.3</v>
      </c>
      <c r="H567" s="1186">
        <v>2.6</v>
      </c>
      <c r="I567" s="1186">
        <v>14.1</v>
      </c>
      <c r="J567" s="1186">
        <v>2.9</v>
      </c>
      <c r="K567" s="1186">
        <v>10.3</v>
      </c>
      <c r="L567" s="1186">
        <v>4.29</v>
      </c>
      <c r="M567" s="1186">
        <v>9.15</v>
      </c>
      <c r="N567" s="1186">
        <v>5.13</v>
      </c>
      <c r="O567" s="1186"/>
      <c r="P567" s="1186"/>
      <c r="Q567" s="1186">
        <v>13.3</v>
      </c>
      <c r="R567" s="1186">
        <v>2.0699999999999998</v>
      </c>
      <c r="S567" s="1186">
        <v>8.4</v>
      </c>
      <c r="T567" s="1186">
        <v>3.13</v>
      </c>
      <c r="U567" s="1186">
        <v>13.2</v>
      </c>
      <c r="V567" s="1186">
        <v>5.18</v>
      </c>
      <c r="W567" s="1186"/>
      <c r="X567" s="1186"/>
      <c r="Y567" s="1186"/>
      <c r="Z567" s="1186"/>
      <c r="AA567" s="1186"/>
      <c r="AB567" s="1186"/>
      <c r="AC567" s="1186"/>
      <c r="AD567" s="1187"/>
    </row>
    <row r="568" spans="1:30" x14ac:dyDescent="0.2">
      <c r="A568">
        <f t="shared" si="42"/>
        <v>16</v>
      </c>
      <c r="B568">
        <v>559</v>
      </c>
      <c r="C568" s="1078">
        <v>2</v>
      </c>
      <c r="D568" s="1077" t="s">
        <v>3601</v>
      </c>
      <c r="E568" s="1077" t="s">
        <v>5165</v>
      </c>
      <c r="F568" s="1185">
        <v>4</v>
      </c>
      <c r="G568" s="1186">
        <v>5.5</v>
      </c>
      <c r="H568" s="1186">
        <v>2.74</v>
      </c>
      <c r="I568" s="1186">
        <v>7</v>
      </c>
      <c r="J568" s="1186">
        <v>3.4</v>
      </c>
      <c r="K568" s="1186">
        <v>5</v>
      </c>
      <c r="L568" s="1186">
        <v>4.5</v>
      </c>
      <c r="M568" s="1186">
        <v>5.2</v>
      </c>
      <c r="N568" s="1186">
        <v>5.15</v>
      </c>
      <c r="O568" s="1186"/>
      <c r="P568" s="1186"/>
      <c r="Q568" s="1186">
        <v>6.51</v>
      </c>
      <c r="R568" s="1186">
        <v>2.2200000000000002</v>
      </c>
      <c r="S568" s="1186">
        <v>4.5999999999999996</v>
      </c>
      <c r="T568" s="1186">
        <v>2.93</v>
      </c>
      <c r="U568" s="1186">
        <v>6.59</v>
      </c>
      <c r="V568" s="1186">
        <v>4.6100000000000003</v>
      </c>
      <c r="W568" s="1186"/>
      <c r="X568" s="1186"/>
      <c r="Y568" s="1186"/>
      <c r="Z568" s="1186"/>
      <c r="AA568" s="1186"/>
      <c r="AB568" s="1186"/>
      <c r="AC568" s="1186"/>
      <c r="AD568" s="1187"/>
    </row>
    <row r="569" spans="1:30" x14ac:dyDescent="0.2">
      <c r="A569">
        <f t="shared" si="42"/>
        <v>16</v>
      </c>
      <c r="B569">
        <v>560</v>
      </c>
      <c r="C569" s="1078">
        <v>2</v>
      </c>
      <c r="D569" s="1077" t="s">
        <v>3601</v>
      </c>
      <c r="E569" s="1077" t="s">
        <v>5166</v>
      </c>
      <c r="F569" s="1185">
        <v>4</v>
      </c>
      <c r="G569" s="1186">
        <v>7.75</v>
      </c>
      <c r="H569" s="1186">
        <v>2.67</v>
      </c>
      <c r="I569" s="1186">
        <v>9.8000000000000007</v>
      </c>
      <c r="J569" s="1186">
        <v>3.18</v>
      </c>
      <c r="K569" s="1186">
        <v>6.57</v>
      </c>
      <c r="L569" s="1186">
        <v>4.24</v>
      </c>
      <c r="M569" s="1186">
        <v>7.95</v>
      </c>
      <c r="N569" s="1186">
        <v>5.2</v>
      </c>
      <c r="O569" s="1186"/>
      <c r="P569" s="1186"/>
      <c r="Q569" s="1186">
        <v>9.6300000000000008</v>
      </c>
      <c r="R569" s="1186">
        <v>2.2799999999999998</v>
      </c>
      <c r="S569" s="1186">
        <v>7.41</v>
      </c>
      <c r="T569" s="1186">
        <v>3.15</v>
      </c>
      <c r="U569" s="1186">
        <v>10.15</v>
      </c>
      <c r="V569" s="1186">
        <v>4.43</v>
      </c>
      <c r="W569" s="1186"/>
      <c r="X569" s="1186"/>
      <c r="Y569" s="1186"/>
      <c r="Z569" s="1186"/>
      <c r="AA569" s="1186"/>
      <c r="AB569" s="1186"/>
      <c r="AC569" s="1186"/>
      <c r="AD569" s="1187"/>
    </row>
    <row r="570" spans="1:30" x14ac:dyDescent="0.2">
      <c r="A570">
        <f t="shared" si="42"/>
        <v>16</v>
      </c>
      <c r="B570">
        <v>561</v>
      </c>
      <c r="C570" s="1078">
        <v>2</v>
      </c>
      <c r="D570" s="1082" t="s">
        <v>3601</v>
      </c>
      <c r="E570" s="1077" t="s">
        <v>5293</v>
      </c>
      <c r="F570" s="1185">
        <v>4</v>
      </c>
      <c r="G570" s="1186">
        <v>9.9</v>
      </c>
      <c r="H570" s="1186">
        <v>2.4</v>
      </c>
      <c r="I570" s="1186">
        <v>12.54</v>
      </c>
      <c r="J570" s="1186">
        <v>2.9</v>
      </c>
      <c r="K570" s="1186">
        <v>7.5</v>
      </c>
      <c r="L570" s="1186">
        <v>4.3</v>
      </c>
      <c r="M570" s="1186">
        <v>10.1</v>
      </c>
      <c r="N570" s="1186">
        <v>5.0999999999999996</v>
      </c>
      <c r="O570" s="1186"/>
      <c r="P570" s="1186"/>
      <c r="Q570" s="1186">
        <v>12</v>
      </c>
      <c r="R570" s="1186">
        <v>2.1</v>
      </c>
      <c r="S570" s="1186">
        <v>9.5</v>
      </c>
      <c r="T570" s="1186">
        <v>3.1</v>
      </c>
      <c r="U570" s="1186">
        <v>13.8</v>
      </c>
      <c r="V570" s="1186">
        <v>4.5999999999999996</v>
      </c>
      <c r="W570" s="1186"/>
      <c r="X570" s="1186"/>
      <c r="Y570" s="1186"/>
      <c r="Z570" s="1186"/>
      <c r="AA570" s="1186"/>
      <c r="AB570" s="1186"/>
      <c r="AC570" s="1186"/>
      <c r="AD570" s="1187"/>
    </row>
    <row r="571" spans="1:30" x14ac:dyDescent="0.2">
      <c r="A571">
        <f t="shared" si="42"/>
        <v>16</v>
      </c>
      <c r="B571">
        <v>562</v>
      </c>
      <c r="C571" s="1078">
        <v>2</v>
      </c>
      <c r="D571" s="1077" t="s">
        <v>3601</v>
      </c>
      <c r="E571" s="1077" t="s">
        <v>5254</v>
      </c>
      <c r="F571" s="1185">
        <v>4</v>
      </c>
      <c r="G571" s="1186">
        <v>11</v>
      </c>
      <c r="H571" s="1186">
        <v>2.7</v>
      </c>
      <c r="I571" s="1186">
        <v>14</v>
      </c>
      <c r="J571" s="1186">
        <v>3.4</v>
      </c>
      <c r="K571" s="1186">
        <v>10</v>
      </c>
      <c r="L571" s="1186">
        <v>4.5</v>
      </c>
      <c r="M571" s="1186">
        <v>10.4</v>
      </c>
      <c r="N571" s="1186">
        <v>5.15</v>
      </c>
      <c r="O571" s="1186"/>
      <c r="P571" s="1186"/>
      <c r="Q571" s="1186">
        <v>13</v>
      </c>
      <c r="R571" s="1186">
        <v>2.2000000000000002</v>
      </c>
      <c r="S571" s="1186">
        <v>9.1999999999999993</v>
      </c>
      <c r="T571" s="1186">
        <v>2.9</v>
      </c>
      <c r="U571" s="1186">
        <v>13.2</v>
      </c>
      <c r="V571" s="1186">
        <v>4.5999999999999996</v>
      </c>
      <c r="W571" s="1186"/>
      <c r="X571" s="1186"/>
      <c r="Y571" s="1186"/>
      <c r="Z571" s="1186"/>
      <c r="AA571" s="1186"/>
      <c r="AB571" s="1186"/>
      <c r="AC571" s="1186"/>
      <c r="AD571" s="1187"/>
    </row>
    <row r="572" spans="1:30" x14ac:dyDescent="0.2">
      <c r="A572">
        <f t="shared" si="42"/>
        <v>16</v>
      </c>
      <c r="B572">
        <v>563</v>
      </c>
      <c r="C572" s="1078">
        <v>2</v>
      </c>
      <c r="D572" s="1077" t="s">
        <v>3601</v>
      </c>
      <c r="E572" s="1077" t="s">
        <v>5255</v>
      </c>
      <c r="F572" s="1185">
        <v>4</v>
      </c>
      <c r="G572" s="1186">
        <v>15.6</v>
      </c>
      <c r="H572" s="1186">
        <v>2.7</v>
      </c>
      <c r="I572" s="1186">
        <v>19.399999999999999</v>
      </c>
      <c r="J572" s="1186">
        <v>3.2</v>
      </c>
      <c r="K572" s="1186">
        <v>13.1</v>
      </c>
      <c r="L572" s="1186">
        <v>4.2</v>
      </c>
      <c r="M572" s="1186">
        <v>15.9</v>
      </c>
      <c r="N572" s="1186">
        <v>5.2</v>
      </c>
      <c r="O572" s="1186"/>
      <c r="P572" s="1186"/>
      <c r="Q572" s="1186">
        <v>19.3</v>
      </c>
      <c r="R572" s="1186">
        <v>2.2999999999999998</v>
      </c>
      <c r="S572" s="1186">
        <v>14.8</v>
      </c>
      <c r="T572" s="1186">
        <v>3.2</v>
      </c>
      <c r="U572" s="1186">
        <v>20.3</v>
      </c>
      <c r="V572" s="1186">
        <v>4.4000000000000004</v>
      </c>
      <c r="W572" s="1186"/>
      <c r="X572" s="1186"/>
      <c r="Y572" s="1186"/>
      <c r="Z572" s="1186"/>
      <c r="AA572" s="1186"/>
      <c r="AB572" s="1186"/>
      <c r="AC572" s="1186"/>
      <c r="AD572" s="1187"/>
    </row>
    <row r="573" spans="1:30" x14ac:dyDescent="0.2">
      <c r="A573">
        <f t="shared" si="42"/>
        <v>16</v>
      </c>
      <c r="B573">
        <v>564</v>
      </c>
      <c r="C573" s="1078">
        <v>2</v>
      </c>
      <c r="D573" s="1082" t="s">
        <v>3601</v>
      </c>
      <c r="E573" s="1077" t="s">
        <v>5403</v>
      </c>
      <c r="F573" s="1185">
        <v>4</v>
      </c>
      <c r="G573" s="1186">
        <v>5.5</v>
      </c>
      <c r="H573" s="1186">
        <v>2.4</v>
      </c>
      <c r="I573" s="1186">
        <v>6.8</v>
      </c>
      <c r="J573" s="1186">
        <v>3</v>
      </c>
      <c r="K573" s="1186">
        <v>5.2</v>
      </c>
      <c r="L573" s="1186">
        <v>4.54</v>
      </c>
      <c r="M573" s="1186">
        <v>4.5</v>
      </c>
      <c r="N573" s="1186">
        <v>5.5</v>
      </c>
      <c r="O573" s="1186"/>
      <c r="P573" s="1186"/>
      <c r="Q573" s="1186">
        <v>5.7</v>
      </c>
      <c r="R573" s="1186">
        <v>2</v>
      </c>
      <c r="S573" s="1186">
        <v>4.3</v>
      </c>
      <c r="T573" s="1186">
        <v>3.4</v>
      </c>
      <c r="U573" s="1186">
        <v>4.5</v>
      </c>
      <c r="V573" s="1186">
        <v>3.9</v>
      </c>
      <c r="W573" s="1186"/>
      <c r="X573" s="1186"/>
      <c r="Y573" s="1186"/>
      <c r="Z573" s="1186"/>
      <c r="AA573" s="1186"/>
      <c r="AB573" s="1186"/>
      <c r="AC573" s="1186"/>
      <c r="AD573" s="1187"/>
    </row>
    <row r="574" spans="1:30" x14ac:dyDescent="0.2">
      <c r="A574">
        <f t="shared" si="42"/>
        <v>16</v>
      </c>
      <c r="B574">
        <v>565</v>
      </c>
      <c r="C574" s="1078">
        <v>2</v>
      </c>
      <c r="D574" s="1082" t="s">
        <v>3601</v>
      </c>
      <c r="E574" s="1077" t="s">
        <v>5404</v>
      </c>
      <c r="F574" s="1185">
        <v>4</v>
      </c>
      <c r="G574" s="1186">
        <v>7.8</v>
      </c>
      <c r="H574" s="1186">
        <v>2.5</v>
      </c>
      <c r="I574" s="1186">
        <v>9.8000000000000007</v>
      </c>
      <c r="J574" s="1186">
        <v>3.1</v>
      </c>
      <c r="K574" s="1186">
        <v>5.8</v>
      </c>
      <c r="L574" s="1186">
        <v>4.6500000000000004</v>
      </c>
      <c r="M574" s="1186">
        <v>4.0999999999999996</v>
      </c>
      <c r="N574" s="1186">
        <v>5.7</v>
      </c>
      <c r="O574" s="1186"/>
      <c r="P574" s="1186"/>
      <c r="Q574" s="1186">
        <v>7.7</v>
      </c>
      <c r="R574" s="1186">
        <v>2.1</v>
      </c>
      <c r="S574" s="1186">
        <v>6.1</v>
      </c>
      <c r="T574" s="1186">
        <v>3.5</v>
      </c>
      <c r="U574" s="1186">
        <v>6.4</v>
      </c>
      <c r="V574" s="1186">
        <v>4.4000000000000004</v>
      </c>
      <c r="W574" s="1186"/>
      <c r="X574" s="1186"/>
      <c r="Y574" s="1186"/>
      <c r="Z574" s="1186"/>
      <c r="AA574" s="1186"/>
      <c r="AB574" s="1186"/>
      <c r="AC574" s="1186"/>
      <c r="AD574" s="1187"/>
    </row>
    <row r="575" spans="1:30" x14ac:dyDescent="0.2">
      <c r="A575">
        <f t="shared" si="42"/>
        <v>16</v>
      </c>
      <c r="B575">
        <v>566</v>
      </c>
      <c r="C575" s="1081">
        <v>2</v>
      </c>
      <c r="D575" s="1082" t="s">
        <v>3601</v>
      </c>
      <c r="E575" s="1082" t="s">
        <v>5609</v>
      </c>
      <c r="F575" s="1188">
        <v>4</v>
      </c>
      <c r="G575" s="1189">
        <v>13.3</v>
      </c>
      <c r="H575" s="1189">
        <v>2.5</v>
      </c>
      <c r="I575" s="1189">
        <v>16.7</v>
      </c>
      <c r="J575" s="1189">
        <v>3</v>
      </c>
      <c r="K575" s="1189">
        <v>9.9</v>
      </c>
      <c r="L575" s="1189">
        <v>4.5999999999999996</v>
      </c>
      <c r="M575" s="1189">
        <v>7.3</v>
      </c>
      <c r="N575" s="1189">
        <v>5.7</v>
      </c>
      <c r="O575" s="1189"/>
      <c r="P575" s="1189"/>
      <c r="Q575" s="1189">
        <v>9.6</v>
      </c>
      <c r="R575" s="1189">
        <v>2.2000000000000002</v>
      </c>
      <c r="S575" s="1189">
        <v>13.1</v>
      </c>
      <c r="T575" s="1189">
        <v>3.1</v>
      </c>
      <c r="U575" s="1189">
        <v>13.1</v>
      </c>
      <c r="V575" s="1189">
        <v>4</v>
      </c>
      <c r="W575" s="1189"/>
      <c r="X575" s="1189"/>
      <c r="Y575" s="1189"/>
      <c r="Z575" s="1189"/>
      <c r="AA575" s="1189"/>
      <c r="AB575" s="1189"/>
      <c r="AC575" s="1189"/>
      <c r="AD575" s="1194"/>
    </row>
    <row r="576" spans="1:30" x14ac:dyDescent="0.2">
      <c r="A576">
        <f t="shared" si="42"/>
        <v>16</v>
      </c>
      <c r="B576">
        <v>567</v>
      </c>
      <c r="C576" s="1190">
        <v>2</v>
      </c>
      <c r="D576" s="1082" t="s">
        <v>3601</v>
      </c>
      <c r="E576" s="1191" t="s">
        <v>5610</v>
      </c>
      <c r="F576" s="1192">
        <v>4</v>
      </c>
      <c r="G576" s="1193">
        <v>16.8</v>
      </c>
      <c r="H576" s="1193">
        <v>2.4</v>
      </c>
      <c r="I576" s="1193">
        <v>20.399999999999999</v>
      </c>
      <c r="J576" s="1193">
        <v>2.8</v>
      </c>
      <c r="K576" s="1193">
        <v>11.9</v>
      </c>
      <c r="L576" s="1193">
        <v>4.4000000000000004</v>
      </c>
      <c r="M576" s="1193">
        <v>9.6999999999999993</v>
      </c>
      <c r="N576" s="1193">
        <v>5.7</v>
      </c>
      <c r="O576" s="1193"/>
      <c r="P576" s="1193"/>
      <c r="Q576" s="1193">
        <v>12.9</v>
      </c>
      <c r="R576" s="1193">
        <v>2.2000000000000002</v>
      </c>
      <c r="S576" s="1193">
        <v>15.8</v>
      </c>
      <c r="T576" s="1193">
        <v>3.1</v>
      </c>
      <c r="U576" s="1193">
        <v>16.100000000000001</v>
      </c>
      <c r="V576" s="1193">
        <v>3.9</v>
      </c>
      <c r="W576" s="1193"/>
      <c r="X576" s="1193"/>
      <c r="Y576" s="1193"/>
      <c r="Z576" s="1193"/>
      <c r="AA576" s="1193"/>
      <c r="AB576" s="1193"/>
      <c r="AC576" s="1193"/>
      <c r="AD576" s="1195"/>
    </row>
    <row r="577" spans="1:30" x14ac:dyDescent="0.2">
      <c r="A577">
        <f t="shared" si="42"/>
        <v>16</v>
      </c>
      <c r="B577">
        <v>568</v>
      </c>
      <c r="C577" s="1081">
        <v>2</v>
      </c>
      <c r="D577" s="1082" t="s">
        <v>3601</v>
      </c>
      <c r="E577" s="1082" t="s">
        <v>5256</v>
      </c>
      <c r="F577" s="1188">
        <v>4</v>
      </c>
      <c r="G577" s="1189">
        <v>3.53</v>
      </c>
      <c r="H577" s="1189">
        <v>2.31</v>
      </c>
      <c r="I577" s="1189">
        <v>4.5</v>
      </c>
      <c r="J577" s="1189">
        <v>2.9</v>
      </c>
      <c r="K577" s="1189">
        <v>2.8</v>
      </c>
      <c r="L577" s="1189">
        <v>4.0999999999999996</v>
      </c>
      <c r="M577" s="1189">
        <v>3.5</v>
      </c>
      <c r="N577" s="1189">
        <v>5.0999999999999996</v>
      </c>
      <c r="O577" s="1189"/>
      <c r="P577" s="1189"/>
      <c r="Q577" s="1189">
        <v>3.35</v>
      </c>
      <c r="R577" s="1189">
        <v>2</v>
      </c>
      <c r="S577" s="1189">
        <v>3</v>
      </c>
      <c r="T577" s="1189">
        <v>2.7</v>
      </c>
      <c r="U577" s="1189">
        <v>3.2</v>
      </c>
      <c r="V577" s="1189">
        <v>3.2</v>
      </c>
      <c r="W577" s="1189"/>
      <c r="X577" s="1189"/>
      <c r="Y577" s="1189"/>
      <c r="Z577" s="1189"/>
      <c r="AA577" s="1189"/>
      <c r="AB577" s="1189"/>
      <c r="AC577" s="1189"/>
      <c r="AD577" s="1194"/>
    </row>
    <row r="578" spans="1:30" x14ac:dyDescent="0.2">
      <c r="A578">
        <f t="shared" si="42"/>
        <v>16</v>
      </c>
      <c r="B578">
        <v>569</v>
      </c>
      <c r="C578" s="1190">
        <v>2</v>
      </c>
      <c r="D578" s="1191" t="s">
        <v>3601</v>
      </c>
      <c r="E578" s="1191" t="s">
        <v>5257</v>
      </c>
      <c r="F578" s="1192">
        <v>4</v>
      </c>
      <c r="G578" s="1193">
        <v>4.4000000000000004</v>
      </c>
      <c r="H578" s="1193">
        <v>2.2000000000000002</v>
      </c>
      <c r="I578" s="1193">
        <v>5.2</v>
      </c>
      <c r="J578" s="1193">
        <v>2.7</v>
      </c>
      <c r="K578" s="1193">
        <v>3.4</v>
      </c>
      <c r="L578" s="1193">
        <v>3.8</v>
      </c>
      <c r="M578" s="1193">
        <v>5</v>
      </c>
      <c r="N578" s="1193">
        <v>5</v>
      </c>
      <c r="O578" s="1193"/>
      <c r="P578" s="1193"/>
      <c r="Q578" s="1193">
        <v>4.6500000000000004</v>
      </c>
      <c r="R578" s="1193">
        <v>2.1</v>
      </c>
      <c r="S578" s="1193">
        <v>3.8</v>
      </c>
      <c r="T578" s="1193">
        <v>2.8</v>
      </c>
      <c r="U578" s="1193">
        <v>4.3</v>
      </c>
      <c r="V578" s="1193">
        <v>3.6</v>
      </c>
      <c r="W578" s="1193"/>
      <c r="X578" s="1193"/>
      <c r="Y578" s="1193"/>
      <c r="Z578" s="1193"/>
      <c r="AA578" s="1193"/>
      <c r="AB578" s="1193"/>
      <c r="AC578" s="1193"/>
      <c r="AD578" s="1195"/>
    </row>
    <row r="579" spans="1:30" x14ac:dyDescent="0.2">
      <c r="A579">
        <f t="shared" si="42"/>
        <v>16</v>
      </c>
      <c r="B579">
        <v>570</v>
      </c>
      <c r="C579" s="1078">
        <v>2</v>
      </c>
      <c r="D579" s="1077" t="s">
        <v>3601</v>
      </c>
      <c r="E579" s="1077" t="s">
        <v>5258</v>
      </c>
      <c r="F579" s="1185">
        <v>4</v>
      </c>
      <c r="G579" s="1186">
        <v>6.9</v>
      </c>
      <c r="H579" s="1186">
        <v>2.2000000000000002</v>
      </c>
      <c r="I579" s="1186">
        <v>8.5</v>
      </c>
      <c r="J579" s="1186">
        <v>2.7</v>
      </c>
      <c r="K579" s="1186">
        <v>4.9000000000000004</v>
      </c>
      <c r="L579" s="1186">
        <v>4.0999999999999996</v>
      </c>
      <c r="M579" s="1186">
        <v>8</v>
      </c>
      <c r="N579" s="1186">
        <v>4.8</v>
      </c>
      <c r="O579" s="1186"/>
      <c r="P579" s="1186"/>
      <c r="Q579" s="1186">
        <v>6.6</v>
      </c>
      <c r="R579" s="1186">
        <v>2.1</v>
      </c>
      <c r="S579" s="1186">
        <v>5.8</v>
      </c>
      <c r="T579" s="1186">
        <v>3</v>
      </c>
      <c r="U579" s="1186">
        <v>6.2</v>
      </c>
      <c r="V579" s="1186">
        <v>3.8</v>
      </c>
      <c r="W579" s="1186"/>
      <c r="X579" s="1186"/>
      <c r="Y579" s="1186"/>
      <c r="Z579" s="1186"/>
      <c r="AA579" s="1186"/>
      <c r="AB579" s="1186"/>
      <c r="AC579" s="1186"/>
      <c r="AD579" s="1187"/>
    </row>
    <row r="580" spans="1:30" x14ac:dyDescent="0.2">
      <c r="A580">
        <f t="shared" si="42"/>
        <v>16</v>
      </c>
      <c r="B580">
        <v>571</v>
      </c>
      <c r="C580" s="1078">
        <v>2</v>
      </c>
      <c r="D580" s="1077" t="s">
        <v>3601</v>
      </c>
      <c r="E580" s="1077" t="s">
        <v>5259</v>
      </c>
      <c r="F580" s="1185">
        <v>4</v>
      </c>
      <c r="G580" s="1186">
        <v>8.1</v>
      </c>
      <c r="H580" s="1186">
        <v>2.2000000000000002</v>
      </c>
      <c r="I580" s="1186">
        <v>11.5</v>
      </c>
      <c r="J580" s="1186">
        <v>2.9</v>
      </c>
      <c r="K580" s="1186">
        <v>6.8</v>
      </c>
      <c r="L580" s="1186">
        <v>4.3</v>
      </c>
      <c r="M580" s="1186">
        <v>12</v>
      </c>
      <c r="N580" s="1186">
        <v>4.9000000000000004</v>
      </c>
      <c r="O580" s="1186"/>
      <c r="P580" s="1186"/>
      <c r="Q580" s="1186">
        <v>8.4</v>
      </c>
      <c r="R580" s="1186">
        <v>2.2999999999999998</v>
      </c>
      <c r="S580" s="1186">
        <v>7.7</v>
      </c>
      <c r="T580" s="1186">
        <v>3.2</v>
      </c>
      <c r="U580" s="1186">
        <v>8.1</v>
      </c>
      <c r="V580" s="1186">
        <v>4.25</v>
      </c>
      <c r="W580" s="1186"/>
      <c r="X580" s="1186"/>
      <c r="Y580" s="1186"/>
      <c r="Z580" s="1186"/>
      <c r="AA580" s="1186"/>
      <c r="AB580" s="1186"/>
      <c r="AC580" s="1186"/>
      <c r="AD580" s="1187"/>
    </row>
    <row r="581" spans="1:30" x14ac:dyDescent="0.2">
      <c r="A581">
        <f t="shared" si="42"/>
        <v>16</v>
      </c>
      <c r="B581">
        <v>572</v>
      </c>
      <c r="C581" s="1078">
        <v>2</v>
      </c>
      <c r="D581" s="1077" t="s">
        <v>3601</v>
      </c>
      <c r="E581" s="1077" t="s">
        <v>5260</v>
      </c>
      <c r="F581" s="1185">
        <v>4</v>
      </c>
      <c r="G581" s="1186">
        <v>10.199999999999999</v>
      </c>
      <c r="H581" s="1186">
        <v>2.2000000000000002</v>
      </c>
      <c r="I581" s="1186">
        <v>13.8</v>
      </c>
      <c r="J581" s="1186">
        <v>2.9</v>
      </c>
      <c r="K581" s="1186">
        <v>8</v>
      </c>
      <c r="L581" s="1186">
        <v>4.2</v>
      </c>
      <c r="M581" s="1186">
        <v>15</v>
      </c>
      <c r="N581" s="1186">
        <v>4.7</v>
      </c>
      <c r="O581" s="1186"/>
      <c r="P581" s="1186"/>
      <c r="Q581" s="1186">
        <v>10.3</v>
      </c>
      <c r="R581" s="1186">
        <v>2.2999999999999998</v>
      </c>
      <c r="S581" s="1186">
        <v>9.5</v>
      </c>
      <c r="T581" s="1186">
        <v>3.2</v>
      </c>
      <c r="U581" s="1186">
        <v>10.1</v>
      </c>
      <c r="V581" s="1186">
        <v>3.9</v>
      </c>
      <c r="W581" s="1186"/>
      <c r="X581" s="1186"/>
      <c r="Y581" s="1186"/>
      <c r="Z581" s="1186"/>
      <c r="AA581" s="1186"/>
      <c r="AB581" s="1186"/>
      <c r="AC581" s="1186"/>
      <c r="AD581" s="1187"/>
    </row>
    <row r="582" spans="1:30" x14ac:dyDescent="0.2">
      <c r="A582">
        <f t="shared" si="42"/>
        <v>16</v>
      </c>
      <c r="B582">
        <v>573</v>
      </c>
      <c r="C582" s="1078">
        <v>2</v>
      </c>
      <c r="D582" s="1077" t="s">
        <v>3601</v>
      </c>
      <c r="E582" s="1077" t="s">
        <v>4138</v>
      </c>
      <c r="F582" s="1185">
        <v>1</v>
      </c>
      <c r="G582" s="1186">
        <v>12</v>
      </c>
      <c r="H582" s="1186">
        <v>2.2999999999999998</v>
      </c>
      <c r="I582" s="1186">
        <v>14.6</v>
      </c>
      <c r="J582" s="1186">
        <v>2.6</v>
      </c>
      <c r="K582" s="1186">
        <v>18.899999999999999</v>
      </c>
      <c r="L582" s="1186">
        <v>3.2</v>
      </c>
      <c r="M582" s="1186">
        <v>22.4</v>
      </c>
      <c r="N582" s="1186">
        <v>3.7</v>
      </c>
      <c r="O582" s="1186">
        <v>28.4</v>
      </c>
      <c r="P582" s="1186">
        <v>4.3</v>
      </c>
      <c r="Q582" s="1186">
        <v>14.9</v>
      </c>
      <c r="R582" s="1186">
        <v>2.1</v>
      </c>
      <c r="S582" s="1186">
        <v>21.6</v>
      </c>
      <c r="T582" s="1186">
        <v>2.7</v>
      </c>
      <c r="U582" s="1186">
        <v>27.2</v>
      </c>
      <c r="V582" s="1186">
        <v>3.2</v>
      </c>
      <c r="W582" s="1186"/>
      <c r="X582" s="1186"/>
      <c r="Y582" s="1186"/>
      <c r="Z582" s="1186"/>
      <c r="AA582" s="1186"/>
      <c r="AB582" s="1186"/>
      <c r="AC582" s="1186"/>
      <c r="AD582" s="1187"/>
    </row>
    <row r="583" spans="1:30" x14ac:dyDescent="0.2">
      <c r="A583">
        <f t="shared" si="42"/>
        <v>16</v>
      </c>
      <c r="B583">
        <v>574</v>
      </c>
      <c r="C583" s="1078">
        <v>2</v>
      </c>
      <c r="D583" s="1077" t="s">
        <v>3601</v>
      </c>
      <c r="E583" s="1077" t="s">
        <v>4139</v>
      </c>
      <c r="F583" s="1185">
        <v>1</v>
      </c>
      <c r="G583" s="1186">
        <v>17.100000000000001</v>
      </c>
      <c r="H583" s="1186">
        <v>2.2999999999999998</v>
      </c>
      <c r="I583" s="1186">
        <v>20</v>
      </c>
      <c r="J583" s="1186">
        <v>2.7</v>
      </c>
      <c r="K583" s="1186">
        <v>24.4</v>
      </c>
      <c r="L583" s="1186">
        <v>3.3</v>
      </c>
      <c r="M583" s="1186">
        <v>30.8</v>
      </c>
      <c r="N583" s="1186">
        <v>4.0999999999999996</v>
      </c>
      <c r="O583" s="1186">
        <v>38.200000000000003</v>
      </c>
      <c r="P583" s="1186">
        <v>5</v>
      </c>
      <c r="Q583" s="1186">
        <v>21</v>
      </c>
      <c r="R583" s="1186">
        <v>1.9</v>
      </c>
      <c r="S583" s="1186">
        <v>30.1</v>
      </c>
      <c r="T583" s="1186">
        <v>2.7</v>
      </c>
      <c r="U583" s="1186">
        <v>36.4</v>
      </c>
      <c r="V583" s="1186">
        <v>3.2</v>
      </c>
      <c r="W583" s="1186"/>
      <c r="X583" s="1186"/>
      <c r="Y583" s="1186"/>
      <c r="Z583" s="1186"/>
      <c r="AA583" s="1186"/>
      <c r="AB583" s="1186"/>
      <c r="AC583" s="1186"/>
      <c r="AD583" s="1187"/>
    </row>
    <row r="584" spans="1:30" x14ac:dyDescent="0.2">
      <c r="A584">
        <f t="shared" si="42"/>
        <v>16</v>
      </c>
      <c r="B584">
        <v>575</v>
      </c>
      <c r="C584" s="1078">
        <v>2</v>
      </c>
      <c r="D584" s="1077" t="s">
        <v>3601</v>
      </c>
      <c r="E584" s="1077" t="s">
        <v>4140</v>
      </c>
      <c r="F584" s="1185">
        <v>1</v>
      </c>
      <c r="G584" s="1186">
        <v>19.3</v>
      </c>
      <c r="H584" s="1186">
        <v>2.2000000000000002</v>
      </c>
      <c r="I584" s="1186">
        <v>24.4</v>
      </c>
      <c r="J584" s="1186">
        <v>2.8</v>
      </c>
      <c r="K584" s="1186">
        <v>30.2</v>
      </c>
      <c r="L584" s="1186">
        <v>3.4</v>
      </c>
      <c r="M584" s="1186">
        <v>37.9</v>
      </c>
      <c r="N584" s="1186">
        <v>4.3</v>
      </c>
      <c r="O584" s="1186">
        <v>47.2</v>
      </c>
      <c r="P584" s="1186">
        <v>5</v>
      </c>
      <c r="Q584" s="1186">
        <v>28.1</v>
      </c>
      <c r="R584" s="1186">
        <v>2.1</v>
      </c>
      <c r="S584" s="1186">
        <v>37.200000000000003</v>
      </c>
      <c r="T584" s="1186">
        <v>2.7</v>
      </c>
      <c r="U584" s="1186">
        <v>44.9</v>
      </c>
      <c r="V584" s="1186">
        <v>3.3</v>
      </c>
      <c r="W584" s="1186"/>
      <c r="X584" s="1186"/>
      <c r="Y584" s="1186"/>
      <c r="Z584" s="1186"/>
      <c r="AA584" s="1186"/>
      <c r="AB584" s="1186"/>
      <c r="AC584" s="1186"/>
      <c r="AD584" s="1187"/>
    </row>
    <row r="585" spans="1:30" x14ac:dyDescent="0.2">
      <c r="A585">
        <f t="shared" si="42"/>
        <v>16</v>
      </c>
      <c r="B585">
        <v>576</v>
      </c>
      <c r="C585" s="1078">
        <v>2</v>
      </c>
      <c r="D585" s="1077" t="s">
        <v>3601</v>
      </c>
      <c r="E585" s="1077" t="s">
        <v>4141</v>
      </c>
      <c r="F585" s="1185">
        <v>1</v>
      </c>
      <c r="G585" s="1186">
        <v>21</v>
      </c>
      <c r="H585" s="1186">
        <v>2.6</v>
      </c>
      <c r="I585" s="1186">
        <v>26.1</v>
      </c>
      <c r="J585" s="1186">
        <v>3</v>
      </c>
      <c r="K585" s="1186">
        <v>33.4</v>
      </c>
      <c r="L585" s="1186">
        <v>3.6</v>
      </c>
      <c r="M585" s="1186">
        <v>39.6</v>
      </c>
      <c r="N585" s="1186">
        <v>4.0999999999999996</v>
      </c>
      <c r="O585" s="1186">
        <v>50</v>
      </c>
      <c r="P585" s="1186">
        <v>4.7</v>
      </c>
      <c r="Q585" s="1186">
        <v>25.7</v>
      </c>
      <c r="R585" s="1186">
        <v>2.2999999999999998</v>
      </c>
      <c r="S585" s="1186">
        <v>37.9</v>
      </c>
      <c r="T585" s="1186">
        <v>2.9</v>
      </c>
      <c r="U585" s="1186">
        <v>47.8</v>
      </c>
      <c r="V585" s="1186">
        <v>3.4</v>
      </c>
      <c r="W585" s="1186"/>
      <c r="X585" s="1186"/>
      <c r="Y585" s="1186"/>
      <c r="Z585" s="1186"/>
      <c r="AA585" s="1186"/>
      <c r="AB585" s="1186"/>
      <c r="AC585" s="1186"/>
      <c r="AD585" s="1187"/>
    </row>
    <row r="586" spans="1:30" x14ac:dyDescent="0.2">
      <c r="A586">
        <f t="shared" si="42"/>
        <v>16</v>
      </c>
      <c r="B586">
        <v>577</v>
      </c>
      <c r="C586" s="1078">
        <v>2</v>
      </c>
      <c r="D586" s="1077" t="s">
        <v>3601</v>
      </c>
      <c r="E586" s="1077" t="s">
        <v>5161</v>
      </c>
      <c r="F586" s="1185">
        <v>4</v>
      </c>
      <c r="G586" s="1186">
        <v>3.53</v>
      </c>
      <c r="H586" s="1186">
        <v>2.31</v>
      </c>
      <c r="I586" s="1186">
        <v>4.5</v>
      </c>
      <c r="J586" s="1186">
        <v>2.9</v>
      </c>
      <c r="K586" s="1186">
        <v>2.8</v>
      </c>
      <c r="L586" s="1186">
        <v>4.0999999999999996</v>
      </c>
      <c r="M586" s="1186">
        <v>3.5</v>
      </c>
      <c r="N586" s="1186">
        <v>5.0999999999999996</v>
      </c>
      <c r="O586" s="1186"/>
      <c r="P586" s="1186"/>
      <c r="Q586" s="1186">
        <v>3.35</v>
      </c>
      <c r="R586" s="1186">
        <v>2</v>
      </c>
      <c r="S586" s="1186">
        <v>2.95</v>
      </c>
      <c r="T586" s="1186">
        <v>2.7</v>
      </c>
      <c r="U586" s="1186"/>
      <c r="V586" s="1186"/>
      <c r="W586" s="1186"/>
      <c r="X586" s="1186"/>
      <c r="Y586" s="1186"/>
      <c r="Z586" s="1186"/>
      <c r="AA586" s="1186"/>
      <c r="AB586" s="1186"/>
      <c r="AC586" s="1186"/>
      <c r="AD586" s="1187"/>
    </row>
    <row r="587" spans="1:30" x14ac:dyDescent="0.2">
      <c r="A587">
        <f t="shared" si="42"/>
        <v>16</v>
      </c>
      <c r="B587">
        <v>578</v>
      </c>
      <c r="C587" s="1078">
        <v>2</v>
      </c>
      <c r="D587" s="1077" t="s">
        <v>3601</v>
      </c>
      <c r="E587" s="1077" t="s">
        <v>5162</v>
      </c>
      <c r="F587" s="1185">
        <v>4</v>
      </c>
      <c r="G587" s="1186">
        <v>4.4000000000000004</v>
      </c>
      <c r="H587" s="1186">
        <v>2.16</v>
      </c>
      <c r="I587" s="1186">
        <v>5.2</v>
      </c>
      <c r="J587" s="1186">
        <v>2.7</v>
      </c>
      <c r="K587" s="1186">
        <v>3.4</v>
      </c>
      <c r="L587" s="1186">
        <v>3.75</v>
      </c>
      <c r="M587" s="1186">
        <v>5</v>
      </c>
      <c r="N587" s="1186">
        <v>5</v>
      </c>
      <c r="O587" s="1186"/>
      <c r="P587" s="1186"/>
      <c r="Q587" s="1186">
        <v>4.6500000000000004</v>
      </c>
      <c r="R587" s="1186">
        <v>2.0499999999999998</v>
      </c>
      <c r="S587" s="1186">
        <v>3.8</v>
      </c>
      <c r="T587" s="1186">
        <v>2.8</v>
      </c>
      <c r="U587" s="1186"/>
      <c r="V587" s="1186"/>
      <c r="W587" s="1186"/>
      <c r="X587" s="1186"/>
      <c r="Y587" s="1186"/>
      <c r="Z587" s="1186"/>
      <c r="AA587" s="1186"/>
      <c r="AB587" s="1186"/>
      <c r="AC587" s="1186"/>
      <c r="AD587" s="1187"/>
    </row>
    <row r="588" spans="1:30" x14ac:dyDescent="0.2">
      <c r="A588">
        <f t="shared" ref="A588:A651" si="43">A587+(D588&lt;&gt;D587)*1</f>
        <v>16</v>
      </c>
      <c r="B588">
        <v>579</v>
      </c>
      <c r="C588" s="1078">
        <v>2</v>
      </c>
      <c r="D588" s="1077" t="s">
        <v>3601</v>
      </c>
      <c r="E588" s="1077" t="s">
        <v>5163</v>
      </c>
      <c r="F588" s="1185">
        <v>4</v>
      </c>
      <c r="G588" s="1186">
        <v>6.94</v>
      </c>
      <c r="H588" s="1186">
        <v>2.2200000000000002</v>
      </c>
      <c r="I588" s="1186">
        <v>8.5</v>
      </c>
      <c r="J588" s="1186">
        <v>2.7</v>
      </c>
      <c r="K588" s="1186">
        <v>4.91</v>
      </c>
      <c r="L588" s="1186">
        <v>4.05</v>
      </c>
      <c r="M588" s="1186">
        <v>8</v>
      </c>
      <c r="N588" s="1186">
        <v>4.8</v>
      </c>
      <c r="O588" s="1186"/>
      <c r="P588" s="1186"/>
      <c r="Q588" s="1186">
        <v>6.6</v>
      </c>
      <c r="R588" s="1186">
        <v>2.1</v>
      </c>
      <c r="S588" s="1186">
        <v>5.8</v>
      </c>
      <c r="T588" s="1186">
        <v>2.95</v>
      </c>
      <c r="U588" s="1186"/>
      <c r="V588" s="1186"/>
      <c r="W588" s="1186"/>
      <c r="X588" s="1186"/>
      <c r="Y588" s="1186"/>
      <c r="Z588" s="1186"/>
      <c r="AA588" s="1186"/>
      <c r="AB588" s="1186"/>
      <c r="AC588" s="1186"/>
      <c r="AD588" s="1187"/>
    </row>
    <row r="589" spans="1:30" x14ac:dyDescent="0.2">
      <c r="A589">
        <f t="shared" si="43"/>
        <v>16</v>
      </c>
      <c r="B589">
        <v>580</v>
      </c>
      <c r="C589" s="1078">
        <v>2</v>
      </c>
      <c r="D589" s="1077" t="s">
        <v>3601</v>
      </c>
      <c r="E589" s="1077" t="s">
        <v>5261</v>
      </c>
      <c r="F589" s="1185">
        <v>4</v>
      </c>
      <c r="G589" s="1186">
        <v>7.6</v>
      </c>
      <c r="H589" s="1186">
        <v>1.6</v>
      </c>
      <c r="I589" s="1186">
        <v>11</v>
      </c>
      <c r="J589" s="1186">
        <v>2.7</v>
      </c>
      <c r="K589" s="1186">
        <v>6.7</v>
      </c>
      <c r="L589" s="1186">
        <v>3.9</v>
      </c>
      <c r="M589" s="1186">
        <v>12</v>
      </c>
      <c r="N589" s="1186">
        <v>4.7</v>
      </c>
      <c r="O589" s="1186"/>
      <c r="P589" s="1186"/>
      <c r="Q589" s="1186">
        <v>8.3000000000000007</v>
      </c>
      <c r="R589" s="1186">
        <v>2.1</v>
      </c>
      <c r="S589" s="1186">
        <v>7.7</v>
      </c>
      <c r="T589" s="1186">
        <v>3.1</v>
      </c>
      <c r="U589" s="1186">
        <v>8</v>
      </c>
      <c r="V589" s="1186">
        <v>4.0999999999999996</v>
      </c>
      <c r="W589" s="1186"/>
      <c r="X589" s="1186"/>
      <c r="Y589" s="1186"/>
      <c r="Z589" s="1186"/>
      <c r="AA589" s="1186"/>
      <c r="AB589" s="1186"/>
      <c r="AC589" s="1186"/>
      <c r="AD589" s="1187"/>
    </row>
    <row r="590" spans="1:30" x14ac:dyDescent="0.2">
      <c r="A590">
        <f t="shared" si="43"/>
        <v>16</v>
      </c>
      <c r="B590">
        <v>581</v>
      </c>
      <c r="C590" s="1078">
        <v>2</v>
      </c>
      <c r="D590" s="1077" t="s">
        <v>3601</v>
      </c>
      <c r="E590" s="1077" t="s">
        <v>5262</v>
      </c>
      <c r="F590" s="1185">
        <v>4</v>
      </c>
      <c r="G590" s="1186">
        <v>8.6999999999999993</v>
      </c>
      <c r="H590" s="1186">
        <v>1.5</v>
      </c>
      <c r="I590" s="1186">
        <v>12.3</v>
      </c>
      <c r="J590" s="1186">
        <v>2.5</v>
      </c>
      <c r="K590" s="1186">
        <v>7.8</v>
      </c>
      <c r="L590" s="1186">
        <v>3.7</v>
      </c>
      <c r="M590" s="1186">
        <v>15</v>
      </c>
      <c r="N590" s="1186">
        <v>4.5</v>
      </c>
      <c r="O590" s="1186"/>
      <c r="P590" s="1186"/>
      <c r="Q590" s="1186">
        <v>10.1</v>
      </c>
      <c r="R590" s="1186">
        <v>2.1</v>
      </c>
      <c r="S590" s="1186">
        <v>9.1999999999999993</v>
      </c>
      <c r="T590" s="1186">
        <v>3.1</v>
      </c>
      <c r="U590" s="1186">
        <v>9.6999999999999993</v>
      </c>
      <c r="V590" s="1186">
        <v>3.8</v>
      </c>
      <c r="W590" s="1186"/>
      <c r="X590" s="1186"/>
      <c r="Y590" s="1186"/>
      <c r="Z590" s="1186"/>
      <c r="AA590" s="1186"/>
      <c r="AB590" s="1186"/>
      <c r="AC590" s="1186"/>
      <c r="AD590" s="1187"/>
    </row>
    <row r="591" spans="1:30" x14ac:dyDescent="0.2">
      <c r="A591">
        <f t="shared" si="43"/>
        <v>16</v>
      </c>
      <c r="B591">
        <v>582</v>
      </c>
      <c r="C591" s="1078">
        <v>3</v>
      </c>
      <c r="D591" s="1077" t="s">
        <v>3601</v>
      </c>
      <c r="E591" s="1077" t="s">
        <v>4142</v>
      </c>
      <c r="F591" s="1185">
        <v>1</v>
      </c>
      <c r="G591" s="1186"/>
      <c r="H591" s="1186"/>
      <c r="I591" s="1186"/>
      <c r="J591" s="1186"/>
      <c r="K591" s="1186"/>
      <c r="L591" s="1186"/>
      <c r="M591" s="1186"/>
      <c r="N591" s="1186"/>
      <c r="O591" s="1186"/>
      <c r="P591" s="1186"/>
      <c r="Q591" s="1186"/>
      <c r="R591" s="1186"/>
      <c r="S591" s="1186"/>
      <c r="T591" s="1186"/>
      <c r="U591" s="1186"/>
      <c r="V591" s="1186"/>
      <c r="W591" s="1186">
        <v>21</v>
      </c>
      <c r="X591" s="1186">
        <v>4.5999999999999996</v>
      </c>
      <c r="Y591" s="1186">
        <v>20.399999999999999</v>
      </c>
      <c r="Z591" s="1186">
        <v>2.9</v>
      </c>
      <c r="AA591" s="1186"/>
      <c r="AB591" s="1186"/>
      <c r="AC591" s="1186"/>
      <c r="AD591" s="1187"/>
    </row>
    <row r="592" spans="1:30" x14ac:dyDescent="0.2">
      <c r="A592">
        <f t="shared" si="43"/>
        <v>16</v>
      </c>
      <c r="B592">
        <v>583</v>
      </c>
      <c r="C592" s="1078">
        <v>3</v>
      </c>
      <c r="D592" s="1077" t="s">
        <v>3601</v>
      </c>
      <c r="E592" s="1077" t="s">
        <v>4143</v>
      </c>
      <c r="F592" s="1185">
        <v>1</v>
      </c>
      <c r="G592" s="1186"/>
      <c r="H592" s="1186"/>
      <c r="I592" s="1186"/>
      <c r="J592" s="1186"/>
      <c r="K592" s="1186"/>
      <c r="L592" s="1186"/>
      <c r="M592" s="1186"/>
      <c r="N592" s="1186"/>
      <c r="O592" s="1186"/>
      <c r="P592" s="1186"/>
      <c r="Q592" s="1186"/>
      <c r="R592" s="1186"/>
      <c r="S592" s="1186"/>
      <c r="T592" s="1186"/>
      <c r="U592" s="1186"/>
      <c r="V592" s="1186"/>
      <c r="W592" s="1186">
        <v>28.7</v>
      </c>
      <c r="X592" s="1186">
        <v>4.4000000000000004</v>
      </c>
      <c r="Y592" s="1186">
        <v>24.8</v>
      </c>
      <c r="Z592" s="1186">
        <v>2.7</v>
      </c>
      <c r="AA592" s="1186"/>
      <c r="AB592" s="1186"/>
      <c r="AC592" s="1186"/>
      <c r="AD592" s="1187"/>
    </row>
    <row r="593" spans="1:30" x14ac:dyDescent="0.2">
      <c r="A593">
        <f t="shared" si="43"/>
        <v>16</v>
      </c>
      <c r="B593">
        <v>584</v>
      </c>
      <c r="C593" s="1078">
        <v>3</v>
      </c>
      <c r="D593" s="1077" t="s">
        <v>3601</v>
      </c>
      <c r="E593" s="1077" t="s">
        <v>4144</v>
      </c>
      <c r="F593" s="1185">
        <v>1</v>
      </c>
      <c r="G593" s="1186"/>
      <c r="H593" s="1186"/>
      <c r="I593" s="1186"/>
      <c r="J593" s="1186"/>
      <c r="K593" s="1186"/>
      <c r="L593" s="1186"/>
      <c r="M593" s="1186"/>
      <c r="N593" s="1186"/>
      <c r="O593" s="1186"/>
      <c r="P593" s="1186"/>
      <c r="Q593" s="1186"/>
      <c r="R593" s="1186"/>
      <c r="S593" s="1186"/>
      <c r="T593" s="1186"/>
      <c r="U593" s="1186"/>
      <c r="V593" s="1186"/>
      <c r="W593" s="1186">
        <v>36.700000000000003</v>
      </c>
      <c r="X593" s="1186">
        <v>4.4000000000000004</v>
      </c>
      <c r="Y593" s="1186">
        <v>30.6</v>
      </c>
      <c r="Z593" s="1186">
        <v>2.8</v>
      </c>
      <c r="AA593" s="1186"/>
      <c r="AB593" s="1186"/>
      <c r="AC593" s="1186"/>
      <c r="AD593" s="1187"/>
    </row>
    <row r="594" spans="1:30" x14ac:dyDescent="0.2">
      <c r="A594">
        <f t="shared" si="43"/>
        <v>16</v>
      </c>
      <c r="B594">
        <v>585</v>
      </c>
      <c r="C594" s="1078">
        <v>3</v>
      </c>
      <c r="D594" s="1077" t="s">
        <v>3601</v>
      </c>
      <c r="E594" s="1077" t="s">
        <v>4145</v>
      </c>
      <c r="F594" s="1185">
        <v>1</v>
      </c>
      <c r="G594" s="1186"/>
      <c r="H594" s="1186"/>
      <c r="I594" s="1186"/>
      <c r="J594" s="1186"/>
      <c r="K594" s="1186"/>
      <c r="L594" s="1186"/>
      <c r="M594" s="1186"/>
      <c r="N594" s="1186"/>
      <c r="O594" s="1186"/>
      <c r="P594" s="1186"/>
      <c r="Q594" s="1186"/>
      <c r="R594" s="1186"/>
      <c r="S594" s="1186"/>
      <c r="T594" s="1186"/>
      <c r="U594" s="1186"/>
      <c r="V594" s="1186"/>
      <c r="W594" s="1186">
        <v>44.4</v>
      </c>
      <c r="X594" s="1186">
        <v>4.4000000000000004</v>
      </c>
      <c r="Y594" s="1186">
        <v>41.3</v>
      </c>
      <c r="Z594" s="1186">
        <v>3.1</v>
      </c>
      <c r="AA594" s="1186"/>
      <c r="AB594" s="1186"/>
      <c r="AC594" s="1186"/>
      <c r="AD594" s="1187"/>
    </row>
    <row r="595" spans="1:30" x14ac:dyDescent="0.2">
      <c r="A595">
        <f t="shared" si="43"/>
        <v>16</v>
      </c>
      <c r="B595">
        <v>586</v>
      </c>
      <c r="C595" s="1078">
        <v>4</v>
      </c>
      <c r="D595" s="1077" t="s">
        <v>3601</v>
      </c>
      <c r="E595" s="1077" t="s">
        <v>4142</v>
      </c>
      <c r="F595" s="1185">
        <v>1</v>
      </c>
      <c r="G595" s="1186"/>
      <c r="H595" s="1186"/>
      <c r="I595" s="1186"/>
      <c r="J595" s="1186"/>
      <c r="K595" s="1186"/>
      <c r="L595" s="1186"/>
      <c r="M595" s="1186"/>
      <c r="N595" s="1186"/>
      <c r="O595" s="1186"/>
      <c r="P595" s="1186"/>
      <c r="Q595" s="1186"/>
      <c r="R595" s="1186"/>
      <c r="S595" s="1186"/>
      <c r="T595" s="1186"/>
      <c r="U595" s="1186"/>
      <c r="V595" s="1186"/>
      <c r="W595" s="1186"/>
      <c r="X595" s="1186"/>
      <c r="Y595" s="1186"/>
      <c r="Z595" s="1186"/>
      <c r="AA595" s="1186">
        <v>25.9</v>
      </c>
      <c r="AB595" s="1186">
        <v>5.5</v>
      </c>
      <c r="AC595" s="1186">
        <v>25.6</v>
      </c>
      <c r="AD595" s="1187">
        <v>3.5</v>
      </c>
    </row>
    <row r="596" spans="1:30" x14ac:dyDescent="0.2">
      <c r="A596">
        <f t="shared" si="43"/>
        <v>16</v>
      </c>
      <c r="B596">
        <v>587</v>
      </c>
      <c r="C596" s="1078">
        <v>4</v>
      </c>
      <c r="D596" s="1077" t="s">
        <v>3601</v>
      </c>
      <c r="E596" s="1077" t="s">
        <v>4143</v>
      </c>
      <c r="F596" s="1185">
        <v>1</v>
      </c>
      <c r="G596" s="1186"/>
      <c r="H596" s="1186"/>
      <c r="I596" s="1186"/>
      <c r="J596" s="1186"/>
      <c r="K596" s="1186"/>
      <c r="L596" s="1186"/>
      <c r="M596" s="1186"/>
      <c r="N596" s="1186"/>
      <c r="O596" s="1186"/>
      <c r="P596" s="1186"/>
      <c r="Q596" s="1186"/>
      <c r="R596" s="1186"/>
      <c r="S596" s="1186"/>
      <c r="T596" s="1186"/>
      <c r="U596" s="1186"/>
      <c r="V596" s="1186"/>
      <c r="W596" s="1186"/>
      <c r="X596" s="1186"/>
      <c r="Y596" s="1186"/>
      <c r="Z596" s="1186"/>
      <c r="AA596" s="1186">
        <v>37.200000000000003</v>
      </c>
      <c r="AB596" s="1186">
        <v>5.4</v>
      </c>
      <c r="AC596" s="1186">
        <v>34.200000000000003</v>
      </c>
      <c r="AD596" s="1187">
        <v>3.5</v>
      </c>
    </row>
    <row r="597" spans="1:30" x14ac:dyDescent="0.2">
      <c r="A597">
        <f t="shared" si="43"/>
        <v>16</v>
      </c>
      <c r="B597">
        <v>588</v>
      </c>
      <c r="C597" s="1081">
        <v>4</v>
      </c>
      <c r="D597" s="1082" t="s">
        <v>3601</v>
      </c>
      <c r="E597" s="1082" t="s">
        <v>4144</v>
      </c>
      <c r="F597" s="1188">
        <v>1</v>
      </c>
      <c r="G597" s="1189"/>
      <c r="H597" s="1189"/>
      <c r="I597" s="1189"/>
      <c r="J597" s="1189"/>
      <c r="K597" s="1189"/>
      <c r="L597" s="1189"/>
      <c r="M597" s="1189"/>
      <c r="N597" s="1189"/>
      <c r="O597" s="1189"/>
      <c r="P597" s="1189"/>
      <c r="Q597" s="1189"/>
      <c r="R597" s="1189"/>
      <c r="S597" s="1189"/>
      <c r="T597" s="1189"/>
      <c r="U597" s="1189"/>
      <c r="V597" s="1189"/>
      <c r="W597" s="1189"/>
      <c r="X597" s="1189"/>
      <c r="Y597" s="1189"/>
      <c r="Z597" s="1189"/>
      <c r="AA597" s="1189">
        <v>48.9</v>
      </c>
      <c r="AB597" s="1189">
        <v>5.3</v>
      </c>
      <c r="AC597" s="1189">
        <v>46</v>
      </c>
      <c r="AD597" s="1194">
        <v>3.7</v>
      </c>
    </row>
    <row r="598" spans="1:30" x14ac:dyDescent="0.2">
      <c r="A598">
        <f t="shared" si="43"/>
        <v>16</v>
      </c>
      <c r="B598">
        <v>589</v>
      </c>
      <c r="C598" s="1190">
        <v>4</v>
      </c>
      <c r="D598" s="1191" t="s">
        <v>3601</v>
      </c>
      <c r="E598" s="1191" t="s">
        <v>4145</v>
      </c>
      <c r="F598" s="1192">
        <v>1</v>
      </c>
      <c r="G598" s="1193"/>
      <c r="H598" s="1193"/>
      <c r="I598" s="1193"/>
      <c r="J598" s="1193"/>
      <c r="K598" s="1193"/>
      <c r="L598" s="1193"/>
      <c r="M598" s="1193"/>
      <c r="N598" s="1193"/>
      <c r="O598" s="1193"/>
      <c r="P598" s="1193"/>
      <c r="Q598" s="1193"/>
      <c r="R598" s="1193"/>
      <c r="S598" s="1193"/>
      <c r="T598" s="1193"/>
      <c r="U598" s="1193"/>
      <c r="V598" s="1193"/>
      <c r="W598" s="1193"/>
      <c r="X598" s="1193"/>
      <c r="Y598" s="1193"/>
      <c r="Z598" s="1193"/>
      <c r="AA598" s="1193">
        <v>58.6</v>
      </c>
      <c r="AB598" s="1193">
        <v>5.2</v>
      </c>
      <c r="AC598" s="1193">
        <v>54.5</v>
      </c>
      <c r="AD598" s="1195">
        <v>3.6</v>
      </c>
    </row>
    <row r="599" spans="1:30" x14ac:dyDescent="0.2">
      <c r="A599">
        <f t="shared" si="43"/>
        <v>16</v>
      </c>
      <c r="B599">
        <v>590</v>
      </c>
      <c r="C599" s="1081">
        <v>3</v>
      </c>
      <c r="D599" s="1082" t="s">
        <v>3601</v>
      </c>
      <c r="E599" s="1082" t="s">
        <v>4569</v>
      </c>
      <c r="F599" s="1188">
        <v>1</v>
      </c>
      <c r="G599" s="1189"/>
      <c r="H599" s="1189"/>
      <c r="I599" s="1189"/>
      <c r="J599" s="1189"/>
      <c r="K599" s="1189"/>
      <c r="L599" s="1189"/>
      <c r="M599" s="1189"/>
      <c r="N599" s="1189"/>
      <c r="O599" s="1189"/>
      <c r="P599" s="1189"/>
      <c r="Q599" s="1189"/>
      <c r="R599" s="1189"/>
      <c r="S599" s="1189"/>
      <c r="T599" s="1189"/>
      <c r="U599" s="1189"/>
      <c r="V599" s="1189"/>
      <c r="W599" s="1189">
        <v>5.6</v>
      </c>
      <c r="X599" s="1189">
        <v>4.59</v>
      </c>
      <c r="Y599" s="1189">
        <v>4.7300000000000004</v>
      </c>
      <c r="Z599" s="1189">
        <v>2.57</v>
      </c>
      <c r="AA599" s="1189"/>
      <c r="AB599" s="1189"/>
      <c r="AC599" s="1189"/>
      <c r="AD599" s="1194"/>
    </row>
    <row r="600" spans="1:30" x14ac:dyDescent="0.2">
      <c r="A600">
        <f t="shared" si="43"/>
        <v>16</v>
      </c>
      <c r="B600">
        <v>591</v>
      </c>
      <c r="C600" s="1190">
        <v>3</v>
      </c>
      <c r="D600" s="1191" t="s">
        <v>3601</v>
      </c>
      <c r="E600" s="1191" t="s">
        <v>4570</v>
      </c>
      <c r="F600" s="1192">
        <v>1</v>
      </c>
      <c r="G600" s="1193"/>
      <c r="H600" s="1193"/>
      <c r="I600" s="1193"/>
      <c r="J600" s="1193"/>
      <c r="K600" s="1193"/>
      <c r="L600" s="1193"/>
      <c r="M600" s="1193"/>
      <c r="N600" s="1193"/>
      <c r="O600" s="1193"/>
      <c r="P600" s="1193"/>
      <c r="Q600" s="1193"/>
      <c r="R600" s="1193"/>
      <c r="S600" s="1193"/>
      <c r="T600" s="1193"/>
      <c r="U600" s="1193"/>
      <c r="V600" s="1193"/>
      <c r="W600" s="1193">
        <v>7.87</v>
      </c>
      <c r="X600" s="1193">
        <v>5.42</v>
      </c>
      <c r="Y600" s="1193">
        <v>6.97</v>
      </c>
      <c r="Z600" s="1193">
        <v>3.31</v>
      </c>
      <c r="AA600" s="1193"/>
      <c r="AB600" s="1193"/>
      <c r="AC600" s="1193"/>
      <c r="AD600" s="1195"/>
    </row>
    <row r="601" spans="1:30" x14ac:dyDescent="0.2">
      <c r="A601">
        <f t="shared" si="43"/>
        <v>16</v>
      </c>
      <c r="B601">
        <v>592</v>
      </c>
      <c r="C601" s="1078">
        <v>3</v>
      </c>
      <c r="D601" s="1077" t="s">
        <v>3601</v>
      </c>
      <c r="E601" s="1077" t="s">
        <v>4571</v>
      </c>
      <c r="F601" s="1185">
        <v>1</v>
      </c>
      <c r="G601" s="1186"/>
      <c r="H601" s="1186"/>
      <c r="I601" s="1186"/>
      <c r="J601" s="1186"/>
      <c r="K601" s="1186"/>
      <c r="L601" s="1186"/>
      <c r="M601" s="1186"/>
      <c r="N601" s="1186" t="s">
        <v>718</v>
      </c>
      <c r="O601" s="1186"/>
      <c r="P601" s="1186"/>
      <c r="Q601" s="1186"/>
      <c r="R601" s="1186"/>
      <c r="S601" s="1186"/>
      <c r="T601" s="1186"/>
      <c r="U601" s="1186"/>
      <c r="V601" s="1186"/>
      <c r="W601" s="1186">
        <v>10.49</v>
      </c>
      <c r="X601" s="1186">
        <v>4.97</v>
      </c>
      <c r="Y601" s="1186">
        <v>9.6</v>
      </c>
      <c r="Z601" s="1186">
        <v>2.9</v>
      </c>
      <c r="AA601" s="1186"/>
      <c r="AB601" s="1186"/>
      <c r="AC601" s="1186"/>
      <c r="AD601" s="1187"/>
    </row>
    <row r="602" spans="1:30" x14ac:dyDescent="0.2">
      <c r="A602">
        <f t="shared" si="43"/>
        <v>16</v>
      </c>
      <c r="B602">
        <v>593</v>
      </c>
      <c r="C602" s="1078">
        <v>3</v>
      </c>
      <c r="D602" s="1077" t="s">
        <v>3601</v>
      </c>
      <c r="E602" s="1077" t="s">
        <v>4572</v>
      </c>
      <c r="F602" s="1185">
        <v>1</v>
      </c>
      <c r="G602" s="1186"/>
      <c r="H602" s="1186"/>
      <c r="I602" s="1186"/>
      <c r="J602" s="1186"/>
      <c r="K602" s="1186"/>
      <c r="L602" s="1186"/>
      <c r="M602" s="1186"/>
      <c r="N602" s="1186"/>
      <c r="O602" s="1186"/>
      <c r="P602" s="1186"/>
      <c r="Q602" s="1186"/>
      <c r="R602" s="1186"/>
      <c r="S602" s="1186"/>
      <c r="T602" s="1186"/>
      <c r="U602" s="1186"/>
      <c r="V602" s="1186"/>
      <c r="W602" s="1186">
        <v>13.47</v>
      </c>
      <c r="X602" s="1186">
        <v>4.9400000000000004</v>
      </c>
      <c r="Y602" s="1186">
        <v>12.09</v>
      </c>
      <c r="Z602" s="1186">
        <v>2.79</v>
      </c>
      <c r="AA602" s="1186"/>
      <c r="AB602" s="1186"/>
      <c r="AC602" s="1186"/>
      <c r="AD602" s="1187"/>
    </row>
    <row r="603" spans="1:30" x14ac:dyDescent="0.2">
      <c r="A603">
        <f t="shared" si="43"/>
        <v>16</v>
      </c>
      <c r="B603">
        <v>594</v>
      </c>
      <c r="C603" s="1078">
        <v>3</v>
      </c>
      <c r="D603" s="1077" t="s">
        <v>3601</v>
      </c>
      <c r="E603" s="1077" t="s">
        <v>4573</v>
      </c>
      <c r="F603" s="1185">
        <v>1</v>
      </c>
      <c r="G603" s="1186"/>
      <c r="H603" s="1186"/>
      <c r="I603" s="1186"/>
      <c r="J603" s="1186"/>
      <c r="K603" s="1186"/>
      <c r="L603" s="1186"/>
      <c r="M603" s="1186"/>
      <c r="N603" s="1186"/>
      <c r="O603" s="1186"/>
      <c r="P603" s="1186"/>
      <c r="Q603" s="1186"/>
      <c r="R603" s="1186"/>
      <c r="S603" s="1186"/>
      <c r="T603" s="1186"/>
      <c r="U603" s="1186"/>
      <c r="V603" s="1186"/>
      <c r="W603" s="1186">
        <v>16.829999999999998</v>
      </c>
      <c r="X603" s="1186">
        <v>4.8899999999999997</v>
      </c>
      <c r="Y603" s="1186">
        <v>15.2</v>
      </c>
      <c r="Z603" s="1186">
        <v>2.78</v>
      </c>
      <c r="AA603" s="1186"/>
      <c r="AB603" s="1186"/>
      <c r="AC603" s="1186"/>
      <c r="AD603" s="1187"/>
    </row>
    <row r="604" spans="1:30" x14ac:dyDescent="0.2">
      <c r="A604">
        <f t="shared" si="43"/>
        <v>16</v>
      </c>
      <c r="B604">
        <v>595</v>
      </c>
      <c r="C604" s="1078">
        <v>4</v>
      </c>
      <c r="D604" s="1077" t="s">
        <v>3601</v>
      </c>
      <c r="E604" s="1077" t="s">
        <v>4569</v>
      </c>
      <c r="F604" s="1185">
        <v>1</v>
      </c>
      <c r="G604" s="1186"/>
      <c r="H604" s="1186"/>
      <c r="I604" s="1186"/>
      <c r="J604" s="1186"/>
      <c r="K604" s="1186"/>
      <c r="L604" s="1186"/>
      <c r="M604" s="1186"/>
      <c r="N604" s="1186"/>
      <c r="O604" s="1186"/>
      <c r="P604" s="1186"/>
      <c r="Q604" s="1186"/>
      <c r="R604" s="1186"/>
      <c r="S604" s="1186"/>
      <c r="T604" s="1186"/>
      <c r="U604" s="1186"/>
      <c r="V604" s="1186"/>
      <c r="W604" s="1186"/>
      <c r="X604" s="1186"/>
      <c r="Y604" s="1186"/>
      <c r="Z604" s="1186"/>
      <c r="AA604" s="1186">
        <v>6.85</v>
      </c>
      <c r="AB604" s="1186">
        <v>5.61</v>
      </c>
      <c r="AC604" s="1186">
        <v>6.07</v>
      </c>
      <c r="AD604" s="1187">
        <v>3.32</v>
      </c>
    </row>
    <row r="605" spans="1:30" x14ac:dyDescent="0.2">
      <c r="A605">
        <f t="shared" si="43"/>
        <v>16</v>
      </c>
      <c r="B605">
        <v>596</v>
      </c>
      <c r="C605" s="1078">
        <v>4</v>
      </c>
      <c r="D605" s="1077" t="s">
        <v>3601</v>
      </c>
      <c r="E605" s="1077" t="s">
        <v>4570</v>
      </c>
      <c r="F605" s="1185">
        <v>1</v>
      </c>
      <c r="G605" s="1186"/>
      <c r="H605" s="1186"/>
      <c r="I605" s="1186"/>
      <c r="J605" s="1186"/>
      <c r="K605" s="1186"/>
      <c r="L605" s="1186"/>
      <c r="M605" s="1186"/>
      <c r="N605" s="1186"/>
      <c r="O605" s="1186"/>
      <c r="P605" s="1186"/>
      <c r="Q605" s="1186"/>
      <c r="R605" s="1186"/>
      <c r="S605" s="1186"/>
      <c r="T605" s="1186"/>
      <c r="U605" s="1186"/>
      <c r="V605" s="1186"/>
      <c r="W605" s="1186"/>
      <c r="X605" s="1186"/>
      <c r="Y605" s="1186"/>
      <c r="Z605" s="1186"/>
      <c r="AA605" s="1186">
        <v>9.6</v>
      </c>
      <c r="AB605" s="1186">
        <v>5.42</v>
      </c>
      <c r="AC605" s="1186">
        <v>8.85</v>
      </c>
      <c r="AD605" s="1187">
        <v>3.31</v>
      </c>
    </row>
    <row r="606" spans="1:30" x14ac:dyDescent="0.2">
      <c r="A606">
        <f t="shared" si="43"/>
        <v>16</v>
      </c>
      <c r="B606">
        <v>597</v>
      </c>
      <c r="C606" s="1078">
        <v>4</v>
      </c>
      <c r="D606" s="1077" t="s">
        <v>3601</v>
      </c>
      <c r="E606" s="1077" t="s">
        <v>4571</v>
      </c>
      <c r="F606" s="1185">
        <v>1</v>
      </c>
      <c r="G606" s="1186"/>
      <c r="H606" s="1186"/>
      <c r="I606" s="1186"/>
      <c r="J606" s="1186"/>
      <c r="K606" s="1186"/>
      <c r="L606" s="1186"/>
      <c r="M606" s="1186"/>
      <c r="N606" s="1186" t="s">
        <v>718</v>
      </c>
      <c r="O606" s="1186"/>
      <c r="P606" s="1186"/>
      <c r="Q606" s="1186"/>
      <c r="R606" s="1186"/>
      <c r="S606" s="1186"/>
      <c r="T606" s="1186"/>
      <c r="U606" s="1186"/>
      <c r="V606" s="1186"/>
      <c r="W606" s="1186"/>
      <c r="X606" s="1186"/>
      <c r="Y606" s="1186"/>
      <c r="Z606" s="1186"/>
      <c r="AA606" s="1186">
        <v>13.2</v>
      </c>
      <c r="AB606" s="1186">
        <v>5.84</v>
      </c>
      <c r="AC606" s="1186">
        <v>12.3</v>
      </c>
      <c r="AD606" s="1187">
        <v>3.63</v>
      </c>
    </row>
    <row r="607" spans="1:30" x14ac:dyDescent="0.2">
      <c r="A607">
        <f t="shared" si="43"/>
        <v>16</v>
      </c>
      <c r="B607">
        <v>598</v>
      </c>
      <c r="C607" s="1078">
        <v>4</v>
      </c>
      <c r="D607" s="1077" t="s">
        <v>3601</v>
      </c>
      <c r="E607" s="1077" t="s">
        <v>4572</v>
      </c>
      <c r="F607" s="1185">
        <v>1</v>
      </c>
      <c r="G607" s="1186"/>
      <c r="H607" s="1186"/>
      <c r="I607" s="1186"/>
      <c r="J607" s="1186"/>
      <c r="K607" s="1186"/>
      <c r="L607" s="1186"/>
      <c r="M607" s="1186"/>
      <c r="N607" s="1186"/>
      <c r="O607" s="1186"/>
      <c r="P607" s="1186"/>
      <c r="Q607" s="1186"/>
      <c r="R607" s="1186"/>
      <c r="S607" s="1186"/>
      <c r="T607" s="1186"/>
      <c r="U607" s="1186"/>
      <c r="V607" s="1186"/>
      <c r="W607" s="1186"/>
      <c r="X607" s="1186"/>
      <c r="Y607" s="1186"/>
      <c r="Z607" s="1186"/>
      <c r="AA607" s="1186">
        <v>16.600000000000001</v>
      </c>
      <c r="AB607" s="1186">
        <v>5.76</v>
      </c>
      <c r="AC607" s="1186">
        <v>15.3</v>
      </c>
      <c r="AD607" s="1187">
        <v>3.53</v>
      </c>
    </row>
    <row r="608" spans="1:30" x14ac:dyDescent="0.2">
      <c r="A608">
        <f t="shared" si="43"/>
        <v>16</v>
      </c>
      <c r="B608">
        <v>599</v>
      </c>
      <c r="C608" s="1078">
        <v>4</v>
      </c>
      <c r="D608" s="1077" t="s">
        <v>3601</v>
      </c>
      <c r="E608" s="1077" t="s">
        <v>4573</v>
      </c>
      <c r="F608" s="1185">
        <v>1</v>
      </c>
      <c r="G608" s="1186"/>
      <c r="H608" s="1186"/>
      <c r="I608" s="1186"/>
      <c r="J608" s="1186"/>
      <c r="K608" s="1186"/>
      <c r="L608" s="1186"/>
      <c r="M608" s="1186"/>
      <c r="N608" s="1186"/>
      <c r="O608" s="1186"/>
      <c r="P608" s="1186"/>
      <c r="Q608" s="1186"/>
      <c r="R608" s="1186"/>
      <c r="S608" s="1186"/>
      <c r="T608" s="1186"/>
      <c r="U608" s="1186"/>
      <c r="V608" s="1186"/>
      <c r="W608" s="1186"/>
      <c r="X608" s="1186"/>
      <c r="Y608" s="1186"/>
      <c r="Z608" s="1186"/>
      <c r="AA608" s="1186">
        <v>20.9</v>
      </c>
      <c r="AB608" s="1186">
        <v>5.77</v>
      </c>
      <c r="AC608" s="1186">
        <v>19.3</v>
      </c>
      <c r="AD608" s="1187">
        <v>3.54</v>
      </c>
    </row>
    <row r="609" spans="1:30" x14ac:dyDescent="0.2">
      <c r="A609">
        <f t="shared" si="43"/>
        <v>17</v>
      </c>
      <c r="B609">
        <v>600</v>
      </c>
      <c r="C609" s="1078">
        <v>2</v>
      </c>
      <c r="D609" s="1077" t="s">
        <v>4603</v>
      </c>
      <c r="E609" s="1077" t="s">
        <v>4910</v>
      </c>
      <c r="F609" s="1185">
        <v>4</v>
      </c>
      <c r="G609" s="1186"/>
      <c r="H609" s="1186"/>
      <c r="I609" s="1186">
        <v>4.5</v>
      </c>
      <c r="J609" s="1186">
        <v>3.1</v>
      </c>
      <c r="K609" s="1186">
        <v>3.5</v>
      </c>
      <c r="L609" s="1186">
        <v>4.0999999999999996</v>
      </c>
      <c r="M609" s="1186">
        <v>4.3</v>
      </c>
      <c r="N609" s="1186">
        <v>5.0999999999999996</v>
      </c>
      <c r="O609" s="1186"/>
      <c r="P609" s="1186"/>
      <c r="Q609" s="1186">
        <v>4.2</v>
      </c>
      <c r="R609" s="1186">
        <v>1.7</v>
      </c>
      <c r="S609" s="1186">
        <v>4.9000000000000004</v>
      </c>
      <c r="T609" s="1186">
        <v>2.7</v>
      </c>
      <c r="U609" s="1186"/>
      <c r="V609" s="1186"/>
      <c r="W609" s="1186"/>
      <c r="X609" s="1186"/>
      <c r="Y609" s="1186"/>
      <c r="Z609" s="1186"/>
      <c r="AA609" s="1186"/>
      <c r="AB609" s="1186"/>
      <c r="AC609" s="1186"/>
      <c r="AD609" s="1187"/>
    </row>
    <row r="610" spans="1:30" x14ac:dyDescent="0.2">
      <c r="A610">
        <f t="shared" si="43"/>
        <v>17</v>
      </c>
      <c r="B610">
        <v>601</v>
      </c>
      <c r="C610" s="1078">
        <v>2</v>
      </c>
      <c r="D610" s="1077" t="s">
        <v>4603</v>
      </c>
      <c r="E610" s="1077" t="s">
        <v>4911</v>
      </c>
      <c r="F610" s="1185">
        <v>4</v>
      </c>
      <c r="G610" s="1186"/>
      <c r="H610" s="1186"/>
      <c r="I610" s="1186">
        <v>5.5</v>
      </c>
      <c r="J610" s="1186">
        <v>2.9</v>
      </c>
      <c r="K610" s="1186">
        <v>4.8</v>
      </c>
      <c r="L610" s="1186">
        <v>3.8</v>
      </c>
      <c r="M610" s="1186">
        <v>6</v>
      </c>
      <c r="N610" s="1186">
        <v>4.9000000000000004</v>
      </c>
      <c r="O610" s="1186"/>
      <c r="P610" s="1186"/>
      <c r="Q610" s="1186">
        <v>5</v>
      </c>
      <c r="R610" s="1186">
        <v>1.7</v>
      </c>
      <c r="S610" s="1186">
        <v>5.8</v>
      </c>
      <c r="T610" s="1186">
        <v>2.7</v>
      </c>
      <c r="U610" s="1186"/>
      <c r="V610" s="1186"/>
      <c r="W610" s="1186"/>
      <c r="X610" s="1186"/>
      <c r="Y610" s="1186"/>
      <c r="Z610" s="1186"/>
      <c r="AA610" s="1186"/>
      <c r="AB610" s="1186"/>
      <c r="AC610" s="1186"/>
      <c r="AD610" s="1187"/>
    </row>
    <row r="611" spans="1:30" x14ac:dyDescent="0.2">
      <c r="A611">
        <f t="shared" si="43"/>
        <v>17</v>
      </c>
      <c r="B611">
        <v>602</v>
      </c>
      <c r="C611" s="1078">
        <v>2</v>
      </c>
      <c r="D611" s="1077" t="s">
        <v>4603</v>
      </c>
      <c r="E611" s="1077" t="s">
        <v>4912</v>
      </c>
      <c r="F611" s="1185">
        <v>4</v>
      </c>
      <c r="G611" s="1186"/>
      <c r="H611" s="1186"/>
      <c r="I611" s="1186">
        <v>6</v>
      </c>
      <c r="J611" s="1186">
        <v>2.7</v>
      </c>
      <c r="K611" s="1186">
        <v>5.6</v>
      </c>
      <c r="L611" s="1186">
        <v>3.7</v>
      </c>
      <c r="M611" s="1186">
        <v>7.5</v>
      </c>
      <c r="N611" s="1186">
        <v>4.5999999999999996</v>
      </c>
      <c r="O611" s="1186"/>
      <c r="P611" s="1186"/>
      <c r="Q611" s="1186">
        <v>5.5</v>
      </c>
      <c r="R611" s="1186">
        <v>1.7</v>
      </c>
      <c r="S611" s="1186">
        <v>7.5</v>
      </c>
      <c r="T611" s="1186">
        <v>2.7</v>
      </c>
      <c r="U611" s="1186"/>
      <c r="V611" s="1186"/>
      <c r="W611" s="1186"/>
      <c r="X611" s="1186"/>
      <c r="Y611" s="1186"/>
      <c r="Z611" s="1186"/>
      <c r="AA611" s="1186"/>
      <c r="AB611" s="1186"/>
      <c r="AC611" s="1186"/>
      <c r="AD611" s="1187"/>
    </row>
    <row r="612" spans="1:30" x14ac:dyDescent="0.2">
      <c r="A612">
        <f t="shared" si="43"/>
        <v>17</v>
      </c>
      <c r="B612">
        <v>603</v>
      </c>
      <c r="C612" s="1078">
        <v>2</v>
      </c>
      <c r="D612" s="1077" t="s">
        <v>4603</v>
      </c>
      <c r="E612" s="1077" t="s">
        <v>4913</v>
      </c>
      <c r="F612" s="1185">
        <v>4</v>
      </c>
      <c r="G612" s="1186"/>
      <c r="H612" s="1186"/>
      <c r="I612" s="1186">
        <v>10.18</v>
      </c>
      <c r="J612" s="1186">
        <v>3.21</v>
      </c>
      <c r="K612" s="1186">
        <v>7.52</v>
      </c>
      <c r="L612" s="1186">
        <v>4.09</v>
      </c>
      <c r="M612" s="1186">
        <v>5.9</v>
      </c>
      <c r="N612" s="1186">
        <v>4.79</v>
      </c>
      <c r="O612" s="1186"/>
      <c r="P612" s="1186"/>
      <c r="Q612" s="1186">
        <v>11.1</v>
      </c>
      <c r="R612" s="1186">
        <v>2.4300000000000002</v>
      </c>
      <c r="S612" s="1186">
        <v>7.24</v>
      </c>
      <c r="T612" s="1186">
        <v>2.93</v>
      </c>
      <c r="U612" s="1186"/>
      <c r="V612" s="1186"/>
      <c r="W612" s="1186"/>
      <c r="X612" s="1186"/>
      <c r="Y612" s="1186"/>
      <c r="Z612" s="1186"/>
      <c r="AA612" s="1186"/>
      <c r="AB612" s="1186"/>
      <c r="AC612" s="1186"/>
      <c r="AD612" s="1187"/>
    </row>
    <row r="613" spans="1:30" x14ac:dyDescent="0.2">
      <c r="A613">
        <f t="shared" si="43"/>
        <v>17</v>
      </c>
      <c r="B613">
        <v>604</v>
      </c>
      <c r="C613" s="1078">
        <v>2</v>
      </c>
      <c r="D613" s="1077" t="s">
        <v>4603</v>
      </c>
      <c r="E613" s="1077" t="s">
        <v>4914</v>
      </c>
      <c r="F613" s="1185">
        <v>4</v>
      </c>
      <c r="G613" s="1186"/>
      <c r="H613" s="1186"/>
      <c r="I613" s="1186">
        <v>11.4</v>
      </c>
      <c r="J613" s="1186">
        <v>3.13</v>
      </c>
      <c r="K613" s="1186">
        <v>7.52</v>
      </c>
      <c r="L613" s="1186">
        <v>4.09</v>
      </c>
      <c r="M613" s="1186">
        <v>9</v>
      </c>
      <c r="N613" s="1186">
        <v>5</v>
      </c>
      <c r="O613" s="1186"/>
      <c r="P613" s="1186"/>
      <c r="Q613" s="1186">
        <v>11.1</v>
      </c>
      <c r="R613" s="1186">
        <v>2.4300000000000002</v>
      </c>
      <c r="S613" s="1186">
        <v>7.24</v>
      </c>
      <c r="T613" s="1186">
        <v>2.93</v>
      </c>
      <c r="U613" s="1186"/>
      <c r="V613" s="1186"/>
      <c r="W613" s="1186"/>
      <c r="X613" s="1186"/>
      <c r="Y613" s="1186"/>
      <c r="Z613" s="1186"/>
      <c r="AA613" s="1186"/>
      <c r="AB613" s="1186"/>
      <c r="AC613" s="1186"/>
      <c r="AD613" s="1187"/>
    </row>
    <row r="614" spans="1:30" x14ac:dyDescent="0.2">
      <c r="A614">
        <f t="shared" si="43"/>
        <v>17</v>
      </c>
      <c r="B614">
        <v>605</v>
      </c>
      <c r="C614" s="1078">
        <v>2</v>
      </c>
      <c r="D614" s="1077" t="s">
        <v>4603</v>
      </c>
      <c r="E614" s="1077" t="s">
        <v>4915</v>
      </c>
      <c r="F614" s="1185">
        <v>4</v>
      </c>
      <c r="G614" s="1186"/>
      <c r="H614" s="1186"/>
      <c r="I614" s="1186">
        <v>12.67</v>
      </c>
      <c r="J614" s="1186">
        <v>3.05</v>
      </c>
      <c r="K614" s="1186">
        <v>7.52</v>
      </c>
      <c r="L614" s="1186">
        <v>4.09</v>
      </c>
      <c r="M614" s="1186">
        <v>9</v>
      </c>
      <c r="N614" s="1186">
        <v>5</v>
      </c>
      <c r="O614" s="1186"/>
      <c r="P614" s="1186"/>
      <c r="Q614" s="1186">
        <v>11.1</v>
      </c>
      <c r="R614" s="1186">
        <v>2.4300000000000002</v>
      </c>
      <c r="S614" s="1186">
        <v>7.24</v>
      </c>
      <c r="T614" s="1186">
        <v>2.93</v>
      </c>
      <c r="U614" s="1186"/>
      <c r="V614" s="1186"/>
      <c r="W614" s="1186"/>
      <c r="X614" s="1186"/>
      <c r="Y614" s="1186"/>
      <c r="Z614" s="1186"/>
      <c r="AA614" s="1186"/>
      <c r="AB614" s="1186"/>
      <c r="AC614" s="1186"/>
      <c r="AD614" s="1187"/>
    </row>
    <row r="615" spans="1:30" x14ac:dyDescent="0.2">
      <c r="A615">
        <f t="shared" si="43"/>
        <v>17</v>
      </c>
      <c r="B615">
        <v>606</v>
      </c>
      <c r="C615" s="1078">
        <v>2</v>
      </c>
      <c r="D615" s="1077" t="s">
        <v>4603</v>
      </c>
      <c r="E615" s="1077" t="s">
        <v>5319</v>
      </c>
      <c r="F615" s="1185">
        <v>4</v>
      </c>
      <c r="G615" s="1186"/>
      <c r="H615" s="1186"/>
      <c r="I615" s="1186">
        <v>10.65</v>
      </c>
      <c r="J615" s="1186">
        <v>3.2</v>
      </c>
      <c r="K615" s="1186">
        <v>12.53</v>
      </c>
      <c r="L615" s="1186">
        <v>3.95</v>
      </c>
      <c r="M615" s="1186">
        <v>12.44</v>
      </c>
      <c r="N615" s="1186">
        <v>4.84</v>
      </c>
      <c r="O615" s="1186">
        <v>10.45</v>
      </c>
      <c r="P615" s="1186">
        <v>8.2200000000000006</v>
      </c>
      <c r="Q615" s="1186">
        <v>9.61</v>
      </c>
      <c r="R615" s="1186">
        <v>2.0299999999999998</v>
      </c>
      <c r="S615" s="1186">
        <v>10.74</v>
      </c>
      <c r="T615" s="1186">
        <v>2.99</v>
      </c>
      <c r="U615" s="1186">
        <v>9.06</v>
      </c>
      <c r="V615" s="1186">
        <v>4.08</v>
      </c>
      <c r="W615" s="1186"/>
      <c r="X615" s="1186"/>
      <c r="Y615" s="1186"/>
      <c r="Z615" s="1186"/>
      <c r="AA615" s="1186"/>
      <c r="AB615" s="1186"/>
      <c r="AC615" s="1186"/>
      <c r="AD615" s="1187"/>
    </row>
    <row r="616" spans="1:30" x14ac:dyDescent="0.2">
      <c r="A616">
        <f t="shared" si="43"/>
        <v>17</v>
      </c>
      <c r="B616">
        <v>607</v>
      </c>
      <c r="C616" s="1078">
        <v>2</v>
      </c>
      <c r="D616" s="1077" t="s">
        <v>4603</v>
      </c>
      <c r="E616" s="1077" t="s">
        <v>5320</v>
      </c>
      <c r="F616" s="1185">
        <v>4</v>
      </c>
      <c r="G616" s="1186"/>
      <c r="H616" s="1186"/>
      <c r="I616" s="1186">
        <v>11.33</v>
      </c>
      <c r="J616" s="1186">
        <v>3.14</v>
      </c>
      <c r="K616" s="1186">
        <v>14.49</v>
      </c>
      <c r="L616" s="1186">
        <v>3.84</v>
      </c>
      <c r="M616" s="1186">
        <v>13.38</v>
      </c>
      <c r="N616" s="1186">
        <v>4.72</v>
      </c>
      <c r="O616" s="1186">
        <v>13.5</v>
      </c>
      <c r="P616" s="1186">
        <v>7.29</v>
      </c>
      <c r="Q616" s="1186">
        <v>10.45</v>
      </c>
      <c r="R616" s="1186">
        <v>2.04</v>
      </c>
      <c r="S616" s="1186">
        <v>11.99</v>
      </c>
      <c r="T616" s="1186">
        <v>3.42</v>
      </c>
      <c r="U616" s="1186">
        <v>12.35</v>
      </c>
      <c r="V616" s="1186">
        <v>4</v>
      </c>
      <c r="W616" s="1186"/>
      <c r="X616" s="1186"/>
      <c r="Y616" s="1186"/>
      <c r="Z616" s="1186"/>
      <c r="AA616" s="1186"/>
      <c r="AB616" s="1186"/>
      <c r="AC616" s="1186"/>
      <c r="AD616" s="1187"/>
    </row>
    <row r="617" spans="1:30" x14ac:dyDescent="0.2">
      <c r="A617">
        <f t="shared" si="43"/>
        <v>17</v>
      </c>
      <c r="B617">
        <v>608</v>
      </c>
      <c r="C617" s="1078">
        <v>2</v>
      </c>
      <c r="D617" s="1077" t="s">
        <v>4603</v>
      </c>
      <c r="E617" s="1077" t="s">
        <v>5321</v>
      </c>
      <c r="F617" s="1185">
        <v>4</v>
      </c>
      <c r="G617" s="1186"/>
      <c r="H617" s="1186"/>
      <c r="I617" s="1186">
        <v>13.96</v>
      </c>
      <c r="J617" s="1186">
        <v>2.89</v>
      </c>
      <c r="K617" s="1186">
        <v>17.55</v>
      </c>
      <c r="L617" s="1186">
        <v>3.65</v>
      </c>
      <c r="M617" s="1186">
        <v>15.96</v>
      </c>
      <c r="N617" s="1186">
        <v>4.62</v>
      </c>
      <c r="O617" s="1186">
        <v>14.19</v>
      </c>
      <c r="P617" s="1186">
        <v>5.76</v>
      </c>
      <c r="Q617" s="1186">
        <v>11.67</v>
      </c>
      <c r="R617" s="1186">
        <v>1.92</v>
      </c>
      <c r="S617" s="1186">
        <v>15.7</v>
      </c>
      <c r="T617" s="1186">
        <v>2.89</v>
      </c>
      <c r="U617" s="1186">
        <v>15.66</v>
      </c>
      <c r="V617" s="1186">
        <v>4.12</v>
      </c>
      <c r="W617" s="1186"/>
      <c r="X617" s="1186"/>
      <c r="Y617" s="1186"/>
      <c r="Z617" s="1186"/>
      <c r="AA617" s="1186"/>
      <c r="AB617" s="1186"/>
      <c r="AC617" s="1186"/>
      <c r="AD617" s="1187"/>
    </row>
    <row r="618" spans="1:30" x14ac:dyDescent="0.2">
      <c r="A618">
        <f t="shared" si="43"/>
        <v>17</v>
      </c>
      <c r="B618">
        <v>609</v>
      </c>
      <c r="C618" s="1078">
        <v>2</v>
      </c>
      <c r="D618" s="1077" t="s">
        <v>4603</v>
      </c>
      <c r="E618" s="1077" t="s">
        <v>5621</v>
      </c>
      <c r="F618" s="1185">
        <v>4</v>
      </c>
      <c r="G618" s="1186">
        <v>6.51</v>
      </c>
      <c r="H618" s="1186">
        <v>2.76</v>
      </c>
      <c r="I618" s="1186">
        <v>7.83</v>
      </c>
      <c r="J618" s="1186">
        <v>3.26</v>
      </c>
      <c r="K618" s="1186">
        <v>5.92</v>
      </c>
      <c r="L618" s="1186">
        <v>3.5</v>
      </c>
      <c r="M618" s="1186">
        <v>7.48</v>
      </c>
      <c r="N618" s="1186">
        <v>5.19</v>
      </c>
      <c r="O618" s="1186">
        <v>7</v>
      </c>
      <c r="P618" s="1186">
        <v>7.61</v>
      </c>
      <c r="Q618" s="1186">
        <v>7.86</v>
      </c>
      <c r="R618" s="1186">
        <v>2.57</v>
      </c>
      <c r="S618" s="1186">
        <v>7.74</v>
      </c>
      <c r="T618" s="1186">
        <v>3.78</v>
      </c>
      <c r="U618" s="1186">
        <v>6.47</v>
      </c>
      <c r="V618" s="1186">
        <v>4.49</v>
      </c>
      <c r="W618" s="1186"/>
      <c r="X618" s="1186"/>
      <c r="Y618" s="1186"/>
      <c r="Z618" s="1186"/>
      <c r="AA618" s="1186"/>
      <c r="AB618" s="1186"/>
      <c r="AC618" s="1186"/>
      <c r="AD618" s="1187"/>
    </row>
    <row r="619" spans="1:30" x14ac:dyDescent="0.2">
      <c r="A619">
        <f t="shared" si="43"/>
        <v>17</v>
      </c>
      <c r="B619">
        <v>610</v>
      </c>
      <c r="C619" s="1078">
        <v>2</v>
      </c>
      <c r="D619" s="1077" t="s">
        <v>4603</v>
      </c>
      <c r="E619" s="1077" t="s">
        <v>5622</v>
      </c>
      <c r="F619" s="1185">
        <v>4</v>
      </c>
      <c r="G619" s="1186">
        <v>7.85</v>
      </c>
      <c r="H619" s="1186">
        <v>2.44</v>
      </c>
      <c r="I619" s="1186">
        <v>9.11</v>
      </c>
      <c r="J619" s="1186">
        <v>2.85</v>
      </c>
      <c r="K619" s="1186">
        <v>6.91</v>
      </c>
      <c r="L619" s="1186">
        <v>3.18</v>
      </c>
      <c r="M619" s="1186">
        <v>9.7100000000000009</v>
      </c>
      <c r="N619" s="1186">
        <v>4.5999999999999996</v>
      </c>
      <c r="O619" s="1186">
        <v>8.57</v>
      </c>
      <c r="P619" s="1186">
        <v>6.75</v>
      </c>
      <c r="Q619" s="1186">
        <v>9.48</v>
      </c>
      <c r="R619" s="1186">
        <v>2.3199999999999998</v>
      </c>
      <c r="S619" s="1186">
        <v>10.039999999999999</v>
      </c>
      <c r="T619" s="1186">
        <v>3.34</v>
      </c>
      <c r="U619" s="1186">
        <v>7.92</v>
      </c>
      <c r="V619" s="1186">
        <v>3.94</v>
      </c>
      <c r="W619" s="1186"/>
      <c r="X619" s="1186"/>
      <c r="Y619" s="1186"/>
      <c r="Z619" s="1186"/>
      <c r="AA619" s="1186"/>
      <c r="AB619" s="1186"/>
      <c r="AC619" s="1186"/>
      <c r="AD619" s="1187"/>
    </row>
    <row r="620" spans="1:30" x14ac:dyDescent="0.2">
      <c r="A620">
        <f t="shared" si="43"/>
        <v>17</v>
      </c>
      <c r="B620">
        <v>611</v>
      </c>
      <c r="C620" s="1078">
        <v>2</v>
      </c>
      <c r="D620" s="1077" t="s">
        <v>4603</v>
      </c>
      <c r="E620" s="1077" t="s">
        <v>5623</v>
      </c>
      <c r="F620" s="1185">
        <v>4</v>
      </c>
      <c r="G620" s="1186">
        <v>9.83</v>
      </c>
      <c r="H620" s="1186">
        <v>2.37</v>
      </c>
      <c r="I620" s="1186">
        <v>10.44</v>
      </c>
      <c r="J620" s="1186">
        <v>3.13</v>
      </c>
      <c r="K620" s="1186">
        <v>8.9700000000000006</v>
      </c>
      <c r="L620" s="1186">
        <v>3.4</v>
      </c>
      <c r="M620" s="1186">
        <v>12.28</v>
      </c>
      <c r="N620" s="1186">
        <v>5.34</v>
      </c>
      <c r="O620" s="1186">
        <v>11.99</v>
      </c>
      <c r="P620" s="1186">
        <v>7.4</v>
      </c>
      <c r="Q620" s="1186">
        <v>12.15</v>
      </c>
      <c r="R620" s="1186">
        <v>2.4300000000000002</v>
      </c>
      <c r="S620" s="1186">
        <v>12.16</v>
      </c>
      <c r="T620" s="1186">
        <v>3.43</v>
      </c>
      <c r="U620" s="1186">
        <v>11.18</v>
      </c>
      <c r="V620" s="1186">
        <v>4.49</v>
      </c>
      <c r="W620" s="1186"/>
      <c r="X620" s="1186"/>
      <c r="Y620" s="1186"/>
      <c r="Z620" s="1186"/>
      <c r="AA620" s="1186"/>
      <c r="AB620" s="1186"/>
      <c r="AC620" s="1186"/>
      <c r="AD620" s="1187"/>
    </row>
    <row r="621" spans="1:30" x14ac:dyDescent="0.2">
      <c r="A621">
        <f t="shared" si="43"/>
        <v>17</v>
      </c>
      <c r="B621">
        <v>612</v>
      </c>
      <c r="C621" s="1078">
        <v>2</v>
      </c>
      <c r="D621" s="1077" t="s">
        <v>4603</v>
      </c>
      <c r="E621" s="1077" t="s">
        <v>5624</v>
      </c>
      <c r="F621" s="1185">
        <v>4</v>
      </c>
      <c r="G621" s="1186">
        <v>11.34</v>
      </c>
      <c r="H621" s="1186">
        <v>2.37</v>
      </c>
      <c r="I621" s="1186">
        <v>13.74</v>
      </c>
      <c r="J621" s="1186">
        <v>2.8</v>
      </c>
      <c r="K621" s="1186">
        <v>11.26</v>
      </c>
      <c r="L621" s="1186">
        <v>3.48</v>
      </c>
      <c r="M621" s="1186">
        <v>10.74</v>
      </c>
      <c r="N621" s="1186">
        <v>4.16</v>
      </c>
      <c r="O621" s="1186">
        <v>15.34</v>
      </c>
      <c r="P621" s="1186">
        <v>7.38</v>
      </c>
      <c r="Q621" s="1186">
        <v>13.3</v>
      </c>
      <c r="R621" s="1186">
        <v>2.35</v>
      </c>
      <c r="S621" s="1186">
        <v>15.26</v>
      </c>
      <c r="T621" s="1186">
        <v>3.42</v>
      </c>
      <c r="U621" s="1186">
        <v>14.3</v>
      </c>
      <c r="V621" s="1186">
        <v>4.4800000000000004</v>
      </c>
      <c r="W621" s="1186"/>
      <c r="X621" s="1186"/>
      <c r="Y621" s="1186"/>
      <c r="Z621" s="1186"/>
      <c r="AA621" s="1186"/>
      <c r="AB621" s="1186"/>
      <c r="AC621" s="1186"/>
      <c r="AD621" s="1187"/>
    </row>
    <row r="622" spans="1:30" x14ac:dyDescent="0.2">
      <c r="A622">
        <f t="shared" si="43"/>
        <v>17</v>
      </c>
      <c r="B622">
        <v>613</v>
      </c>
      <c r="C622" s="1078">
        <v>2</v>
      </c>
      <c r="D622" s="1077" t="s">
        <v>4603</v>
      </c>
      <c r="E622" s="1077" t="s">
        <v>5625</v>
      </c>
      <c r="F622" s="1185">
        <v>1</v>
      </c>
      <c r="G622" s="1186">
        <v>4.2</v>
      </c>
      <c r="H622" s="1186">
        <v>2.33</v>
      </c>
      <c r="I622" s="1186">
        <v>5.2</v>
      </c>
      <c r="J622" s="1186">
        <v>3</v>
      </c>
      <c r="K622" s="1186">
        <v>6.6</v>
      </c>
      <c r="L622" s="1186">
        <v>3.9</v>
      </c>
      <c r="M622" s="1186">
        <v>8.1</v>
      </c>
      <c r="N622" s="1186">
        <v>5</v>
      </c>
      <c r="O622" s="1186">
        <v>11.2</v>
      </c>
      <c r="P622" s="1186">
        <v>6.05</v>
      </c>
      <c r="Q622" s="1186">
        <v>5.2</v>
      </c>
      <c r="R622" s="1186">
        <v>2.08</v>
      </c>
      <c r="S622" s="1186">
        <v>7.9</v>
      </c>
      <c r="T622" s="1186">
        <v>3.1</v>
      </c>
      <c r="U622" s="1186">
        <v>9.5</v>
      </c>
      <c r="V622" s="1186">
        <v>3.8</v>
      </c>
      <c r="W622" s="1186"/>
      <c r="X622" s="1186"/>
      <c r="Y622" s="1186"/>
      <c r="Z622" s="1186"/>
      <c r="AA622" s="1186"/>
      <c r="AB622" s="1186"/>
      <c r="AC622" s="1186"/>
      <c r="AD622" s="1187"/>
    </row>
    <row r="623" spans="1:30" x14ac:dyDescent="0.2">
      <c r="A623">
        <f t="shared" si="43"/>
        <v>17</v>
      </c>
      <c r="B623">
        <v>614</v>
      </c>
      <c r="C623" s="1200">
        <v>2</v>
      </c>
      <c r="D623" s="1201" t="s">
        <v>4603</v>
      </c>
      <c r="E623" s="1201" t="s">
        <v>5296</v>
      </c>
      <c r="F623" s="1185">
        <v>1</v>
      </c>
      <c r="G623" s="1186">
        <v>5.8</v>
      </c>
      <c r="H623" s="1186">
        <v>2.63</v>
      </c>
      <c r="I623" s="1186">
        <v>7.3</v>
      </c>
      <c r="J623" s="1186">
        <v>3.1</v>
      </c>
      <c r="K623" s="1186">
        <v>9.5</v>
      </c>
      <c r="L623" s="1186">
        <v>4</v>
      </c>
      <c r="M623" s="1186">
        <v>11.3</v>
      </c>
      <c r="N623" s="1186">
        <v>3.8</v>
      </c>
      <c r="O623" s="1186">
        <v>14.5</v>
      </c>
      <c r="P623" s="1186">
        <v>6.3</v>
      </c>
      <c r="Q623" s="1186">
        <v>7.2</v>
      </c>
      <c r="R623" s="1186">
        <v>2.19</v>
      </c>
      <c r="S623" s="1186">
        <v>10</v>
      </c>
      <c r="T623" s="1186">
        <v>5</v>
      </c>
      <c r="U623" s="1186">
        <v>13</v>
      </c>
      <c r="V623" s="1186">
        <v>3.94</v>
      </c>
      <c r="W623" s="1186"/>
      <c r="X623" s="1186"/>
      <c r="Y623" s="1186"/>
      <c r="Z623" s="1186"/>
      <c r="AA623" s="1186"/>
      <c r="AB623" s="1186"/>
      <c r="AC623" s="1186"/>
      <c r="AD623" s="1187"/>
    </row>
    <row r="624" spans="1:30" x14ac:dyDescent="0.2">
      <c r="A624">
        <f t="shared" si="43"/>
        <v>17</v>
      </c>
      <c r="B624">
        <v>615</v>
      </c>
      <c r="C624" s="1200">
        <v>2</v>
      </c>
      <c r="D624" s="1201" t="s">
        <v>4603</v>
      </c>
      <c r="E624" s="1201" t="s">
        <v>5295</v>
      </c>
      <c r="F624" s="1185">
        <v>2</v>
      </c>
      <c r="G624" s="1186">
        <v>7.9</v>
      </c>
      <c r="H624" s="1186">
        <v>2.5499999999999998</v>
      </c>
      <c r="I624" s="1186">
        <v>10.6</v>
      </c>
      <c r="J624" s="1186">
        <v>3.2</v>
      </c>
      <c r="K624" s="1186">
        <v>12.3</v>
      </c>
      <c r="L624" s="1186">
        <v>3.8</v>
      </c>
      <c r="M624" s="1186">
        <v>8.4</v>
      </c>
      <c r="N624" s="1186">
        <v>4.8</v>
      </c>
      <c r="O624" s="1186">
        <v>11</v>
      </c>
      <c r="P624" s="1186">
        <v>4.07</v>
      </c>
      <c r="Q624" s="1186">
        <v>10.8</v>
      </c>
      <c r="R624" s="1186">
        <v>2.2000000000000002</v>
      </c>
      <c r="S624" s="1186">
        <v>7.7</v>
      </c>
      <c r="T624" s="1186">
        <v>3.1</v>
      </c>
      <c r="U624" s="1186">
        <v>9.6</v>
      </c>
      <c r="V624" s="1186">
        <v>3.84</v>
      </c>
      <c r="W624" s="1186"/>
      <c r="X624" s="1186"/>
      <c r="Y624" s="1186"/>
      <c r="Z624" s="1186"/>
      <c r="AA624" s="1186"/>
      <c r="AB624" s="1186"/>
      <c r="AC624" s="1186"/>
      <c r="AD624" s="1187"/>
    </row>
    <row r="625" spans="1:30" x14ac:dyDescent="0.2">
      <c r="A625">
        <f t="shared" si="43"/>
        <v>17</v>
      </c>
      <c r="B625">
        <v>616</v>
      </c>
      <c r="C625" s="1200">
        <v>2</v>
      </c>
      <c r="D625" s="1201" t="s">
        <v>4603</v>
      </c>
      <c r="E625" s="1201" t="s">
        <v>5626</v>
      </c>
      <c r="F625" s="1185">
        <v>2</v>
      </c>
      <c r="G625" s="1186">
        <v>11.5</v>
      </c>
      <c r="H625" s="1186">
        <v>2.74</v>
      </c>
      <c r="I625" s="1186">
        <v>13.5</v>
      </c>
      <c r="J625" s="1186">
        <v>3.1</v>
      </c>
      <c r="K625" s="1186">
        <v>15.9</v>
      </c>
      <c r="L625" s="1186">
        <v>3.7</v>
      </c>
      <c r="M625" s="1186">
        <v>11.5</v>
      </c>
      <c r="N625" s="1186">
        <v>5</v>
      </c>
      <c r="O625" s="1186">
        <v>13</v>
      </c>
      <c r="P625" s="1186">
        <v>5.91</v>
      </c>
      <c r="Q625" s="1186"/>
      <c r="R625" s="1186"/>
      <c r="S625" s="1186">
        <v>11</v>
      </c>
      <c r="T625" s="1186">
        <v>3.24</v>
      </c>
      <c r="U625" s="1186">
        <v>12.3</v>
      </c>
      <c r="V625" s="1186">
        <v>3.73</v>
      </c>
      <c r="W625" s="1186"/>
      <c r="X625" s="1186"/>
      <c r="Y625" s="1186"/>
      <c r="Z625" s="1186"/>
      <c r="AA625" s="1186"/>
      <c r="AB625" s="1186"/>
      <c r="AC625" s="1186"/>
      <c r="AD625" s="1187"/>
    </row>
    <row r="626" spans="1:30" x14ac:dyDescent="0.2">
      <c r="A626">
        <f t="shared" si="43"/>
        <v>17</v>
      </c>
      <c r="B626">
        <v>617</v>
      </c>
      <c r="C626" s="1200">
        <v>2</v>
      </c>
      <c r="D626" s="1201" t="s">
        <v>4603</v>
      </c>
      <c r="E626" s="1201" t="s">
        <v>5627</v>
      </c>
      <c r="F626" s="1185">
        <v>4</v>
      </c>
      <c r="G626" s="1186">
        <v>13</v>
      </c>
      <c r="H626" s="1186">
        <v>2.5</v>
      </c>
      <c r="I626" s="1186">
        <v>14.5</v>
      </c>
      <c r="J626" s="1186">
        <v>2.8</v>
      </c>
      <c r="K626" s="1186">
        <v>12.8</v>
      </c>
      <c r="L626" s="1186">
        <v>3.4</v>
      </c>
      <c r="M626" s="1186">
        <v>16.8</v>
      </c>
      <c r="N626" s="1186">
        <v>4.7</v>
      </c>
      <c r="O626" s="1186">
        <v>20</v>
      </c>
      <c r="P626" s="1186">
        <v>5.9</v>
      </c>
      <c r="Q626" s="1186">
        <v>14.4</v>
      </c>
      <c r="R626" s="1186">
        <v>1.9</v>
      </c>
      <c r="S626" s="1186">
        <v>15.5</v>
      </c>
      <c r="T626" s="1186">
        <v>3</v>
      </c>
      <c r="U626" s="1186">
        <v>19</v>
      </c>
      <c r="V626" s="1186">
        <v>3.8</v>
      </c>
      <c r="W626" s="1186"/>
      <c r="X626" s="1186"/>
      <c r="Y626" s="1186"/>
      <c r="Z626" s="1186"/>
      <c r="AA626" s="1186"/>
      <c r="AB626" s="1186"/>
      <c r="AC626" s="1186"/>
      <c r="AD626" s="1187"/>
    </row>
    <row r="627" spans="1:30" x14ac:dyDescent="0.2">
      <c r="A627">
        <f t="shared" si="43"/>
        <v>17</v>
      </c>
      <c r="B627">
        <v>618</v>
      </c>
      <c r="C627" s="1200">
        <v>2</v>
      </c>
      <c r="D627" s="1201" t="s">
        <v>4603</v>
      </c>
      <c r="E627" s="1201" t="s">
        <v>5628</v>
      </c>
      <c r="F627" s="1185">
        <v>2</v>
      </c>
      <c r="G627" s="1186">
        <v>31.7</v>
      </c>
      <c r="H627" s="1186">
        <v>2.6</v>
      </c>
      <c r="I627" s="1186">
        <v>38</v>
      </c>
      <c r="J627" s="1186">
        <v>3</v>
      </c>
      <c r="K627" s="1186">
        <v>26.6</v>
      </c>
      <c r="L627" s="1186">
        <v>3.6</v>
      </c>
      <c r="M627" s="1186">
        <v>35.299999999999997</v>
      </c>
      <c r="N627" s="1186">
        <v>4.5</v>
      </c>
      <c r="O627" s="1186">
        <v>44</v>
      </c>
      <c r="P627" s="1186">
        <v>5.37</v>
      </c>
      <c r="Q627" s="1186"/>
      <c r="R627" s="1186"/>
      <c r="S627" s="1186">
        <v>31.7</v>
      </c>
      <c r="T627" s="1186">
        <v>3.2</v>
      </c>
      <c r="U627" s="1186">
        <v>40.700000000000003</v>
      </c>
      <c r="V627" s="1186">
        <v>3.7</v>
      </c>
      <c r="W627" s="1186"/>
      <c r="X627" s="1186"/>
      <c r="Y627" s="1186"/>
      <c r="Z627" s="1186"/>
      <c r="AA627" s="1186"/>
      <c r="AB627" s="1186"/>
      <c r="AC627" s="1186"/>
      <c r="AD627" s="1187"/>
    </row>
    <row r="628" spans="1:30" x14ac:dyDescent="0.2">
      <c r="A628">
        <f t="shared" si="43"/>
        <v>17</v>
      </c>
      <c r="B628">
        <v>619</v>
      </c>
      <c r="C628" s="1200">
        <v>2</v>
      </c>
      <c r="D628" s="1201" t="s">
        <v>4603</v>
      </c>
      <c r="E628" s="1201" t="s">
        <v>5629</v>
      </c>
      <c r="F628" s="1185">
        <v>2</v>
      </c>
      <c r="G628" s="1186">
        <v>31.7</v>
      </c>
      <c r="H628" s="1186">
        <v>2.6</v>
      </c>
      <c r="I628" s="1186">
        <v>38</v>
      </c>
      <c r="J628" s="1186">
        <v>3</v>
      </c>
      <c r="K628" s="1186">
        <v>43.4</v>
      </c>
      <c r="L628" s="1186">
        <v>3.4</v>
      </c>
      <c r="M628" s="1186">
        <v>35.299999999999997</v>
      </c>
      <c r="N628" s="1186">
        <v>4.5</v>
      </c>
      <c r="O628" s="1186">
        <v>44</v>
      </c>
      <c r="P628" s="1186">
        <v>5.37</v>
      </c>
      <c r="Q628" s="1186"/>
      <c r="R628" s="1186"/>
      <c r="S628" s="1186">
        <v>31.7</v>
      </c>
      <c r="T628" s="1186">
        <v>3.2</v>
      </c>
      <c r="U628" s="1186">
        <v>40.700000000000003</v>
      </c>
      <c r="V628" s="1186">
        <v>3.7</v>
      </c>
      <c r="W628" s="1186"/>
      <c r="X628" s="1186"/>
      <c r="Y628" s="1186"/>
      <c r="Z628" s="1186"/>
      <c r="AA628" s="1186"/>
      <c r="AB628" s="1186"/>
      <c r="AC628" s="1186"/>
      <c r="AD628" s="1187"/>
    </row>
    <row r="629" spans="1:30" x14ac:dyDescent="0.2">
      <c r="A629">
        <f t="shared" si="43"/>
        <v>17</v>
      </c>
      <c r="B629">
        <v>620</v>
      </c>
      <c r="C629" s="1200">
        <v>2</v>
      </c>
      <c r="D629" s="1201" t="s">
        <v>4603</v>
      </c>
      <c r="E629" s="1201" t="s">
        <v>5630</v>
      </c>
      <c r="F629" s="1185">
        <v>2</v>
      </c>
      <c r="G629" s="1186">
        <v>31.7</v>
      </c>
      <c r="H629" s="1186">
        <v>2.6</v>
      </c>
      <c r="I629" s="1186">
        <v>38</v>
      </c>
      <c r="J629" s="1186">
        <v>3</v>
      </c>
      <c r="K629" s="1186">
        <v>43.4</v>
      </c>
      <c r="L629" s="1186">
        <v>3.4</v>
      </c>
      <c r="M629" s="1186">
        <v>35.299999999999997</v>
      </c>
      <c r="N629" s="1186">
        <v>4.5</v>
      </c>
      <c r="O629" s="1186">
        <v>44</v>
      </c>
      <c r="P629" s="1186">
        <v>5.37</v>
      </c>
      <c r="Q629" s="1186"/>
      <c r="R629" s="1186"/>
      <c r="S629" s="1186">
        <v>31.7</v>
      </c>
      <c r="T629" s="1186">
        <v>3.2</v>
      </c>
      <c r="U629" s="1186">
        <v>40.700000000000003</v>
      </c>
      <c r="V629" s="1186">
        <v>3.7</v>
      </c>
      <c r="W629" s="1186"/>
      <c r="X629" s="1186"/>
      <c r="Y629" s="1186"/>
      <c r="Z629" s="1186"/>
      <c r="AA629" s="1186"/>
      <c r="AB629" s="1186"/>
      <c r="AC629" s="1186"/>
      <c r="AD629" s="1187"/>
    </row>
    <row r="630" spans="1:30" x14ac:dyDescent="0.2">
      <c r="A630">
        <f t="shared" si="43"/>
        <v>17</v>
      </c>
      <c r="B630">
        <v>621</v>
      </c>
      <c r="C630" s="1200">
        <v>2</v>
      </c>
      <c r="D630" s="1201" t="s">
        <v>4603</v>
      </c>
      <c r="E630" s="1201" t="s">
        <v>5317</v>
      </c>
      <c r="F630" s="1185">
        <v>2</v>
      </c>
      <c r="G630" s="1186">
        <v>16</v>
      </c>
      <c r="H630" s="1186">
        <v>2.9</v>
      </c>
      <c r="I630" s="1186">
        <v>19.899999999999999</v>
      </c>
      <c r="J630" s="1186">
        <v>3.1</v>
      </c>
      <c r="K630" s="1186">
        <v>22.2</v>
      </c>
      <c r="L630" s="1186">
        <v>3.7</v>
      </c>
      <c r="M630" s="1186">
        <v>16.2</v>
      </c>
      <c r="N630" s="1186">
        <v>4.9000000000000004</v>
      </c>
      <c r="O630" s="1186">
        <v>23</v>
      </c>
      <c r="P630" s="1186">
        <v>6.9</v>
      </c>
      <c r="Q630" s="1186">
        <v>20</v>
      </c>
      <c r="R630" s="1186">
        <v>2.5</v>
      </c>
      <c r="S630" s="1186">
        <v>15.4</v>
      </c>
      <c r="T630" s="1186">
        <v>3.4</v>
      </c>
      <c r="U630" s="1186">
        <v>20.9</v>
      </c>
      <c r="V630" s="1186">
        <v>4.7</v>
      </c>
      <c r="W630" s="1186"/>
      <c r="X630" s="1186"/>
      <c r="Y630" s="1186"/>
      <c r="Z630" s="1186"/>
      <c r="AA630" s="1186"/>
      <c r="AB630" s="1186"/>
      <c r="AC630" s="1186"/>
      <c r="AD630" s="1187"/>
    </row>
    <row r="631" spans="1:30" x14ac:dyDescent="0.2">
      <c r="A631">
        <f t="shared" si="43"/>
        <v>17</v>
      </c>
      <c r="B631">
        <v>622</v>
      </c>
      <c r="C631" s="1200">
        <v>2</v>
      </c>
      <c r="D631" s="1201" t="s">
        <v>4603</v>
      </c>
      <c r="E631" s="1201" t="s">
        <v>4787</v>
      </c>
      <c r="F631" s="1185">
        <v>2</v>
      </c>
      <c r="G631" s="1186">
        <v>15.6</v>
      </c>
      <c r="H631" s="1186">
        <v>2.2999999999999998</v>
      </c>
      <c r="I631" s="1186">
        <v>22.3</v>
      </c>
      <c r="J631" s="1186">
        <v>3.1</v>
      </c>
      <c r="K631" s="1186">
        <v>23.7</v>
      </c>
      <c r="L631" s="1186">
        <v>3.4</v>
      </c>
      <c r="M631" s="1186">
        <v>17.600000000000001</v>
      </c>
      <c r="N631" s="1186">
        <v>4.33</v>
      </c>
      <c r="O631" s="1186">
        <v>22</v>
      </c>
      <c r="P631" s="1186">
        <v>5</v>
      </c>
      <c r="Q631" s="1186">
        <v>21.8</v>
      </c>
      <c r="R631" s="1186">
        <v>2.2999999999999998</v>
      </c>
      <c r="S631" s="1186">
        <v>17.399999999999999</v>
      </c>
      <c r="T631" s="1186">
        <v>3.11</v>
      </c>
      <c r="U631" s="1186">
        <v>23.5</v>
      </c>
      <c r="V631" s="1186">
        <v>3.9</v>
      </c>
      <c r="W631" s="1186"/>
      <c r="X631" s="1186"/>
      <c r="Y631" s="1186"/>
      <c r="Z631" s="1186"/>
      <c r="AA631" s="1186"/>
      <c r="AB631" s="1186"/>
      <c r="AC631" s="1186"/>
      <c r="AD631" s="1187"/>
    </row>
    <row r="632" spans="1:30" x14ac:dyDescent="0.2">
      <c r="A632">
        <f t="shared" si="43"/>
        <v>17</v>
      </c>
      <c r="B632">
        <v>623</v>
      </c>
      <c r="C632" s="1200">
        <v>2</v>
      </c>
      <c r="D632" s="1201" t="s">
        <v>4603</v>
      </c>
      <c r="E632" s="1201" t="s">
        <v>5322</v>
      </c>
      <c r="F632" s="1185">
        <v>2</v>
      </c>
      <c r="G632" s="1186">
        <v>31.7</v>
      </c>
      <c r="H632" s="1186">
        <v>2.6</v>
      </c>
      <c r="I632" s="1186">
        <v>38</v>
      </c>
      <c r="J632" s="1186">
        <v>3</v>
      </c>
      <c r="K632" s="1186">
        <v>43.4</v>
      </c>
      <c r="L632" s="1186">
        <v>3.4</v>
      </c>
      <c r="M632" s="1186">
        <v>35.299999999999997</v>
      </c>
      <c r="N632" s="1186">
        <v>4.5</v>
      </c>
      <c r="O632" s="1186">
        <v>44</v>
      </c>
      <c r="P632" s="1186">
        <v>5.25</v>
      </c>
      <c r="Q632" s="1186">
        <v>21</v>
      </c>
      <c r="R632" s="1186">
        <v>2.25</v>
      </c>
      <c r="S632" s="1186">
        <v>33</v>
      </c>
      <c r="T632" s="1186">
        <v>3.25</v>
      </c>
      <c r="U632" s="1186">
        <v>41</v>
      </c>
      <c r="V632" s="1186">
        <v>3.9</v>
      </c>
      <c r="W632" s="1186"/>
      <c r="X632" s="1186"/>
      <c r="Y632" s="1186"/>
      <c r="Z632" s="1186"/>
      <c r="AA632" s="1186"/>
      <c r="AB632" s="1186"/>
      <c r="AC632" s="1186"/>
      <c r="AD632" s="1187"/>
    </row>
    <row r="633" spans="1:30" x14ac:dyDescent="0.2">
      <c r="A633">
        <f t="shared" si="43"/>
        <v>17</v>
      </c>
      <c r="B633">
        <v>624</v>
      </c>
      <c r="C633" s="1078">
        <v>2</v>
      </c>
      <c r="D633" s="1077" t="s">
        <v>4603</v>
      </c>
      <c r="E633" s="1077" t="s">
        <v>5631</v>
      </c>
      <c r="F633" s="1185">
        <v>4</v>
      </c>
      <c r="G633" s="1186">
        <v>18.3</v>
      </c>
      <c r="H633" s="1186">
        <v>2.5</v>
      </c>
      <c r="I633" s="1186">
        <v>19.600000000000001</v>
      </c>
      <c r="J633" s="1186">
        <v>2.8</v>
      </c>
      <c r="K633" s="1186">
        <v>17.399999999999999</v>
      </c>
      <c r="L633" s="1186">
        <v>3.7</v>
      </c>
      <c r="M633" s="1186">
        <v>19</v>
      </c>
      <c r="N633" s="1186">
        <v>5</v>
      </c>
      <c r="O633" s="1186">
        <v>23.5</v>
      </c>
      <c r="P633" s="1186">
        <v>6.18</v>
      </c>
      <c r="Q633" s="1186">
        <v>21.7</v>
      </c>
      <c r="R633" s="1186">
        <v>2.4</v>
      </c>
      <c r="S633" s="1186">
        <v>17.399999999999999</v>
      </c>
      <c r="T633" s="1186">
        <v>3.2</v>
      </c>
      <c r="U633" s="1186">
        <v>21.8</v>
      </c>
      <c r="V633" s="1186">
        <v>4.2</v>
      </c>
      <c r="W633" s="1186"/>
      <c r="X633" s="1186"/>
      <c r="Y633" s="1186"/>
      <c r="Z633" s="1186"/>
      <c r="AA633" s="1186"/>
      <c r="AB633" s="1186"/>
      <c r="AC633" s="1186"/>
      <c r="AD633" s="1187"/>
    </row>
    <row r="634" spans="1:30" x14ac:dyDescent="0.2">
      <c r="A634">
        <f t="shared" si="43"/>
        <v>17</v>
      </c>
      <c r="B634">
        <v>625</v>
      </c>
      <c r="C634" s="1078">
        <v>2</v>
      </c>
      <c r="D634" s="1077" t="s">
        <v>4603</v>
      </c>
      <c r="E634" s="1077" t="s">
        <v>5632</v>
      </c>
      <c r="F634" s="1185">
        <v>4</v>
      </c>
      <c r="G634" s="1186">
        <v>34.799999999999997</v>
      </c>
      <c r="H634" s="1186">
        <v>2.6</v>
      </c>
      <c r="I634" s="1186">
        <v>42.5</v>
      </c>
      <c r="J634" s="1186">
        <v>2.7</v>
      </c>
      <c r="K634" s="1186">
        <v>35.700000000000003</v>
      </c>
      <c r="L634" s="1186">
        <v>3.4</v>
      </c>
      <c r="M634" s="1186">
        <v>40.200000000000003</v>
      </c>
      <c r="N634" s="1186">
        <v>4.5999999999999996</v>
      </c>
      <c r="O634" s="1186">
        <v>42</v>
      </c>
      <c r="P634" s="1186">
        <v>6.8</v>
      </c>
      <c r="Q634" s="1186">
        <v>41.6</v>
      </c>
      <c r="R634" s="1186">
        <v>2.4</v>
      </c>
      <c r="S634" s="1186">
        <v>36.200000000000003</v>
      </c>
      <c r="T634" s="1186">
        <v>3</v>
      </c>
      <c r="U634" s="1186">
        <v>38.200000000000003</v>
      </c>
      <c r="V634" s="1186">
        <v>4</v>
      </c>
      <c r="W634" s="1186"/>
      <c r="X634" s="1186"/>
      <c r="Y634" s="1186"/>
      <c r="Z634" s="1186"/>
      <c r="AA634" s="1186"/>
      <c r="AB634" s="1186"/>
      <c r="AC634" s="1186"/>
      <c r="AD634" s="1187"/>
    </row>
    <row r="635" spans="1:30" x14ac:dyDescent="0.2">
      <c r="A635">
        <f t="shared" si="43"/>
        <v>17</v>
      </c>
      <c r="B635">
        <v>626</v>
      </c>
      <c r="C635" s="1078">
        <v>2</v>
      </c>
      <c r="D635" s="1077" t="s">
        <v>4603</v>
      </c>
      <c r="E635" s="1077" t="s">
        <v>4604</v>
      </c>
      <c r="F635" s="1185">
        <v>1</v>
      </c>
      <c r="G635" s="1186">
        <v>4.3</v>
      </c>
      <c r="H635" s="1186">
        <v>2.31</v>
      </c>
      <c r="I635" s="1186">
        <v>5.32</v>
      </c>
      <c r="J635" s="1186">
        <v>2.82</v>
      </c>
      <c r="K635" s="1186">
        <v>6.62</v>
      </c>
      <c r="L635" s="1186">
        <v>3.5</v>
      </c>
      <c r="M635" s="1186">
        <v>7.7</v>
      </c>
      <c r="N635" s="1186">
        <v>4.0199999999999996</v>
      </c>
      <c r="O635" s="1186"/>
      <c r="P635" s="1186"/>
      <c r="Q635" s="1186">
        <v>4.91</v>
      </c>
      <c r="R635" s="1186">
        <v>1.82</v>
      </c>
      <c r="S635" s="1186">
        <v>7.1</v>
      </c>
      <c r="T635" s="1186">
        <v>2.5</v>
      </c>
      <c r="U635" s="1186">
        <v>10.4</v>
      </c>
      <c r="V635" s="1186">
        <v>3.62</v>
      </c>
      <c r="W635" s="1186"/>
      <c r="X635" s="1186"/>
      <c r="Y635" s="1186"/>
      <c r="Z635" s="1186"/>
      <c r="AA635" s="1186"/>
      <c r="AB635" s="1186"/>
      <c r="AC635" s="1186"/>
      <c r="AD635" s="1187"/>
    </row>
    <row r="636" spans="1:30" x14ac:dyDescent="0.2">
      <c r="A636">
        <f t="shared" si="43"/>
        <v>17</v>
      </c>
      <c r="B636">
        <v>627</v>
      </c>
      <c r="C636" s="1078">
        <v>2</v>
      </c>
      <c r="D636" s="1077" t="s">
        <v>4603</v>
      </c>
      <c r="E636" s="1077" t="s">
        <v>4788</v>
      </c>
      <c r="F636" s="1185">
        <v>1</v>
      </c>
      <c r="G636" s="1186">
        <v>5.7</v>
      </c>
      <c r="H636" s="1186">
        <v>2.6</v>
      </c>
      <c r="I636" s="1186">
        <v>7.1</v>
      </c>
      <c r="J636" s="1186">
        <v>3.3</v>
      </c>
      <c r="K636" s="1186">
        <v>9.4</v>
      </c>
      <c r="L636" s="1186">
        <v>4.2</v>
      </c>
      <c r="M636" s="1186">
        <v>11.5</v>
      </c>
      <c r="N636" s="1186">
        <v>5</v>
      </c>
      <c r="O636" s="1186">
        <v>14.4</v>
      </c>
      <c r="P636" s="1186">
        <v>6.3</v>
      </c>
      <c r="Q636" s="1186">
        <v>6.9</v>
      </c>
      <c r="R636" s="1186">
        <v>2.2000000000000002</v>
      </c>
      <c r="S636" s="1186">
        <v>10.3</v>
      </c>
      <c r="T636" s="1186">
        <v>3.2</v>
      </c>
      <c r="U636" s="1186">
        <v>12.9</v>
      </c>
      <c r="V636" s="1186">
        <v>3.8</v>
      </c>
      <c r="W636" s="1186"/>
      <c r="X636" s="1186"/>
      <c r="Y636" s="1186"/>
      <c r="Z636" s="1186"/>
      <c r="AA636" s="1186"/>
      <c r="AB636" s="1186"/>
      <c r="AC636" s="1186"/>
      <c r="AD636" s="1187"/>
    </row>
    <row r="637" spans="1:30" x14ac:dyDescent="0.2">
      <c r="A637">
        <f t="shared" si="43"/>
        <v>17</v>
      </c>
      <c r="B637">
        <v>628</v>
      </c>
      <c r="C637" s="1078">
        <v>2</v>
      </c>
      <c r="D637" s="1077" t="s">
        <v>4603</v>
      </c>
      <c r="E637" s="1077" t="s">
        <v>4605</v>
      </c>
      <c r="F637" s="1185">
        <v>1</v>
      </c>
      <c r="G637" s="1186">
        <v>5.7</v>
      </c>
      <c r="H637" s="1186">
        <v>2.6</v>
      </c>
      <c r="I637" s="1186">
        <v>7.2</v>
      </c>
      <c r="J637" s="1186">
        <v>3.13</v>
      </c>
      <c r="K637" s="1186">
        <v>9.44</v>
      </c>
      <c r="L637" s="1186">
        <v>4.0999999999999996</v>
      </c>
      <c r="M637" s="1186">
        <v>11.63</v>
      </c>
      <c r="N637" s="1186">
        <v>4.9000000000000004</v>
      </c>
      <c r="O637" s="1186"/>
      <c r="P637" s="1186"/>
      <c r="Q637" s="1186">
        <v>7</v>
      </c>
      <c r="R637" s="1186">
        <v>2.14</v>
      </c>
      <c r="S637" s="1186">
        <v>10.62</v>
      </c>
      <c r="T637" s="1186">
        <v>3.06</v>
      </c>
      <c r="U637" s="1186">
        <v>12.9</v>
      </c>
      <c r="V637" s="1186">
        <v>3.62</v>
      </c>
      <c r="W637" s="1186"/>
      <c r="X637" s="1186"/>
      <c r="Y637" s="1186"/>
      <c r="Z637" s="1186"/>
      <c r="AA637" s="1186"/>
      <c r="AB637" s="1186"/>
      <c r="AC637" s="1186"/>
      <c r="AD637" s="1187"/>
    </row>
    <row r="638" spans="1:30" x14ac:dyDescent="0.2">
      <c r="A638">
        <f t="shared" si="43"/>
        <v>17</v>
      </c>
      <c r="B638">
        <v>629</v>
      </c>
      <c r="C638" s="1078">
        <v>2</v>
      </c>
      <c r="D638" s="1077" t="s">
        <v>4603</v>
      </c>
      <c r="E638" s="1077" t="s">
        <v>5297</v>
      </c>
      <c r="F638" s="1185">
        <v>2</v>
      </c>
      <c r="G638" s="1186">
        <v>11</v>
      </c>
      <c r="H638" s="1186">
        <v>2.6</v>
      </c>
      <c r="I638" s="1186">
        <v>13.9</v>
      </c>
      <c r="J638" s="1186">
        <v>3.1</v>
      </c>
      <c r="K638" s="1186">
        <v>15.9</v>
      </c>
      <c r="L638" s="1186">
        <v>3.7</v>
      </c>
      <c r="M638" s="1186">
        <v>20.9</v>
      </c>
      <c r="N638" s="1186">
        <v>4.7</v>
      </c>
      <c r="O638" s="1186">
        <v>14</v>
      </c>
      <c r="P638" s="1186">
        <v>6</v>
      </c>
      <c r="Q638" s="1186">
        <v>13</v>
      </c>
      <c r="R638" s="1186">
        <v>2.2000000000000002</v>
      </c>
      <c r="S638" s="1186">
        <v>11</v>
      </c>
      <c r="T638" s="1186">
        <v>3.2</v>
      </c>
      <c r="U638" s="1186">
        <v>13</v>
      </c>
      <c r="V638" s="1186">
        <v>3.6</v>
      </c>
      <c r="W638" s="1186"/>
      <c r="X638" s="1186"/>
      <c r="Y638" s="1186"/>
      <c r="Z638" s="1186"/>
      <c r="AA638" s="1186"/>
      <c r="AB638" s="1186"/>
      <c r="AC638" s="1186"/>
      <c r="AD638" s="1187"/>
    </row>
    <row r="639" spans="1:30" x14ac:dyDescent="0.2">
      <c r="A639">
        <f t="shared" si="43"/>
        <v>17</v>
      </c>
      <c r="B639">
        <v>630</v>
      </c>
      <c r="C639" s="1078">
        <v>2</v>
      </c>
      <c r="D639" s="1077" t="s">
        <v>4603</v>
      </c>
      <c r="E639" s="1077" t="s">
        <v>5298</v>
      </c>
      <c r="F639" s="1185">
        <v>2</v>
      </c>
      <c r="G639" s="1186">
        <v>13.6</v>
      </c>
      <c r="H639" s="1186">
        <v>2.8</v>
      </c>
      <c r="I639" s="1186">
        <v>18.3</v>
      </c>
      <c r="J639" s="1186">
        <v>3.2</v>
      </c>
      <c r="K639" s="1186">
        <v>18.5</v>
      </c>
      <c r="L639" s="1186">
        <v>3.6</v>
      </c>
      <c r="M639" s="1186">
        <v>21.4</v>
      </c>
      <c r="N639" s="1186">
        <v>4.0999999999999996</v>
      </c>
      <c r="O639" s="1186">
        <v>18</v>
      </c>
      <c r="P639" s="1186">
        <v>6.2</v>
      </c>
      <c r="Q639" s="1186">
        <v>18.5</v>
      </c>
      <c r="R639" s="1186">
        <v>2.2999999999999998</v>
      </c>
      <c r="S639" s="1186">
        <v>12.5</v>
      </c>
      <c r="T639" s="1186">
        <v>3.1</v>
      </c>
      <c r="U639" s="1186">
        <v>16</v>
      </c>
      <c r="V639" s="1186">
        <v>3.9</v>
      </c>
      <c r="W639" s="1186"/>
      <c r="X639" s="1186"/>
      <c r="Y639" s="1186"/>
      <c r="Z639" s="1186"/>
      <c r="AA639" s="1186"/>
      <c r="AB639" s="1186"/>
      <c r="AC639" s="1186"/>
      <c r="AD639" s="1187"/>
    </row>
    <row r="640" spans="1:30" x14ac:dyDescent="0.2">
      <c r="A640">
        <f t="shared" si="43"/>
        <v>17</v>
      </c>
      <c r="B640">
        <v>631</v>
      </c>
      <c r="C640" s="1078">
        <v>3</v>
      </c>
      <c r="D640" s="1077" t="s">
        <v>4603</v>
      </c>
      <c r="E640" s="1077" t="s">
        <v>4606</v>
      </c>
      <c r="F640" s="1185">
        <v>1</v>
      </c>
      <c r="G640" s="1186"/>
      <c r="H640" s="1186"/>
      <c r="I640" s="1186"/>
      <c r="J640" s="1186"/>
      <c r="K640" s="1186"/>
      <c r="L640" s="1186"/>
      <c r="M640" s="1186"/>
      <c r="N640" s="1186"/>
      <c r="O640" s="1186"/>
      <c r="P640" s="1186"/>
      <c r="Q640" s="1186"/>
      <c r="R640" s="1186"/>
      <c r="S640" s="1186"/>
      <c r="T640" s="1186"/>
      <c r="U640" s="1186"/>
      <c r="V640" s="1186"/>
      <c r="W640" s="1186">
        <v>6.1</v>
      </c>
      <c r="X640" s="1186">
        <v>4.7</v>
      </c>
      <c r="Y640" s="1186">
        <v>5.5</v>
      </c>
      <c r="Z640" s="1186">
        <v>2.8</v>
      </c>
      <c r="AA640" s="1186"/>
      <c r="AB640" s="1186"/>
      <c r="AC640" s="1186"/>
      <c r="AD640" s="1187"/>
    </row>
    <row r="641" spans="1:30" x14ac:dyDescent="0.2">
      <c r="A641">
        <f t="shared" si="43"/>
        <v>17</v>
      </c>
      <c r="B641">
        <v>632</v>
      </c>
      <c r="C641" s="1078">
        <v>3</v>
      </c>
      <c r="D641" s="1077" t="s">
        <v>4603</v>
      </c>
      <c r="E641" s="1077" t="s">
        <v>4608</v>
      </c>
      <c r="F641" s="1185">
        <v>1</v>
      </c>
      <c r="G641" s="1186"/>
      <c r="H641" s="1186"/>
      <c r="I641" s="1186"/>
      <c r="J641" s="1186"/>
      <c r="K641" s="1186"/>
      <c r="L641" s="1186"/>
      <c r="M641" s="1186"/>
      <c r="N641" s="1186"/>
      <c r="O641" s="1186"/>
      <c r="P641" s="1186"/>
      <c r="Q641" s="1186"/>
      <c r="R641" s="1186"/>
      <c r="S641" s="1186"/>
      <c r="T641" s="1186"/>
      <c r="U641" s="1186"/>
      <c r="V641" s="1186"/>
      <c r="W641" s="1186">
        <v>8.1</v>
      </c>
      <c r="X641" s="1186">
        <v>4.8</v>
      </c>
      <c r="Y641" s="1186">
        <v>7.2</v>
      </c>
      <c r="Z641" s="1186">
        <v>2.8</v>
      </c>
      <c r="AA641" s="1186"/>
      <c r="AB641" s="1186"/>
      <c r="AC641" s="1186"/>
      <c r="AD641" s="1187"/>
    </row>
    <row r="642" spans="1:30" x14ac:dyDescent="0.2">
      <c r="A642">
        <f t="shared" si="43"/>
        <v>17</v>
      </c>
      <c r="B642">
        <v>633</v>
      </c>
      <c r="C642" s="1078">
        <v>3</v>
      </c>
      <c r="D642" s="1077" t="s">
        <v>4603</v>
      </c>
      <c r="E642" s="1077" t="s">
        <v>4610</v>
      </c>
      <c r="F642" s="1185">
        <v>1</v>
      </c>
      <c r="G642" s="1186"/>
      <c r="H642" s="1186"/>
      <c r="I642" s="1186"/>
      <c r="J642" s="1186"/>
      <c r="K642" s="1186"/>
      <c r="L642" s="1186"/>
      <c r="M642" s="1186"/>
      <c r="N642" s="1186"/>
      <c r="O642" s="1186"/>
      <c r="P642" s="1186"/>
      <c r="Q642" s="1186"/>
      <c r="R642" s="1186"/>
      <c r="S642" s="1186"/>
      <c r="T642" s="1186"/>
      <c r="U642" s="1186"/>
      <c r="V642" s="1186"/>
      <c r="W642" s="1186">
        <v>10.9</v>
      </c>
      <c r="X642" s="1186">
        <v>4.9000000000000004</v>
      </c>
      <c r="Y642" s="1186">
        <v>10</v>
      </c>
      <c r="Z642" s="1186">
        <v>2.9</v>
      </c>
      <c r="AA642" s="1186"/>
      <c r="AB642" s="1186"/>
      <c r="AC642" s="1186"/>
      <c r="AD642" s="1187"/>
    </row>
    <row r="643" spans="1:30" x14ac:dyDescent="0.2">
      <c r="A643">
        <f t="shared" si="43"/>
        <v>17</v>
      </c>
      <c r="B643">
        <v>634</v>
      </c>
      <c r="C643" s="1078">
        <v>3</v>
      </c>
      <c r="D643" s="1077" t="s">
        <v>4603</v>
      </c>
      <c r="E643" s="1077" t="s">
        <v>4611</v>
      </c>
      <c r="F643" s="1185">
        <v>1</v>
      </c>
      <c r="G643" s="1186"/>
      <c r="H643" s="1186"/>
      <c r="I643" s="1186"/>
      <c r="J643" s="1186"/>
      <c r="K643" s="1186"/>
      <c r="L643" s="1186"/>
      <c r="M643" s="1186"/>
      <c r="N643" s="1186"/>
      <c r="O643" s="1186"/>
      <c r="P643" s="1186"/>
      <c r="Q643" s="1186"/>
      <c r="R643" s="1186"/>
      <c r="S643" s="1186"/>
      <c r="T643" s="1186"/>
      <c r="U643" s="1186"/>
      <c r="V643" s="1186"/>
      <c r="W643" s="1186">
        <v>13.9</v>
      </c>
      <c r="X643" s="1186">
        <v>5</v>
      </c>
      <c r="Y643" s="1186">
        <v>12.8</v>
      </c>
      <c r="Z643" s="1186">
        <v>3</v>
      </c>
      <c r="AA643" s="1186"/>
      <c r="AB643" s="1186"/>
      <c r="AC643" s="1186"/>
      <c r="AD643" s="1187"/>
    </row>
    <row r="644" spans="1:30" x14ac:dyDescent="0.2">
      <c r="A644">
        <f t="shared" si="43"/>
        <v>17</v>
      </c>
      <c r="B644">
        <v>635</v>
      </c>
      <c r="C644" s="1078">
        <v>3</v>
      </c>
      <c r="D644" s="1077" t="s">
        <v>4603</v>
      </c>
      <c r="E644" s="1077" t="s">
        <v>4612</v>
      </c>
      <c r="F644" s="1185">
        <v>1</v>
      </c>
      <c r="G644" s="1186"/>
      <c r="H644" s="1186"/>
      <c r="I644" s="1186"/>
      <c r="J644" s="1186"/>
      <c r="K644" s="1186"/>
      <c r="L644" s="1186"/>
      <c r="M644" s="1186"/>
      <c r="N644" s="1186"/>
      <c r="O644" s="1186"/>
      <c r="P644" s="1186"/>
      <c r="Q644" s="1186"/>
      <c r="R644" s="1186"/>
      <c r="S644" s="1186"/>
      <c r="T644" s="1186"/>
      <c r="U644" s="1186"/>
      <c r="V644" s="1186"/>
      <c r="W644" s="1186">
        <v>17.5</v>
      </c>
      <c r="X644" s="1186">
        <v>4.7</v>
      </c>
      <c r="Y644" s="1186">
        <v>16.5</v>
      </c>
      <c r="Z644" s="1186">
        <v>2.9</v>
      </c>
      <c r="AA644" s="1186"/>
      <c r="AB644" s="1186"/>
      <c r="AC644" s="1186"/>
      <c r="AD644" s="1187"/>
    </row>
    <row r="645" spans="1:30" x14ac:dyDescent="0.2">
      <c r="A645">
        <f t="shared" si="43"/>
        <v>17</v>
      </c>
      <c r="B645">
        <v>636</v>
      </c>
      <c r="C645" s="1078">
        <v>3</v>
      </c>
      <c r="D645" s="1077" t="s">
        <v>4603</v>
      </c>
      <c r="E645" s="1077" t="s">
        <v>4614</v>
      </c>
      <c r="F645" s="1185">
        <v>1</v>
      </c>
      <c r="G645" s="1186"/>
      <c r="H645" s="1186"/>
      <c r="I645" s="1186"/>
      <c r="J645" s="1186"/>
      <c r="K645" s="1186"/>
      <c r="L645" s="1186"/>
      <c r="M645" s="1186"/>
      <c r="N645" s="1186"/>
      <c r="O645" s="1186"/>
      <c r="P645" s="1186"/>
      <c r="Q645" s="1186"/>
      <c r="R645" s="1186"/>
      <c r="S645" s="1186"/>
      <c r="T645" s="1186"/>
      <c r="U645" s="1186"/>
      <c r="V645" s="1186"/>
      <c r="W645" s="1186">
        <v>22.9</v>
      </c>
      <c r="X645" s="1186">
        <v>4.4000000000000004</v>
      </c>
      <c r="Y645" s="1186">
        <v>21.5</v>
      </c>
      <c r="Z645" s="1186">
        <v>2.9</v>
      </c>
      <c r="AA645" s="1186"/>
      <c r="AB645" s="1186"/>
      <c r="AC645" s="1186"/>
      <c r="AD645" s="1187"/>
    </row>
    <row r="646" spans="1:30" x14ac:dyDescent="0.2">
      <c r="A646">
        <f t="shared" si="43"/>
        <v>17</v>
      </c>
      <c r="B646">
        <v>637</v>
      </c>
      <c r="C646" s="1078">
        <v>3</v>
      </c>
      <c r="D646" s="1077" t="s">
        <v>4603</v>
      </c>
      <c r="E646" s="1077" t="s">
        <v>4615</v>
      </c>
      <c r="F646" s="1185">
        <v>2</v>
      </c>
      <c r="G646" s="1186"/>
      <c r="H646" s="1186"/>
      <c r="I646" s="1186"/>
      <c r="J646" s="1186"/>
      <c r="K646" s="1186"/>
      <c r="L646" s="1186"/>
      <c r="M646" s="1186"/>
      <c r="N646" s="1186"/>
      <c r="O646" s="1186"/>
      <c r="P646" s="1186"/>
      <c r="Q646" s="1186"/>
      <c r="R646" s="1186"/>
      <c r="S646" s="1186"/>
      <c r="T646" s="1186"/>
      <c r="U646" s="1186"/>
      <c r="V646" s="1186"/>
      <c r="W646" s="1186">
        <v>26.7</v>
      </c>
      <c r="X646" s="1186">
        <v>4.9000000000000004</v>
      </c>
      <c r="Y646" s="1186">
        <v>24.7</v>
      </c>
      <c r="Z646" s="1186">
        <v>3.1</v>
      </c>
      <c r="AA646" s="1186"/>
      <c r="AB646" s="1186"/>
      <c r="AC646" s="1186"/>
      <c r="AD646" s="1187"/>
    </row>
    <row r="647" spans="1:30" x14ac:dyDescent="0.2">
      <c r="A647">
        <f t="shared" si="43"/>
        <v>17</v>
      </c>
      <c r="B647">
        <v>638</v>
      </c>
      <c r="C647" s="1078">
        <v>3</v>
      </c>
      <c r="D647" s="1077" t="s">
        <v>4603</v>
      </c>
      <c r="E647" s="1077" t="s">
        <v>4616</v>
      </c>
      <c r="F647" s="1185">
        <v>2</v>
      </c>
      <c r="G647" s="1186"/>
      <c r="H647" s="1186"/>
      <c r="I647" s="1186"/>
      <c r="J647" s="1186"/>
      <c r="K647" s="1186"/>
      <c r="L647" s="1186"/>
      <c r="M647" s="1186"/>
      <c r="N647" s="1186"/>
      <c r="O647" s="1186"/>
      <c r="P647" s="1186"/>
      <c r="Q647" s="1186"/>
      <c r="R647" s="1186"/>
      <c r="S647" s="1186"/>
      <c r="T647" s="1186"/>
      <c r="U647" s="1186"/>
      <c r="V647" s="1186"/>
      <c r="W647" s="1186">
        <v>34.799999999999997</v>
      </c>
      <c r="X647" s="1186">
        <v>4.8</v>
      </c>
      <c r="Y647" s="1186">
        <v>32.1</v>
      </c>
      <c r="Z647" s="1186">
        <v>3</v>
      </c>
      <c r="AA647" s="1186"/>
      <c r="AB647" s="1186"/>
      <c r="AC647" s="1186"/>
      <c r="AD647" s="1187"/>
    </row>
    <row r="648" spans="1:30" x14ac:dyDescent="0.2">
      <c r="A648">
        <f t="shared" si="43"/>
        <v>17</v>
      </c>
      <c r="B648">
        <v>639</v>
      </c>
      <c r="C648" s="1078">
        <v>3</v>
      </c>
      <c r="D648" s="1077" t="s">
        <v>4603</v>
      </c>
      <c r="E648" s="1077" t="s">
        <v>4617</v>
      </c>
      <c r="F648" s="1185">
        <v>2</v>
      </c>
      <c r="G648" s="1186"/>
      <c r="H648" s="1186"/>
      <c r="I648" s="1186"/>
      <c r="J648" s="1186"/>
      <c r="K648" s="1186"/>
      <c r="L648" s="1186"/>
      <c r="M648" s="1186"/>
      <c r="N648" s="1186"/>
      <c r="O648" s="1186"/>
      <c r="P648" s="1186"/>
      <c r="Q648" s="1186"/>
      <c r="R648" s="1186"/>
      <c r="S648" s="1186"/>
      <c r="T648" s="1186"/>
      <c r="U648" s="1186"/>
      <c r="V648" s="1186"/>
      <c r="W648" s="1186">
        <v>52</v>
      </c>
      <c r="X648" s="1186">
        <v>5</v>
      </c>
      <c r="Y648" s="1186">
        <v>44.1</v>
      </c>
      <c r="Z648" s="1186">
        <v>2.8</v>
      </c>
      <c r="AA648" s="1186"/>
      <c r="AB648" s="1186"/>
      <c r="AC648" s="1186"/>
      <c r="AD648" s="1187"/>
    </row>
    <row r="649" spans="1:30" x14ac:dyDescent="0.2">
      <c r="A649">
        <f t="shared" si="43"/>
        <v>17</v>
      </c>
      <c r="B649">
        <v>640</v>
      </c>
      <c r="C649" s="1200">
        <v>3</v>
      </c>
      <c r="D649" s="1201" t="s">
        <v>4603</v>
      </c>
      <c r="E649" s="1201" t="s">
        <v>4618</v>
      </c>
      <c r="F649" s="1185">
        <v>2</v>
      </c>
      <c r="G649" s="1186"/>
      <c r="H649" s="1186"/>
      <c r="I649" s="1186"/>
      <c r="J649" s="1186"/>
      <c r="K649" s="1186"/>
      <c r="L649" s="1186"/>
      <c r="M649" s="1186"/>
      <c r="N649" s="1186"/>
      <c r="O649" s="1186"/>
      <c r="P649" s="1186"/>
      <c r="Q649" s="1186"/>
      <c r="R649" s="1186"/>
      <c r="S649" s="1186"/>
      <c r="T649" s="1186"/>
      <c r="U649" s="1186"/>
      <c r="V649" s="1186"/>
      <c r="W649" s="1186">
        <v>73.5</v>
      </c>
      <c r="X649" s="1186">
        <v>4.8</v>
      </c>
      <c r="Y649" s="1186">
        <v>67.3</v>
      </c>
      <c r="Z649" s="1186">
        <v>3</v>
      </c>
      <c r="AA649" s="1186"/>
      <c r="AB649" s="1186"/>
      <c r="AC649" s="1186"/>
      <c r="AD649" s="1187"/>
    </row>
    <row r="650" spans="1:30" x14ac:dyDescent="0.2">
      <c r="A650">
        <f t="shared" si="43"/>
        <v>17</v>
      </c>
      <c r="B650">
        <v>641</v>
      </c>
      <c r="C650" s="1200">
        <v>3</v>
      </c>
      <c r="D650" s="1201" t="s">
        <v>4603</v>
      </c>
      <c r="E650" s="1201" t="s">
        <v>4789</v>
      </c>
      <c r="F650" s="1185">
        <v>2</v>
      </c>
      <c r="G650" s="1186"/>
      <c r="H650" s="1186"/>
      <c r="I650" s="1186"/>
      <c r="J650" s="1186"/>
      <c r="K650" s="1186"/>
      <c r="L650" s="1186"/>
      <c r="M650" s="1186"/>
      <c r="N650" s="1186"/>
      <c r="O650" s="1186"/>
      <c r="P650" s="1186"/>
      <c r="Q650" s="1186"/>
      <c r="R650" s="1186"/>
      <c r="S650" s="1186"/>
      <c r="T650" s="1186"/>
      <c r="U650" s="1186"/>
      <c r="V650" s="1186"/>
      <c r="W650" s="1186">
        <v>86</v>
      </c>
      <c r="X650" s="1186">
        <v>4.7</v>
      </c>
      <c r="Y650" s="1186">
        <v>78.900000000000006</v>
      </c>
      <c r="Z650" s="1186">
        <v>3</v>
      </c>
      <c r="AA650" s="1186"/>
      <c r="AB650" s="1186"/>
      <c r="AC650" s="1186"/>
      <c r="AD650" s="1187"/>
    </row>
    <row r="651" spans="1:30" x14ac:dyDescent="0.2">
      <c r="A651">
        <f t="shared" si="43"/>
        <v>17</v>
      </c>
      <c r="B651">
        <v>642</v>
      </c>
      <c r="C651" s="1200">
        <v>3</v>
      </c>
      <c r="D651" s="1201" t="s">
        <v>4603</v>
      </c>
      <c r="E651" s="1201" t="s">
        <v>4790</v>
      </c>
      <c r="F651" s="1185">
        <v>2</v>
      </c>
      <c r="G651" s="1186"/>
      <c r="H651" s="1186"/>
      <c r="I651" s="1186"/>
      <c r="J651" s="1186"/>
      <c r="K651" s="1186"/>
      <c r="L651" s="1186"/>
      <c r="M651" s="1186"/>
      <c r="N651" s="1186"/>
      <c r="O651" s="1186"/>
      <c r="P651" s="1186"/>
      <c r="Q651" s="1186"/>
      <c r="R651" s="1186"/>
      <c r="S651" s="1186"/>
      <c r="T651" s="1186"/>
      <c r="U651" s="1186"/>
      <c r="V651" s="1186"/>
      <c r="W651" s="1186">
        <v>138.1</v>
      </c>
      <c r="X651" s="1186">
        <v>4.5999999999999996</v>
      </c>
      <c r="Y651" s="1186">
        <v>129.6</v>
      </c>
      <c r="Z651" s="1186">
        <v>3.1</v>
      </c>
      <c r="AA651" s="1186"/>
      <c r="AB651" s="1186"/>
      <c r="AC651" s="1186"/>
      <c r="AD651" s="1187"/>
    </row>
    <row r="652" spans="1:30" x14ac:dyDescent="0.2">
      <c r="A652">
        <f t="shared" ref="A652:A715" si="44">A651+(D652&lt;&gt;D651)*1</f>
        <v>17</v>
      </c>
      <c r="B652">
        <v>643</v>
      </c>
      <c r="C652" s="1200">
        <v>3</v>
      </c>
      <c r="D652" s="1201" t="s">
        <v>4603</v>
      </c>
      <c r="E652" s="1201" t="s">
        <v>4607</v>
      </c>
      <c r="F652" s="1185">
        <v>1</v>
      </c>
      <c r="G652" s="1186"/>
      <c r="H652" s="1186"/>
      <c r="I652" s="1186"/>
      <c r="J652" s="1186"/>
      <c r="K652" s="1186"/>
      <c r="L652" s="1186"/>
      <c r="M652" s="1186"/>
      <c r="N652" s="1186"/>
      <c r="O652" s="1186"/>
      <c r="P652" s="1186"/>
      <c r="Q652" s="1186"/>
      <c r="R652" s="1186"/>
      <c r="S652" s="1186"/>
      <c r="T652" s="1186"/>
      <c r="U652" s="1186"/>
      <c r="V652" s="1186"/>
      <c r="W652" s="1186">
        <v>7.8</v>
      </c>
      <c r="X652" s="1186">
        <v>4.8</v>
      </c>
      <c r="Y652" s="1186">
        <v>7.1</v>
      </c>
      <c r="Z652" s="1186">
        <v>2.9</v>
      </c>
      <c r="AA652" s="1186"/>
      <c r="AB652" s="1186"/>
      <c r="AC652" s="1186"/>
      <c r="AD652" s="1187"/>
    </row>
    <row r="653" spans="1:30" x14ac:dyDescent="0.2">
      <c r="A653">
        <f t="shared" si="44"/>
        <v>17</v>
      </c>
      <c r="B653">
        <v>644</v>
      </c>
      <c r="C653" s="1200">
        <v>3</v>
      </c>
      <c r="D653" s="1201" t="s">
        <v>4603</v>
      </c>
      <c r="E653" s="1201" t="s">
        <v>4609</v>
      </c>
      <c r="F653" s="1185">
        <v>1</v>
      </c>
      <c r="G653" s="1186"/>
      <c r="H653" s="1186"/>
      <c r="I653" s="1186"/>
      <c r="J653" s="1186"/>
      <c r="K653" s="1186"/>
      <c r="L653" s="1186"/>
      <c r="M653" s="1186"/>
      <c r="N653" s="1186"/>
      <c r="O653" s="1186"/>
      <c r="P653" s="1186"/>
      <c r="Q653" s="1186"/>
      <c r="R653" s="1186"/>
      <c r="S653" s="1186"/>
      <c r="T653" s="1186"/>
      <c r="U653" s="1186"/>
      <c r="V653" s="1186"/>
      <c r="W653" s="1186">
        <v>10.6</v>
      </c>
      <c r="X653" s="1186">
        <v>5</v>
      </c>
      <c r="Y653" s="1186">
        <v>9.8000000000000007</v>
      </c>
      <c r="Z653" s="1186">
        <v>3.1</v>
      </c>
      <c r="AA653" s="1186"/>
      <c r="AB653" s="1186"/>
      <c r="AC653" s="1186"/>
      <c r="AD653" s="1187"/>
    </row>
    <row r="654" spans="1:30" x14ac:dyDescent="0.2">
      <c r="A654">
        <f t="shared" si="44"/>
        <v>17</v>
      </c>
      <c r="B654">
        <v>645</v>
      </c>
      <c r="C654" s="1200">
        <v>3</v>
      </c>
      <c r="D654" s="1201" t="s">
        <v>4603</v>
      </c>
      <c r="E654" s="1201" t="s">
        <v>4791</v>
      </c>
      <c r="F654" s="1185">
        <v>1</v>
      </c>
      <c r="G654" s="1186"/>
      <c r="H654" s="1186"/>
      <c r="I654" s="1186"/>
      <c r="J654" s="1186"/>
      <c r="K654" s="1186"/>
      <c r="L654" s="1186"/>
      <c r="M654" s="1186"/>
      <c r="N654" s="1186"/>
      <c r="O654" s="1186"/>
      <c r="P654" s="1186"/>
      <c r="Q654" s="1186"/>
      <c r="R654" s="1186"/>
      <c r="S654" s="1186"/>
      <c r="T654" s="1186"/>
      <c r="U654" s="1186"/>
      <c r="V654" s="1186"/>
      <c r="W654" s="1186">
        <v>5.9</v>
      </c>
      <c r="X654" s="1186">
        <v>4.7</v>
      </c>
      <c r="Y654" s="1186">
        <v>5.4</v>
      </c>
      <c r="Z654" s="1186">
        <v>2.9</v>
      </c>
      <c r="AA654" s="1186"/>
      <c r="AB654" s="1186"/>
      <c r="AC654" s="1186"/>
      <c r="AD654" s="1187"/>
    </row>
    <row r="655" spans="1:30" x14ac:dyDescent="0.2">
      <c r="A655">
        <f t="shared" si="44"/>
        <v>17</v>
      </c>
      <c r="B655">
        <v>646</v>
      </c>
      <c r="C655" s="1200">
        <v>3</v>
      </c>
      <c r="D655" s="1201" t="s">
        <v>4603</v>
      </c>
      <c r="E655" s="1201" t="s">
        <v>4792</v>
      </c>
      <c r="F655" s="1185">
        <v>1</v>
      </c>
      <c r="G655" s="1186"/>
      <c r="H655" s="1186"/>
      <c r="I655" s="1186"/>
      <c r="J655" s="1186"/>
      <c r="K655" s="1186"/>
      <c r="L655" s="1186"/>
      <c r="M655" s="1186"/>
      <c r="N655" s="1186"/>
      <c r="O655" s="1186"/>
      <c r="P655" s="1186"/>
      <c r="Q655" s="1186"/>
      <c r="R655" s="1186"/>
      <c r="S655" s="1186"/>
      <c r="T655" s="1186"/>
      <c r="U655" s="1186"/>
      <c r="V655" s="1186"/>
      <c r="W655" s="1186">
        <v>7.8</v>
      </c>
      <c r="X655" s="1186">
        <v>4.8</v>
      </c>
      <c r="Y655" s="1186">
        <v>7.1</v>
      </c>
      <c r="Z655" s="1186">
        <v>2.9</v>
      </c>
      <c r="AA655" s="1186"/>
      <c r="AB655" s="1186"/>
      <c r="AC655" s="1186"/>
      <c r="AD655" s="1187"/>
    </row>
    <row r="656" spans="1:30" x14ac:dyDescent="0.2">
      <c r="A656">
        <f t="shared" si="44"/>
        <v>17</v>
      </c>
      <c r="B656">
        <v>647</v>
      </c>
      <c r="C656" s="1200">
        <v>3</v>
      </c>
      <c r="D656" s="1201" t="s">
        <v>4603</v>
      </c>
      <c r="E656" s="1201" t="s">
        <v>4793</v>
      </c>
      <c r="F656" s="1185">
        <v>1</v>
      </c>
      <c r="G656" s="1186"/>
      <c r="H656" s="1186"/>
      <c r="I656" s="1186"/>
      <c r="J656" s="1186"/>
      <c r="K656" s="1186"/>
      <c r="L656" s="1186"/>
      <c r="M656" s="1186"/>
      <c r="N656" s="1186"/>
      <c r="O656" s="1186"/>
      <c r="P656" s="1186"/>
      <c r="Q656" s="1186"/>
      <c r="R656" s="1186"/>
      <c r="S656" s="1186"/>
      <c r="T656" s="1186"/>
      <c r="U656" s="1186"/>
      <c r="V656" s="1186"/>
      <c r="W656" s="1186">
        <v>10.5</v>
      </c>
      <c r="X656" s="1186">
        <v>4.9000000000000004</v>
      </c>
      <c r="Y656" s="1186">
        <v>9.5</v>
      </c>
      <c r="Z656" s="1186">
        <v>2.9</v>
      </c>
      <c r="AA656" s="1186"/>
      <c r="AB656" s="1186"/>
      <c r="AC656" s="1186"/>
      <c r="AD656" s="1187"/>
    </row>
    <row r="657" spans="1:30" x14ac:dyDescent="0.2">
      <c r="A657">
        <f t="shared" si="44"/>
        <v>17</v>
      </c>
      <c r="B657">
        <v>648</v>
      </c>
      <c r="C657" s="1200">
        <v>3</v>
      </c>
      <c r="D657" s="1201" t="s">
        <v>4603</v>
      </c>
      <c r="E657" s="1201" t="s">
        <v>4613</v>
      </c>
      <c r="F657" s="1185">
        <v>2</v>
      </c>
      <c r="G657" s="1186"/>
      <c r="H657" s="1186"/>
      <c r="I657" s="1186"/>
      <c r="J657" s="1186"/>
      <c r="K657" s="1186"/>
      <c r="L657" s="1186"/>
      <c r="M657" s="1186"/>
      <c r="N657" s="1186"/>
      <c r="O657" s="1186"/>
      <c r="P657" s="1186"/>
      <c r="Q657" s="1186"/>
      <c r="R657" s="1186"/>
      <c r="S657" s="1186"/>
      <c r="T657" s="1186"/>
      <c r="U657" s="1186"/>
      <c r="V657" s="1186"/>
      <c r="W657" s="1186">
        <v>21.4</v>
      </c>
      <c r="X657" s="1186">
        <v>4.4000000000000004</v>
      </c>
      <c r="Y657" s="1186">
        <v>21</v>
      </c>
      <c r="Z657" s="1186">
        <v>3</v>
      </c>
      <c r="AA657" s="1186"/>
      <c r="AB657" s="1186"/>
      <c r="AC657" s="1186"/>
      <c r="AD657" s="1187"/>
    </row>
    <row r="658" spans="1:30" x14ac:dyDescent="0.2">
      <c r="A658">
        <f t="shared" si="44"/>
        <v>17</v>
      </c>
      <c r="B658">
        <v>649</v>
      </c>
      <c r="C658" s="1200">
        <v>3</v>
      </c>
      <c r="D658" s="1201" t="s">
        <v>4603</v>
      </c>
      <c r="E658" s="1201" t="s">
        <v>4794</v>
      </c>
      <c r="F658" s="1185">
        <v>2</v>
      </c>
      <c r="G658" s="1186"/>
      <c r="H658" s="1186"/>
      <c r="I658" s="1186"/>
      <c r="J658" s="1186"/>
      <c r="K658" s="1186"/>
      <c r="L658" s="1186"/>
      <c r="M658" s="1186"/>
      <c r="N658" s="1186"/>
      <c r="O658" s="1186"/>
      <c r="P658" s="1186"/>
      <c r="Q658" s="1186"/>
      <c r="R658" s="1186"/>
      <c r="S658" s="1186"/>
      <c r="T658" s="1186"/>
      <c r="U658" s="1186"/>
      <c r="V658" s="1186"/>
      <c r="W658" s="1186">
        <v>88.6</v>
      </c>
      <c r="X658" s="1186">
        <v>4.3</v>
      </c>
      <c r="Y658" s="1186">
        <v>84.9</v>
      </c>
      <c r="Z658" s="1186">
        <v>2.9</v>
      </c>
      <c r="AA658" s="1186"/>
      <c r="AB658" s="1186"/>
      <c r="AC658" s="1186"/>
      <c r="AD658" s="1187"/>
    </row>
    <row r="659" spans="1:30" x14ac:dyDescent="0.2">
      <c r="A659">
        <f t="shared" si="44"/>
        <v>17</v>
      </c>
      <c r="B659">
        <v>650</v>
      </c>
      <c r="C659" s="1200">
        <v>3</v>
      </c>
      <c r="D659" s="1201" t="s">
        <v>4603</v>
      </c>
      <c r="E659" s="1201" t="s">
        <v>4795</v>
      </c>
      <c r="F659" s="1185">
        <v>2</v>
      </c>
      <c r="G659" s="1186"/>
      <c r="H659" s="1186"/>
      <c r="I659" s="1186"/>
      <c r="J659" s="1186"/>
      <c r="K659" s="1186"/>
      <c r="L659" s="1186"/>
      <c r="M659" s="1186"/>
      <c r="N659" s="1186"/>
      <c r="O659" s="1186"/>
      <c r="P659" s="1186"/>
      <c r="Q659" s="1186"/>
      <c r="R659" s="1186"/>
      <c r="S659" s="1186"/>
      <c r="T659" s="1186"/>
      <c r="U659" s="1186"/>
      <c r="V659" s="1186"/>
      <c r="W659" s="1186">
        <v>33.700000000000003</v>
      </c>
      <c r="X659" s="1186">
        <v>4.5999999999999996</v>
      </c>
      <c r="Y659" s="1186">
        <v>30.3</v>
      </c>
      <c r="Z659" s="1186">
        <v>2.9</v>
      </c>
      <c r="AA659" s="1186"/>
      <c r="AB659" s="1186"/>
      <c r="AC659" s="1186"/>
      <c r="AD659" s="1187"/>
    </row>
    <row r="660" spans="1:30" x14ac:dyDescent="0.2">
      <c r="A660">
        <f t="shared" si="44"/>
        <v>17</v>
      </c>
      <c r="B660">
        <v>651</v>
      </c>
      <c r="C660" s="1200">
        <v>3</v>
      </c>
      <c r="D660" s="1201" t="s">
        <v>4603</v>
      </c>
      <c r="E660" s="1201" t="s">
        <v>4796</v>
      </c>
      <c r="F660" s="1185">
        <v>2</v>
      </c>
      <c r="G660" s="1186"/>
      <c r="H660" s="1186"/>
      <c r="I660" s="1186"/>
      <c r="J660" s="1186"/>
      <c r="K660" s="1186"/>
      <c r="L660" s="1186"/>
      <c r="M660" s="1186"/>
      <c r="N660" s="1186"/>
      <c r="O660" s="1186"/>
      <c r="P660" s="1186"/>
      <c r="Q660" s="1186"/>
      <c r="R660" s="1186"/>
      <c r="S660" s="1186"/>
      <c r="T660" s="1186"/>
      <c r="U660" s="1186"/>
      <c r="V660" s="1186"/>
      <c r="W660" s="1186">
        <v>48.4</v>
      </c>
      <c r="X660" s="1186">
        <v>4.5</v>
      </c>
      <c r="Y660" s="1186">
        <v>43.2</v>
      </c>
      <c r="Z660" s="1186">
        <v>2.7</v>
      </c>
      <c r="AA660" s="1186"/>
      <c r="AB660" s="1186"/>
      <c r="AC660" s="1186"/>
      <c r="AD660" s="1187"/>
    </row>
    <row r="661" spans="1:30" x14ac:dyDescent="0.2">
      <c r="A661">
        <f t="shared" si="44"/>
        <v>17</v>
      </c>
      <c r="B661">
        <v>652</v>
      </c>
      <c r="C661" s="1200">
        <v>3</v>
      </c>
      <c r="D661" s="1201" t="s">
        <v>4603</v>
      </c>
      <c r="E661" s="1201" t="s">
        <v>4797</v>
      </c>
      <c r="F661" s="1185">
        <v>2</v>
      </c>
      <c r="G661" s="1186"/>
      <c r="H661" s="1186"/>
      <c r="I661" s="1186"/>
      <c r="J661" s="1186"/>
      <c r="K661" s="1186"/>
      <c r="L661" s="1186"/>
      <c r="M661" s="1186"/>
      <c r="N661" s="1186"/>
      <c r="O661" s="1186"/>
      <c r="P661" s="1186"/>
      <c r="Q661" s="1186"/>
      <c r="R661" s="1186"/>
      <c r="S661" s="1186"/>
      <c r="T661" s="1186"/>
      <c r="U661" s="1186"/>
      <c r="V661" s="1186"/>
      <c r="W661" s="1186">
        <v>69.8</v>
      </c>
      <c r="X661" s="1186">
        <v>4.4000000000000004</v>
      </c>
      <c r="Y661" s="1186">
        <v>64.5</v>
      </c>
      <c r="Z661" s="1186">
        <v>2.8</v>
      </c>
      <c r="AA661" s="1186"/>
      <c r="AB661" s="1186"/>
      <c r="AC661" s="1186"/>
      <c r="AD661" s="1187"/>
    </row>
    <row r="662" spans="1:30" x14ac:dyDescent="0.2">
      <c r="A662">
        <f t="shared" si="44"/>
        <v>17</v>
      </c>
      <c r="B662">
        <v>653</v>
      </c>
      <c r="C662" s="1200">
        <v>3</v>
      </c>
      <c r="D662" s="1201" t="s">
        <v>4603</v>
      </c>
      <c r="E662" s="1201" t="s">
        <v>4916</v>
      </c>
      <c r="F662" s="1185">
        <v>2</v>
      </c>
      <c r="G662" s="1186"/>
      <c r="H662" s="1186"/>
      <c r="I662" s="1186"/>
      <c r="J662" s="1186"/>
      <c r="K662" s="1186"/>
      <c r="L662" s="1186"/>
      <c r="M662" s="1186"/>
      <c r="N662" s="1186"/>
      <c r="O662" s="1186"/>
      <c r="P662" s="1186"/>
      <c r="Q662" s="1186"/>
      <c r="R662" s="1186"/>
      <c r="S662" s="1186"/>
      <c r="T662" s="1186"/>
      <c r="U662" s="1186"/>
      <c r="V662" s="1186"/>
      <c r="W662" s="1186">
        <v>82.4</v>
      </c>
      <c r="X662" s="1186">
        <v>4.4000000000000004</v>
      </c>
      <c r="Y662" s="1186">
        <v>71.5</v>
      </c>
      <c r="Z662" s="1186">
        <v>2.6</v>
      </c>
      <c r="AA662" s="1186"/>
      <c r="AB662" s="1186"/>
      <c r="AC662" s="1186"/>
      <c r="AD662" s="1187"/>
    </row>
    <row r="663" spans="1:30" x14ac:dyDescent="0.2">
      <c r="A663">
        <f t="shared" si="44"/>
        <v>17</v>
      </c>
      <c r="B663">
        <v>654</v>
      </c>
      <c r="C663" s="1200">
        <v>3</v>
      </c>
      <c r="D663" s="1201" t="s">
        <v>4603</v>
      </c>
      <c r="E663" s="1201" t="s">
        <v>4917</v>
      </c>
      <c r="F663" s="1185">
        <v>2</v>
      </c>
      <c r="G663" s="1186"/>
      <c r="H663" s="1186"/>
      <c r="I663" s="1186"/>
      <c r="J663" s="1186"/>
      <c r="K663" s="1186"/>
      <c r="L663" s="1186"/>
      <c r="M663" s="1186"/>
      <c r="N663" s="1186"/>
      <c r="O663" s="1186"/>
      <c r="P663" s="1186"/>
      <c r="Q663" s="1186"/>
      <c r="R663" s="1186"/>
      <c r="S663" s="1186"/>
      <c r="T663" s="1186"/>
      <c r="U663" s="1186"/>
      <c r="V663" s="1186"/>
      <c r="W663" s="1186">
        <v>108.5</v>
      </c>
      <c r="X663" s="1186">
        <v>4.2</v>
      </c>
      <c r="Y663" s="1186">
        <v>103.1</v>
      </c>
      <c r="Z663" s="1186">
        <v>2.82</v>
      </c>
      <c r="AA663" s="1186"/>
      <c r="AB663" s="1186"/>
      <c r="AC663" s="1186"/>
      <c r="AD663" s="1187"/>
    </row>
    <row r="664" spans="1:30" x14ac:dyDescent="0.2">
      <c r="A664">
        <f t="shared" si="44"/>
        <v>17</v>
      </c>
      <c r="B664">
        <v>655</v>
      </c>
      <c r="C664" s="1200">
        <v>4</v>
      </c>
      <c r="D664" s="1201" t="s">
        <v>4603</v>
      </c>
      <c r="E664" s="1201" t="s">
        <v>4798</v>
      </c>
      <c r="F664" s="1185">
        <v>1</v>
      </c>
      <c r="G664" s="1186"/>
      <c r="H664" s="1186"/>
      <c r="I664" s="1186"/>
      <c r="J664" s="1186"/>
      <c r="K664" s="1186"/>
      <c r="L664" s="1186"/>
      <c r="M664" s="1186"/>
      <c r="N664" s="1186"/>
      <c r="O664" s="1186"/>
      <c r="P664" s="1186"/>
      <c r="Q664" s="1186"/>
      <c r="R664" s="1186"/>
      <c r="S664" s="1186"/>
      <c r="T664" s="1186"/>
      <c r="U664" s="1186"/>
      <c r="V664" s="1186"/>
      <c r="W664" s="1186"/>
      <c r="X664" s="1186"/>
      <c r="Y664" s="1186"/>
      <c r="Z664" s="1186"/>
      <c r="AA664" s="1186">
        <v>9.6</v>
      </c>
      <c r="AB664" s="1186">
        <v>5.9</v>
      </c>
      <c r="AC664" s="1186">
        <v>8.4</v>
      </c>
      <c r="AD664" s="1187">
        <v>3.2</v>
      </c>
    </row>
    <row r="665" spans="1:30" x14ac:dyDescent="0.2">
      <c r="A665">
        <f t="shared" si="44"/>
        <v>17</v>
      </c>
      <c r="B665">
        <v>656</v>
      </c>
      <c r="C665" s="1200">
        <v>4</v>
      </c>
      <c r="D665" s="1201" t="s">
        <v>4603</v>
      </c>
      <c r="E665" s="1201" t="s">
        <v>4799</v>
      </c>
      <c r="F665" s="1185">
        <v>1</v>
      </c>
      <c r="G665" s="1186"/>
      <c r="H665" s="1186"/>
      <c r="I665" s="1186"/>
      <c r="J665" s="1186"/>
      <c r="K665" s="1186"/>
      <c r="L665" s="1186"/>
      <c r="M665" s="1186"/>
      <c r="N665" s="1186"/>
      <c r="O665" s="1186"/>
      <c r="P665" s="1186"/>
      <c r="Q665" s="1186"/>
      <c r="R665" s="1186"/>
      <c r="S665" s="1186"/>
      <c r="T665" s="1186"/>
      <c r="U665" s="1186"/>
      <c r="V665" s="1186"/>
      <c r="W665" s="1186"/>
      <c r="X665" s="1186"/>
      <c r="Y665" s="1186"/>
      <c r="Z665" s="1186"/>
      <c r="AA665" s="1186">
        <v>13.1</v>
      </c>
      <c r="AB665" s="1186">
        <v>6.1</v>
      </c>
      <c r="AC665" s="1186">
        <v>11.5</v>
      </c>
      <c r="AD665" s="1187">
        <v>3.3</v>
      </c>
    </row>
    <row r="666" spans="1:30" x14ac:dyDescent="0.2">
      <c r="A666">
        <f t="shared" si="44"/>
        <v>17</v>
      </c>
      <c r="B666">
        <v>657</v>
      </c>
      <c r="C666" s="1200">
        <v>4</v>
      </c>
      <c r="D666" s="1201" t="s">
        <v>4603</v>
      </c>
      <c r="E666" s="1201" t="s">
        <v>4800</v>
      </c>
      <c r="F666" s="1185">
        <v>1</v>
      </c>
      <c r="G666" s="1186"/>
      <c r="H666" s="1186"/>
      <c r="I666" s="1186"/>
      <c r="J666" s="1186"/>
      <c r="K666" s="1186"/>
      <c r="L666" s="1186"/>
      <c r="M666" s="1186"/>
      <c r="N666" s="1186"/>
      <c r="O666" s="1186"/>
      <c r="P666" s="1186"/>
      <c r="Q666" s="1186"/>
      <c r="R666" s="1186"/>
      <c r="S666" s="1186"/>
      <c r="T666" s="1186"/>
      <c r="U666" s="1186"/>
      <c r="V666" s="1186"/>
      <c r="W666" s="1186"/>
      <c r="X666" s="1186"/>
      <c r="Y666" s="1186"/>
      <c r="Z666" s="1186"/>
      <c r="AA666" s="1186">
        <v>17.100000000000001</v>
      </c>
      <c r="AB666" s="1186">
        <v>5.8</v>
      </c>
      <c r="AC666" s="1186">
        <v>15.1</v>
      </c>
      <c r="AD666" s="1187">
        <v>3.6</v>
      </c>
    </row>
    <row r="667" spans="1:30" x14ac:dyDescent="0.2">
      <c r="A667">
        <f t="shared" si="44"/>
        <v>17</v>
      </c>
      <c r="B667">
        <v>658</v>
      </c>
      <c r="C667" s="1200">
        <v>4</v>
      </c>
      <c r="D667" s="1201" t="s">
        <v>4603</v>
      </c>
      <c r="E667" s="1201" t="s">
        <v>4801</v>
      </c>
      <c r="F667" s="1185">
        <v>1</v>
      </c>
      <c r="G667" s="1186"/>
      <c r="H667" s="1186"/>
      <c r="I667" s="1186"/>
      <c r="J667" s="1186"/>
      <c r="K667" s="1186"/>
      <c r="L667" s="1186"/>
      <c r="M667" s="1186"/>
      <c r="N667" s="1186"/>
      <c r="O667" s="1186"/>
      <c r="P667" s="1186"/>
      <c r="Q667" s="1186"/>
      <c r="R667" s="1186"/>
      <c r="S667" s="1186"/>
      <c r="T667" s="1186"/>
      <c r="U667" s="1186"/>
      <c r="V667" s="1186"/>
      <c r="W667" s="1186"/>
      <c r="X667" s="1186"/>
      <c r="Y667" s="1186"/>
      <c r="Z667" s="1186"/>
      <c r="AA667" s="1186">
        <v>22.3</v>
      </c>
      <c r="AB667" s="1186">
        <v>5.7</v>
      </c>
      <c r="AC667" s="1186">
        <v>20</v>
      </c>
      <c r="AD667" s="1187">
        <v>3.6</v>
      </c>
    </row>
    <row r="668" spans="1:30" x14ac:dyDescent="0.2">
      <c r="A668">
        <f t="shared" si="44"/>
        <v>17</v>
      </c>
      <c r="B668">
        <v>659</v>
      </c>
      <c r="C668" s="1200">
        <v>4</v>
      </c>
      <c r="D668" s="1201" t="s">
        <v>4603</v>
      </c>
      <c r="E668" s="1201" t="s">
        <v>4802</v>
      </c>
      <c r="F668" s="1185">
        <v>2</v>
      </c>
      <c r="G668" s="1186"/>
      <c r="H668" s="1186"/>
      <c r="I668" s="1186"/>
      <c r="J668" s="1186"/>
      <c r="K668" s="1186"/>
      <c r="L668" s="1186"/>
      <c r="M668" s="1186"/>
      <c r="N668" s="1186"/>
      <c r="O668" s="1186"/>
      <c r="P668" s="1186"/>
      <c r="Q668" s="1186"/>
      <c r="R668" s="1186"/>
      <c r="S668" s="1186"/>
      <c r="T668" s="1186"/>
      <c r="U668" s="1186"/>
      <c r="V668" s="1186"/>
      <c r="W668" s="1186"/>
      <c r="X668" s="1186"/>
      <c r="Y668" s="1186"/>
      <c r="Z668" s="1186"/>
      <c r="AA668" s="1186">
        <v>35.6</v>
      </c>
      <c r="AB668" s="1186">
        <v>6.2</v>
      </c>
      <c r="AC668" s="1186">
        <v>32.200000000000003</v>
      </c>
      <c r="AD668" s="1187">
        <v>3.8</v>
      </c>
    </row>
    <row r="669" spans="1:30" x14ac:dyDescent="0.2">
      <c r="A669">
        <f t="shared" si="44"/>
        <v>17</v>
      </c>
      <c r="B669">
        <v>660</v>
      </c>
      <c r="C669" s="1200">
        <v>4</v>
      </c>
      <c r="D669" s="1201" t="s">
        <v>4603</v>
      </c>
      <c r="E669" s="1201" t="s">
        <v>4803</v>
      </c>
      <c r="F669" s="1185">
        <v>2</v>
      </c>
      <c r="G669" s="1186"/>
      <c r="H669" s="1186"/>
      <c r="I669" s="1186"/>
      <c r="J669" s="1186"/>
      <c r="K669" s="1186"/>
      <c r="L669" s="1186"/>
      <c r="M669" s="1186"/>
      <c r="N669" s="1186"/>
      <c r="O669" s="1186"/>
      <c r="P669" s="1186"/>
      <c r="Q669" s="1186"/>
      <c r="R669" s="1186"/>
      <c r="S669" s="1186"/>
      <c r="T669" s="1186"/>
      <c r="U669" s="1186"/>
      <c r="V669" s="1186"/>
      <c r="W669" s="1186"/>
      <c r="X669" s="1186"/>
      <c r="Y669" s="1186"/>
      <c r="Z669" s="1186"/>
      <c r="AA669" s="1186">
        <v>46.2</v>
      </c>
      <c r="AB669" s="1186">
        <v>5.8</v>
      </c>
      <c r="AC669" s="1186">
        <v>42.5</v>
      </c>
      <c r="AD669" s="1187">
        <v>3.7</v>
      </c>
    </row>
    <row r="670" spans="1:30" x14ac:dyDescent="0.2">
      <c r="A670">
        <f t="shared" si="44"/>
        <v>17</v>
      </c>
      <c r="B670">
        <v>661</v>
      </c>
      <c r="C670" s="1200">
        <v>4</v>
      </c>
      <c r="D670" s="1201" t="s">
        <v>4603</v>
      </c>
      <c r="E670" s="1201" t="s">
        <v>4804</v>
      </c>
      <c r="F670" s="1185">
        <v>2</v>
      </c>
      <c r="G670" s="1186"/>
      <c r="H670" s="1186"/>
      <c r="I670" s="1186"/>
      <c r="J670" s="1186"/>
      <c r="K670" s="1186"/>
      <c r="L670" s="1186"/>
      <c r="M670" s="1186"/>
      <c r="N670" s="1186"/>
      <c r="O670" s="1186"/>
      <c r="P670" s="1186"/>
      <c r="Q670" s="1186"/>
      <c r="R670" s="1186"/>
      <c r="S670" s="1186"/>
      <c r="T670" s="1186"/>
      <c r="U670" s="1186"/>
      <c r="V670" s="1186"/>
      <c r="W670" s="1186"/>
      <c r="X670" s="1186"/>
      <c r="Y670" s="1186"/>
      <c r="Z670" s="1186"/>
      <c r="AA670" s="1186">
        <v>68.900000000000006</v>
      </c>
      <c r="AB670" s="1186">
        <v>6.2</v>
      </c>
      <c r="AC670" s="1186">
        <v>59.9</v>
      </c>
      <c r="AD670" s="1187">
        <v>3.7</v>
      </c>
    </row>
    <row r="671" spans="1:30" x14ac:dyDescent="0.2">
      <c r="A671">
        <f t="shared" si="44"/>
        <v>17</v>
      </c>
      <c r="B671">
        <v>662</v>
      </c>
      <c r="C671" s="1200">
        <v>4</v>
      </c>
      <c r="D671" s="1201" t="s">
        <v>4603</v>
      </c>
      <c r="E671" s="1201" t="s">
        <v>4805</v>
      </c>
      <c r="F671" s="1185">
        <v>2</v>
      </c>
      <c r="G671" s="1186"/>
      <c r="H671" s="1186"/>
      <c r="I671" s="1186"/>
      <c r="J671" s="1186"/>
      <c r="K671" s="1186"/>
      <c r="L671" s="1186"/>
      <c r="M671" s="1186"/>
      <c r="N671" s="1186"/>
      <c r="O671" s="1186"/>
      <c r="P671" s="1186"/>
      <c r="Q671" s="1186"/>
      <c r="R671" s="1186"/>
      <c r="S671" s="1186"/>
      <c r="T671" s="1186"/>
      <c r="U671" s="1186"/>
      <c r="V671" s="1186"/>
      <c r="W671" s="1186"/>
      <c r="X671" s="1186"/>
      <c r="Y671" s="1186"/>
      <c r="Z671" s="1186"/>
      <c r="AA671" s="1186">
        <v>98.9</v>
      </c>
      <c r="AB671" s="1186">
        <v>5.9</v>
      </c>
      <c r="AC671" s="1186">
        <v>89.9</v>
      </c>
      <c r="AD671" s="1187">
        <v>3.7</v>
      </c>
    </row>
    <row r="672" spans="1:30" x14ac:dyDescent="0.2">
      <c r="A672">
        <f t="shared" si="44"/>
        <v>17</v>
      </c>
      <c r="B672">
        <v>663</v>
      </c>
      <c r="C672" s="1202">
        <v>4</v>
      </c>
      <c r="D672" s="1201" t="s">
        <v>4603</v>
      </c>
      <c r="E672" s="1203" t="s">
        <v>4806</v>
      </c>
      <c r="F672" s="1188">
        <v>2</v>
      </c>
      <c r="G672" s="1189"/>
      <c r="H672" s="1189"/>
      <c r="I672" s="1189"/>
      <c r="J672" s="1189"/>
      <c r="K672" s="1189"/>
      <c r="L672" s="1189"/>
      <c r="M672" s="1189"/>
      <c r="N672" s="1189"/>
      <c r="O672" s="1189"/>
      <c r="P672" s="1189"/>
      <c r="Q672" s="1189"/>
      <c r="R672" s="1189"/>
      <c r="S672" s="1189"/>
      <c r="T672" s="1189"/>
      <c r="U672" s="1189"/>
      <c r="V672" s="1189"/>
      <c r="W672" s="1189"/>
      <c r="X672" s="1189"/>
      <c r="Y672" s="1189"/>
      <c r="Z672" s="1189"/>
      <c r="AA672" s="1189">
        <v>118.5</v>
      </c>
      <c r="AB672" s="1189">
        <v>5.9</v>
      </c>
      <c r="AC672" s="1189">
        <v>104.2</v>
      </c>
      <c r="AD672" s="1194">
        <v>3.7</v>
      </c>
    </row>
    <row r="673" spans="1:30" x14ac:dyDescent="0.2">
      <c r="A673">
        <f t="shared" si="44"/>
        <v>17</v>
      </c>
      <c r="B673">
        <v>664</v>
      </c>
      <c r="C673" s="1204">
        <v>4</v>
      </c>
      <c r="D673" s="1201" t="s">
        <v>4603</v>
      </c>
      <c r="E673" s="1205" t="s">
        <v>4807</v>
      </c>
      <c r="F673" s="1192">
        <v>2</v>
      </c>
      <c r="G673" s="1193"/>
      <c r="H673" s="1193"/>
      <c r="I673" s="1193"/>
      <c r="J673" s="1193"/>
      <c r="K673" s="1193"/>
      <c r="L673" s="1193"/>
      <c r="M673" s="1193"/>
      <c r="N673" s="1193"/>
      <c r="O673" s="1193"/>
      <c r="P673" s="1193"/>
      <c r="Q673" s="1193"/>
      <c r="R673" s="1193"/>
      <c r="S673" s="1193"/>
      <c r="T673" s="1193"/>
      <c r="U673" s="1193"/>
      <c r="V673" s="1193"/>
      <c r="W673" s="1193"/>
      <c r="X673" s="1193"/>
      <c r="Y673" s="1193"/>
      <c r="Z673" s="1193"/>
      <c r="AA673" s="1193">
        <v>180.1</v>
      </c>
      <c r="AB673" s="1193">
        <v>5.6</v>
      </c>
      <c r="AC673" s="1193">
        <v>165.9</v>
      </c>
      <c r="AD673" s="1195">
        <v>3.7</v>
      </c>
    </row>
    <row r="674" spans="1:30" x14ac:dyDescent="0.2">
      <c r="A674">
        <f t="shared" si="44"/>
        <v>18</v>
      </c>
      <c r="B674">
        <v>665</v>
      </c>
      <c r="C674" s="1200">
        <v>2</v>
      </c>
      <c r="D674" s="1201" t="s">
        <v>4893</v>
      </c>
      <c r="E674" s="1201" t="s">
        <v>4894</v>
      </c>
      <c r="F674" s="1185">
        <v>1</v>
      </c>
      <c r="G674" s="1186">
        <v>4.7</v>
      </c>
      <c r="H674" s="1186">
        <v>2.4</v>
      </c>
      <c r="I674" s="1186">
        <v>5.2</v>
      </c>
      <c r="J674" s="1186">
        <v>2.6</v>
      </c>
      <c r="K674" s="1186">
        <v>3.4</v>
      </c>
      <c r="L674" s="1186">
        <v>3.8</v>
      </c>
      <c r="M674" s="1186">
        <v>4.5</v>
      </c>
      <c r="N674" s="1186">
        <v>4.8</v>
      </c>
      <c r="O674" s="1186">
        <v>3.5</v>
      </c>
      <c r="P674" s="1186">
        <v>5.2</v>
      </c>
      <c r="Q674" s="1186">
        <v>4.0999999999999996</v>
      </c>
      <c r="R674" s="1186">
        <v>2</v>
      </c>
      <c r="S674" s="1186">
        <v>5.7</v>
      </c>
      <c r="T674" s="1186">
        <v>2.4</v>
      </c>
      <c r="U674" s="1186">
        <v>3.3</v>
      </c>
      <c r="V674" s="1186">
        <v>5</v>
      </c>
      <c r="W674" s="1186"/>
      <c r="X674" s="1186"/>
      <c r="Y674" s="1186"/>
      <c r="Z674" s="1186"/>
      <c r="AA674" s="1186"/>
      <c r="AB674" s="1186"/>
      <c r="AC674" s="1186"/>
      <c r="AD674" s="1187"/>
    </row>
    <row r="675" spans="1:30" x14ac:dyDescent="0.2">
      <c r="A675">
        <f t="shared" si="44"/>
        <v>18</v>
      </c>
      <c r="B675">
        <v>666</v>
      </c>
      <c r="C675" s="1200">
        <v>2</v>
      </c>
      <c r="D675" s="1201" t="s">
        <v>4893</v>
      </c>
      <c r="E675" s="1201" t="s">
        <v>4895</v>
      </c>
      <c r="F675" s="1185">
        <v>1</v>
      </c>
      <c r="G675" s="1186">
        <v>5.7</v>
      </c>
      <c r="H675" s="1186">
        <v>2.4</v>
      </c>
      <c r="I675" s="1186">
        <v>6.7</v>
      </c>
      <c r="J675" s="1186">
        <v>2.7</v>
      </c>
      <c r="K675" s="1186">
        <v>4.5999999999999996</v>
      </c>
      <c r="L675" s="1186">
        <v>3.8</v>
      </c>
      <c r="M675" s="1186">
        <v>5.7</v>
      </c>
      <c r="N675" s="1186">
        <v>4.7</v>
      </c>
      <c r="O675" s="1186">
        <v>4.8</v>
      </c>
      <c r="P675" s="1186">
        <v>5.0999999999999996</v>
      </c>
      <c r="Q675" s="1186">
        <v>5.5</v>
      </c>
      <c r="R675" s="1186">
        <v>2</v>
      </c>
      <c r="S675" s="1186">
        <v>7.4</v>
      </c>
      <c r="T675" s="1186">
        <v>2.2999999999999998</v>
      </c>
      <c r="U675" s="1186">
        <v>4.7</v>
      </c>
      <c r="V675" s="1186">
        <v>4.9000000000000004</v>
      </c>
      <c r="W675" s="1186"/>
      <c r="X675" s="1186"/>
      <c r="Y675" s="1186"/>
      <c r="Z675" s="1186"/>
      <c r="AA675" s="1186"/>
      <c r="AB675" s="1186"/>
      <c r="AC675" s="1186"/>
      <c r="AD675" s="1187"/>
    </row>
    <row r="676" spans="1:30" x14ac:dyDescent="0.2">
      <c r="A676">
        <f t="shared" si="44"/>
        <v>18</v>
      </c>
      <c r="B676">
        <v>667</v>
      </c>
      <c r="C676" s="1200">
        <v>2</v>
      </c>
      <c r="D676" s="1201" t="s">
        <v>4893</v>
      </c>
      <c r="E676" s="1201" t="s">
        <v>4896</v>
      </c>
      <c r="F676" s="1185">
        <v>1</v>
      </c>
      <c r="G676" s="1186">
        <v>7.9</v>
      </c>
      <c r="H676" s="1186">
        <v>2.2999999999999998</v>
      </c>
      <c r="I676" s="1186">
        <v>10.199999999999999</v>
      </c>
      <c r="J676" s="1186">
        <v>2.8</v>
      </c>
      <c r="K676" s="1186">
        <v>8.3000000000000007</v>
      </c>
      <c r="L676" s="1186">
        <v>3.9</v>
      </c>
      <c r="M676" s="1186">
        <v>9.8000000000000007</v>
      </c>
      <c r="N676" s="1186">
        <v>4.7</v>
      </c>
      <c r="O676" s="1186">
        <v>8.6999999999999993</v>
      </c>
      <c r="P676" s="1186">
        <v>5.3</v>
      </c>
      <c r="Q676" s="1186">
        <v>10.1</v>
      </c>
      <c r="R676" s="1186">
        <v>1.9</v>
      </c>
      <c r="S676" s="1186">
        <v>14.5</v>
      </c>
      <c r="T676" s="1186">
        <v>2.5</v>
      </c>
      <c r="U676" s="1186">
        <v>8.6999999999999993</v>
      </c>
      <c r="V676" s="1186">
        <v>5.2</v>
      </c>
      <c r="W676" s="1186"/>
      <c r="X676" s="1186"/>
      <c r="Y676" s="1186"/>
      <c r="Z676" s="1186"/>
      <c r="AA676" s="1186"/>
      <c r="AB676" s="1186"/>
      <c r="AC676" s="1186"/>
      <c r="AD676" s="1187"/>
    </row>
    <row r="677" spans="1:30" x14ac:dyDescent="0.2">
      <c r="A677">
        <f t="shared" si="44"/>
        <v>18</v>
      </c>
      <c r="B677">
        <v>668</v>
      </c>
      <c r="C677" s="1200">
        <v>2</v>
      </c>
      <c r="D677" s="1201" t="s">
        <v>4893</v>
      </c>
      <c r="E677" s="1201" t="s">
        <v>4897</v>
      </c>
      <c r="F677" s="1185">
        <v>1</v>
      </c>
      <c r="G677" s="1186">
        <v>10.3</v>
      </c>
      <c r="H677" s="1186">
        <v>2.1</v>
      </c>
      <c r="I677" s="1186">
        <v>11.9</v>
      </c>
      <c r="J677" s="1186">
        <v>2.5</v>
      </c>
      <c r="K677" s="1186">
        <v>8.3000000000000007</v>
      </c>
      <c r="L677" s="1186">
        <v>3.9</v>
      </c>
      <c r="M677" s="1186">
        <v>9.8000000000000007</v>
      </c>
      <c r="N677" s="1186">
        <v>4.7</v>
      </c>
      <c r="O677" s="1186">
        <v>8.6999999999999993</v>
      </c>
      <c r="P677" s="1186">
        <v>5.3</v>
      </c>
      <c r="Q677" s="1186">
        <v>10.1</v>
      </c>
      <c r="R677" s="1186">
        <v>1.9</v>
      </c>
      <c r="S677" s="1186">
        <v>14.5</v>
      </c>
      <c r="T677" s="1186">
        <v>2.5</v>
      </c>
      <c r="U677" s="1186">
        <v>8.6999999999999993</v>
      </c>
      <c r="V677" s="1186">
        <v>5.2</v>
      </c>
      <c r="W677" s="1186"/>
      <c r="X677" s="1186"/>
      <c r="Y677" s="1186"/>
      <c r="Z677" s="1186"/>
      <c r="AA677" s="1186"/>
      <c r="AB677" s="1186"/>
      <c r="AC677" s="1186"/>
      <c r="AD677" s="1187"/>
    </row>
    <row r="678" spans="1:30" x14ac:dyDescent="0.2">
      <c r="A678">
        <f t="shared" si="44"/>
        <v>18</v>
      </c>
      <c r="B678">
        <v>669</v>
      </c>
      <c r="C678" s="1200">
        <v>2</v>
      </c>
      <c r="D678" s="1201" t="s">
        <v>4893</v>
      </c>
      <c r="E678" s="1201" t="s">
        <v>4898</v>
      </c>
      <c r="F678" s="1185">
        <v>1</v>
      </c>
      <c r="G678" s="1186">
        <v>7.9</v>
      </c>
      <c r="H678" s="1186">
        <v>2.2999999999999998</v>
      </c>
      <c r="I678" s="1186">
        <v>10.199999999999999</v>
      </c>
      <c r="J678" s="1186">
        <v>2.8</v>
      </c>
      <c r="K678" s="1186">
        <v>8.3000000000000007</v>
      </c>
      <c r="L678" s="1186">
        <v>3.7</v>
      </c>
      <c r="M678" s="1186">
        <v>10.3</v>
      </c>
      <c r="N678" s="1186">
        <v>4.5999999999999996</v>
      </c>
      <c r="O678" s="1186">
        <v>11</v>
      </c>
      <c r="P678" s="1186">
        <v>5.0999999999999996</v>
      </c>
      <c r="Q678" s="1186">
        <v>10.4</v>
      </c>
      <c r="R678" s="1186">
        <v>1.9</v>
      </c>
      <c r="S678" s="1186">
        <v>15.4</v>
      </c>
      <c r="T678" s="1186">
        <v>2.4</v>
      </c>
      <c r="U678" s="1186">
        <v>10</v>
      </c>
      <c r="V678" s="1186">
        <v>5.0999999999999996</v>
      </c>
      <c r="W678" s="1186"/>
      <c r="X678" s="1186"/>
      <c r="Y678" s="1186"/>
      <c r="Z678" s="1186"/>
      <c r="AA678" s="1186"/>
      <c r="AB678" s="1186"/>
      <c r="AC678" s="1186"/>
      <c r="AD678" s="1187"/>
    </row>
    <row r="679" spans="1:30" x14ac:dyDescent="0.2">
      <c r="A679">
        <f t="shared" si="44"/>
        <v>18</v>
      </c>
      <c r="B679">
        <v>670</v>
      </c>
      <c r="C679" s="1200">
        <v>2</v>
      </c>
      <c r="D679" s="1201" t="s">
        <v>4893</v>
      </c>
      <c r="E679" s="1201" t="s">
        <v>4899</v>
      </c>
      <c r="F679" s="1185">
        <v>1</v>
      </c>
      <c r="G679" s="1186">
        <v>10.3</v>
      </c>
      <c r="H679" s="1186">
        <v>2.1</v>
      </c>
      <c r="I679" s="1186">
        <v>11.9</v>
      </c>
      <c r="J679" s="1186">
        <v>2.5</v>
      </c>
      <c r="K679" s="1186">
        <v>8.3000000000000007</v>
      </c>
      <c r="L679" s="1186">
        <v>3.7</v>
      </c>
      <c r="M679" s="1186">
        <v>10.3</v>
      </c>
      <c r="N679" s="1186">
        <v>4.5999999999999996</v>
      </c>
      <c r="O679" s="1186">
        <v>11</v>
      </c>
      <c r="P679" s="1186">
        <v>5.0999999999999996</v>
      </c>
      <c r="Q679" s="1186">
        <v>10.4</v>
      </c>
      <c r="R679" s="1186">
        <v>1.9</v>
      </c>
      <c r="S679" s="1186">
        <v>15.4</v>
      </c>
      <c r="T679" s="1186">
        <v>2.4</v>
      </c>
      <c r="U679" s="1186">
        <v>10</v>
      </c>
      <c r="V679" s="1186">
        <v>5.0999999999999996</v>
      </c>
      <c r="W679" s="1186"/>
      <c r="X679" s="1186"/>
      <c r="Y679" s="1186"/>
      <c r="Z679" s="1186"/>
      <c r="AA679" s="1186"/>
      <c r="AB679" s="1186"/>
      <c r="AC679" s="1186"/>
      <c r="AD679" s="1187"/>
    </row>
    <row r="680" spans="1:30" x14ac:dyDescent="0.2">
      <c r="A680">
        <f t="shared" si="44"/>
        <v>18</v>
      </c>
      <c r="B680">
        <v>671</v>
      </c>
      <c r="C680" s="1200">
        <v>2</v>
      </c>
      <c r="D680" s="1201" t="s">
        <v>4893</v>
      </c>
      <c r="E680" s="1201" t="s">
        <v>4900</v>
      </c>
      <c r="F680" s="1185">
        <v>1</v>
      </c>
      <c r="G680" s="1186">
        <v>3.1</v>
      </c>
      <c r="H680" s="1186">
        <v>2.2999999999999998</v>
      </c>
      <c r="I680" s="1186">
        <v>4.0999999999999996</v>
      </c>
      <c r="J680" s="1186">
        <v>3</v>
      </c>
      <c r="K680" s="1186">
        <v>5.5</v>
      </c>
      <c r="L680" s="1186">
        <v>3.9</v>
      </c>
      <c r="M680" s="1186">
        <v>6.3</v>
      </c>
      <c r="N680" s="1186">
        <v>4.5</v>
      </c>
      <c r="O680" s="1186">
        <v>2.5</v>
      </c>
      <c r="P680" s="1186">
        <v>5.3</v>
      </c>
      <c r="Q680" s="1186">
        <v>3.8</v>
      </c>
      <c r="R680" s="1186">
        <v>2</v>
      </c>
      <c r="S680" s="1186">
        <v>5.7</v>
      </c>
      <c r="T680" s="1186">
        <v>2.9</v>
      </c>
      <c r="U680" s="1186">
        <v>2.6</v>
      </c>
      <c r="V680" s="1186">
        <v>5</v>
      </c>
      <c r="W680" s="1186"/>
      <c r="X680" s="1186"/>
      <c r="Y680" s="1186"/>
      <c r="Z680" s="1186"/>
      <c r="AA680" s="1186"/>
      <c r="AB680" s="1186"/>
      <c r="AC680" s="1186"/>
      <c r="AD680" s="1187"/>
    </row>
    <row r="681" spans="1:30" x14ac:dyDescent="0.2">
      <c r="A681">
        <f t="shared" si="44"/>
        <v>18</v>
      </c>
      <c r="B681">
        <v>672</v>
      </c>
      <c r="C681" s="1200">
        <v>2</v>
      </c>
      <c r="D681" s="1201" t="s">
        <v>4893</v>
      </c>
      <c r="E681" s="1201" t="s">
        <v>4901</v>
      </c>
      <c r="F681" s="1185">
        <v>1</v>
      </c>
      <c r="G681" s="1186">
        <v>4.7</v>
      </c>
      <c r="H681" s="1186">
        <v>2.2999999999999998</v>
      </c>
      <c r="I681" s="1186">
        <v>5.9</v>
      </c>
      <c r="J681" s="1186">
        <v>2.7</v>
      </c>
      <c r="K681" s="1186">
        <v>6.9</v>
      </c>
      <c r="L681" s="1186">
        <v>3.1</v>
      </c>
      <c r="M681" s="1186">
        <v>8.1</v>
      </c>
      <c r="N681" s="1186">
        <v>3.5</v>
      </c>
      <c r="O681" s="1186">
        <v>3.5</v>
      </c>
      <c r="P681" s="1186">
        <v>5.2</v>
      </c>
      <c r="Q681" s="1186">
        <v>5.0999999999999996</v>
      </c>
      <c r="R681" s="1186">
        <v>2</v>
      </c>
      <c r="S681" s="1186">
        <v>6.9</v>
      </c>
      <c r="T681" s="1186">
        <v>2.6</v>
      </c>
      <c r="U681" s="1186">
        <v>3.3</v>
      </c>
      <c r="V681" s="1186">
        <v>5</v>
      </c>
      <c r="W681" s="1186"/>
      <c r="X681" s="1186"/>
      <c r="Y681" s="1186"/>
      <c r="Z681" s="1186"/>
      <c r="AA681" s="1186"/>
      <c r="AB681" s="1186"/>
      <c r="AC681" s="1186"/>
      <c r="AD681" s="1187"/>
    </row>
    <row r="682" spans="1:30" x14ac:dyDescent="0.2">
      <c r="A682">
        <f t="shared" si="44"/>
        <v>18</v>
      </c>
      <c r="B682">
        <v>673</v>
      </c>
      <c r="C682" s="1200">
        <v>2</v>
      </c>
      <c r="D682" s="1201" t="s">
        <v>4893</v>
      </c>
      <c r="E682" s="1201" t="s">
        <v>4902</v>
      </c>
      <c r="F682" s="1185">
        <v>1</v>
      </c>
      <c r="G682" s="1186">
        <v>6.6</v>
      </c>
      <c r="H682" s="1186">
        <v>2.2999999999999998</v>
      </c>
      <c r="I682" s="1186">
        <v>8.1999999999999993</v>
      </c>
      <c r="J682" s="1186">
        <v>2.8</v>
      </c>
      <c r="K682" s="1186">
        <v>9.8000000000000007</v>
      </c>
      <c r="L682" s="1186">
        <v>3.3</v>
      </c>
      <c r="M682" s="1186">
        <v>10.9</v>
      </c>
      <c r="N682" s="1186">
        <v>3.7</v>
      </c>
      <c r="O682" s="1186">
        <v>4.8</v>
      </c>
      <c r="P682" s="1186">
        <v>5.0999999999999996</v>
      </c>
      <c r="Q682" s="1186">
        <v>7.1</v>
      </c>
      <c r="R682" s="1186">
        <v>2.1</v>
      </c>
      <c r="S682" s="1186">
        <v>9.4</v>
      </c>
      <c r="T682" s="1186">
        <v>2.7</v>
      </c>
      <c r="U682" s="1186">
        <v>4.7</v>
      </c>
      <c r="V682" s="1186">
        <v>4.9000000000000004</v>
      </c>
      <c r="W682" s="1186"/>
      <c r="X682" s="1186"/>
      <c r="Y682" s="1186"/>
      <c r="Z682" s="1186"/>
      <c r="AA682" s="1186"/>
      <c r="AB682" s="1186"/>
      <c r="AC682" s="1186"/>
      <c r="AD682" s="1187"/>
    </row>
    <row r="683" spans="1:30" x14ac:dyDescent="0.2">
      <c r="A683">
        <f t="shared" si="44"/>
        <v>18</v>
      </c>
      <c r="B683">
        <v>674</v>
      </c>
      <c r="C683" s="1200">
        <v>2</v>
      </c>
      <c r="D683" s="1201" t="s">
        <v>4893</v>
      </c>
      <c r="E683" s="1201" t="s">
        <v>4903</v>
      </c>
      <c r="F683" s="1185">
        <v>1</v>
      </c>
      <c r="G683" s="1186">
        <v>8.1</v>
      </c>
      <c r="H683" s="1186">
        <v>2.2999999999999998</v>
      </c>
      <c r="I683" s="1186">
        <v>10.6</v>
      </c>
      <c r="J683" s="1186">
        <v>3</v>
      </c>
      <c r="K683" s="1186">
        <v>13.8</v>
      </c>
      <c r="L683" s="1186">
        <v>3.9</v>
      </c>
      <c r="M683" s="1186">
        <v>15.6</v>
      </c>
      <c r="N683" s="1186">
        <v>4.4000000000000004</v>
      </c>
      <c r="O683" s="1186">
        <v>8.6999999999999993</v>
      </c>
      <c r="P683" s="1186">
        <v>5.3</v>
      </c>
      <c r="Q683" s="1186">
        <v>10.1</v>
      </c>
      <c r="R683" s="1186">
        <v>2</v>
      </c>
      <c r="S683" s="1186">
        <v>14.5</v>
      </c>
      <c r="T683" s="1186">
        <v>2.9</v>
      </c>
      <c r="U683" s="1186">
        <v>8.6999999999999993</v>
      </c>
      <c r="V683" s="1186">
        <v>5.2</v>
      </c>
      <c r="W683" s="1186"/>
      <c r="X683" s="1186"/>
      <c r="Y683" s="1186"/>
      <c r="Z683" s="1186"/>
      <c r="AA683" s="1186"/>
      <c r="AB683" s="1186"/>
      <c r="AC683" s="1186"/>
      <c r="AD683" s="1187"/>
    </row>
    <row r="684" spans="1:30" x14ac:dyDescent="0.2">
      <c r="A684">
        <f t="shared" si="44"/>
        <v>18</v>
      </c>
      <c r="B684">
        <v>675</v>
      </c>
      <c r="C684" s="1200">
        <v>2</v>
      </c>
      <c r="D684" s="1201" t="s">
        <v>4893</v>
      </c>
      <c r="E684" s="1201" t="s">
        <v>4904</v>
      </c>
      <c r="F684" s="1185">
        <v>1</v>
      </c>
      <c r="G684" s="1186">
        <v>9.6999999999999993</v>
      </c>
      <c r="H684" s="1186">
        <v>2</v>
      </c>
      <c r="I684" s="1186">
        <v>12.7</v>
      </c>
      <c r="J684" s="1186">
        <v>2.6</v>
      </c>
      <c r="K684" s="1186">
        <v>16.7</v>
      </c>
      <c r="L684" s="1186">
        <v>3.4</v>
      </c>
      <c r="M684" s="1186">
        <v>18.7</v>
      </c>
      <c r="N684" s="1186">
        <v>4.4000000000000004</v>
      </c>
      <c r="O684" s="1186">
        <v>8.6999999999999993</v>
      </c>
      <c r="P684" s="1186">
        <v>5.3</v>
      </c>
      <c r="Q684" s="1186">
        <v>10.1</v>
      </c>
      <c r="R684" s="1186">
        <v>2</v>
      </c>
      <c r="S684" s="1186">
        <v>14.5</v>
      </c>
      <c r="T684" s="1186">
        <v>2.9</v>
      </c>
      <c r="U684" s="1186">
        <v>8.6999999999999993</v>
      </c>
      <c r="V684" s="1186">
        <v>5.2</v>
      </c>
      <c r="W684" s="1186"/>
      <c r="X684" s="1186"/>
      <c r="Y684" s="1186"/>
      <c r="Z684" s="1186"/>
      <c r="AA684" s="1186"/>
      <c r="AB684" s="1186"/>
      <c r="AC684" s="1186"/>
      <c r="AD684" s="1187"/>
    </row>
    <row r="685" spans="1:30" x14ac:dyDescent="0.2">
      <c r="A685">
        <f t="shared" si="44"/>
        <v>18</v>
      </c>
      <c r="B685">
        <v>676</v>
      </c>
      <c r="C685" s="1200">
        <v>2</v>
      </c>
      <c r="D685" s="1201" t="s">
        <v>4893</v>
      </c>
      <c r="E685" s="1201" t="s">
        <v>4905</v>
      </c>
      <c r="F685" s="1185">
        <v>1</v>
      </c>
      <c r="G685" s="1186">
        <v>8.1</v>
      </c>
      <c r="H685" s="1186">
        <v>2.2999999999999998</v>
      </c>
      <c r="I685" s="1186">
        <v>10.6</v>
      </c>
      <c r="J685" s="1186">
        <v>3</v>
      </c>
      <c r="K685" s="1186">
        <v>13.8</v>
      </c>
      <c r="L685" s="1186">
        <v>3.9</v>
      </c>
      <c r="M685" s="1186">
        <v>15.6</v>
      </c>
      <c r="N685" s="1186">
        <v>3.8</v>
      </c>
      <c r="O685" s="1186">
        <v>11</v>
      </c>
      <c r="P685" s="1186">
        <v>5.2</v>
      </c>
      <c r="Q685" s="1186">
        <v>12.6</v>
      </c>
      <c r="R685" s="1186">
        <v>2</v>
      </c>
      <c r="S685" s="1186">
        <v>17.100000000000001</v>
      </c>
      <c r="T685" s="1186">
        <v>2.8</v>
      </c>
      <c r="U685" s="1186">
        <v>10</v>
      </c>
      <c r="V685" s="1186">
        <v>5.0999999999999996</v>
      </c>
      <c r="W685" s="1186"/>
      <c r="X685" s="1186"/>
      <c r="Y685" s="1186"/>
      <c r="Z685" s="1186"/>
      <c r="AA685" s="1186"/>
      <c r="AB685" s="1186"/>
      <c r="AC685" s="1186"/>
      <c r="AD685" s="1187"/>
    </row>
    <row r="686" spans="1:30" x14ac:dyDescent="0.2">
      <c r="A686">
        <f t="shared" si="44"/>
        <v>18</v>
      </c>
      <c r="B686">
        <v>677</v>
      </c>
      <c r="C686" s="1200">
        <v>2</v>
      </c>
      <c r="D686" s="1201" t="s">
        <v>4893</v>
      </c>
      <c r="E686" s="1201" t="s">
        <v>4906</v>
      </c>
      <c r="F686" s="1185">
        <v>1</v>
      </c>
      <c r="G686" s="1186">
        <v>9.6999999999999993</v>
      </c>
      <c r="H686" s="1186">
        <v>2</v>
      </c>
      <c r="I686" s="1186">
        <v>12.7</v>
      </c>
      <c r="J686" s="1186">
        <v>2.6</v>
      </c>
      <c r="K686" s="1186">
        <v>16.7</v>
      </c>
      <c r="L686" s="1186">
        <v>3.4</v>
      </c>
      <c r="M686" s="1186">
        <v>18.7</v>
      </c>
      <c r="N686" s="1186">
        <v>3.8</v>
      </c>
      <c r="O686" s="1186">
        <v>11</v>
      </c>
      <c r="P686" s="1186">
        <v>5.2</v>
      </c>
      <c r="Q686" s="1186">
        <v>12.6</v>
      </c>
      <c r="R686" s="1186">
        <v>2</v>
      </c>
      <c r="S686" s="1186">
        <v>17.100000000000001</v>
      </c>
      <c r="T686" s="1186">
        <v>2.8</v>
      </c>
      <c r="U686" s="1186">
        <v>10</v>
      </c>
      <c r="V686" s="1186">
        <v>5.0999999999999996</v>
      </c>
      <c r="W686" s="1186"/>
      <c r="X686" s="1186"/>
      <c r="Y686" s="1186"/>
      <c r="Z686" s="1186"/>
      <c r="AA686" s="1186"/>
      <c r="AB686" s="1186"/>
      <c r="AC686" s="1186"/>
      <c r="AD686" s="1187"/>
    </row>
    <row r="687" spans="1:30" x14ac:dyDescent="0.2">
      <c r="A687">
        <f t="shared" si="44"/>
        <v>19</v>
      </c>
      <c r="B687">
        <v>678</v>
      </c>
      <c r="C687" s="1200">
        <v>2</v>
      </c>
      <c r="D687" s="1201" t="s">
        <v>5048</v>
      </c>
      <c r="E687" s="1201" t="s">
        <v>5049</v>
      </c>
      <c r="F687" s="1185">
        <v>1</v>
      </c>
      <c r="G687" s="1186">
        <v>5.84</v>
      </c>
      <c r="H687" s="1186">
        <v>2.8</v>
      </c>
      <c r="I687" s="1186">
        <v>7.05</v>
      </c>
      <c r="J687" s="1186">
        <v>3.11</v>
      </c>
      <c r="K687" s="1186">
        <v>8.83</v>
      </c>
      <c r="L687" s="1186">
        <v>4.18</v>
      </c>
      <c r="M687" s="1186">
        <v>10</v>
      </c>
      <c r="N687" s="1186">
        <v>4.49</v>
      </c>
      <c r="O687" s="1186"/>
      <c r="P687" s="1186"/>
      <c r="Q687" s="1186"/>
      <c r="R687" s="1186"/>
      <c r="S687" s="1186"/>
      <c r="T687" s="1186"/>
      <c r="U687" s="1186"/>
      <c r="V687" s="1186"/>
      <c r="W687" s="1186"/>
      <c r="X687" s="1186"/>
      <c r="Y687" s="1186"/>
      <c r="Z687" s="1186"/>
      <c r="AA687" s="1186"/>
      <c r="AB687" s="1186"/>
      <c r="AC687" s="1186"/>
      <c r="AD687" s="1187"/>
    </row>
    <row r="688" spans="1:30" x14ac:dyDescent="0.2">
      <c r="A688">
        <f t="shared" si="44"/>
        <v>19</v>
      </c>
      <c r="B688">
        <v>679</v>
      </c>
      <c r="C688" s="1200">
        <v>2</v>
      </c>
      <c r="D688" s="1201" t="s">
        <v>5048</v>
      </c>
      <c r="E688" s="1201" t="s">
        <v>5050</v>
      </c>
      <c r="F688" s="1185">
        <v>1</v>
      </c>
      <c r="G688" s="1186">
        <v>9.3000000000000007</v>
      </c>
      <c r="H688" s="1186">
        <v>2.38</v>
      </c>
      <c r="I688" s="1186">
        <v>10</v>
      </c>
      <c r="J688" s="1186">
        <v>2.98</v>
      </c>
      <c r="K688" s="1186">
        <v>10</v>
      </c>
      <c r="L688" s="1186">
        <v>4.03</v>
      </c>
      <c r="M688" s="1186">
        <v>10</v>
      </c>
      <c r="N688" s="1186">
        <v>4.49</v>
      </c>
      <c r="O688" s="1186"/>
      <c r="P688" s="1186"/>
      <c r="Q688" s="1186"/>
      <c r="R688" s="1186"/>
      <c r="S688" s="1186"/>
      <c r="T688" s="1186"/>
      <c r="U688" s="1186"/>
      <c r="V688" s="1186"/>
      <c r="W688" s="1186"/>
      <c r="X688" s="1186"/>
      <c r="Y688" s="1186"/>
      <c r="Z688" s="1186"/>
      <c r="AA688" s="1186"/>
      <c r="AB688" s="1186"/>
      <c r="AC688" s="1186"/>
      <c r="AD688" s="1187"/>
    </row>
    <row r="689" spans="1:30" x14ac:dyDescent="0.2">
      <c r="A689">
        <f t="shared" si="44"/>
        <v>19</v>
      </c>
      <c r="B689">
        <v>680</v>
      </c>
      <c r="C689" s="1200">
        <v>2</v>
      </c>
      <c r="D689" s="1201" t="s">
        <v>5048</v>
      </c>
      <c r="E689" s="1201" t="s">
        <v>5051</v>
      </c>
      <c r="F689" s="1185">
        <v>1</v>
      </c>
      <c r="G689" s="1186">
        <v>6.6</v>
      </c>
      <c r="H689" s="1186">
        <v>2.64</v>
      </c>
      <c r="I689" s="1186">
        <v>8.0500000000000007</v>
      </c>
      <c r="J689" s="1186">
        <v>3.12</v>
      </c>
      <c r="K689" s="1186">
        <v>10.1</v>
      </c>
      <c r="L689" s="1186">
        <v>4</v>
      </c>
      <c r="M689" s="1186">
        <v>12.48</v>
      </c>
      <c r="N689" s="1186">
        <v>4.29</v>
      </c>
      <c r="O689" s="1186"/>
      <c r="P689" s="1186"/>
      <c r="Q689" s="1186"/>
      <c r="R689" s="1186"/>
      <c r="S689" s="1186"/>
      <c r="T689" s="1186"/>
      <c r="U689" s="1186"/>
      <c r="V689" s="1186"/>
      <c r="W689" s="1186"/>
      <c r="X689" s="1186"/>
      <c r="Y689" s="1186"/>
      <c r="Z689" s="1186"/>
      <c r="AA689" s="1186"/>
      <c r="AB689" s="1186"/>
      <c r="AC689" s="1186"/>
      <c r="AD689" s="1187"/>
    </row>
    <row r="690" spans="1:30" x14ac:dyDescent="0.2">
      <c r="A690">
        <f t="shared" si="44"/>
        <v>19</v>
      </c>
      <c r="B690">
        <v>681</v>
      </c>
      <c r="C690" s="1200">
        <v>2</v>
      </c>
      <c r="D690" s="1201" t="s">
        <v>5048</v>
      </c>
      <c r="E690" s="1201" t="s">
        <v>5052</v>
      </c>
      <c r="F690" s="1185">
        <v>1</v>
      </c>
      <c r="G690" s="1186">
        <v>12</v>
      </c>
      <c r="H690" s="1186">
        <v>2.42</v>
      </c>
      <c r="I690" s="1186">
        <v>12</v>
      </c>
      <c r="J690" s="1186">
        <v>3.2</v>
      </c>
      <c r="K690" s="1186">
        <v>12</v>
      </c>
      <c r="L690" s="1186">
        <v>4.25</v>
      </c>
      <c r="M690" s="1186">
        <v>12</v>
      </c>
      <c r="N690" s="1186">
        <v>4.46</v>
      </c>
      <c r="O690" s="1186"/>
      <c r="P690" s="1186"/>
      <c r="Q690" s="1186"/>
      <c r="R690" s="1186"/>
      <c r="S690" s="1186"/>
      <c r="T690" s="1186"/>
      <c r="U690" s="1186"/>
      <c r="V690" s="1186"/>
      <c r="W690" s="1186"/>
      <c r="X690" s="1186"/>
      <c r="Y690" s="1186"/>
      <c r="Z690" s="1186"/>
      <c r="AA690" s="1186"/>
      <c r="AB690" s="1186"/>
      <c r="AC690" s="1186"/>
      <c r="AD690" s="1187"/>
    </row>
    <row r="691" spans="1:30" x14ac:dyDescent="0.2">
      <c r="A691">
        <f t="shared" si="44"/>
        <v>19</v>
      </c>
      <c r="B691">
        <v>682</v>
      </c>
      <c r="C691" s="1200">
        <v>2</v>
      </c>
      <c r="D691" s="1201" t="s">
        <v>5048</v>
      </c>
      <c r="E691" s="1201" t="s">
        <v>5053</v>
      </c>
      <c r="F691" s="1185">
        <v>1</v>
      </c>
      <c r="G691" s="1186">
        <v>9.07</v>
      </c>
      <c r="H691" s="1186">
        <v>2.81</v>
      </c>
      <c r="I691" s="1186">
        <v>11</v>
      </c>
      <c r="J691" s="1186">
        <v>3.12</v>
      </c>
      <c r="K691" s="1186">
        <v>13.7</v>
      </c>
      <c r="L691" s="1186">
        <v>4.1900000000000004</v>
      </c>
      <c r="M691" s="1186">
        <v>16.600000000000001</v>
      </c>
      <c r="N691" s="1186">
        <v>4.38</v>
      </c>
      <c r="O691" s="1186"/>
      <c r="P691" s="1186"/>
      <c r="Q691" s="1186"/>
      <c r="R691" s="1186"/>
      <c r="S691" s="1186"/>
      <c r="T691" s="1186"/>
      <c r="U691" s="1186"/>
      <c r="V691" s="1186"/>
      <c r="W691" s="1186"/>
      <c r="X691" s="1186"/>
      <c r="Y691" s="1186"/>
      <c r="Z691" s="1186"/>
      <c r="AA691" s="1186"/>
      <c r="AB691" s="1186"/>
      <c r="AC691" s="1186"/>
      <c r="AD691" s="1187"/>
    </row>
    <row r="692" spans="1:30" x14ac:dyDescent="0.2">
      <c r="A692">
        <f t="shared" si="44"/>
        <v>19</v>
      </c>
      <c r="B692">
        <v>683</v>
      </c>
      <c r="C692" s="1200">
        <v>2</v>
      </c>
      <c r="D692" s="1201" t="s">
        <v>5048</v>
      </c>
      <c r="E692" s="1201" t="s">
        <v>5054</v>
      </c>
      <c r="F692" s="1185">
        <v>1</v>
      </c>
      <c r="G692" s="1186">
        <v>13.8</v>
      </c>
      <c r="H692" s="1186">
        <v>2.65</v>
      </c>
      <c r="I692" s="1186">
        <v>15</v>
      </c>
      <c r="J692" s="1186">
        <v>2.98</v>
      </c>
      <c r="K692" s="1186">
        <v>15</v>
      </c>
      <c r="L692" s="1186">
        <v>4.05</v>
      </c>
      <c r="M692" s="1186">
        <v>15</v>
      </c>
      <c r="N692" s="1186">
        <v>4.93</v>
      </c>
      <c r="O692" s="1186"/>
      <c r="P692" s="1186"/>
      <c r="Q692" s="1186"/>
      <c r="R692" s="1186"/>
      <c r="S692" s="1186"/>
      <c r="T692" s="1186"/>
      <c r="U692" s="1186"/>
      <c r="V692" s="1186"/>
      <c r="W692" s="1186"/>
      <c r="X692" s="1186"/>
      <c r="Y692" s="1186"/>
      <c r="Z692" s="1186"/>
      <c r="AA692" s="1186"/>
      <c r="AB692" s="1186"/>
      <c r="AC692" s="1186"/>
      <c r="AD692" s="1187"/>
    </row>
    <row r="693" spans="1:30" x14ac:dyDescent="0.2">
      <c r="A693">
        <f t="shared" si="44"/>
        <v>19</v>
      </c>
      <c r="B693">
        <v>684</v>
      </c>
      <c r="C693" s="1200">
        <v>2</v>
      </c>
      <c r="D693" s="1201" t="s">
        <v>5048</v>
      </c>
      <c r="E693" s="1201" t="s">
        <v>5055</v>
      </c>
      <c r="F693" s="1185">
        <v>1</v>
      </c>
      <c r="G693" s="1186">
        <v>12.4</v>
      </c>
      <c r="H693" s="1186">
        <v>2.42</v>
      </c>
      <c r="I693" s="1186">
        <v>14.6</v>
      </c>
      <c r="J693" s="1186">
        <v>2.85</v>
      </c>
      <c r="K693" s="1186">
        <v>17.5</v>
      </c>
      <c r="L693" s="1186">
        <v>3.6</v>
      </c>
      <c r="M693" s="1186">
        <v>20.2</v>
      </c>
      <c r="N693" s="1186">
        <v>4.05</v>
      </c>
      <c r="O693" s="1186"/>
      <c r="P693" s="1186"/>
      <c r="Q693" s="1186"/>
      <c r="R693" s="1186"/>
      <c r="S693" s="1186"/>
      <c r="T693" s="1186"/>
      <c r="U693" s="1186"/>
      <c r="V693" s="1186"/>
      <c r="W693" s="1186"/>
      <c r="X693" s="1186"/>
      <c r="Y693" s="1186"/>
      <c r="Z693" s="1186"/>
      <c r="AA693" s="1186"/>
      <c r="AB693" s="1186"/>
      <c r="AC693" s="1186"/>
      <c r="AD693" s="1187"/>
    </row>
    <row r="694" spans="1:30" x14ac:dyDescent="0.2">
      <c r="A694">
        <f t="shared" si="44"/>
        <v>19</v>
      </c>
      <c r="B694">
        <v>685</v>
      </c>
      <c r="C694" s="1200">
        <v>2</v>
      </c>
      <c r="D694" s="1201" t="s">
        <v>5048</v>
      </c>
      <c r="E694" s="1201" t="s">
        <v>5056</v>
      </c>
      <c r="F694" s="1185">
        <v>1</v>
      </c>
      <c r="G694" s="1186">
        <v>16</v>
      </c>
      <c r="H694" s="1186">
        <v>2.35</v>
      </c>
      <c r="I694" s="1186">
        <v>18</v>
      </c>
      <c r="J694" s="1186">
        <v>2.75</v>
      </c>
      <c r="K694" s="1186">
        <v>18</v>
      </c>
      <c r="L694" s="1186">
        <v>3.55</v>
      </c>
      <c r="M694" s="1186">
        <v>18</v>
      </c>
      <c r="N694" s="1186">
        <v>4.57</v>
      </c>
      <c r="O694" s="1186"/>
      <c r="P694" s="1186"/>
      <c r="Q694" s="1186"/>
      <c r="R694" s="1186"/>
      <c r="S694" s="1186"/>
      <c r="T694" s="1186"/>
      <c r="U694" s="1186"/>
      <c r="V694" s="1186"/>
      <c r="W694" s="1186"/>
      <c r="X694" s="1186"/>
      <c r="Y694" s="1186"/>
      <c r="Z694" s="1186"/>
      <c r="AA694" s="1186"/>
      <c r="AB694" s="1186"/>
      <c r="AC694" s="1186"/>
      <c r="AD694" s="1187"/>
    </row>
    <row r="695" spans="1:30" x14ac:dyDescent="0.2">
      <c r="A695">
        <f t="shared" si="44"/>
        <v>19</v>
      </c>
      <c r="B695">
        <v>686</v>
      </c>
      <c r="C695" s="1200">
        <v>2</v>
      </c>
      <c r="D695" s="1201" t="s">
        <v>5048</v>
      </c>
      <c r="E695" s="1201" t="s">
        <v>5057</v>
      </c>
      <c r="F695" s="1185">
        <v>1</v>
      </c>
      <c r="G695" s="1186">
        <v>17.5</v>
      </c>
      <c r="H695" s="1186">
        <v>2.68</v>
      </c>
      <c r="I695" s="1186">
        <v>20.100000000000001</v>
      </c>
      <c r="J695" s="1186">
        <v>3.25</v>
      </c>
      <c r="K695" s="1186">
        <v>20.100000000000001</v>
      </c>
      <c r="L695" s="1186">
        <v>3.85</v>
      </c>
      <c r="M695" s="1186">
        <v>25.5</v>
      </c>
      <c r="N695" s="1186">
        <v>4.3099999999999996</v>
      </c>
      <c r="O695" s="1186"/>
      <c r="P695" s="1186"/>
      <c r="Q695" s="1186"/>
      <c r="R695" s="1186"/>
      <c r="S695" s="1186"/>
      <c r="T695" s="1186"/>
      <c r="U695" s="1186"/>
      <c r="V695" s="1186"/>
      <c r="W695" s="1186"/>
      <c r="X695" s="1186"/>
      <c r="Y695" s="1186"/>
      <c r="Z695" s="1186"/>
      <c r="AA695" s="1186"/>
      <c r="AB695" s="1186"/>
      <c r="AC695" s="1186"/>
      <c r="AD695" s="1187"/>
    </row>
    <row r="696" spans="1:30" x14ac:dyDescent="0.2">
      <c r="A696">
        <f t="shared" si="44"/>
        <v>19</v>
      </c>
      <c r="B696">
        <v>687</v>
      </c>
      <c r="C696" s="1200">
        <v>2</v>
      </c>
      <c r="D696" s="1201" t="s">
        <v>5048</v>
      </c>
      <c r="E696" s="1201" t="s">
        <v>5058</v>
      </c>
      <c r="F696" s="1185">
        <v>1</v>
      </c>
      <c r="G696" s="1186">
        <v>19.25</v>
      </c>
      <c r="H696" s="1186">
        <v>2.42</v>
      </c>
      <c r="I696" s="1186">
        <v>21.29</v>
      </c>
      <c r="J696" s="1186">
        <v>2.89</v>
      </c>
      <c r="K696" s="1186">
        <v>29.88</v>
      </c>
      <c r="L696" s="1186">
        <v>3.56</v>
      </c>
      <c r="M696" s="1186">
        <v>31.9</v>
      </c>
      <c r="N696" s="1186">
        <v>4.1399999999999997</v>
      </c>
      <c r="O696" s="1186"/>
      <c r="P696" s="1186"/>
      <c r="Q696" s="1186"/>
      <c r="R696" s="1186"/>
      <c r="S696" s="1186"/>
      <c r="T696" s="1186"/>
      <c r="U696" s="1186"/>
      <c r="V696" s="1186"/>
      <c r="W696" s="1186"/>
      <c r="X696" s="1186"/>
      <c r="Y696" s="1186"/>
      <c r="Z696" s="1186"/>
      <c r="AA696" s="1186"/>
      <c r="AB696" s="1186"/>
      <c r="AC696" s="1186"/>
      <c r="AD696" s="1187"/>
    </row>
    <row r="697" spans="1:30" x14ac:dyDescent="0.2">
      <c r="A697">
        <f t="shared" si="44"/>
        <v>19</v>
      </c>
      <c r="B697">
        <v>688</v>
      </c>
      <c r="C697" s="1200">
        <v>2</v>
      </c>
      <c r="D697" s="1201" t="s">
        <v>5048</v>
      </c>
      <c r="E697" s="1201" t="s">
        <v>5059</v>
      </c>
      <c r="F697" s="1185">
        <v>1</v>
      </c>
      <c r="G697" s="1186">
        <v>23.1</v>
      </c>
      <c r="H697" s="1186">
        <v>2.39</v>
      </c>
      <c r="I697" s="1186">
        <v>28.4</v>
      </c>
      <c r="J697" s="1186">
        <v>3.06</v>
      </c>
      <c r="K697" s="1186">
        <v>32.799999999999997</v>
      </c>
      <c r="L697" s="1186">
        <v>3.52</v>
      </c>
      <c r="M697" s="1186">
        <v>35</v>
      </c>
      <c r="N697" s="1186">
        <v>4.0999999999999996</v>
      </c>
      <c r="O697" s="1186"/>
      <c r="P697" s="1186"/>
      <c r="Q697" s="1186"/>
      <c r="R697" s="1186"/>
      <c r="S697" s="1186"/>
      <c r="T697" s="1186"/>
      <c r="U697" s="1186"/>
      <c r="V697" s="1186"/>
      <c r="W697" s="1186"/>
      <c r="X697" s="1186"/>
      <c r="Y697" s="1186"/>
      <c r="Z697" s="1186"/>
      <c r="AA697" s="1186"/>
      <c r="AB697" s="1186"/>
      <c r="AC697" s="1186"/>
      <c r="AD697" s="1187"/>
    </row>
    <row r="698" spans="1:30" x14ac:dyDescent="0.2">
      <c r="A698">
        <f t="shared" si="44"/>
        <v>19</v>
      </c>
      <c r="B698">
        <v>689</v>
      </c>
      <c r="C698" s="1200">
        <v>2</v>
      </c>
      <c r="D698" s="1201" t="s">
        <v>5048</v>
      </c>
      <c r="E698" s="1201" t="s">
        <v>5060</v>
      </c>
      <c r="F698" s="1185">
        <v>1</v>
      </c>
      <c r="G698" s="1186">
        <v>34.200000000000003</v>
      </c>
      <c r="H698" s="1186">
        <v>2.4300000000000002</v>
      </c>
      <c r="I698" s="1186">
        <v>36</v>
      </c>
      <c r="J698" s="1186">
        <v>2.8</v>
      </c>
      <c r="K698" s="1186">
        <v>35</v>
      </c>
      <c r="L698" s="1186">
        <v>3.67</v>
      </c>
      <c r="M698" s="1186">
        <v>35</v>
      </c>
      <c r="N698" s="1186">
        <v>4.37</v>
      </c>
      <c r="O698" s="1186"/>
      <c r="P698" s="1186"/>
      <c r="Q698" s="1186"/>
      <c r="R698" s="1186"/>
      <c r="S698" s="1186"/>
      <c r="T698" s="1186"/>
      <c r="U698" s="1186"/>
      <c r="V698" s="1186"/>
      <c r="W698" s="1186"/>
      <c r="X698" s="1186"/>
      <c r="Y698" s="1186"/>
      <c r="Z698" s="1186"/>
      <c r="AA698" s="1186"/>
      <c r="AB698" s="1186"/>
      <c r="AC698" s="1186"/>
      <c r="AD698" s="1187"/>
    </row>
    <row r="699" spans="1:30" x14ac:dyDescent="0.2">
      <c r="A699">
        <f t="shared" si="44"/>
        <v>19</v>
      </c>
      <c r="B699">
        <v>690</v>
      </c>
      <c r="C699" s="1202">
        <v>2</v>
      </c>
      <c r="D699" s="1203" t="s">
        <v>5048</v>
      </c>
      <c r="E699" s="1203" t="s">
        <v>5061</v>
      </c>
      <c r="F699" s="1188">
        <v>1</v>
      </c>
      <c r="G699" s="1189">
        <v>28.9</v>
      </c>
      <c r="H699" s="1189">
        <v>2.67</v>
      </c>
      <c r="I699" s="1189">
        <v>36</v>
      </c>
      <c r="J699" s="1189">
        <v>2.9</v>
      </c>
      <c r="K699" s="1189">
        <v>40</v>
      </c>
      <c r="L699" s="1189">
        <v>3.6</v>
      </c>
      <c r="M699" s="1189">
        <v>45.5</v>
      </c>
      <c r="N699" s="1189">
        <v>4.05</v>
      </c>
      <c r="O699" s="1189"/>
      <c r="P699" s="1189"/>
      <c r="Q699" s="1189"/>
      <c r="R699" s="1189"/>
      <c r="S699" s="1189"/>
      <c r="T699" s="1189"/>
      <c r="U699" s="1189"/>
      <c r="V699" s="1189"/>
      <c r="W699" s="1189"/>
      <c r="X699" s="1189"/>
      <c r="Y699" s="1189"/>
      <c r="Z699" s="1189"/>
      <c r="AA699" s="1189"/>
      <c r="AB699" s="1189"/>
      <c r="AC699" s="1189"/>
      <c r="AD699" s="1187"/>
    </row>
    <row r="700" spans="1:30" x14ac:dyDescent="0.2">
      <c r="A700">
        <f t="shared" si="44"/>
        <v>19</v>
      </c>
      <c r="B700">
        <v>691</v>
      </c>
      <c r="C700" s="1204">
        <v>2</v>
      </c>
      <c r="D700" s="1205" t="s">
        <v>5048</v>
      </c>
      <c r="E700" s="1205" t="s">
        <v>5062</v>
      </c>
      <c r="F700" s="1192">
        <v>1</v>
      </c>
      <c r="G700" s="1193">
        <v>5.84</v>
      </c>
      <c r="H700" s="1193">
        <v>2.8</v>
      </c>
      <c r="I700" s="1193">
        <v>7.05</v>
      </c>
      <c r="J700" s="1193">
        <v>3.11</v>
      </c>
      <c r="K700" s="1193">
        <v>8.83</v>
      </c>
      <c r="L700" s="1193">
        <v>4.18</v>
      </c>
      <c r="M700" s="1193">
        <v>10</v>
      </c>
      <c r="N700" s="1193">
        <v>4.49</v>
      </c>
      <c r="O700" s="1193"/>
      <c r="P700" s="1193"/>
      <c r="Q700" s="1193"/>
      <c r="R700" s="1193"/>
      <c r="S700" s="1193"/>
      <c r="T700" s="1193"/>
      <c r="U700" s="1193"/>
      <c r="V700" s="1193"/>
      <c r="W700" s="1193"/>
      <c r="X700" s="1193"/>
      <c r="Y700" s="1193"/>
      <c r="Z700" s="1193"/>
      <c r="AA700" s="1193"/>
      <c r="AB700" s="1193"/>
      <c r="AC700" s="1193"/>
      <c r="AD700" s="1187"/>
    </row>
    <row r="701" spans="1:30" x14ac:dyDescent="0.2">
      <c r="A701">
        <f t="shared" si="44"/>
        <v>19</v>
      </c>
      <c r="B701">
        <v>692</v>
      </c>
      <c r="C701" s="1200">
        <v>2</v>
      </c>
      <c r="D701" s="1201" t="s">
        <v>5048</v>
      </c>
      <c r="E701" s="1201" t="s">
        <v>5063</v>
      </c>
      <c r="F701" s="1185">
        <v>1</v>
      </c>
      <c r="G701" s="1186">
        <v>9.3000000000000007</v>
      </c>
      <c r="H701" s="1186">
        <v>2.38</v>
      </c>
      <c r="I701" s="1186">
        <v>10</v>
      </c>
      <c r="J701" s="1186">
        <v>2.98</v>
      </c>
      <c r="K701" s="1186">
        <v>10</v>
      </c>
      <c r="L701" s="1186">
        <v>4.03</v>
      </c>
      <c r="M701" s="1186">
        <v>10</v>
      </c>
      <c r="N701" s="1186">
        <v>4.49</v>
      </c>
      <c r="O701" s="1186"/>
      <c r="P701" s="1186"/>
      <c r="Q701" s="1186"/>
      <c r="R701" s="1186"/>
      <c r="S701" s="1186"/>
      <c r="T701" s="1186"/>
      <c r="U701" s="1186"/>
      <c r="V701" s="1186"/>
      <c r="W701" s="1186"/>
      <c r="X701" s="1186"/>
      <c r="Y701" s="1186"/>
      <c r="Z701" s="1186"/>
      <c r="AA701" s="1186"/>
      <c r="AB701" s="1186"/>
      <c r="AC701" s="1186"/>
      <c r="AD701" s="1187"/>
    </row>
    <row r="702" spans="1:30" x14ac:dyDescent="0.2">
      <c r="A702">
        <f t="shared" si="44"/>
        <v>19</v>
      </c>
      <c r="B702">
        <v>693</v>
      </c>
      <c r="C702" s="1200">
        <v>2</v>
      </c>
      <c r="D702" s="1201" t="s">
        <v>5048</v>
      </c>
      <c r="E702" s="1201" t="s">
        <v>5064</v>
      </c>
      <c r="F702" s="1185">
        <v>1</v>
      </c>
      <c r="G702" s="1186">
        <v>6.6</v>
      </c>
      <c r="H702" s="1186">
        <v>2.64</v>
      </c>
      <c r="I702" s="1186">
        <v>8.0500000000000007</v>
      </c>
      <c r="J702" s="1186">
        <v>3.12</v>
      </c>
      <c r="K702" s="1186">
        <v>10.1</v>
      </c>
      <c r="L702" s="1186">
        <v>4</v>
      </c>
      <c r="M702" s="1186">
        <v>12.48</v>
      </c>
      <c r="N702" s="1186">
        <v>4.29</v>
      </c>
      <c r="O702" s="1186"/>
      <c r="P702" s="1186"/>
      <c r="Q702" s="1186"/>
      <c r="R702" s="1186"/>
      <c r="S702" s="1186"/>
      <c r="T702" s="1186"/>
      <c r="U702" s="1186"/>
      <c r="V702" s="1186"/>
      <c r="W702" s="1186"/>
      <c r="X702" s="1186"/>
      <c r="Y702" s="1186"/>
      <c r="Z702" s="1186"/>
      <c r="AA702" s="1186"/>
      <c r="AB702" s="1186"/>
      <c r="AC702" s="1186"/>
      <c r="AD702" s="1187"/>
    </row>
    <row r="703" spans="1:30" x14ac:dyDescent="0.2">
      <c r="A703">
        <f t="shared" si="44"/>
        <v>19</v>
      </c>
      <c r="B703">
        <v>694</v>
      </c>
      <c r="C703" s="1078">
        <v>2</v>
      </c>
      <c r="D703" s="1077" t="s">
        <v>5048</v>
      </c>
      <c r="E703" s="1077" t="s">
        <v>5065</v>
      </c>
      <c r="F703" s="1185">
        <v>1</v>
      </c>
      <c r="G703" s="1186">
        <v>12</v>
      </c>
      <c r="H703" s="1186">
        <v>2.42</v>
      </c>
      <c r="I703" s="1186">
        <v>12</v>
      </c>
      <c r="J703" s="1186">
        <v>3.2</v>
      </c>
      <c r="K703" s="1186">
        <v>12</v>
      </c>
      <c r="L703" s="1186">
        <v>4.25</v>
      </c>
      <c r="M703" s="1186">
        <v>12</v>
      </c>
      <c r="N703" s="1186">
        <v>4.46</v>
      </c>
      <c r="O703" s="1186"/>
      <c r="P703" s="1186"/>
      <c r="Q703" s="1186"/>
      <c r="R703" s="1186"/>
      <c r="S703" s="1186"/>
      <c r="T703" s="1186"/>
      <c r="U703" s="1186"/>
      <c r="V703" s="1186"/>
      <c r="W703" s="1186"/>
      <c r="X703" s="1186"/>
      <c r="Y703" s="1186"/>
      <c r="Z703" s="1186"/>
      <c r="AA703" s="1186"/>
      <c r="AB703" s="1186"/>
      <c r="AC703" s="1186"/>
      <c r="AD703" s="1187"/>
    </row>
    <row r="704" spans="1:30" x14ac:dyDescent="0.2">
      <c r="A704">
        <f t="shared" si="44"/>
        <v>19</v>
      </c>
      <c r="B704">
        <v>695</v>
      </c>
      <c r="C704" s="1078">
        <v>2</v>
      </c>
      <c r="D704" s="1077" t="s">
        <v>5048</v>
      </c>
      <c r="E704" s="1077" t="s">
        <v>5066</v>
      </c>
      <c r="F704" s="1185">
        <v>1</v>
      </c>
      <c r="G704" s="1186">
        <v>9.07</v>
      </c>
      <c r="H704" s="1186">
        <v>2.81</v>
      </c>
      <c r="I704" s="1186">
        <v>11</v>
      </c>
      <c r="J704" s="1186">
        <v>3.12</v>
      </c>
      <c r="K704" s="1186">
        <v>13.7</v>
      </c>
      <c r="L704" s="1186">
        <v>4.1900000000000004</v>
      </c>
      <c r="M704" s="1186">
        <v>16.600000000000001</v>
      </c>
      <c r="N704" s="1186">
        <v>4.38</v>
      </c>
      <c r="O704" s="1186"/>
      <c r="P704" s="1186"/>
      <c r="Q704" s="1186"/>
      <c r="R704" s="1186"/>
      <c r="S704" s="1186"/>
      <c r="T704" s="1186"/>
      <c r="U704" s="1186"/>
      <c r="V704" s="1186"/>
      <c r="W704" s="1186"/>
      <c r="X704" s="1186"/>
      <c r="Y704" s="1186"/>
      <c r="Z704" s="1186"/>
      <c r="AA704" s="1186"/>
      <c r="AB704" s="1186"/>
      <c r="AC704" s="1186"/>
      <c r="AD704" s="1187"/>
    </row>
    <row r="705" spans="1:30" x14ac:dyDescent="0.2">
      <c r="A705">
        <f t="shared" si="44"/>
        <v>19</v>
      </c>
      <c r="B705">
        <v>696</v>
      </c>
      <c r="C705" s="1078">
        <v>2</v>
      </c>
      <c r="D705" s="1077" t="s">
        <v>5048</v>
      </c>
      <c r="E705" s="1077" t="s">
        <v>5067</v>
      </c>
      <c r="F705" s="1185">
        <v>1</v>
      </c>
      <c r="G705" s="1186">
        <v>13.8</v>
      </c>
      <c r="H705" s="1186">
        <v>2.65</v>
      </c>
      <c r="I705" s="1186">
        <v>15</v>
      </c>
      <c r="J705" s="1186">
        <v>2.98</v>
      </c>
      <c r="K705" s="1186">
        <v>15</v>
      </c>
      <c r="L705" s="1186">
        <v>4.05</v>
      </c>
      <c r="M705" s="1186">
        <v>15</v>
      </c>
      <c r="N705" s="1186">
        <v>4.93</v>
      </c>
      <c r="O705" s="1186"/>
      <c r="P705" s="1186"/>
      <c r="Q705" s="1186"/>
      <c r="R705" s="1186"/>
      <c r="S705" s="1186"/>
      <c r="T705" s="1186"/>
      <c r="U705" s="1186"/>
      <c r="V705" s="1186"/>
      <c r="W705" s="1186"/>
      <c r="X705" s="1186"/>
      <c r="Y705" s="1186"/>
      <c r="Z705" s="1186"/>
      <c r="AA705" s="1186"/>
      <c r="AB705" s="1186"/>
      <c r="AC705" s="1186"/>
      <c r="AD705" s="1187"/>
    </row>
    <row r="706" spans="1:30" x14ac:dyDescent="0.2">
      <c r="A706">
        <f t="shared" si="44"/>
        <v>19</v>
      </c>
      <c r="B706">
        <v>697</v>
      </c>
      <c r="C706" s="1078">
        <v>2</v>
      </c>
      <c r="D706" s="1077" t="s">
        <v>5048</v>
      </c>
      <c r="E706" s="1077" t="s">
        <v>5068</v>
      </c>
      <c r="F706" s="1185">
        <v>1</v>
      </c>
      <c r="G706" s="1186">
        <v>12.4</v>
      </c>
      <c r="H706" s="1186">
        <v>2.42</v>
      </c>
      <c r="I706" s="1186">
        <v>14.6</v>
      </c>
      <c r="J706" s="1186">
        <v>2.85</v>
      </c>
      <c r="K706" s="1186">
        <v>17.5</v>
      </c>
      <c r="L706" s="1186">
        <v>3.6</v>
      </c>
      <c r="M706" s="1186">
        <v>20.2</v>
      </c>
      <c r="N706" s="1186">
        <v>4.05</v>
      </c>
      <c r="O706" s="1186"/>
      <c r="P706" s="1186"/>
      <c r="Q706" s="1186"/>
      <c r="R706" s="1186"/>
      <c r="S706" s="1186"/>
      <c r="T706" s="1186"/>
      <c r="U706" s="1186"/>
      <c r="V706" s="1186"/>
      <c r="W706" s="1186"/>
      <c r="X706" s="1186"/>
      <c r="Y706" s="1186"/>
      <c r="Z706" s="1186"/>
      <c r="AA706" s="1186"/>
      <c r="AB706" s="1186"/>
      <c r="AC706" s="1186"/>
      <c r="AD706" s="1187"/>
    </row>
    <row r="707" spans="1:30" x14ac:dyDescent="0.2">
      <c r="A707">
        <f t="shared" si="44"/>
        <v>19</v>
      </c>
      <c r="B707">
        <v>698</v>
      </c>
      <c r="C707" s="1078">
        <v>2</v>
      </c>
      <c r="D707" s="1077" t="s">
        <v>5048</v>
      </c>
      <c r="E707" s="1077" t="s">
        <v>5069</v>
      </c>
      <c r="F707" s="1185">
        <v>1</v>
      </c>
      <c r="G707" s="1186">
        <v>16</v>
      </c>
      <c r="H707" s="1186">
        <v>2.35</v>
      </c>
      <c r="I707" s="1186">
        <v>18</v>
      </c>
      <c r="J707" s="1186">
        <v>2.75</v>
      </c>
      <c r="K707" s="1186">
        <v>18</v>
      </c>
      <c r="L707" s="1186">
        <v>3.55</v>
      </c>
      <c r="M707" s="1186">
        <v>18</v>
      </c>
      <c r="N707" s="1186">
        <v>4.57</v>
      </c>
      <c r="O707" s="1186"/>
      <c r="P707" s="1186"/>
      <c r="Q707" s="1186"/>
      <c r="R707" s="1186"/>
      <c r="S707" s="1186"/>
      <c r="T707" s="1186"/>
      <c r="U707" s="1186"/>
      <c r="V707" s="1186"/>
      <c r="W707" s="1186"/>
      <c r="X707" s="1186"/>
      <c r="Y707" s="1186"/>
      <c r="Z707" s="1186"/>
      <c r="AA707" s="1186"/>
      <c r="AB707" s="1186"/>
      <c r="AC707" s="1186"/>
      <c r="AD707" s="1187"/>
    </row>
    <row r="708" spans="1:30" x14ac:dyDescent="0.2">
      <c r="A708">
        <f t="shared" si="44"/>
        <v>19</v>
      </c>
      <c r="B708">
        <v>699</v>
      </c>
      <c r="C708" s="1078">
        <v>2</v>
      </c>
      <c r="D708" s="1077" t="s">
        <v>5048</v>
      </c>
      <c r="E708" s="1077" t="s">
        <v>5070</v>
      </c>
      <c r="F708" s="1185">
        <v>1</v>
      </c>
      <c r="G708" s="1186">
        <v>17.5</v>
      </c>
      <c r="H708" s="1186">
        <v>2.68</v>
      </c>
      <c r="I708" s="1186">
        <v>20.100000000000001</v>
      </c>
      <c r="J708" s="1186">
        <v>3.25</v>
      </c>
      <c r="K708" s="1186">
        <v>20.100000000000001</v>
      </c>
      <c r="L708" s="1186">
        <v>3.85</v>
      </c>
      <c r="M708" s="1186">
        <v>25.5</v>
      </c>
      <c r="N708" s="1186">
        <v>4.3099999999999996</v>
      </c>
      <c r="O708" s="1186"/>
      <c r="P708" s="1186"/>
      <c r="Q708" s="1186"/>
      <c r="R708" s="1186"/>
      <c r="S708" s="1186"/>
      <c r="T708" s="1186"/>
      <c r="U708" s="1186"/>
      <c r="V708" s="1186"/>
      <c r="W708" s="1186"/>
      <c r="X708" s="1186"/>
      <c r="Y708" s="1186"/>
      <c r="Z708" s="1186"/>
      <c r="AA708" s="1186"/>
      <c r="AB708" s="1186"/>
      <c r="AC708" s="1186"/>
      <c r="AD708" s="1187"/>
    </row>
    <row r="709" spans="1:30" x14ac:dyDescent="0.2">
      <c r="A709">
        <f t="shared" si="44"/>
        <v>19</v>
      </c>
      <c r="B709">
        <v>700</v>
      </c>
      <c r="C709" s="1078">
        <v>2</v>
      </c>
      <c r="D709" s="1077" t="s">
        <v>5048</v>
      </c>
      <c r="E709" s="1077" t="s">
        <v>5071</v>
      </c>
      <c r="F709" s="1185">
        <v>1</v>
      </c>
      <c r="G709" s="1186">
        <v>19.25</v>
      </c>
      <c r="H709" s="1186">
        <v>2.42</v>
      </c>
      <c r="I709" s="1186">
        <v>21.29</v>
      </c>
      <c r="J709" s="1186">
        <v>2.89</v>
      </c>
      <c r="K709" s="1186">
        <v>29.88</v>
      </c>
      <c r="L709" s="1186">
        <v>3.56</v>
      </c>
      <c r="M709" s="1186">
        <v>31.9</v>
      </c>
      <c r="N709" s="1186">
        <v>4.1399999999999997</v>
      </c>
      <c r="O709" s="1186"/>
      <c r="P709" s="1186"/>
      <c r="Q709" s="1186"/>
      <c r="R709" s="1186"/>
      <c r="S709" s="1186"/>
      <c r="T709" s="1186"/>
      <c r="U709" s="1186"/>
      <c r="V709" s="1186"/>
      <c r="W709" s="1186"/>
      <c r="X709" s="1186"/>
      <c r="Y709" s="1186"/>
      <c r="Z709" s="1186"/>
      <c r="AA709" s="1186"/>
      <c r="AB709" s="1186"/>
      <c r="AC709" s="1186"/>
      <c r="AD709" s="1187"/>
    </row>
    <row r="710" spans="1:30" x14ac:dyDescent="0.2">
      <c r="A710">
        <f t="shared" si="44"/>
        <v>19</v>
      </c>
      <c r="B710">
        <v>701</v>
      </c>
      <c r="C710" s="1078">
        <v>2</v>
      </c>
      <c r="D710" s="1077" t="s">
        <v>5048</v>
      </c>
      <c r="E710" s="1077" t="s">
        <v>5072</v>
      </c>
      <c r="F710" s="1185">
        <v>1</v>
      </c>
      <c r="G710" s="1186">
        <v>23.1</v>
      </c>
      <c r="H710" s="1186">
        <v>2.39</v>
      </c>
      <c r="I710" s="1186">
        <v>28.4</v>
      </c>
      <c r="J710" s="1186">
        <v>3.06</v>
      </c>
      <c r="K710" s="1186">
        <v>32.799999999999997</v>
      </c>
      <c r="L710" s="1186">
        <v>3.52</v>
      </c>
      <c r="M710" s="1186">
        <v>35</v>
      </c>
      <c r="N710" s="1186">
        <v>4.0999999999999996</v>
      </c>
      <c r="O710" s="1186"/>
      <c r="P710" s="1186"/>
      <c r="Q710" s="1186"/>
      <c r="R710" s="1186"/>
      <c r="S710" s="1186"/>
      <c r="T710" s="1186"/>
      <c r="U710" s="1186"/>
      <c r="V710" s="1186"/>
      <c r="W710" s="1186"/>
      <c r="X710" s="1186"/>
      <c r="Y710" s="1186"/>
      <c r="Z710" s="1186"/>
      <c r="AA710" s="1186"/>
      <c r="AB710" s="1186"/>
      <c r="AC710" s="1186"/>
      <c r="AD710" s="1187"/>
    </row>
    <row r="711" spans="1:30" x14ac:dyDescent="0.2">
      <c r="A711">
        <f t="shared" si="44"/>
        <v>19</v>
      </c>
      <c r="B711">
        <v>702</v>
      </c>
      <c r="C711" s="1078">
        <v>2</v>
      </c>
      <c r="D711" s="1077" t="s">
        <v>5048</v>
      </c>
      <c r="E711" s="1077" t="s">
        <v>5073</v>
      </c>
      <c r="F711" s="1185">
        <v>1</v>
      </c>
      <c r="G711" s="1186">
        <v>34.200000000000003</v>
      </c>
      <c r="H711" s="1186">
        <v>2.4300000000000002</v>
      </c>
      <c r="I711" s="1186">
        <v>36</v>
      </c>
      <c r="J711" s="1186">
        <v>2.8</v>
      </c>
      <c r="K711" s="1186">
        <v>35</v>
      </c>
      <c r="L711" s="1186">
        <v>3.67</v>
      </c>
      <c r="M711" s="1186">
        <v>35</v>
      </c>
      <c r="N711" s="1186">
        <v>4.37</v>
      </c>
      <c r="O711" s="1186"/>
      <c r="P711" s="1186"/>
      <c r="Q711" s="1186"/>
      <c r="R711" s="1186"/>
      <c r="S711" s="1186"/>
      <c r="T711" s="1186"/>
      <c r="U711" s="1186"/>
      <c r="V711" s="1186"/>
      <c r="W711" s="1186"/>
      <c r="X711" s="1186"/>
      <c r="Y711" s="1186"/>
      <c r="Z711" s="1186"/>
      <c r="AA711" s="1186"/>
      <c r="AB711" s="1186"/>
      <c r="AC711" s="1186"/>
      <c r="AD711" s="1187"/>
    </row>
    <row r="712" spans="1:30" x14ac:dyDescent="0.2">
      <c r="A712">
        <f t="shared" si="44"/>
        <v>19</v>
      </c>
      <c r="B712">
        <v>703</v>
      </c>
      <c r="C712" s="1078">
        <v>2</v>
      </c>
      <c r="D712" s="1077" t="s">
        <v>5048</v>
      </c>
      <c r="E712" s="1077" t="s">
        <v>5074</v>
      </c>
      <c r="F712" s="1185">
        <v>1</v>
      </c>
      <c r="G712" s="1186">
        <v>28.9</v>
      </c>
      <c r="H712" s="1186">
        <v>2.67</v>
      </c>
      <c r="I712" s="1186">
        <v>36</v>
      </c>
      <c r="J712" s="1186">
        <v>2.9</v>
      </c>
      <c r="K712" s="1186">
        <v>40</v>
      </c>
      <c r="L712" s="1186">
        <v>3.6</v>
      </c>
      <c r="M712" s="1186">
        <v>45.5</v>
      </c>
      <c r="N712" s="1186">
        <v>4.05</v>
      </c>
      <c r="O712" s="1186"/>
      <c r="P712" s="1186"/>
      <c r="Q712" s="1186"/>
      <c r="R712" s="1186"/>
      <c r="S712" s="1186"/>
      <c r="T712" s="1186"/>
      <c r="U712" s="1186"/>
      <c r="V712" s="1186"/>
      <c r="W712" s="1186"/>
      <c r="X712" s="1186"/>
      <c r="Y712" s="1186"/>
      <c r="Z712" s="1186"/>
      <c r="AA712" s="1186"/>
      <c r="AB712" s="1186"/>
      <c r="AC712" s="1186"/>
      <c r="AD712" s="1187"/>
    </row>
    <row r="713" spans="1:30" x14ac:dyDescent="0.2">
      <c r="A713">
        <f t="shared" si="44"/>
        <v>20</v>
      </c>
      <c r="B713">
        <v>704</v>
      </c>
      <c r="C713" s="1078">
        <v>2</v>
      </c>
      <c r="D713" s="1077" t="s">
        <v>5537</v>
      </c>
      <c r="E713" s="1077" t="s">
        <v>5538</v>
      </c>
      <c r="F713" s="1185">
        <v>3</v>
      </c>
      <c r="G713" s="1186">
        <v>5.7</v>
      </c>
      <c r="H713" s="1186">
        <v>2.65</v>
      </c>
      <c r="I713" s="1186">
        <v>6</v>
      </c>
      <c r="J713" s="1186">
        <v>3.17</v>
      </c>
      <c r="K713" s="1186">
        <v>6</v>
      </c>
      <c r="L713" s="1186">
        <v>3.75</v>
      </c>
      <c r="M713" s="1186">
        <v>5</v>
      </c>
      <c r="N713" s="1186">
        <v>5.0199999999999996</v>
      </c>
      <c r="O713" s="1186">
        <v>5</v>
      </c>
      <c r="P713" s="1186">
        <v>6.86</v>
      </c>
      <c r="Q713" s="1186">
        <v>5.5</v>
      </c>
      <c r="R713" s="1186">
        <v>2.0299999999999998</v>
      </c>
      <c r="S713" s="1186">
        <v>4</v>
      </c>
      <c r="T713" s="1186">
        <v>2.4500000000000002</v>
      </c>
      <c r="U713" s="1186">
        <v>4</v>
      </c>
      <c r="V713" s="1186">
        <v>3.8</v>
      </c>
      <c r="W713" s="1186"/>
      <c r="X713" s="1186"/>
      <c r="Y713" s="1186"/>
      <c r="Z713" s="1186"/>
      <c r="AA713" s="1186"/>
      <c r="AB713" s="1186"/>
      <c r="AC713" s="1186"/>
      <c r="AD713" s="1187"/>
    </row>
    <row r="714" spans="1:30" x14ac:dyDescent="0.2">
      <c r="A714">
        <f t="shared" si="44"/>
        <v>20</v>
      </c>
      <c r="B714">
        <v>705</v>
      </c>
      <c r="C714" s="1078">
        <v>2</v>
      </c>
      <c r="D714" s="1077" t="s">
        <v>5537</v>
      </c>
      <c r="E714" s="1077" t="s">
        <v>5539</v>
      </c>
      <c r="F714" s="1185">
        <v>3</v>
      </c>
      <c r="G714" s="1186">
        <v>7.3</v>
      </c>
      <c r="H714" s="1186">
        <v>2.5499999999999998</v>
      </c>
      <c r="I714" s="1186">
        <v>8</v>
      </c>
      <c r="J714" s="1186">
        <v>3.11</v>
      </c>
      <c r="K714" s="1186">
        <v>8</v>
      </c>
      <c r="L714" s="1186">
        <v>3.7</v>
      </c>
      <c r="M714" s="1186">
        <v>6</v>
      </c>
      <c r="N714" s="1186">
        <v>5.0199999999999996</v>
      </c>
      <c r="O714" s="1186">
        <v>6</v>
      </c>
      <c r="P714" s="1186">
        <v>7</v>
      </c>
      <c r="Q714" s="1186">
        <v>7.1</v>
      </c>
      <c r="R714" s="1186">
        <v>1.98</v>
      </c>
      <c r="S714" s="1186">
        <v>4</v>
      </c>
      <c r="T714" s="1186">
        <v>2.5</v>
      </c>
      <c r="U714" s="1186">
        <v>4</v>
      </c>
      <c r="V714" s="1186">
        <v>3.8</v>
      </c>
      <c r="W714" s="1186"/>
      <c r="X714" s="1186"/>
      <c r="Y714" s="1186"/>
      <c r="Z714" s="1186"/>
      <c r="AA714" s="1186"/>
      <c r="AB714" s="1186"/>
      <c r="AC714" s="1186"/>
      <c r="AD714" s="1187"/>
    </row>
    <row r="715" spans="1:30" x14ac:dyDescent="0.2">
      <c r="A715">
        <f t="shared" si="44"/>
        <v>20</v>
      </c>
      <c r="B715">
        <v>706</v>
      </c>
      <c r="C715" s="1078">
        <v>2</v>
      </c>
      <c r="D715" s="1077" t="s">
        <v>5537</v>
      </c>
      <c r="E715" s="1077" t="s">
        <v>5540</v>
      </c>
      <c r="F715" s="1185">
        <v>3</v>
      </c>
      <c r="G715" s="1186">
        <v>9</v>
      </c>
      <c r="H715" s="1186">
        <v>2.25</v>
      </c>
      <c r="I715" s="1186">
        <v>10</v>
      </c>
      <c r="J715" s="1186">
        <v>2.98</v>
      </c>
      <c r="K715" s="1186">
        <v>10</v>
      </c>
      <c r="L715" s="1186">
        <v>3.47</v>
      </c>
      <c r="M715" s="1186">
        <v>8</v>
      </c>
      <c r="N715" s="1186">
        <v>5.0199999999999996</v>
      </c>
      <c r="O715" s="1186">
        <v>8</v>
      </c>
      <c r="P715" s="1186">
        <v>7.21</v>
      </c>
      <c r="Q715" s="1186">
        <v>9</v>
      </c>
      <c r="R715" s="1186">
        <v>1.89</v>
      </c>
      <c r="S715" s="1186">
        <v>7</v>
      </c>
      <c r="T715" s="1186">
        <v>2.7</v>
      </c>
      <c r="U715" s="1186">
        <v>7</v>
      </c>
      <c r="V715" s="1186">
        <v>3.97</v>
      </c>
      <c r="W715" s="1186"/>
      <c r="X715" s="1186"/>
      <c r="Y715" s="1186"/>
      <c r="Z715" s="1186"/>
      <c r="AA715" s="1186"/>
      <c r="AB715" s="1186"/>
      <c r="AC715" s="1186"/>
      <c r="AD715" s="1187"/>
    </row>
    <row r="716" spans="1:30" x14ac:dyDescent="0.2">
      <c r="A716">
        <f t="shared" ref="A716:A779" si="45">A715+(D716&lt;&gt;D715)*1</f>
        <v>20</v>
      </c>
      <c r="B716">
        <v>707</v>
      </c>
      <c r="C716" s="1078">
        <v>2</v>
      </c>
      <c r="D716" s="1077" t="s">
        <v>5537</v>
      </c>
      <c r="E716" s="1077" t="s">
        <v>5541</v>
      </c>
      <c r="F716" s="1185">
        <v>3</v>
      </c>
      <c r="G716" s="1186">
        <v>10.4</v>
      </c>
      <c r="H716" s="1186">
        <v>2.14</v>
      </c>
      <c r="I716" s="1186">
        <v>12.1</v>
      </c>
      <c r="J716" s="1186">
        <v>2.74</v>
      </c>
      <c r="K716" s="1186">
        <v>12.1</v>
      </c>
      <c r="L716" s="1186">
        <v>3.27</v>
      </c>
      <c r="M716" s="1186">
        <v>10</v>
      </c>
      <c r="N716" s="1186">
        <v>4.87</v>
      </c>
      <c r="O716" s="1186">
        <v>10</v>
      </c>
      <c r="P716" s="1186">
        <v>7.14</v>
      </c>
      <c r="Q716" s="1186">
        <v>11</v>
      </c>
      <c r="R716" s="1186">
        <v>1.79</v>
      </c>
      <c r="S716" s="1186">
        <v>7</v>
      </c>
      <c r="T716" s="1186">
        <v>2.7</v>
      </c>
      <c r="U716" s="1186">
        <v>7</v>
      </c>
      <c r="V716" s="1186">
        <v>3.88</v>
      </c>
      <c r="W716" s="1186"/>
      <c r="X716" s="1186"/>
      <c r="Y716" s="1186"/>
      <c r="Z716" s="1186"/>
      <c r="AA716" s="1186"/>
      <c r="AB716" s="1186"/>
      <c r="AC716" s="1186"/>
      <c r="AD716" s="1187"/>
    </row>
    <row r="717" spans="1:30" x14ac:dyDescent="0.2">
      <c r="A717">
        <f t="shared" si="45"/>
        <v>20</v>
      </c>
      <c r="B717">
        <v>708</v>
      </c>
      <c r="C717" s="1078">
        <v>2</v>
      </c>
      <c r="D717" s="1077" t="s">
        <v>5537</v>
      </c>
      <c r="E717" s="1077" t="s">
        <v>5542</v>
      </c>
      <c r="F717" s="1185">
        <v>3</v>
      </c>
      <c r="G717" s="1186">
        <v>12</v>
      </c>
      <c r="H717" s="1186">
        <v>1.9</v>
      </c>
      <c r="I717" s="1186">
        <v>13</v>
      </c>
      <c r="J717" s="1186">
        <v>2.5499999999999998</v>
      </c>
      <c r="K717" s="1186">
        <v>14</v>
      </c>
      <c r="L717" s="1186">
        <v>3.21</v>
      </c>
      <c r="M717" s="1186">
        <v>12</v>
      </c>
      <c r="N717" s="1186">
        <v>4.8499999999999996</v>
      </c>
      <c r="O717" s="1186">
        <v>12</v>
      </c>
      <c r="P717" s="1186">
        <v>6.84</v>
      </c>
      <c r="Q717" s="1186">
        <v>11.1</v>
      </c>
      <c r="R717" s="1186">
        <v>1.83</v>
      </c>
      <c r="S717" s="1186">
        <v>7</v>
      </c>
      <c r="T717" s="1186">
        <v>2.7</v>
      </c>
      <c r="U717" s="1186">
        <v>7</v>
      </c>
      <c r="V717" s="1186">
        <v>3.72</v>
      </c>
      <c r="W717" s="1186"/>
      <c r="X717" s="1186"/>
      <c r="Y717" s="1186"/>
      <c r="Z717" s="1186"/>
      <c r="AA717" s="1186"/>
      <c r="AB717" s="1186"/>
      <c r="AC717" s="1186"/>
      <c r="AD717" s="1187"/>
    </row>
    <row r="718" spans="1:30" x14ac:dyDescent="0.2">
      <c r="A718">
        <f t="shared" si="45"/>
        <v>20</v>
      </c>
      <c r="B718">
        <v>709</v>
      </c>
      <c r="C718" s="1078">
        <v>2</v>
      </c>
      <c r="D718" s="1077" t="s">
        <v>5537</v>
      </c>
      <c r="E718" s="1077" t="s">
        <v>5543</v>
      </c>
      <c r="F718" s="1185">
        <v>3</v>
      </c>
      <c r="G718" s="1186">
        <v>6</v>
      </c>
      <c r="H718" s="1186">
        <v>2.7</v>
      </c>
      <c r="I718" s="1186">
        <v>6</v>
      </c>
      <c r="J718" s="1186">
        <v>3.2</v>
      </c>
      <c r="K718" s="1186">
        <v>6</v>
      </c>
      <c r="L718" s="1186">
        <v>3.85</v>
      </c>
      <c r="M718" s="1186">
        <v>5</v>
      </c>
      <c r="N718" s="1186">
        <v>5.08</v>
      </c>
      <c r="O718" s="1186">
        <v>5</v>
      </c>
      <c r="P718" s="1186">
        <v>6.86</v>
      </c>
      <c r="Q718" s="1186">
        <v>5.5</v>
      </c>
      <c r="R718" s="1186">
        <v>1.98</v>
      </c>
      <c r="S718" s="1186">
        <v>4</v>
      </c>
      <c r="T718" s="1186">
        <v>2.4500000000000002</v>
      </c>
      <c r="U718" s="1186">
        <v>4</v>
      </c>
      <c r="V718" s="1186">
        <v>3.8</v>
      </c>
      <c r="W718" s="1186"/>
      <c r="X718" s="1186"/>
      <c r="Y718" s="1186"/>
      <c r="Z718" s="1186"/>
      <c r="AA718" s="1186"/>
      <c r="AB718" s="1186"/>
      <c r="AC718" s="1186"/>
      <c r="AD718" s="1187"/>
    </row>
    <row r="719" spans="1:30" x14ac:dyDescent="0.2">
      <c r="A719">
        <f t="shared" si="45"/>
        <v>20</v>
      </c>
      <c r="B719">
        <v>710</v>
      </c>
      <c r="C719" s="1078">
        <v>2</v>
      </c>
      <c r="D719" s="1077" t="s">
        <v>5537</v>
      </c>
      <c r="E719" s="1077" t="s">
        <v>5544</v>
      </c>
      <c r="F719" s="1185">
        <v>3</v>
      </c>
      <c r="G719" s="1186">
        <v>8</v>
      </c>
      <c r="H719" s="1186">
        <v>2.7</v>
      </c>
      <c r="I719" s="1186">
        <v>8</v>
      </c>
      <c r="J719" s="1186">
        <v>3.18</v>
      </c>
      <c r="K719" s="1186">
        <v>8</v>
      </c>
      <c r="L719" s="1186">
        <v>3.8</v>
      </c>
      <c r="M719" s="1186">
        <v>6</v>
      </c>
      <c r="N719" s="1186">
        <v>5.05</v>
      </c>
      <c r="O719" s="1186">
        <v>6</v>
      </c>
      <c r="P719" s="1186">
        <v>7</v>
      </c>
      <c r="Q719" s="1186">
        <v>7.9</v>
      </c>
      <c r="R719" s="1186">
        <v>1.99</v>
      </c>
      <c r="S719" s="1186">
        <v>4</v>
      </c>
      <c r="T719" s="1186">
        <v>2.5</v>
      </c>
      <c r="U719" s="1186">
        <v>4</v>
      </c>
      <c r="V719" s="1186">
        <v>3.8</v>
      </c>
      <c r="W719" s="1186"/>
      <c r="X719" s="1186"/>
      <c r="Y719" s="1186"/>
      <c r="Z719" s="1186"/>
      <c r="AA719" s="1186"/>
      <c r="AB719" s="1186"/>
      <c r="AC719" s="1186"/>
      <c r="AD719" s="1187"/>
    </row>
    <row r="720" spans="1:30" x14ac:dyDescent="0.2">
      <c r="A720">
        <f t="shared" si="45"/>
        <v>20</v>
      </c>
      <c r="B720">
        <v>711</v>
      </c>
      <c r="C720" s="1078">
        <v>2</v>
      </c>
      <c r="D720" s="1077" t="s">
        <v>5537</v>
      </c>
      <c r="E720" s="1077" t="s">
        <v>5545</v>
      </c>
      <c r="F720" s="1185">
        <v>3</v>
      </c>
      <c r="G720" s="1186">
        <v>10</v>
      </c>
      <c r="H720" s="1186">
        <v>2.64</v>
      </c>
      <c r="I720" s="1186">
        <v>10</v>
      </c>
      <c r="J720" s="1186">
        <v>3.07</v>
      </c>
      <c r="K720" s="1186">
        <v>10</v>
      </c>
      <c r="L720" s="1186">
        <v>3.55</v>
      </c>
      <c r="M720" s="1186">
        <v>8</v>
      </c>
      <c r="N720" s="1186">
        <v>5.05</v>
      </c>
      <c r="O720" s="1186">
        <v>8</v>
      </c>
      <c r="P720" s="1186">
        <v>7.21</v>
      </c>
      <c r="Q720" s="1186">
        <v>10</v>
      </c>
      <c r="R720" s="1186">
        <v>2.0299999999999998</v>
      </c>
      <c r="S720" s="1186">
        <v>7</v>
      </c>
      <c r="T720" s="1186">
        <v>2.7</v>
      </c>
      <c r="U720" s="1186">
        <v>7</v>
      </c>
      <c r="V720" s="1186">
        <v>3.97</v>
      </c>
      <c r="W720" s="1186"/>
      <c r="X720" s="1186"/>
      <c r="Y720" s="1186"/>
      <c r="Z720" s="1186"/>
      <c r="AA720" s="1186"/>
      <c r="AB720" s="1186"/>
      <c r="AC720" s="1186"/>
      <c r="AD720" s="1187"/>
    </row>
    <row r="721" spans="1:30" x14ac:dyDescent="0.2">
      <c r="A721">
        <f t="shared" si="45"/>
        <v>20</v>
      </c>
      <c r="B721">
        <v>712</v>
      </c>
      <c r="C721" s="1078">
        <v>2</v>
      </c>
      <c r="D721" s="1077" t="s">
        <v>5537</v>
      </c>
      <c r="E721" s="1077" t="s">
        <v>5546</v>
      </c>
      <c r="F721" s="1185">
        <v>3</v>
      </c>
      <c r="G721" s="1186">
        <v>12.1</v>
      </c>
      <c r="H721" s="1186">
        <v>2.4500000000000002</v>
      </c>
      <c r="I721" s="1186">
        <v>12.1</v>
      </c>
      <c r="J721" s="1186">
        <v>2.9</v>
      </c>
      <c r="K721" s="1186">
        <v>12.1</v>
      </c>
      <c r="L721" s="1186">
        <v>3.35</v>
      </c>
      <c r="M721" s="1186">
        <v>10</v>
      </c>
      <c r="N721" s="1186">
        <v>4.9000000000000004</v>
      </c>
      <c r="O721" s="1186">
        <v>10</v>
      </c>
      <c r="P721" s="1186">
        <v>7.14</v>
      </c>
      <c r="Q721" s="1186">
        <v>12.1</v>
      </c>
      <c r="R721" s="1186">
        <v>1.94</v>
      </c>
      <c r="S721" s="1186">
        <v>7</v>
      </c>
      <c r="T721" s="1186">
        <v>2.7</v>
      </c>
      <c r="U721" s="1186">
        <v>7</v>
      </c>
      <c r="V721" s="1186">
        <v>4</v>
      </c>
      <c r="W721" s="1186"/>
      <c r="X721" s="1186"/>
      <c r="Y721" s="1186"/>
      <c r="Z721" s="1186"/>
      <c r="AA721" s="1186"/>
      <c r="AB721" s="1186"/>
      <c r="AC721" s="1186"/>
      <c r="AD721" s="1187"/>
    </row>
    <row r="722" spans="1:30" x14ac:dyDescent="0.2">
      <c r="A722">
        <f t="shared" si="45"/>
        <v>20</v>
      </c>
      <c r="B722">
        <v>713</v>
      </c>
      <c r="C722" s="1078">
        <v>2</v>
      </c>
      <c r="D722" s="1077" t="s">
        <v>5537</v>
      </c>
      <c r="E722" s="1077" t="s">
        <v>5547</v>
      </c>
      <c r="F722" s="1185">
        <v>3</v>
      </c>
      <c r="G722" s="1186">
        <v>14</v>
      </c>
      <c r="H722" s="1186">
        <v>2.19</v>
      </c>
      <c r="I722" s="1186">
        <v>14</v>
      </c>
      <c r="J722" s="1186">
        <v>2.77</v>
      </c>
      <c r="K722" s="1186">
        <v>14</v>
      </c>
      <c r="L722" s="1186">
        <v>3.3</v>
      </c>
      <c r="M722" s="1186">
        <v>12</v>
      </c>
      <c r="N722" s="1186">
        <v>4.8499999999999996</v>
      </c>
      <c r="O722" s="1186">
        <v>12</v>
      </c>
      <c r="P722" s="1186">
        <v>6.84</v>
      </c>
      <c r="Q722" s="1186">
        <v>14</v>
      </c>
      <c r="R722" s="1186">
        <v>1.92</v>
      </c>
      <c r="S722" s="1186">
        <v>7</v>
      </c>
      <c r="T722" s="1186">
        <v>2.7</v>
      </c>
      <c r="U722" s="1186">
        <v>7</v>
      </c>
      <c r="V722" s="1186">
        <v>3.83</v>
      </c>
      <c r="W722" s="1186"/>
      <c r="X722" s="1186"/>
      <c r="Y722" s="1186"/>
      <c r="Z722" s="1186"/>
      <c r="AA722" s="1186"/>
      <c r="AB722" s="1186"/>
      <c r="AC722" s="1186"/>
      <c r="AD722" s="1187"/>
    </row>
    <row r="723" spans="1:30" x14ac:dyDescent="0.2">
      <c r="A723">
        <f t="shared" si="45"/>
        <v>21</v>
      </c>
      <c r="B723">
        <v>714</v>
      </c>
      <c r="C723" s="1078">
        <v>3</v>
      </c>
      <c r="D723" s="1077" t="s">
        <v>4722</v>
      </c>
      <c r="E723" s="1077" t="s">
        <v>5311</v>
      </c>
      <c r="F723" s="1185">
        <v>4</v>
      </c>
      <c r="G723" s="1186"/>
      <c r="H723" s="1186"/>
      <c r="I723" s="1186"/>
      <c r="J723" s="1186"/>
      <c r="K723" s="1186"/>
      <c r="L723" s="1186"/>
      <c r="M723" s="1186"/>
      <c r="N723" s="1186"/>
      <c r="O723" s="1186"/>
      <c r="P723" s="1186"/>
      <c r="Q723" s="1186"/>
      <c r="R723" s="1186"/>
      <c r="S723" s="1186"/>
      <c r="T723" s="1186"/>
      <c r="U723" s="1186"/>
      <c r="V723" s="1186"/>
      <c r="W723" s="1186">
        <v>12.2</v>
      </c>
      <c r="X723" s="1186">
        <v>4.5999999999999996</v>
      </c>
      <c r="Y723" s="1186">
        <v>11.4</v>
      </c>
      <c r="Z723" s="1186">
        <v>2.9</v>
      </c>
      <c r="AA723" s="1186"/>
      <c r="AB723" s="1186"/>
      <c r="AC723" s="1186"/>
      <c r="AD723" s="1187"/>
    </row>
    <row r="724" spans="1:30" x14ac:dyDescent="0.2">
      <c r="A724">
        <f t="shared" si="45"/>
        <v>21</v>
      </c>
      <c r="B724">
        <v>715</v>
      </c>
      <c r="C724" s="1078">
        <v>3</v>
      </c>
      <c r="D724" s="1077" t="s">
        <v>4722</v>
      </c>
      <c r="E724" s="1077" t="s">
        <v>5312</v>
      </c>
      <c r="F724" s="1185">
        <v>4</v>
      </c>
      <c r="G724" s="1186"/>
      <c r="H724" s="1186"/>
      <c r="I724" s="1186"/>
      <c r="J724" s="1186"/>
      <c r="K724" s="1186"/>
      <c r="L724" s="1186"/>
      <c r="M724" s="1186"/>
      <c r="N724" s="1186"/>
      <c r="O724" s="1186"/>
      <c r="P724" s="1186"/>
      <c r="Q724" s="1186"/>
      <c r="R724" s="1186"/>
      <c r="S724" s="1186"/>
      <c r="T724" s="1186"/>
      <c r="U724" s="1186"/>
      <c r="V724" s="1186"/>
      <c r="W724" s="1186">
        <v>19.2</v>
      </c>
      <c r="X724" s="1186">
        <v>4.5999999999999996</v>
      </c>
      <c r="Y724" s="1186">
        <v>18.2</v>
      </c>
      <c r="Z724" s="1186">
        <v>2.9</v>
      </c>
      <c r="AA724" s="1186"/>
      <c r="AB724" s="1186"/>
      <c r="AC724" s="1186"/>
      <c r="AD724" s="1187"/>
    </row>
    <row r="725" spans="1:30" x14ac:dyDescent="0.2">
      <c r="A725">
        <f t="shared" si="45"/>
        <v>21</v>
      </c>
      <c r="B725">
        <v>716</v>
      </c>
      <c r="C725" s="1078">
        <v>3</v>
      </c>
      <c r="D725" s="1077" t="s">
        <v>4722</v>
      </c>
      <c r="E725" s="1077" t="s">
        <v>5313</v>
      </c>
      <c r="F725" s="1185">
        <v>4</v>
      </c>
      <c r="G725" s="1186"/>
      <c r="H725" s="1186"/>
      <c r="I725" s="1186"/>
      <c r="J725" s="1186"/>
      <c r="K725" s="1186"/>
      <c r="L725" s="1186"/>
      <c r="M725" s="1186"/>
      <c r="N725" s="1186"/>
      <c r="O725" s="1186"/>
      <c r="P725" s="1186"/>
      <c r="Q725" s="1186"/>
      <c r="R725" s="1186"/>
      <c r="S725" s="1186"/>
      <c r="T725" s="1186"/>
      <c r="U725" s="1186"/>
      <c r="V725" s="1186"/>
      <c r="W725" s="1186">
        <v>27.9</v>
      </c>
      <c r="X725" s="1186">
        <v>4.8</v>
      </c>
      <c r="Y725" s="1186">
        <v>26.5</v>
      </c>
      <c r="Z725" s="1186">
        <v>2.9</v>
      </c>
      <c r="AA725" s="1186"/>
      <c r="AB725" s="1186"/>
      <c r="AC725" s="1186"/>
      <c r="AD725" s="1187"/>
    </row>
    <row r="726" spans="1:30" x14ac:dyDescent="0.2">
      <c r="A726">
        <f t="shared" si="45"/>
        <v>21</v>
      </c>
      <c r="B726">
        <v>717</v>
      </c>
      <c r="C726" s="1078">
        <v>4</v>
      </c>
      <c r="D726" s="1077" t="s">
        <v>4722</v>
      </c>
      <c r="E726" s="1077" t="s">
        <v>5311</v>
      </c>
      <c r="F726" s="1185">
        <v>4</v>
      </c>
      <c r="G726" s="1186"/>
      <c r="H726" s="1186"/>
      <c r="I726" s="1186"/>
      <c r="J726" s="1186"/>
      <c r="K726" s="1186"/>
      <c r="L726" s="1186"/>
      <c r="M726" s="1186"/>
      <c r="N726" s="1186"/>
      <c r="O726" s="1186"/>
      <c r="P726" s="1186"/>
      <c r="Q726" s="1186"/>
      <c r="R726" s="1186"/>
      <c r="S726" s="1186"/>
      <c r="T726" s="1186"/>
      <c r="U726" s="1186"/>
      <c r="V726" s="1186"/>
      <c r="W726" s="1186"/>
      <c r="X726" s="1186"/>
      <c r="Y726" s="1186"/>
      <c r="Z726" s="1186"/>
      <c r="AA726" s="1186">
        <v>15.5</v>
      </c>
      <c r="AB726" s="1186">
        <v>4.8</v>
      </c>
      <c r="AC726" s="1186">
        <v>13.9</v>
      </c>
      <c r="AD726" s="1187">
        <v>3.3</v>
      </c>
    </row>
    <row r="727" spans="1:30" x14ac:dyDescent="0.2">
      <c r="A727">
        <f t="shared" si="45"/>
        <v>21</v>
      </c>
      <c r="B727">
        <v>718</v>
      </c>
      <c r="C727" s="1078">
        <v>4</v>
      </c>
      <c r="D727" s="1077" t="s">
        <v>4722</v>
      </c>
      <c r="E727" s="1077" t="s">
        <v>5312</v>
      </c>
      <c r="F727" s="1185">
        <v>4</v>
      </c>
      <c r="G727" s="1186"/>
      <c r="H727" s="1186"/>
      <c r="I727" s="1186"/>
      <c r="J727" s="1186"/>
      <c r="K727" s="1186"/>
      <c r="L727" s="1186"/>
      <c r="M727" s="1186"/>
      <c r="N727" s="1186"/>
      <c r="O727" s="1186"/>
      <c r="P727" s="1186"/>
      <c r="Q727" s="1186"/>
      <c r="R727" s="1186"/>
      <c r="S727" s="1186"/>
      <c r="T727" s="1186"/>
      <c r="U727" s="1186"/>
      <c r="V727" s="1186"/>
      <c r="W727" s="1186"/>
      <c r="X727" s="1186"/>
      <c r="Y727" s="1186"/>
      <c r="Z727" s="1186"/>
      <c r="AA727" s="1186">
        <v>24</v>
      </c>
      <c r="AB727" s="1186">
        <v>4.9000000000000004</v>
      </c>
      <c r="AC727" s="1186">
        <v>22.4</v>
      </c>
      <c r="AD727" s="1187">
        <v>3.4</v>
      </c>
    </row>
    <row r="728" spans="1:30" x14ac:dyDescent="0.2">
      <c r="A728">
        <f t="shared" si="45"/>
        <v>21</v>
      </c>
      <c r="B728">
        <v>719</v>
      </c>
      <c r="C728" s="1078">
        <v>4</v>
      </c>
      <c r="D728" s="1077" t="s">
        <v>4722</v>
      </c>
      <c r="E728" s="1077" t="s">
        <v>5313</v>
      </c>
      <c r="F728" s="1185">
        <v>4</v>
      </c>
      <c r="G728" s="1186"/>
      <c r="H728" s="1186"/>
      <c r="I728" s="1186"/>
      <c r="J728" s="1186"/>
      <c r="K728" s="1186"/>
      <c r="L728" s="1186"/>
      <c r="M728" s="1186"/>
      <c r="N728" s="1186"/>
      <c r="O728" s="1186"/>
      <c r="P728" s="1186"/>
      <c r="Q728" s="1186"/>
      <c r="R728" s="1186"/>
      <c r="S728" s="1186"/>
      <c r="T728" s="1186"/>
      <c r="U728" s="1186"/>
      <c r="V728" s="1186"/>
      <c r="W728" s="1186"/>
      <c r="X728" s="1186"/>
      <c r="Y728" s="1186"/>
      <c r="Z728" s="1186"/>
      <c r="AA728" s="1186">
        <v>35.5</v>
      </c>
      <c r="AB728" s="1186">
        <v>4.7</v>
      </c>
      <c r="AC728" s="1186">
        <v>32.9</v>
      </c>
      <c r="AD728" s="1187">
        <v>3.2</v>
      </c>
    </row>
    <row r="729" spans="1:30" x14ac:dyDescent="0.2">
      <c r="A729">
        <f t="shared" si="45"/>
        <v>21</v>
      </c>
      <c r="B729">
        <v>720</v>
      </c>
      <c r="C729" s="1078">
        <v>3</v>
      </c>
      <c r="D729" s="1077" t="s">
        <v>4722</v>
      </c>
      <c r="E729" s="1077" t="s">
        <v>5176</v>
      </c>
      <c r="F729" s="1185">
        <v>4</v>
      </c>
      <c r="G729" s="1186"/>
      <c r="H729" s="1186"/>
      <c r="I729" s="1186"/>
      <c r="J729" s="1186"/>
      <c r="K729" s="1186"/>
      <c r="L729" s="1186"/>
      <c r="M729" s="1186"/>
      <c r="N729" s="1186"/>
      <c r="O729" s="1186"/>
      <c r="P729" s="1186"/>
      <c r="Q729" s="1186"/>
      <c r="R729" s="1186"/>
      <c r="S729" s="1186"/>
      <c r="T729" s="1186"/>
      <c r="U729" s="1186"/>
      <c r="V729" s="1186"/>
      <c r="W729" s="1186">
        <v>43.1</v>
      </c>
      <c r="X729" s="1186">
        <v>4.5</v>
      </c>
      <c r="Y729" s="1186">
        <v>35.9</v>
      </c>
      <c r="Z729" s="1186">
        <v>2.9</v>
      </c>
      <c r="AA729" s="1186"/>
      <c r="AB729" s="1186"/>
      <c r="AC729" s="1186"/>
      <c r="AD729" s="1187"/>
    </row>
    <row r="730" spans="1:30" x14ac:dyDescent="0.2">
      <c r="A730">
        <f t="shared" si="45"/>
        <v>21</v>
      </c>
      <c r="B730">
        <v>721</v>
      </c>
      <c r="C730" s="1078">
        <v>3</v>
      </c>
      <c r="D730" s="1077" t="s">
        <v>4722</v>
      </c>
      <c r="E730" s="1077" t="s">
        <v>5177</v>
      </c>
      <c r="F730" s="1185">
        <v>4</v>
      </c>
      <c r="G730" s="1186"/>
      <c r="H730" s="1186"/>
      <c r="I730" s="1186"/>
      <c r="J730" s="1186"/>
      <c r="K730" s="1186"/>
      <c r="L730" s="1186"/>
      <c r="M730" s="1186"/>
      <c r="N730" s="1186"/>
      <c r="O730" s="1186"/>
      <c r="P730" s="1186"/>
      <c r="Q730" s="1186"/>
      <c r="R730" s="1186"/>
      <c r="S730" s="1186"/>
      <c r="T730" s="1186"/>
      <c r="U730" s="1186"/>
      <c r="V730" s="1186"/>
      <c r="W730" s="1186">
        <v>51.7</v>
      </c>
      <c r="X730" s="1186">
        <v>4.4000000000000004</v>
      </c>
      <c r="Y730" s="1186">
        <v>44.6</v>
      </c>
      <c r="Z730" s="1186">
        <v>2.8</v>
      </c>
      <c r="AA730" s="1186"/>
      <c r="AB730" s="1186"/>
      <c r="AC730" s="1186"/>
      <c r="AD730" s="1187"/>
    </row>
    <row r="731" spans="1:30" x14ac:dyDescent="0.2">
      <c r="A731">
        <f t="shared" si="45"/>
        <v>21</v>
      </c>
      <c r="B731">
        <v>722</v>
      </c>
      <c r="C731" s="1078">
        <v>3</v>
      </c>
      <c r="D731" s="1077" t="s">
        <v>4722</v>
      </c>
      <c r="E731" s="1077" t="s">
        <v>5178</v>
      </c>
      <c r="F731" s="1185">
        <v>4</v>
      </c>
      <c r="G731" s="1186"/>
      <c r="H731" s="1186"/>
      <c r="I731" s="1186"/>
      <c r="J731" s="1186"/>
      <c r="K731" s="1186"/>
      <c r="L731" s="1186"/>
      <c r="M731" s="1186"/>
      <c r="N731" s="1186"/>
      <c r="O731" s="1186"/>
      <c r="P731" s="1186"/>
      <c r="Q731" s="1186"/>
      <c r="R731" s="1186"/>
      <c r="S731" s="1186"/>
      <c r="T731" s="1186"/>
      <c r="U731" s="1186"/>
      <c r="V731" s="1186"/>
      <c r="W731" s="1186">
        <v>61.3</v>
      </c>
      <c r="X731" s="1186">
        <v>4.5</v>
      </c>
      <c r="Y731" s="1186">
        <v>53</v>
      </c>
      <c r="Z731" s="1186">
        <v>2.8</v>
      </c>
      <c r="AA731" s="1186"/>
      <c r="AB731" s="1186"/>
      <c r="AC731" s="1186"/>
      <c r="AD731" s="1187"/>
    </row>
    <row r="732" spans="1:30" x14ac:dyDescent="0.2">
      <c r="A732">
        <f t="shared" si="45"/>
        <v>21</v>
      </c>
      <c r="B732">
        <v>723</v>
      </c>
      <c r="C732" s="1078">
        <v>3</v>
      </c>
      <c r="D732" s="1077" t="s">
        <v>4722</v>
      </c>
      <c r="E732" s="1077" t="s">
        <v>5179</v>
      </c>
      <c r="F732" s="1185">
        <v>4</v>
      </c>
      <c r="G732" s="1186"/>
      <c r="H732" s="1186"/>
      <c r="I732" s="1186"/>
      <c r="J732" s="1186"/>
      <c r="K732" s="1186"/>
      <c r="L732" s="1186"/>
      <c r="M732" s="1186"/>
      <c r="N732" s="1186"/>
      <c r="O732" s="1186"/>
      <c r="P732" s="1186"/>
      <c r="Q732" s="1186"/>
      <c r="R732" s="1186"/>
      <c r="S732" s="1186"/>
      <c r="T732" s="1186"/>
      <c r="U732" s="1186"/>
      <c r="V732" s="1186"/>
      <c r="W732" s="1186">
        <v>78.8</v>
      </c>
      <c r="X732" s="1186">
        <v>4.3</v>
      </c>
      <c r="Y732" s="1186">
        <v>67.8</v>
      </c>
      <c r="Z732" s="1186">
        <v>2.8</v>
      </c>
      <c r="AA732" s="1186"/>
      <c r="AB732" s="1186"/>
      <c r="AC732" s="1186"/>
      <c r="AD732" s="1187"/>
    </row>
    <row r="733" spans="1:30" x14ac:dyDescent="0.2">
      <c r="A733">
        <f t="shared" si="45"/>
        <v>21</v>
      </c>
      <c r="B733">
        <v>724</v>
      </c>
      <c r="C733" s="1078">
        <v>3</v>
      </c>
      <c r="D733" s="1077" t="s">
        <v>4722</v>
      </c>
      <c r="E733" s="1077" t="s">
        <v>5180</v>
      </c>
      <c r="F733" s="1185">
        <v>4</v>
      </c>
      <c r="G733" s="1186"/>
      <c r="H733" s="1186"/>
      <c r="I733" s="1186"/>
      <c r="J733" s="1186"/>
      <c r="K733" s="1186"/>
      <c r="L733" s="1186"/>
      <c r="M733" s="1186"/>
      <c r="N733" s="1186"/>
      <c r="O733" s="1186"/>
      <c r="P733" s="1186"/>
      <c r="Q733" s="1186"/>
      <c r="R733" s="1186"/>
      <c r="S733" s="1186"/>
      <c r="T733" s="1186"/>
      <c r="U733" s="1186"/>
      <c r="V733" s="1186"/>
      <c r="W733" s="1186">
        <v>100.8</v>
      </c>
      <c r="X733" s="1186">
        <v>4.3</v>
      </c>
      <c r="Y733" s="1186">
        <v>89.6</v>
      </c>
      <c r="Z733" s="1186">
        <v>2.6</v>
      </c>
      <c r="AA733" s="1186"/>
      <c r="AB733" s="1186"/>
      <c r="AC733" s="1186"/>
      <c r="AD733" s="1187"/>
    </row>
    <row r="734" spans="1:30" x14ac:dyDescent="0.2">
      <c r="A734">
        <f t="shared" si="45"/>
        <v>21</v>
      </c>
      <c r="B734">
        <v>725</v>
      </c>
      <c r="C734" s="1078">
        <v>3</v>
      </c>
      <c r="D734" s="1077" t="s">
        <v>4722</v>
      </c>
      <c r="E734" s="1077" t="s">
        <v>5181</v>
      </c>
      <c r="F734" s="1185">
        <v>4</v>
      </c>
      <c r="G734" s="1186"/>
      <c r="H734" s="1186"/>
      <c r="I734" s="1186"/>
      <c r="J734" s="1186"/>
      <c r="K734" s="1186"/>
      <c r="L734" s="1186"/>
      <c r="M734" s="1186"/>
      <c r="N734" s="1186"/>
      <c r="O734" s="1186"/>
      <c r="P734" s="1186"/>
      <c r="Q734" s="1186"/>
      <c r="R734" s="1186"/>
      <c r="S734" s="1186"/>
      <c r="T734" s="1186"/>
      <c r="U734" s="1186"/>
      <c r="V734" s="1186"/>
      <c r="W734" s="1186">
        <v>126.7</v>
      </c>
      <c r="X734" s="1186">
        <v>4.3</v>
      </c>
      <c r="Y734" s="1186">
        <v>111.3</v>
      </c>
      <c r="Z734" s="1186">
        <v>2.7</v>
      </c>
      <c r="AA734" s="1186"/>
      <c r="AB734" s="1186"/>
      <c r="AC734" s="1186"/>
      <c r="AD734" s="1187"/>
    </row>
    <row r="735" spans="1:30" x14ac:dyDescent="0.2">
      <c r="A735">
        <f t="shared" si="45"/>
        <v>21</v>
      </c>
      <c r="B735">
        <v>726</v>
      </c>
      <c r="C735" s="1078">
        <v>3</v>
      </c>
      <c r="D735" s="1077" t="s">
        <v>4722</v>
      </c>
      <c r="E735" s="1077" t="s">
        <v>5182</v>
      </c>
      <c r="F735" s="1185">
        <v>4</v>
      </c>
      <c r="G735" s="1186"/>
      <c r="H735" s="1186"/>
      <c r="I735" s="1186"/>
      <c r="J735" s="1186"/>
      <c r="K735" s="1186"/>
      <c r="L735" s="1186"/>
      <c r="M735" s="1186"/>
      <c r="N735" s="1186"/>
      <c r="O735" s="1186"/>
      <c r="P735" s="1186"/>
      <c r="Q735" s="1186"/>
      <c r="R735" s="1186"/>
      <c r="S735" s="1186"/>
      <c r="T735" s="1186"/>
      <c r="U735" s="1186"/>
      <c r="V735" s="1186"/>
      <c r="W735" s="1186">
        <v>149.30000000000001</v>
      </c>
      <c r="X735" s="1186">
        <v>4.4000000000000004</v>
      </c>
      <c r="Y735" s="1186">
        <v>130.69999999999999</v>
      </c>
      <c r="Z735" s="1186">
        <v>2.7</v>
      </c>
      <c r="AA735" s="1186"/>
      <c r="AB735" s="1186"/>
      <c r="AC735" s="1186"/>
      <c r="AD735" s="1187"/>
    </row>
    <row r="736" spans="1:30" x14ac:dyDescent="0.2">
      <c r="A736">
        <f t="shared" si="45"/>
        <v>21</v>
      </c>
      <c r="B736">
        <v>727</v>
      </c>
      <c r="C736" s="1078">
        <v>4</v>
      </c>
      <c r="D736" s="1077" t="s">
        <v>4722</v>
      </c>
      <c r="E736" s="1077" t="s">
        <v>5176</v>
      </c>
      <c r="F736" s="1185">
        <v>4</v>
      </c>
      <c r="G736" s="1186"/>
      <c r="H736" s="1186"/>
      <c r="I736" s="1186"/>
      <c r="J736" s="1186"/>
      <c r="K736" s="1186"/>
      <c r="L736" s="1186"/>
      <c r="M736" s="1186"/>
      <c r="N736" s="1186"/>
      <c r="O736" s="1186"/>
      <c r="P736" s="1186"/>
      <c r="Q736" s="1186"/>
      <c r="R736" s="1186"/>
      <c r="S736" s="1186"/>
      <c r="T736" s="1186"/>
      <c r="U736" s="1186"/>
      <c r="V736" s="1186"/>
      <c r="W736" s="1186"/>
      <c r="X736" s="1186"/>
      <c r="Y736" s="1186"/>
      <c r="Z736" s="1186"/>
      <c r="AA736" s="1186">
        <v>55.9</v>
      </c>
      <c r="AB736" s="1186">
        <v>5.2</v>
      </c>
      <c r="AC736" s="1186">
        <v>44.5</v>
      </c>
      <c r="AD736" s="1187">
        <v>3.5</v>
      </c>
    </row>
    <row r="737" spans="1:30" x14ac:dyDescent="0.2">
      <c r="A737">
        <f t="shared" si="45"/>
        <v>21</v>
      </c>
      <c r="B737">
        <v>728</v>
      </c>
      <c r="C737" s="1078">
        <v>4</v>
      </c>
      <c r="D737" s="1077" t="s">
        <v>4722</v>
      </c>
      <c r="E737" s="1077" t="s">
        <v>5177</v>
      </c>
      <c r="F737" s="1185">
        <v>4</v>
      </c>
      <c r="G737" s="1186"/>
      <c r="H737" s="1186"/>
      <c r="I737" s="1186"/>
      <c r="J737" s="1186"/>
      <c r="K737" s="1186"/>
      <c r="L737" s="1186"/>
      <c r="M737" s="1186"/>
      <c r="N737" s="1186"/>
      <c r="O737" s="1186"/>
      <c r="P737" s="1186"/>
      <c r="Q737" s="1186"/>
      <c r="R737" s="1186"/>
      <c r="S737" s="1186"/>
      <c r="T737" s="1186"/>
      <c r="U737" s="1186"/>
      <c r="V737" s="1186"/>
      <c r="W737" s="1186"/>
      <c r="X737" s="1186"/>
      <c r="Y737" s="1186"/>
      <c r="Z737" s="1186"/>
      <c r="AA737" s="1186">
        <v>67</v>
      </c>
      <c r="AB737" s="1186">
        <v>5.3</v>
      </c>
      <c r="AC737" s="1186">
        <v>53.8</v>
      </c>
      <c r="AD737" s="1187">
        <v>3.5</v>
      </c>
    </row>
    <row r="738" spans="1:30" x14ac:dyDescent="0.2">
      <c r="A738">
        <f t="shared" si="45"/>
        <v>21</v>
      </c>
      <c r="B738">
        <v>729</v>
      </c>
      <c r="C738" s="1078">
        <v>4</v>
      </c>
      <c r="D738" s="1077" t="s">
        <v>4722</v>
      </c>
      <c r="E738" s="1077" t="s">
        <v>5178</v>
      </c>
      <c r="F738" s="1185">
        <v>4</v>
      </c>
      <c r="G738" s="1186"/>
      <c r="H738" s="1186"/>
      <c r="I738" s="1186"/>
      <c r="J738" s="1186"/>
      <c r="K738" s="1186"/>
      <c r="L738" s="1186"/>
      <c r="M738" s="1186"/>
      <c r="N738" s="1186"/>
      <c r="O738" s="1186"/>
      <c r="P738" s="1186"/>
      <c r="Q738" s="1186"/>
      <c r="R738" s="1186"/>
      <c r="S738" s="1186"/>
      <c r="T738" s="1186"/>
      <c r="U738" s="1186"/>
      <c r="V738" s="1186"/>
      <c r="W738" s="1186"/>
      <c r="X738" s="1186"/>
      <c r="Y738" s="1186"/>
      <c r="Z738" s="1186"/>
      <c r="AA738" s="1186">
        <v>79.5</v>
      </c>
      <c r="AB738" s="1186">
        <v>5.0999999999999996</v>
      </c>
      <c r="AC738" s="1186">
        <v>63.8</v>
      </c>
      <c r="AD738" s="1187">
        <v>3.4</v>
      </c>
    </row>
    <row r="739" spans="1:30" x14ac:dyDescent="0.2">
      <c r="A739">
        <f t="shared" si="45"/>
        <v>21</v>
      </c>
      <c r="B739">
        <v>730</v>
      </c>
      <c r="C739" s="1078">
        <v>4</v>
      </c>
      <c r="D739" s="1077" t="s">
        <v>4722</v>
      </c>
      <c r="E739" s="1077" t="s">
        <v>5179</v>
      </c>
      <c r="F739" s="1185">
        <v>4</v>
      </c>
      <c r="G739" s="1186"/>
      <c r="H739" s="1186"/>
      <c r="I739" s="1186"/>
      <c r="J739" s="1186"/>
      <c r="K739" s="1186"/>
      <c r="L739" s="1186"/>
      <c r="M739" s="1186"/>
      <c r="N739" s="1186"/>
      <c r="O739" s="1186"/>
      <c r="P739" s="1186"/>
      <c r="Q739" s="1186"/>
      <c r="R739" s="1186"/>
      <c r="S739" s="1186"/>
      <c r="T739" s="1186"/>
      <c r="U739" s="1186"/>
      <c r="V739" s="1186"/>
      <c r="W739" s="1186"/>
      <c r="X739" s="1186"/>
      <c r="Y739" s="1186"/>
      <c r="Z739" s="1186"/>
      <c r="AA739" s="1186">
        <v>101.8</v>
      </c>
      <c r="AB739" s="1186">
        <v>5.0999999999999996</v>
      </c>
      <c r="AC739" s="1186">
        <v>85.2</v>
      </c>
      <c r="AD739" s="1187">
        <v>3.4</v>
      </c>
    </row>
    <row r="740" spans="1:30" x14ac:dyDescent="0.2">
      <c r="A740">
        <f t="shared" si="45"/>
        <v>21</v>
      </c>
      <c r="B740">
        <v>731</v>
      </c>
      <c r="C740" s="1078">
        <v>4</v>
      </c>
      <c r="D740" s="1077" t="s">
        <v>4722</v>
      </c>
      <c r="E740" s="1077" t="s">
        <v>5180</v>
      </c>
      <c r="F740" s="1185">
        <v>4</v>
      </c>
      <c r="G740" s="1186"/>
      <c r="H740" s="1186"/>
      <c r="I740" s="1186"/>
      <c r="J740" s="1186"/>
      <c r="K740" s="1186"/>
      <c r="L740" s="1186"/>
      <c r="M740" s="1186"/>
      <c r="N740" s="1186"/>
      <c r="O740" s="1186"/>
      <c r="P740" s="1186"/>
      <c r="Q740" s="1186"/>
      <c r="R740" s="1186"/>
      <c r="S740" s="1186"/>
      <c r="T740" s="1186"/>
      <c r="U740" s="1186"/>
      <c r="V740" s="1186"/>
      <c r="W740" s="1186"/>
      <c r="X740" s="1186"/>
      <c r="Y740" s="1186"/>
      <c r="Z740" s="1186"/>
      <c r="AA740" s="1186">
        <v>133.19999999999999</v>
      </c>
      <c r="AB740" s="1186">
        <v>5.2</v>
      </c>
      <c r="AC740" s="1186">
        <v>113.6</v>
      </c>
      <c r="AD740" s="1187">
        <v>3.3</v>
      </c>
    </row>
    <row r="741" spans="1:30" x14ac:dyDescent="0.2">
      <c r="A741">
        <f t="shared" si="45"/>
        <v>21</v>
      </c>
      <c r="B741">
        <v>732</v>
      </c>
      <c r="C741" s="1078">
        <v>4</v>
      </c>
      <c r="D741" s="1077" t="s">
        <v>4722</v>
      </c>
      <c r="E741" s="1077" t="s">
        <v>5181</v>
      </c>
      <c r="F741" s="1185">
        <v>4</v>
      </c>
      <c r="G741" s="1186"/>
      <c r="H741" s="1186"/>
      <c r="I741" s="1186"/>
      <c r="J741" s="1186"/>
      <c r="K741" s="1186"/>
      <c r="L741" s="1186"/>
      <c r="M741" s="1186"/>
      <c r="N741" s="1186"/>
      <c r="O741" s="1186"/>
      <c r="P741" s="1186"/>
      <c r="Q741" s="1186"/>
      <c r="R741" s="1186"/>
      <c r="S741" s="1186"/>
      <c r="T741" s="1186"/>
      <c r="U741" s="1186"/>
      <c r="V741" s="1186"/>
      <c r="W741" s="1186"/>
      <c r="X741" s="1186"/>
      <c r="Y741" s="1186"/>
      <c r="Z741" s="1186"/>
      <c r="AA741" s="1186">
        <v>167.2</v>
      </c>
      <c r="AB741" s="1186">
        <v>4.9000000000000004</v>
      </c>
      <c r="AC741" s="1186">
        <v>135.6</v>
      </c>
      <c r="AD741" s="1187">
        <v>3.2</v>
      </c>
    </row>
    <row r="742" spans="1:30" x14ac:dyDescent="0.2">
      <c r="A742">
        <f t="shared" si="45"/>
        <v>21</v>
      </c>
      <c r="B742">
        <v>733</v>
      </c>
      <c r="C742" s="1078">
        <v>4</v>
      </c>
      <c r="D742" s="1077" t="s">
        <v>4722</v>
      </c>
      <c r="E742" s="1077" t="s">
        <v>5182</v>
      </c>
      <c r="F742" s="1185">
        <v>4</v>
      </c>
      <c r="G742" s="1186"/>
      <c r="H742" s="1186"/>
      <c r="I742" s="1186"/>
      <c r="J742" s="1186"/>
      <c r="K742" s="1186"/>
      <c r="L742" s="1186"/>
      <c r="M742" s="1186"/>
      <c r="N742" s="1186"/>
      <c r="O742" s="1186"/>
      <c r="P742" s="1186"/>
      <c r="Q742" s="1186"/>
      <c r="R742" s="1186"/>
      <c r="S742" s="1186"/>
      <c r="T742" s="1186"/>
      <c r="U742" s="1186"/>
      <c r="V742" s="1186"/>
      <c r="W742" s="1186"/>
      <c r="X742" s="1186"/>
      <c r="Y742" s="1186"/>
      <c r="Z742" s="1186"/>
      <c r="AA742" s="1186">
        <v>200.4</v>
      </c>
      <c r="AB742" s="1186">
        <v>4.5</v>
      </c>
      <c r="AC742" s="1186">
        <v>166</v>
      </c>
      <c r="AD742" s="1187">
        <v>3.3</v>
      </c>
    </row>
    <row r="743" spans="1:30" x14ac:dyDescent="0.2">
      <c r="A743">
        <f t="shared" si="45"/>
        <v>21</v>
      </c>
      <c r="B743">
        <v>734</v>
      </c>
      <c r="C743" s="1078">
        <v>3</v>
      </c>
      <c r="D743" s="1077" t="s">
        <v>4722</v>
      </c>
      <c r="E743" s="1077" t="s">
        <v>5183</v>
      </c>
      <c r="F743" s="1185">
        <v>4</v>
      </c>
      <c r="G743" s="1186"/>
      <c r="H743" s="1186"/>
      <c r="I743" s="1186"/>
      <c r="J743" s="1186"/>
      <c r="K743" s="1186"/>
      <c r="L743" s="1186"/>
      <c r="M743" s="1186"/>
      <c r="N743" s="1186"/>
      <c r="O743" s="1186"/>
      <c r="P743" s="1186"/>
      <c r="Q743" s="1186"/>
      <c r="R743" s="1186"/>
      <c r="S743" s="1186"/>
      <c r="T743" s="1186"/>
      <c r="U743" s="1186"/>
      <c r="V743" s="1186"/>
      <c r="W743" s="1186">
        <v>22.7</v>
      </c>
      <c r="X743" s="1186">
        <v>3.9</v>
      </c>
      <c r="Y743" s="1186">
        <v>19.100000000000001</v>
      </c>
      <c r="Z743" s="1186">
        <v>2.9</v>
      </c>
      <c r="AA743" s="1186"/>
      <c r="AB743" s="1186"/>
      <c r="AC743" s="1186"/>
      <c r="AD743" s="1187"/>
    </row>
    <row r="744" spans="1:30" x14ac:dyDescent="0.2">
      <c r="A744">
        <f t="shared" si="45"/>
        <v>21</v>
      </c>
      <c r="B744">
        <v>735</v>
      </c>
      <c r="C744" s="1078">
        <v>3</v>
      </c>
      <c r="D744" s="1077" t="s">
        <v>4722</v>
      </c>
      <c r="E744" s="1077" t="s">
        <v>5184</v>
      </c>
      <c r="F744" s="1185">
        <v>4</v>
      </c>
      <c r="G744" s="1186"/>
      <c r="H744" s="1186"/>
      <c r="I744" s="1186"/>
      <c r="J744" s="1186"/>
      <c r="K744" s="1186"/>
      <c r="L744" s="1186"/>
      <c r="M744" s="1186"/>
      <c r="N744" s="1186"/>
      <c r="O744" s="1186"/>
      <c r="P744" s="1186"/>
      <c r="Q744" s="1186"/>
      <c r="R744" s="1186"/>
      <c r="S744" s="1186"/>
      <c r="T744" s="1186"/>
      <c r="U744" s="1186"/>
      <c r="V744" s="1186"/>
      <c r="W744" s="1186">
        <v>34.4</v>
      </c>
      <c r="X744" s="1186">
        <v>4.2</v>
      </c>
      <c r="Y744" s="1186">
        <v>29.5</v>
      </c>
      <c r="Z744" s="1186">
        <v>3</v>
      </c>
      <c r="AA744" s="1186"/>
      <c r="AB744" s="1186"/>
      <c r="AC744" s="1186"/>
      <c r="AD744" s="1187"/>
    </row>
    <row r="745" spans="1:30" x14ac:dyDescent="0.2">
      <c r="A745">
        <f t="shared" si="45"/>
        <v>21</v>
      </c>
      <c r="B745">
        <v>736</v>
      </c>
      <c r="C745" s="1078">
        <v>3</v>
      </c>
      <c r="D745" s="1077" t="s">
        <v>4722</v>
      </c>
      <c r="E745" s="1077" t="s">
        <v>5185</v>
      </c>
      <c r="F745" s="1185">
        <v>4</v>
      </c>
      <c r="G745" s="1186"/>
      <c r="H745" s="1186"/>
      <c r="I745" s="1186"/>
      <c r="J745" s="1186"/>
      <c r="K745" s="1186"/>
      <c r="L745" s="1186"/>
      <c r="M745" s="1186"/>
      <c r="N745" s="1186"/>
      <c r="O745" s="1186"/>
      <c r="P745" s="1186"/>
      <c r="Q745" s="1186"/>
      <c r="R745" s="1186"/>
      <c r="S745" s="1186"/>
      <c r="T745" s="1186"/>
      <c r="U745" s="1186"/>
      <c r="V745" s="1186"/>
      <c r="W745" s="1186">
        <v>46.7</v>
      </c>
      <c r="X745" s="1186">
        <v>4.3</v>
      </c>
      <c r="Y745" s="1186">
        <v>39.9</v>
      </c>
      <c r="Z745" s="1186">
        <v>3</v>
      </c>
      <c r="AA745" s="1186"/>
      <c r="AB745" s="1186"/>
      <c r="AC745" s="1186"/>
      <c r="AD745" s="1187"/>
    </row>
    <row r="746" spans="1:30" x14ac:dyDescent="0.2">
      <c r="A746">
        <f t="shared" si="45"/>
        <v>21</v>
      </c>
      <c r="B746">
        <v>737</v>
      </c>
      <c r="C746" s="1078">
        <v>3</v>
      </c>
      <c r="D746" s="1077" t="s">
        <v>4722</v>
      </c>
      <c r="E746" s="1077" t="s">
        <v>5186</v>
      </c>
      <c r="F746" s="1185">
        <v>4</v>
      </c>
      <c r="G746" s="1186"/>
      <c r="H746" s="1186"/>
      <c r="I746" s="1186"/>
      <c r="J746" s="1186"/>
      <c r="K746" s="1186"/>
      <c r="L746" s="1186"/>
      <c r="M746" s="1186"/>
      <c r="N746" s="1186"/>
      <c r="O746" s="1186"/>
      <c r="P746" s="1186"/>
      <c r="Q746" s="1186"/>
      <c r="R746" s="1186"/>
      <c r="S746" s="1186"/>
      <c r="T746" s="1186"/>
      <c r="U746" s="1186"/>
      <c r="V746" s="1186"/>
      <c r="W746" s="1186">
        <v>62.1</v>
      </c>
      <c r="X746" s="1186">
        <v>4.3</v>
      </c>
      <c r="Y746" s="1186">
        <v>52.2</v>
      </c>
      <c r="Z746" s="1186">
        <v>3.1</v>
      </c>
      <c r="AA746" s="1186"/>
      <c r="AB746" s="1186"/>
      <c r="AC746" s="1186"/>
      <c r="AD746" s="1187"/>
    </row>
    <row r="747" spans="1:30" x14ac:dyDescent="0.2">
      <c r="A747">
        <f t="shared" si="45"/>
        <v>21</v>
      </c>
      <c r="B747">
        <v>738</v>
      </c>
      <c r="C747" s="1078">
        <v>3</v>
      </c>
      <c r="D747" s="1077" t="s">
        <v>4722</v>
      </c>
      <c r="E747" s="1077" t="s">
        <v>5187</v>
      </c>
      <c r="F747" s="1185">
        <v>4</v>
      </c>
      <c r="G747" s="1186"/>
      <c r="H747" s="1186"/>
      <c r="I747" s="1186"/>
      <c r="J747" s="1186"/>
      <c r="K747" s="1186"/>
      <c r="L747" s="1186"/>
      <c r="M747" s="1186"/>
      <c r="N747" s="1186"/>
      <c r="O747" s="1186"/>
      <c r="P747" s="1186"/>
      <c r="Q747" s="1186"/>
      <c r="R747" s="1186"/>
      <c r="S747" s="1186"/>
      <c r="T747" s="1186"/>
      <c r="U747" s="1186"/>
      <c r="V747" s="1186"/>
      <c r="W747" s="1186">
        <v>82.5</v>
      </c>
      <c r="X747" s="1186">
        <v>4.2</v>
      </c>
      <c r="Y747" s="1186">
        <v>69</v>
      </c>
      <c r="Z747" s="1186">
        <v>3</v>
      </c>
      <c r="AA747" s="1186"/>
      <c r="AB747" s="1186"/>
      <c r="AC747" s="1186"/>
      <c r="AD747" s="1187"/>
    </row>
    <row r="748" spans="1:30" x14ac:dyDescent="0.2">
      <c r="A748">
        <f t="shared" si="45"/>
        <v>21</v>
      </c>
      <c r="B748">
        <v>739</v>
      </c>
      <c r="C748" s="1078">
        <v>3</v>
      </c>
      <c r="D748" s="1077" t="s">
        <v>4722</v>
      </c>
      <c r="E748" s="1077" t="s">
        <v>5188</v>
      </c>
      <c r="F748" s="1185">
        <v>4</v>
      </c>
      <c r="G748" s="1186"/>
      <c r="H748" s="1186"/>
      <c r="I748" s="1186"/>
      <c r="J748" s="1186"/>
      <c r="K748" s="1186"/>
      <c r="L748" s="1186"/>
      <c r="M748" s="1186"/>
      <c r="N748" s="1186"/>
      <c r="O748" s="1186"/>
      <c r="P748" s="1186"/>
      <c r="Q748" s="1186"/>
      <c r="R748" s="1186"/>
      <c r="S748" s="1186"/>
      <c r="T748" s="1186"/>
      <c r="U748" s="1186"/>
      <c r="V748" s="1186"/>
      <c r="W748" s="1186">
        <v>96.4</v>
      </c>
      <c r="X748" s="1186">
        <v>4.2</v>
      </c>
      <c r="Y748" s="1186">
        <v>81.099999999999994</v>
      </c>
      <c r="Z748" s="1186">
        <v>3.1</v>
      </c>
      <c r="AA748" s="1186"/>
      <c r="AB748" s="1186"/>
      <c r="AC748" s="1186"/>
      <c r="AD748" s="1187"/>
    </row>
    <row r="749" spans="1:30" x14ac:dyDescent="0.2">
      <c r="A749">
        <f t="shared" si="45"/>
        <v>21</v>
      </c>
      <c r="B749">
        <v>740</v>
      </c>
      <c r="C749" s="1078">
        <v>3</v>
      </c>
      <c r="D749" s="1077" t="s">
        <v>4722</v>
      </c>
      <c r="E749" s="1077" t="s">
        <v>5189</v>
      </c>
      <c r="F749" s="1185">
        <v>4</v>
      </c>
      <c r="G749" s="1186"/>
      <c r="H749" s="1186"/>
      <c r="I749" s="1186"/>
      <c r="J749" s="1186"/>
      <c r="K749" s="1186"/>
      <c r="L749" s="1186"/>
      <c r="M749" s="1186"/>
      <c r="N749" s="1186"/>
      <c r="O749" s="1186"/>
      <c r="P749" s="1186"/>
      <c r="Q749" s="1186"/>
      <c r="R749" s="1186"/>
      <c r="S749" s="1186"/>
      <c r="T749" s="1186"/>
      <c r="U749" s="1186"/>
      <c r="V749" s="1186"/>
      <c r="W749" s="1186">
        <v>112.4</v>
      </c>
      <c r="X749" s="1186">
        <v>4.2</v>
      </c>
      <c r="Y749" s="1186">
        <v>93.9</v>
      </c>
      <c r="Z749" s="1186">
        <v>3</v>
      </c>
      <c r="AA749" s="1186"/>
      <c r="AB749" s="1186"/>
      <c r="AC749" s="1186"/>
      <c r="AD749" s="1187"/>
    </row>
    <row r="750" spans="1:30" x14ac:dyDescent="0.2">
      <c r="A750">
        <f t="shared" si="45"/>
        <v>21</v>
      </c>
      <c r="B750">
        <v>741</v>
      </c>
      <c r="C750" s="1078">
        <v>3</v>
      </c>
      <c r="D750" s="1077" t="s">
        <v>4722</v>
      </c>
      <c r="E750" s="1077" t="s">
        <v>5190</v>
      </c>
      <c r="F750" s="1185">
        <v>4</v>
      </c>
      <c r="G750" s="1186"/>
      <c r="H750" s="1186"/>
      <c r="I750" s="1186"/>
      <c r="J750" s="1186"/>
      <c r="K750" s="1186"/>
      <c r="L750" s="1186"/>
      <c r="M750" s="1186"/>
      <c r="N750" s="1186"/>
      <c r="O750" s="1186"/>
      <c r="P750" s="1186"/>
      <c r="Q750" s="1186"/>
      <c r="R750" s="1186"/>
      <c r="S750" s="1186"/>
      <c r="T750" s="1186"/>
      <c r="U750" s="1186"/>
      <c r="V750" s="1186"/>
      <c r="W750" s="1186">
        <v>135</v>
      </c>
      <c r="X750" s="1186">
        <v>4.0999999999999996</v>
      </c>
      <c r="Y750" s="1186">
        <v>113.1</v>
      </c>
      <c r="Z750" s="1186">
        <v>3</v>
      </c>
      <c r="AA750" s="1186"/>
      <c r="AB750" s="1186"/>
      <c r="AC750" s="1186"/>
      <c r="AD750" s="1187"/>
    </row>
    <row r="751" spans="1:30" x14ac:dyDescent="0.2">
      <c r="A751">
        <f t="shared" si="45"/>
        <v>21</v>
      </c>
      <c r="B751">
        <v>742</v>
      </c>
      <c r="C751" s="1078">
        <v>3</v>
      </c>
      <c r="D751" s="1077" t="s">
        <v>4722</v>
      </c>
      <c r="E751" s="1077" t="s">
        <v>5191</v>
      </c>
      <c r="F751" s="1185">
        <v>4</v>
      </c>
      <c r="G751" s="1186"/>
      <c r="H751" s="1186"/>
      <c r="I751" s="1186"/>
      <c r="J751" s="1186"/>
      <c r="K751" s="1186"/>
      <c r="L751" s="1186"/>
      <c r="M751" s="1186"/>
      <c r="N751" s="1186"/>
      <c r="O751" s="1186"/>
      <c r="P751" s="1186"/>
      <c r="Q751" s="1186"/>
      <c r="R751" s="1186"/>
      <c r="S751" s="1186"/>
      <c r="T751" s="1186"/>
      <c r="U751" s="1186"/>
      <c r="V751" s="1186"/>
      <c r="W751" s="1186">
        <v>151.9</v>
      </c>
      <c r="X751" s="1186">
        <v>4.2</v>
      </c>
      <c r="Y751" s="1186">
        <v>127.4</v>
      </c>
      <c r="Z751" s="1186">
        <v>3</v>
      </c>
      <c r="AA751" s="1186"/>
      <c r="AB751" s="1186"/>
      <c r="AC751" s="1186"/>
      <c r="AD751" s="1187"/>
    </row>
    <row r="752" spans="1:30" x14ac:dyDescent="0.2">
      <c r="A752">
        <f t="shared" si="45"/>
        <v>21</v>
      </c>
      <c r="B752">
        <v>743</v>
      </c>
      <c r="C752" s="1078">
        <v>3</v>
      </c>
      <c r="D752" s="1077" t="s">
        <v>4722</v>
      </c>
      <c r="E752" s="1077" t="s">
        <v>5192</v>
      </c>
      <c r="F752" s="1185">
        <v>4</v>
      </c>
      <c r="G752" s="1186"/>
      <c r="H752" s="1186"/>
      <c r="I752" s="1186"/>
      <c r="J752" s="1186"/>
      <c r="K752" s="1186"/>
      <c r="L752" s="1186"/>
      <c r="M752" s="1186"/>
      <c r="N752" s="1186"/>
      <c r="O752" s="1186"/>
      <c r="P752" s="1186"/>
      <c r="Q752" s="1186"/>
      <c r="R752" s="1186"/>
      <c r="S752" s="1186"/>
      <c r="T752" s="1186"/>
      <c r="U752" s="1186"/>
      <c r="V752" s="1186"/>
      <c r="W752" s="1186">
        <v>177</v>
      </c>
      <c r="X752" s="1186">
        <v>4.0999999999999996</v>
      </c>
      <c r="Y752" s="1186">
        <v>148.4</v>
      </c>
      <c r="Z752" s="1186">
        <v>3</v>
      </c>
      <c r="AA752" s="1186"/>
      <c r="AB752" s="1186"/>
      <c r="AC752" s="1186"/>
      <c r="AD752" s="1187"/>
    </row>
    <row r="753" spans="1:30" x14ac:dyDescent="0.2">
      <c r="A753">
        <f t="shared" si="45"/>
        <v>21</v>
      </c>
      <c r="B753">
        <v>744</v>
      </c>
      <c r="C753" s="1078">
        <v>4</v>
      </c>
      <c r="D753" s="1077" t="s">
        <v>4722</v>
      </c>
      <c r="E753" s="1077" t="s">
        <v>5183</v>
      </c>
      <c r="F753" s="1185">
        <v>4</v>
      </c>
      <c r="G753" s="1186"/>
      <c r="H753" s="1186"/>
      <c r="I753" s="1186"/>
      <c r="J753" s="1186"/>
      <c r="K753" s="1186"/>
      <c r="L753" s="1186"/>
      <c r="M753" s="1186"/>
      <c r="N753" s="1186"/>
      <c r="O753" s="1186"/>
      <c r="P753" s="1186"/>
      <c r="Q753" s="1186"/>
      <c r="R753" s="1186"/>
      <c r="S753" s="1186"/>
      <c r="T753" s="1186"/>
      <c r="U753" s="1186"/>
      <c r="V753" s="1186"/>
      <c r="W753" s="1186"/>
      <c r="X753" s="1186"/>
      <c r="Y753" s="1186"/>
      <c r="Z753" s="1186"/>
      <c r="AA753" s="1186">
        <v>30.7</v>
      </c>
      <c r="AB753" s="1186">
        <v>4.8</v>
      </c>
      <c r="AC753" s="1186">
        <v>26.8</v>
      </c>
      <c r="AD753" s="1187">
        <v>3.4</v>
      </c>
    </row>
    <row r="754" spans="1:30" x14ac:dyDescent="0.2">
      <c r="A754">
        <f t="shared" si="45"/>
        <v>21</v>
      </c>
      <c r="B754">
        <v>745</v>
      </c>
      <c r="C754" s="1078">
        <v>4</v>
      </c>
      <c r="D754" s="1077" t="s">
        <v>4722</v>
      </c>
      <c r="E754" s="1077" t="s">
        <v>5184</v>
      </c>
      <c r="F754" s="1185">
        <v>4</v>
      </c>
      <c r="G754" s="1186"/>
      <c r="H754" s="1186"/>
      <c r="I754" s="1186"/>
      <c r="J754" s="1186"/>
      <c r="K754" s="1186"/>
      <c r="L754" s="1186"/>
      <c r="M754" s="1186"/>
      <c r="N754" s="1186"/>
      <c r="O754" s="1186"/>
      <c r="P754" s="1186"/>
      <c r="Q754" s="1186"/>
      <c r="R754" s="1186"/>
      <c r="S754" s="1186"/>
      <c r="T754" s="1186"/>
      <c r="U754" s="1186"/>
      <c r="V754" s="1186"/>
      <c r="W754" s="1186"/>
      <c r="X754" s="1186"/>
      <c r="Y754" s="1186"/>
      <c r="Z754" s="1186"/>
      <c r="AA754" s="1186">
        <v>45.5</v>
      </c>
      <c r="AB754" s="1186">
        <v>5.0999999999999996</v>
      </c>
      <c r="AC754" s="1186">
        <v>40.200000000000003</v>
      </c>
      <c r="AD754" s="1187">
        <v>3.6</v>
      </c>
    </row>
    <row r="755" spans="1:30" x14ac:dyDescent="0.2">
      <c r="A755">
        <f t="shared" si="45"/>
        <v>21</v>
      </c>
      <c r="B755">
        <v>746</v>
      </c>
      <c r="C755" s="1078">
        <v>4</v>
      </c>
      <c r="D755" s="1077" t="s">
        <v>4722</v>
      </c>
      <c r="E755" s="1077" t="s">
        <v>5185</v>
      </c>
      <c r="F755" s="1185">
        <v>4</v>
      </c>
      <c r="G755" s="1186"/>
      <c r="H755" s="1186"/>
      <c r="I755" s="1186"/>
      <c r="J755" s="1186"/>
      <c r="K755" s="1186"/>
      <c r="L755" s="1186"/>
      <c r="M755" s="1186"/>
      <c r="N755" s="1186"/>
      <c r="O755" s="1186"/>
      <c r="P755" s="1186"/>
      <c r="Q755" s="1186"/>
      <c r="R755" s="1186"/>
      <c r="S755" s="1186"/>
      <c r="T755" s="1186"/>
      <c r="U755" s="1186"/>
      <c r="V755" s="1186"/>
      <c r="W755" s="1186"/>
      <c r="X755" s="1186"/>
      <c r="Y755" s="1186"/>
      <c r="Z755" s="1186"/>
      <c r="AA755" s="1186">
        <v>65.5</v>
      </c>
      <c r="AB755" s="1186">
        <v>5</v>
      </c>
      <c r="AC755" s="1186">
        <v>56.7</v>
      </c>
      <c r="AD755" s="1187">
        <v>3.6</v>
      </c>
    </row>
    <row r="756" spans="1:30" x14ac:dyDescent="0.2">
      <c r="A756">
        <f t="shared" si="45"/>
        <v>21</v>
      </c>
      <c r="B756">
        <v>747</v>
      </c>
      <c r="C756" s="1078">
        <v>4</v>
      </c>
      <c r="D756" s="1077" t="s">
        <v>4722</v>
      </c>
      <c r="E756" s="1077" t="s">
        <v>5186</v>
      </c>
      <c r="F756" s="1185">
        <v>4</v>
      </c>
      <c r="G756" s="1186"/>
      <c r="H756" s="1186"/>
      <c r="I756" s="1186"/>
      <c r="J756" s="1186"/>
      <c r="K756" s="1186"/>
      <c r="L756" s="1186"/>
      <c r="M756" s="1186"/>
      <c r="N756" s="1186"/>
      <c r="O756" s="1186"/>
      <c r="P756" s="1186"/>
      <c r="Q756" s="1186"/>
      <c r="R756" s="1186"/>
      <c r="S756" s="1186"/>
      <c r="T756" s="1186"/>
      <c r="U756" s="1186"/>
      <c r="V756" s="1186"/>
      <c r="W756" s="1186"/>
      <c r="X756" s="1186"/>
      <c r="Y756" s="1186"/>
      <c r="Z756" s="1186"/>
      <c r="AA756" s="1186">
        <v>78.400000000000006</v>
      </c>
      <c r="AB756" s="1186">
        <v>4.9000000000000004</v>
      </c>
      <c r="AC756" s="1186">
        <v>68.900000000000006</v>
      </c>
      <c r="AD756" s="1187">
        <v>3.5</v>
      </c>
    </row>
    <row r="757" spans="1:30" x14ac:dyDescent="0.2">
      <c r="A757">
        <f t="shared" si="45"/>
        <v>21</v>
      </c>
      <c r="B757">
        <v>748</v>
      </c>
      <c r="C757" s="1078">
        <v>4</v>
      </c>
      <c r="D757" s="1077" t="s">
        <v>4722</v>
      </c>
      <c r="E757" s="1077" t="s">
        <v>5187</v>
      </c>
      <c r="F757" s="1185">
        <v>4</v>
      </c>
      <c r="G757" s="1186"/>
      <c r="H757" s="1186"/>
      <c r="I757" s="1186"/>
      <c r="J757" s="1186"/>
      <c r="K757" s="1186"/>
      <c r="L757" s="1186"/>
      <c r="M757" s="1186"/>
      <c r="N757" s="1186"/>
      <c r="O757" s="1186"/>
      <c r="P757" s="1186"/>
      <c r="Q757" s="1186"/>
      <c r="R757" s="1186"/>
      <c r="S757" s="1186"/>
      <c r="T757" s="1186"/>
      <c r="U757" s="1186"/>
      <c r="V757" s="1186"/>
      <c r="W757" s="1186"/>
      <c r="X757" s="1186"/>
      <c r="Y757" s="1186"/>
      <c r="Z757" s="1186"/>
      <c r="AA757" s="1186">
        <v>104.4</v>
      </c>
      <c r="AB757" s="1186">
        <v>4.5999999999999996</v>
      </c>
      <c r="AC757" s="1186">
        <v>91.5</v>
      </c>
      <c r="AD757" s="1187">
        <v>3.3</v>
      </c>
    </row>
    <row r="758" spans="1:30" x14ac:dyDescent="0.2">
      <c r="A758">
        <f t="shared" si="45"/>
        <v>21</v>
      </c>
      <c r="B758">
        <v>749</v>
      </c>
      <c r="C758" s="1078">
        <v>4</v>
      </c>
      <c r="D758" s="1077" t="s">
        <v>4722</v>
      </c>
      <c r="E758" s="1077" t="s">
        <v>5188</v>
      </c>
      <c r="F758" s="1185">
        <v>4</v>
      </c>
      <c r="G758" s="1186"/>
      <c r="H758" s="1186"/>
      <c r="I758" s="1186"/>
      <c r="J758" s="1186"/>
      <c r="K758" s="1186"/>
      <c r="L758" s="1186"/>
      <c r="M758" s="1186"/>
      <c r="N758" s="1186"/>
      <c r="O758" s="1186"/>
      <c r="P758" s="1186"/>
      <c r="Q758" s="1186"/>
      <c r="R758" s="1186"/>
      <c r="S758" s="1186"/>
      <c r="T758" s="1186"/>
      <c r="U758" s="1186"/>
      <c r="V758" s="1186"/>
      <c r="W758" s="1186"/>
      <c r="X758" s="1186"/>
      <c r="Y758" s="1186"/>
      <c r="Z758" s="1186"/>
      <c r="AA758" s="1186">
        <v>125.3</v>
      </c>
      <c r="AB758" s="1186">
        <v>4.9000000000000004</v>
      </c>
      <c r="AC758" s="1186">
        <v>108.3</v>
      </c>
      <c r="AD758" s="1187">
        <v>3.4</v>
      </c>
    </row>
    <row r="759" spans="1:30" x14ac:dyDescent="0.2">
      <c r="A759">
        <f t="shared" si="45"/>
        <v>21</v>
      </c>
      <c r="B759">
        <v>750</v>
      </c>
      <c r="C759" s="1078">
        <v>4</v>
      </c>
      <c r="D759" s="1077" t="s">
        <v>4722</v>
      </c>
      <c r="E759" s="1077" t="s">
        <v>5189</v>
      </c>
      <c r="F759" s="1185">
        <v>4</v>
      </c>
      <c r="G759" s="1186"/>
      <c r="H759" s="1186"/>
      <c r="I759" s="1186"/>
      <c r="J759" s="1186"/>
      <c r="K759" s="1186"/>
      <c r="L759" s="1186"/>
      <c r="M759" s="1186"/>
      <c r="N759" s="1186"/>
      <c r="O759" s="1186"/>
      <c r="P759" s="1186"/>
      <c r="Q759" s="1186"/>
      <c r="R759" s="1186"/>
      <c r="S759" s="1186"/>
      <c r="T759" s="1186"/>
      <c r="U759" s="1186"/>
      <c r="V759" s="1186"/>
      <c r="W759" s="1186"/>
      <c r="X759" s="1186"/>
      <c r="Y759" s="1186"/>
      <c r="Z759" s="1186"/>
      <c r="AA759" s="1186">
        <v>151</v>
      </c>
      <c r="AB759" s="1186">
        <v>5</v>
      </c>
      <c r="AC759" s="1186">
        <v>130.30000000000001</v>
      </c>
      <c r="AD759" s="1187">
        <v>3.4</v>
      </c>
    </row>
    <row r="760" spans="1:30" x14ac:dyDescent="0.2">
      <c r="A760">
        <f t="shared" si="45"/>
        <v>21</v>
      </c>
      <c r="B760">
        <v>751</v>
      </c>
      <c r="C760" s="1078">
        <v>4</v>
      </c>
      <c r="D760" s="1077" t="s">
        <v>4722</v>
      </c>
      <c r="E760" s="1077" t="s">
        <v>5190</v>
      </c>
      <c r="F760" s="1185">
        <v>4</v>
      </c>
      <c r="G760" s="1186"/>
      <c r="H760" s="1186"/>
      <c r="I760" s="1186"/>
      <c r="J760" s="1186"/>
      <c r="K760" s="1186"/>
      <c r="L760" s="1186"/>
      <c r="M760" s="1186"/>
      <c r="N760" s="1186"/>
      <c r="O760" s="1186"/>
      <c r="P760" s="1186"/>
      <c r="Q760" s="1186"/>
      <c r="R760" s="1186"/>
      <c r="S760" s="1186"/>
      <c r="T760" s="1186"/>
      <c r="U760" s="1186"/>
      <c r="V760" s="1186"/>
      <c r="W760" s="1186"/>
      <c r="X760" s="1186"/>
      <c r="Y760" s="1186"/>
      <c r="Z760" s="1186"/>
      <c r="AA760" s="1186">
        <v>193.9</v>
      </c>
      <c r="AB760" s="1186">
        <v>5.0999999999999996</v>
      </c>
      <c r="AC760" s="1186">
        <v>165.7</v>
      </c>
      <c r="AD760" s="1187">
        <v>3.6</v>
      </c>
    </row>
    <row r="761" spans="1:30" x14ac:dyDescent="0.2">
      <c r="A761">
        <f t="shared" si="45"/>
        <v>21</v>
      </c>
      <c r="B761">
        <v>752</v>
      </c>
      <c r="C761" s="1078">
        <v>4</v>
      </c>
      <c r="D761" s="1077" t="s">
        <v>4722</v>
      </c>
      <c r="E761" s="1077" t="s">
        <v>5191</v>
      </c>
      <c r="F761" s="1185">
        <v>4</v>
      </c>
      <c r="G761" s="1186"/>
      <c r="H761" s="1186"/>
      <c r="I761" s="1186"/>
      <c r="J761" s="1186"/>
      <c r="K761" s="1186"/>
      <c r="L761" s="1186"/>
      <c r="M761" s="1186"/>
      <c r="N761" s="1186"/>
      <c r="O761" s="1186"/>
      <c r="P761" s="1186"/>
      <c r="Q761" s="1186"/>
      <c r="R761" s="1186"/>
      <c r="S761" s="1186"/>
      <c r="T761" s="1186"/>
      <c r="U761" s="1186"/>
      <c r="V761" s="1186"/>
      <c r="W761" s="1186"/>
      <c r="X761" s="1186"/>
      <c r="Y761" s="1186"/>
      <c r="Z761" s="1186"/>
      <c r="AA761" s="1186">
        <v>213.3</v>
      </c>
      <c r="AB761" s="1186">
        <v>5.0999999999999996</v>
      </c>
      <c r="AC761" s="1186">
        <v>185.6</v>
      </c>
      <c r="AD761" s="1187">
        <v>3.6</v>
      </c>
    </row>
    <row r="762" spans="1:30" x14ac:dyDescent="0.2">
      <c r="A762">
        <f t="shared" si="45"/>
        <v>21</v>
      </c>
      <c r="B762">
        <v>753</v>
      </c>
      <c r="C762" s="1078">
        <v>4</v>
      </c>
      <c r="D762" s="1077" t="s">
        <v>4722</v>
      </c>
      <c r="E762" s="1077" t="s">
        <v>5192</v>
      </c>
      <c r="F762" s="1185">
        <v>4</v>
      </c>
      <c r="G762" s="1186"/>
      <c r="H762" s="1186"/>
      <c r="I762" s="1186"/>
      <c r="J762" s="1186"/>
      <c r="K762" s="1186"/>
      <c r="L762" s="1186"/>
      <c r="M762" s="1186"/>
      <c r="N762" s="1186"/>
      <c r="O762" s="1186"/>
      <c r="P762" s="1186"/>
      <c r="Q762" s="1186"/>
      <c r="R762" s="1186"/>
      <c r="S762" s="1186"/>
      <c r="T762" s="1186"/>
      <c r="U762" s="1186"/>
      <c r="V762" s="1186"/>
      <c r="W762" s="1186"/>
      <c r="X762" s="1186"/>
      <c r="Y762" s="1186"/>
      <c r="Z762" s="1186"/>
      <c r="AA762" s="1186">
        <v>254.9</v>
      </c>
      <c r="AB762" s="1186">
        <v>5</v>
      </c>
      <c r="AC762" s="1186">
        <v>217.8</v>
      </c>
      <c r="AD762" s="1187">
        <v>3.6</v>
      </c>
    </row>
    <row r="763" spans="1:30" x14ac:dyDescent="0.2">
      <c r="A763">
        <f t="shared" si="45"/>
        <v>21</v>
      </c>
      <c r="B763">
        <v>754</v>
      </c>
      <c r="C763" s="1078">
        <v>3</v>
      </c>
      <c r="D763" s="1077" t="s">
        <v>4722</v>
      </c>
      <c r="E763" s="1077" t="s">
        <v>4754</v>
      </c>
      <c r="F763" s="1185">
        <v>1</v>
      </c>
      <c r="G763" s="1186"/>
      <c r="H763" s="1186"/>
      <c r="I763" s="1186"/>
      <c r="J763" s="1186"/>
      <c r="K763" s="1186"/>
      <c r="L763" s="1186"/>
      <c r="M763" s="1186"/>
      <c r="N763" s="1186"/>
      <c r="O763" s="1186"/>
      <c r="P763" s="1186"/>
      <c r="Q763" s="1186"/>
      <c r="R763" s="1186"/>
      <c r="S763" s="1186"/>
      <c r="T763" s="1186"/>
      <c r="U763" s="1186"/>
      <c r="V763" s="1186"/>
      <c r="W763" s="1186">
        <v>5.6</v>
      </c>
      <c r="X763" s="1186">
        <v>4.5</v>
      </c>
      <c r="Y763" s="1186">
        <v>5.0999999999999996</v>
      </c>
      <c r="Z763" s="1186">
        <v>2.8</v>
      </c>
      <c r="AA763" s="1186"/>
      <c r="AB763" s="1186"/>
      <c r="AC763" s="1186"/>
      <c r="AD763" s="1187"/>
    </row>
    <row r="764" spans="1:30" x14ac:dyDescent="0.2">
      <c r="A764">
        <f t="shared" si="45"/>
        <v>21</v>
      </c>
      <c r="B764">
        <v>755</v>
      </c>
      <c r="C764" s="1078">
        <v>3</v>
      </c>
      <c r="D764" s="1077" t="s">
        <v>4722</v>
      </c>
      <c r="E764" s="1077" t="s">
        <v>4755</v>
      </c>
      <c r="F764" s="1185">
        <v>1</v>
      </c>
      <c r="G764" s="1186"/>
      <c r="H764" s="1186"/>
      <c r="I764" s="1186"/>
      <c r="J764" s="1186"/>
      <c r="K764" s="1186"/>
      <c r="L764" s="1186"/>
      <c r="M764" s="1186"/>
      <c r="N764" s="1186"/>
      <c r="O764" s="1186"/>
      <c r="P764" s="1186"/>
      <c r="Q764" s="1186"/>
      <c r="R764" s="1186"/>
      <c r="S764" s="1186"/>
      <c r="T764" s="1186"/>
      <c r="U764" s="1186"/>
      <c r="V764" s="1186"/>
      <c r="W764" s="1186">
        <v>7.5</v>
      </c>
      <c r="X764" s="1186">
        <v>4.8</v>
      </c>
      <c r="Y764" s="1186">
        <v>7</v>
      </c>
      <c r="Z764" s="1186">
        <v>2.9</v>
      </c>
      <c r="AA764" s="1186"/>
      <c r="AB764" s="1186"/>
      <c r="AC764" s="1186"/>
      <c r="AD764" s="1187"/>
    </row>
    <row r="765" spans="1:30" x14ac:dyDescent="0.2">
      <c r="A765">
        <f t="shared" si="45"/>
        <v>21</v>
      </c>
      <c r="B765">
        <v>756</v>
      </c>
      <c r="C765" s="1078">
        <v>3</v>
      </c>
      <c r="D765" s="1077" t="s">
        <v>4722</v>
      </c>
      <c r="E765" s="1077" t="s">
        <v>4756</v>
      </c>
      <c r="F765" s="1185">
        <v>1</v>
      </c>
      <c r="G765" s="1186"/>
      <c r="H765" s="1186"/>
      <c r="I765" s="1186"/>
      <c r="J765" s="1186"/>
      <c r="K765" s="1186"/>
      <c r="L765" s="1186"/>
      <c r="M765" s="1186"/>
      <c r="N765" s="1186"/>
      <c r="O765" s="1186"/>
      <c r="P765" s="1186"/>
      <c r="Q765" s="1186"/>
      <c r="R765" s="1186"/>
      <c r="S765" s="1186"/>
      <c r="T765" s="1186"/>
      <c r="U765" s="1186"/>
      <c r="V765" s="1186"/>
      <c r="W765" s="1186">
        <v>10</v>
      </c>
      <c r="X765" s="1186">
        <v>4.8</v>
      </c>
      <c r="Y765" s="1186">
        <v>9.1999999999999993</v>
      </c>
      <c r="Z765" s="1186">
        <v>3</v>
      </c>
      <c r="AA765" s="1186"/>
      <c r="AB765" s="1186"/>
      <c r="AC765" s="1186"/>
      <c r="AD765" s="1187"/>
    </row>
    <row r="766" spans="1:30" x14ac:dyDescent="0.2">
      <c r="A766">
        <f t="shared" si="45"/>
        <v>21</v>
      </c>
      <c r="B766">
        <v>757</v>
      </c>
      <c r="C766" s="1078">
        <v>3</v>
      </c>
      <c r="D766" s="1077" t="s">
        <v>4722</v>
      </c>
      <c r="E766" s="1077" t="s">
        <v>4757</v>
      </c>
      <c r="F766" s="1185">
        <v>1</v>
      </c>
      <c r="G766" s="1186"/>
      <c r="H766" s="1186"/>
      <c r="I766" s="1186"/>
      <c r="J766" s="1186"/>
      <c r="K766" s="1186"/>
      <c r="L766" s="1186"/>
      <c r="M766" s="1186"/>
      <c r="N766" s="1186"/>
      <c r="O766" s="1186"/>
      <c r="P766" s="1186"/>
      <c r="Q766" s="1186"/>
      <c r="R766" s="1186"/>
      <c r="S766" s="1186"/>
      <c r="T766" s="1186"/>
      <c r="U766" s="1186"/>
      <c r="V766" s="1186"/>
      <c r="W766" s="1186">
        <v>12.8</v>
      </c>
      <c r="X766" s="1186">
        <v>4.8</v>
      </c>
      <c r="Y766" s="1186">
        <v>11.7</v>
      </c>
      <c r="Z766" s="1186">
        <v>2.9</v>
      </c>
      <c r="AA766" s="1186"/>
      <c r="AB766" s="1186"/>
      <c r="AC766" s="1186"/>
      <c r="AD766" s="1187"/>
    </row>
    <row r="767" spans="1:30" x14ac:dyDescent="0.2">
      <c r="A767">
        <f t="shared" si="45"/>
        <v>21</v>
      </c>
      <c r="B767">
        <v>758</v>
      </c>
      <c r="C767" s="1078">
        <v>3</v>
      </c>
      <c r="D767" s="1077" t="s">
        <v>4722</v>
      </c>
      <c r="E767" s="1077" t="s">
        <v>4758</v>
      </c>
      <c r="F767" s="1185">
        <v>1</v>
      </c>
      <c r="G767" s="1186"/>
      <c r="H767" s="1186"/>
      <c r="I767" s="1186"/>
      <c r="J767" s="1186"/>
      <c r="K767" s="1186"/>
      <c r="L767" s="1186"/>
      <c r="M767" s="1186"/>
      <c r="N767" s="1186"/>
      <c r="O767" s="1186"/>
      <c r="P767" s="1186"/>
      <c r="Q767" s="1186"/>
      <c r="R767" s="1186"/>
      <c r="S767" s="1186"/>
      <c r="T767" s="1186"/>
      <c r="U767" s="1186"/>
      <c r="V767" s="1186"/>
      <c r="W767" s="1186">
        <v>17</v>
      </c>
      <c r="X767" s="1186">
        <v>4.7</v>
      </c>
      <c r="Y767" s="1186">
        <v>15.5</v>
      </c>
      <c r="Z767" s="1186">
        <v>3</v>
      </c>
      <c r="AA767" s="1186"/>
      <c r="AB767" s="1186"/>
      <c r="AC767" s="1186"/>
      <c r="AD767" s="1187"/>
    </row>
    <row r="768" spans="1:30" x14ac:dyDescent="0.2">
      <c r="A768">
        <f t="shared" si="45"/>
        <v>21</v>
      </c>
      <c r="B768">
        <v>759</v>
      </c>
      <c r="C768" s="1078">
        <v>3</v>
      </c>
      <c r="D768" s="1077" t="s">
        <v>4722</v>
      </c>
      <c r="E768" s="1077" t="s">
        <v>4759</v>
      </c>
      <c r="F768" s="1185">
        <v>1</v>
      </c>
      <c r="G768" s="1186"/>
      <c r="H768" s="1186"/>
      <c r="I768" s="1186"/>
      <c r="J768" s="1186"/>
      <c r="K768" s="1186"/>
      <c r="L768" s="1186"/>
      <c r="M768" s="1186"/>
      <c r="N768" s="1186"/>
      <c r="O768" s="1186"/>
      <c r="P768" s="1186"/>
      <c r="Q768" s="1186"/>
      <c r="R768" s="1186"/>
      <c r="S768" s="1186"/>
      <c r="T768" s="1186"/>
      <c r="U768" s="1186"/>
      <c r="V768" s="1186"/>
      <c r="W768" s="1186">
        <v>21.1</v>
      </c>
      <c r="X768" s="1186">
        <v>4.8</v>
      </c>
      <c r="Y768" s="1186">
        <v>19.2</v>
      </c>
      <c r="Z768" s="1186">
        <v>3</v>
      </c>
      <c r="AA768" s="1186"/>
      <c r="AB768" s="1186"/>
      <c r="AC768" s="1186"/>
      <c r="AD768" s="1187"/>
    </row>
    <row r="769" spans="1:30" x14ac:dyDescent="0.2">
      <c r="A769">
        <f t="shared" si="45"/>
        <v>21</v>
      </c>
      <c r="B769">
        <v>760</v>
      </c>
      <c r="C769" s="1078">
        <v>4</v>
      </c>
      <c r="D769" s="1077" t="s">
        <v>4722</v>
      </c>
      <c r="E769" s="1077" t="s">
        <v>4754</v>
      </c>
      <c r="F769" s="1185">
        <v>1</v>
      </c>
      <c r="G769" s="1186"/>
      <c r="H769" s="1186"/>
      <c r="I769" s="1186"/>
      <c r="J769" s="1186"/>
      <c r="K769" s="1186"/>
      <c r="L769" s="1186"/>
      <c r="M769" s="1186"/>
      <c r="N769" s="1186"/>
      <c r="O769" s="1186"/>
      <c r="P769" s="1186"/>
      <c r="Q769" s="1186"/>
      <c r="R769" s="1186"/>
      <c r="S769" s="1186"/>
      <c r="T769" s="1186"/>
      <c r="U769" s="1186"/>
      <c r="V769" s="1186"/>
      <c r="W769" s="1186"/>
      <c r="X769" s="1186"/>
      <c r="Y769" s="1186"/>
      <c r="Z769" s="1186"/>
      <c r="AA769" s="1186">
        <v>7.5</v>
      </c>
      <c r="AB769" s="1186">
        <v>5.4</v>
      </c>
      <c r="AC769" s="1186">
        <v>6.8</v>
      </c>
      <c r="AD769" s="1187">
        <v>3.3</v>
      </c>
    </row>
    <row r="770" spans="1:30" x14ac:dyDescent="0.2">
      <c r="A770">
        <f t="shared" si="45"/>
        <v>21</v>
      </c>
      <c r="B770">
        <v>761</v>
      </c>
      <c r="C770" s="1078">
        <v>4</v>
      </c>
      <c r="D770" s="1077" t="s">
        <v>4722</v>
      </c>
      <c r="E770" s="1077" t="s">
        <v>4755</v>
      </c>
      <c r="F770" s="1185">
        <v>1</v>
      </c>
      <c r="G770" s="1186"/>
      <c r="H770" s="1186"/>
      <c r="I770" s="1186"/>
      <c r="J770" s="1186"/>
      <c r="K770" s="1186"/>
      <c r="L770" s="1186"/>
      <c r="M770" s="1186"/>
      <c r="N770" s="1186"/>
      <c r="O770" s="1186"/>
      <c r="P770" s="1186"/>
      <c r="Q770" s="1186"/>
      <c r="R770" s="1186"/>
      <c r="S770" s="1186"/>
      <c r="T770" s="1186"/>
      <c r="U770" s="1186"/>
      <c r="V770" s="1186"/>
      <c r="W770" s="1186"/>
      <c r="X770" s="1186"/>
      <c r="Y770" s="1186"/>
      <c r="Z770" s="1186"/>
      <c r="AA770" s="1186">
        <v>9.8000000000000007</v>
      </c>
      <c r="AB770" s="1186">
        <v>5.7</v>
      </c>
      <c r="AC770" s="1186">
        <v>8.9</v>
      </c>
      <c r="AD770" s="1187">
        <v>3.4</v>
      </c>
    </row>
    <row r="771" spans="1:30" x14ac:dyDescent="0.2">
      <c r="A771">
        <f t="shared" si="45"/>
        <v>21</v>
      </c>
      <c r="B771">
        <v>762</v>
      </c>
      <c r="C771" s="1078">
        <v>4</v>
      </c>
      <c r="D771" s="1077" t="s">
        <v>4722</v>
      </c>
      <c r="E771" s="1077" t="s">
        <v>4756</v>
      </c>
      <c r="F771" s="1185">
        <v>1</v>
      </c>
      <c r="G771" s="1186"/>
      <c r="H771" s="1186"/>
      <c r="I771" s="1186"/>
      <c r="J771" s="1186"/>
      <c r="K771" s="1186"/>
      <c r="L771" s="1186"/>
      <c r="M771" s="1186"/>
      <c r="N771" s="1186"/>
      <c r="O771" s="1186"/>
      <c r="P771" s="1186"/>
      <c r="Q771" s="1186"/>
      <c r="R771" s="1186"/>
      <c r="S771" s="1186"/>
      <c r="T771" s="1186"/>
      <c r="U771" s="1186"/>
      <c r="V771" s="1186"/>
      <c r="W771" s="1186"/>
      <c r="X771" s="1186"/>
      <c r="Y771" s="1186"/>
      <c r="Z771" s="1186"/>
      <c r="AA771" s="1186">
        <v>13.2</v>
      </c>
      <c r="AB771" s="1186">
        <v>5.7</v>
      </c>
      <c r="AC771" s="1186">
        <v>11.9</v>
      </c>
      <c r="AD771" s="1187">
        <v>3.5</v>
      </c>
    </row>
    <row r="772" spans="1:30" x14ac:dyDescent="0.2">
      <c r="A772">
        <f t="shared" si="45"/>
        <v>21</v>
      </c>
      <c r="B772">
        <v>763</v>
      </c>
      <c r="C772" s="1078">
        <v>4</v>
      </c>
      <c r="D772" s="1077" t="s">
        <v>4722</v>
      </c>
      <c r="E772" s="1077" t="s">
        <v>4757</v>
      </c>
      <c r="F772" s="1185">
        <v>1</v>
      </c>
      <c r="G772" s="1186"/>
      <c r="H772" s="1186"/>
      <c r="I772" s="1186"/>
      <c r="J772" s="1186"/>
      <c r="K772" s="1186"/>
      <c r="L772" s="1186"/>
      <c r="M772" s="1186"/>
      <c r="N772" s="1186"/>
      <c r="O772" s="1186"/>
      <c r="P772" s="1186"/>
      <c r="Q772" s="1186"/>
      <c r="R772" s="1186"/>
      <c r="S772" s="1186"/>
      <c r="T772" s="1186"/>
      <c r="U772" s="1186"/>
      <c r="V772" s="1186"/>
      <c r="W772" s="1186"/>
      <c r="X772" s="1186"/>
      <c r="Y772" s="1186"/>
      <c r="Z772" s="1186"/>
      <c r="AA772" s="1186">
        <v>16.8</v>
      </c>
      <c r="AB772" s="1186">
        <v>5.8</v>
      </c>
      <c r="AC772" s="1186">
        <v>15.2</v>
      </c>
      <c r="AD772" s="1187">
        <v>3.5</v>
      </c>
    </row>
    <row r="773" spans="1:30" x14ac:dyDescent="0.2">
      <c r="A773">
        <f t="shared" si="45"/>
        <v>21</v>
      </c>
      <c r="B773">
        <v>764</v>
      </c>
      <c r="C773" s="1078">
        <v>4</v>
      </c>
      <c r="D773" s="1077" t="s">
        <v>4722</v>
      </c>
      <c r="E773" s="1077" t="s">
        <v>4758</v>
      </c>
      <c r="F773" s="1185">
        <v>1</v>
      </c>
      <c r="G773" s="1186"/>
      <c r="H773" s="1186"/>
      <c r="I773" s="1186"/>
      <c r="J773" s="1186"/>
      <c r="K773" s="1186"/>
      <c r="L773" s="1186"/>
      <c r="M773" s="1186"/>
      <c r="N773" s="1186"/>
      <c r="O773" s="1186"/>
      <c r="P773" s="1186"/>
      <c r="Q773" s="1186"/>
      <c r="R773" s="1186"/>
      <c r="S773" s="1186"/>
      <c r="T773" s="1186"/>
      <c r="U773" s="1186"/>
      <c r="V773" s="1186"/>
      <c r="W773" s="1186"/>
      <c r="X773" s="1186"/>
      <c r="Y773" s="1186"/>
      <c r="Z773" s="1186"/>
      <c r="AA773" s="1186">
        <v>22.3</v>
      </c>
      <c r="AB773" s="1186">
        <v>5.6</v>
      </c>
      <c r="AC773" s="1186">
        <v>20.2</v>
      </c>
      <c r="AD773" s="1187">
        <v>3.5</v>
      </c>
    </row>
    <row r="774" spans="1:30" x14ac:dyDescent="0.2">
      <c r="A774">
        <f t="shared" si="45"/>
        <v>21</v>
      </c>
      <c r="B774">
        <v>765</v>
      </c>
      <c r="C774" s="1078">
        <v>4</v>
      </c>
      <c r="D774" s="1077" t="s">
        <v>4722</v>
      </c>
      <c r="E774" s="1077" t="s">
        <v>4759</v>
      </c>
      <c r="F774" s="1185">
        <v>1</v>
      </c>
      <c r="G774" s="1186"/>
      <c r="H774" s="1186"/>
      <c r="I774" s="1186"/>
      <c r="J774" s="1186"/>
      <c r="K774" s="1186"/>
      <c r="L774" s="1186"/>
      <c r="M774" s="1186"/>
      <c r="N774" s="1186"/>
      <c r="O774" s="1186"/>
      <c r="P774" s="1186"/>
      <c r="Q774" s="1186"/>
      <c r="R774" s="1186"/>
      <c r="S774" s="1186"/>
      <c r="T774" s="1186"/>
      <c r="U774" s="1186"/>
      <c r="V774" s="1186"/>
      <c r="W774" s="1186"/>
      <c r="X774" s="1186"/>
      <c r="Y774" s="1186"/>
      <c r="Z774" s="1186"/>
      <c r="AA774" s="1186">
        <v>27.9</v>
      </c>
      <c r="AB774" s="1186">
        <v>5.7</v>
      </c>
      <c r="AC774" s="1186">
        <v>25</v>
      </c>
      <c r="AD774" s="1187">
        <v>3.6</v>
      </c>
    </row>
    <row r="775" spans="1:30" x14ac:dyDescent="0.2">
      <c r="A775">
        <f t="shared" si="45"/>
        <v>21</v>
      </c>
      <c r="B775">
        <v>766</v>
      </c>
      <c r="C775" s="1078">
        <v>3</v>
      </c>
      <c r="D775" s="1077" t="s">
        <v>4722</v>
      </c>
      <c r="E775" s="1077" t="s">
        <v>5436</v>
      </c>
      <c r="F775" s="1185">
        <v>2</v>
      </c>
      <c r="G775" s="1186"/>
      <c r="H775" s="1186"/>
      <c r="I775" s="1186"/>
      <c r="J775" s="1186"/>
      <c r="K775" s="1186"/>
      <c r="L775" s="1186"/>
      <c r="M775" s="1186"/>
      <c r="N775" s="1186"/>
      <c r="O775" s="1186"/>
      <c r="P775" s="1186"/>
      <c r="Q775" s="1186"/>
      <c r="R775" s="1186"/>
      <c r="S775" s="1186"/>
      <c r="T775" s="1186"/>
      <c r="U775" s="1186"/>
      <c r="V775" s="1186"/>
      <c r="W775" s="1186">
        <v>24.8</v>
      </c>
      <c r="X775" s="1186">
        <v>4.5</v>
      </c>
      <c r="Y775" s="1186">
        <v>23.2</v>
      </c>
      <c r="Z775" s="1186">
        <v>2.8</v>
      </c>
      <c r="AA775" s="1186"/>
      <c r="AB775" s="1186"/>
      <c r="AC775" s="1186"/>
      <c r="AD775" s="1187"/>
    </row>
    <row r="776" spans="1:30" x14ac:dyDescent="0.2">
      <c r="A776">
        <f t="shared" si="45"/>
        <v>21</v>
      </c>
      <c r="B776">
        <v>767</v>
      </c>
      <c r="C776" s="1078">
        <v>3</v>
      </c>
      <c r="D776" s="1077" t="s">
        <v>4722</v>
      </c>
      <c r="E776" s="1077" t="s">
        <v>5437</v>
      </c>
      <c r="F776" s="1185">
        <v>2</v>
      </c>
      <c r="G776" s="1186"/>
      <c r="H776" s="1186"/>
      <c r="I776" s="1186"/>
      <c r="J776" s="1186"/>
      <c r="K776" s="1186"/>
      <c r="L776" s="1186"/>
      <c r="M776" s="1186"/>
      <c r="N776" s="1186"/>
      <c r="O776" s="1186"/>
      <c r="P776" s="1186"/>
      <c r="Q776" s="1186"/>
      <c r="R776" s="1186"/>
      <c r="S776" s="1186"/>
      <c r="T776" s="1186"/>
      <c r="U776" s="1186"/>
      <c r="V776" s="1186"/>
      <c r="W776" s="1186">
        <v>32.700000000000003</v>
      </c>
      <c r="X776" s="1186">
        <v>4.4000000000000004</v>
      </c>
      <c r="Y776" s="1186">
        <v>30.6</v>
      </c>
      <c r="Z776" s="1186">
        <v>2.8</v>
      </c>
      <c r="AA776" s="1186"/>
      <c r="AB776" s="1186"/>
      <c r="AC776" s="1186"/>
      <c r="AD776" s="1187"/>
    </row>
    <row r="777" spans="1:30" x14ac:dyDescent="0.2">
      <c r="A777">
        <f t="shared" si="45"/>
        <v>21</v>
      </c>
      <c r="B777">
        <v>768</v>
      </c>
      <c r="C777" s="1078">
        <v>4</v>
      </c>
      <c r="D777" s="1077" t="s">
        <v>4722</v>
      </c>
      <c r="E777" s="1077" t="s">
        <v>5436</v>
      </c>
      <c r="F777" s="1185">
        <v>2</v>
      </c>
      <c r="G777" s="1186"/>
      <c r="H777" s="1186"/>
      <c r="I777" s="1186"/>
      <c r="J777" s="1186"/>
      <c r="K777" s="1186"/>
      <c r="L777" s="1186"/>
      <c r="M777" s="1186"/>
      <c r="N777" s="1186"/>
      <c r="O777" s="1186"/>
      <c r="P777" s="1186"/>
      <c r="Q777" s="1186"/>
      <c r="R777" s="1186"/>
      <c r="S777" s="1186"/>
      <c r="T777" s="1186"/>
      <c r="U777" s="1186"/>
      <c r="V777" s="1186"/>
      <c r="W777" s="1186"/>
      <c r="X777" s="1186"/>
      <c r="Y777" s="1186"/>
      <c r="Z777" s="1186"/>
      <c r="AA777" s="1186">
        <v>32.700000000000003</v>
      </c>
      <c r="AB777" s="1186">
        <v>5.8</v>
      </c>
      <c r="AC777" s="1186">
        <v>30.1</v>
      </c>
      <c r="AD777" s="1187">
        <v>3.5</v>
      </c>
    </row>
    <row r="778" spans="1:30" x14ac:dyDescent="0.2">
      <c r="A778">
        <f t="shared" si="45"/>
        <v>21</v>
      </c>
      <c r="B778">
        <v>769</v>
      </c>
      <c r="C778" s="1078">
        <v>4</v>
      </c>
      <c r="D778" s="1077" t="s">
        <v>4722</v>
      </c>
      <c r="E778" s="1077" t="s">
        <v>5437</v>
      </c>
      <c r="F778" s="1185">
        <v>2</v>
      </c>
      <c r="G778" s="1186"/>
      <c r="H778" s="1186"/>
      <c r="I778" s="1186"/>
      <c r="J778" s="1186"/>
      <c r="K778" s="1186"/>
      <c r="L778" s="1186"/>
      <c r="M778" s="1186"/>
      <c r="N778" s="1186"/>
      <c r="O778" s="1186"/>
      <c r="P778" s="1186"/>
      <c r="Q778" s="1186"/>
      <c r="R778" s="1186"/>
      <c r="S778" s="1186"/>
      <c r="T778" s="1186"/>
      <c r="U778" s="1186"/>
      <c r="V778" s="1186"/>
      <c r="W778" s="1186"/>
      <c r="X778" s="1186"/>
      <c r="Y778" s="1186"/>
      <c r="Z778" s="1186"/>
      <c r="AA778" s="1186">
        <v>42.9</v>
      </c>
      <c r="AB778" s="1186">
        <v>5.5</v>
      </c>
      <c r="AC778" s="1186">
        <v>39.5</v>
      </c>
      <c r="AD778" s="1187">
        <v>3.5</v>
      </c>
    </row>
    <row r="779" spans="1:30" x14ac:dyDescent="0.2">
      <c r="A779">
        <f t="shared" si="45"/>
        <v>21</v>
      </c>
      <c r="B779">
        <v>770</v>
      </c>
      <c r="C779" s="1078">
        <v>3</v>
      </c>
      <c r="D779" s="1077" t="s">
        <v>4722</v>
      </c>
      <c r="E779" s="1077" t="s">
        <v>4760</v>
      </c>
      <c r="F779" s="1185">
        <v>1</v>
      </c>
      <c r="G779" s="1186"/>
      <c r="H779" s="1186"/>
      <c r="I779" s="1186"/>
      <c r="J779" s="1186"/>
      <c r="K779" s="1186"/>
      <c r="L779" s="1186"/>
      <c r="M779" s="1186"/>
      <c r="N779" s="1186"/>
      <c r="O779" s="1186"/>
      <c r="P779" s="1186"/>
      <c r="Q779" s="1186"/>
      <c r="R779" s="1186"/>
      <c r="S779" s="1186"/>
      <c r="T779" s="1186"/>
      <c r="U779" s="1186"/>
      <c r="V779" s="1186"/>
      <c r="W779" s="1186">
        <v>4.7</v>
      </c>
      <c r="X779" s="1186">
        <v>4.3</v>
      </c>
      <c r="Y779" s="1186">
        <v>4.3</v>
      </c>
      <c r="Z779" s="1186">
        <v>2.7</v>
      </c>
      <c r="AA779" s="1186"/>
      <c r="AB779" s="1186"/>
      <c r="AC779" s="1186"/>
      <c r="AD779" s="1187"/>
    </row>
    <row r="780" spans="1:30" x14ac:dyDescent="0.2">
      <c r="A780">
        <f t="shared" ref="A780:A843" si="46">A779+(D780&lt;&gt;D779)*1</f>
        <v>21</v>
      </c>
      <c r="B780">
        <v>771</v>
      </c>
      <c r="C780" s="1078">
        <v>3</v>
      </c>
      <c r="D780" s="1077" t="s">
        <v>4722</v>
      </c>
      <c r="E780" s="1077" t="s">
        <v>4761</v>
      </c>
      <c r="F780" s="1185">
        <v>1</v>
      </c>
      <c r="G780" s="1186"/>
      <c r="H780" s="1186"/>
      <c r="I780" s="1186"/>
      <c r="J780" s="1186"/>
      <c r="K780" s="1186"/>
      <c r="L780" s="1186"/>
      <c r="M780" s="1186"/>
      <c r="N780" s="1186"/>
      <c r="O780" s="1186"/>
      <c r="P780" s="1186"/>
      <c r="Q780" s="1186"/>
      <c r="R780" s="1186"/>
      <c r="S780" s="1186"/>
      <c r="T780" s="1186"/>
      <c r="U780" s="1186"/>
      <c r="V780" s="1186"/>
      <c r="W780" s="1186">
        <v>10.1</v>
      </c>
      <c r="X780" s="1186">
        <v>4.5</v>
      </c>
      <c r="Y780" s="1186">
        <v>9.1999999999999993</v>
      </c>
      <c r="Z780" s="1186">
        <v>3.7</v>
      </c>
      <c r="AA780" s="1186"/>
      <c r="AB780" s="1186"/>
      <c r="AC780" s="1186"/>
      <c r="AD780" s="1187"/>
    </row>
    <row r="781" spans="1:30" x14ac:dyDescent="0.2">
      <c r="A781">
        <f t="shared" si="46"/>
        <v>21</v>
      </c>
      <c r="B781">
        <v>772</v>
      </c>
      <c r="C781" s="1078">
        <v>3</v>
      </c>
      <c r="D781" s="1077" t="s">
        <v>4722</v>
      </c>
      <c r="E781" s="1077" t="s">
        <v>4762</v>
      </c>
      <c r="F781" s="1185">
        <v>1</v>
      </c>
      <c r="G781" s="1186"/>
      <c r="H781" s="1186"/>
      <c r="I781" s="1186"/>
      <c r="J781" s="1186"/>
      <c r="K781" s="1186"/>
      <c r="L781" s="1186"/>
      <c r="M781" s="1186"/>
      <c r="N781" s="1186"/>
      <c r="O781" s="1186"/>
      <c r="P781" s="1186"/>
      <c r="Q781" s="1186"/>
      <c r="R781" s="1186"/>
      <c r="S781" s="1186"/>
      <c r="T781" s="1186"/>
      <c r="U781" s="1186"/>
      <c r="V781" s="1186"/>
      <c r="W781" s="1186">
        <v>13.1</v>
      </c>
      <c r="X781" s="1186">
        <v>4</v>
      </c>
      <c r="Y781" s="1186">
        <v>11.7</v>
      </c>
      <c r="Z781" s="1186">
        <v>2.8</v>
      </c>
      <c r="AA781" s="1186"/>
      <c r="AB781" s="1186"/>
      <c r="AC781" s="1186"/>
      <c r="AD781" s="1187"/>
    </row>
    <row r="782" spans="1:30" x14ac:dyDescent="0.2">
      <c r="A782">
        <f t="shared" si="46"/>
        <v>21</v>
      </c>
      <c r="B782">
        <v>773</v>
      </c>
      <c r="C782" s="1078">
        <v>3</v>
      </c>
      <c r="D782" s="1077" t="s">
        <v>4722</v>
      </c>
      <c r="E782" s="1077" t="s">
        <v>4763</v>
      </c>
      <c r="F782" s="1185">
        <v>1</v>
      </c>
      <c r="G782" s="1186"/>
      <c r="H782" s="1186"/>
      <c r="I782" s="1186"/>
      <c r="J782" s="1186"/>
      <c r="K782" s="1186"/>
      <c r="L782" s="1186"/>
      <c r="M782" s="1186"/>
      <c r="N782" s="1186"/>
      <c r="O782" s="1186"/>
      <c r="P782" s="1186"/>
      <c r="Q782" s="1186"/>
      <c r="R782" s="1186"/>
      <c r="S782" s="1186"/>
      <c r="T782" s="1186"/>
      <c r="U782" s="1186"/>
      <c r="V782" s="1186"/>
      <c r="W782" s="1186">
        <v>17.600000000000001</v>
      </c>
      <c r="X782" s="1186">
        <v>4.3</v>
      </c>
      <c r="Y782" s="1186">
        <v>16.8</v>
      </c>
      <c r="Z782" s="1186">
        <v>2.8</v>
      </c>
      <c r="AA782" s="1186"/>
      <c r="AB782" s="1186"/>
      <c r="AC782" s="1186"/>
      <c r="AD782" s="1187"/>
    </row>
    <row r="783" spans="1:30" x14ac:dyDescent="0.2">
      <c r="A783">
        <f t="shared" si="46"/>
        <v>21</v>
      </c>
      <c r="B783">
        <v>774</v>
      </c>
      <c r="C783" s="1078">
        <v>4</v>
      </c>
      <c r="D783" s="1077" t="s">
        <v>4722</v>
      </c>
      <c r="E783" s="1077" t="s">
        <v>4760</v>
      </c>
      <c r="F783" s="1185">
        <v>1</v>
      </c>
      <c r="G783" s="1186"/>
      <c r="H783" s="1186"/>
      <c r="I783" s="1186"/>
      <c r="J783" s="1186"/>
      <c r="K783" s="1186"/>
      <c r="L783" s="1186"/>
      <c r="M783" s="1186"/>
      <c r="N783" s="1186"/>
      <c r="O783" s="1186"/>
      <c r="P783" s="1186"/>
      <c r="Q783" s="1186"/>
      <c r="R783" s="1186"/>
      <c r="S783" s="1186"/>
      <c r="T783" s="1186"/>
      <c r="U783" s="1186"/>
      <c r="V783" s="1186"/>
      <c r="W783" s="1186"/>
      <c r="X783" s="1186"/>
      <c r="Y783" s="1186"/>
      <c r="Z783" s="1186"/>
      <c r="AA783" s="1186">
        <v>6.7</v>
      </c>
      <c r="AB783" s="1186">
        <v>5.7</v>
      </c>
      <c r="AC783" s="1186">
        <v>6.2</v>
      </c>
      <c r="AD783" s="1187">
        <v>3.7</v>
      </c>
    </row>
    <row r="784" spans="1:30" x14ac:dyDescent="0.2">
      <c r="A784">
        <f t="shared" si="46"/>
        <v>21</v>
      </c>
      <c r="B784">
        <v>775</v>
      </c>
      <c r="C784" s="1078">
        <v>4</v>
      </c>
      <c r="D784" s="1077" t="s">
        <v>4722</v>
      </c>
      <c r="E784" s="1077" t="s">
        <v>4761</v>
      </c>
      <c r="F784" s="1185">
        <v>1</v>
      </c>
      <c r="G784" s="1186"/>
      <c r="H784" s="1186"/>
      <c r="I784" s="1186"/>
      <c r="J784" s="1186"/>
      <c r="K784" s="1186"/>
      <c r="L784" s="1186"/>
      <c r="M784" s="1186"/>
      <c r="N784" s="1186"/>
      <c r="O784" s="1186"/>
      <c r="P784" s="1186"/>
      <c r="Q784" s="1186"/>
      <c r="R784" s="1186"/>
      <c r="S784" s="1186"/>
      <c r="T784" s="1186"/>
      <c r="U784" s="1186"/>
      <c r="V784" s="1186"/>
      <c r="W784" s="1186"/>
      <c r="X784" s="1186"/>
      <c r="Y784" s="1186"/>
      <c r="Z784" s="1186"/>
      <c r="AA784" s="1186">
        <v>14.2</v>
      </c>
      <c r="AB784" s="1186">
        <v>5.7</v>
      </c>
      <c r="AC784" s="1186">
        <v>13.2</v>
      </c>
      <c r="AD784" s="1187">
        <v>3.8</v>
      </c>
    </row>
    <row r="785" spans="1:30" x14ac:dyDescent="0.2">
      <c r="A785">
        <f t="shared" si="46"/>
        <v>21</v>
      </c>
      <c r="B785">
        <v>776</v>
      </c>
      <c r="C785" s="1078">
        <v>4</v>
      </c>
      <c r="D785" s="1077" t="s">
        <v>4722</v>
      </c>
      <c r="E785" s="1077" t="s">
        <v>4762</v>
      </c>
      <c r="F785" s="1185">
        <v>1</v>
      </c>
      <c r="G785" s="1186"/>
      <c r="H785" s="1186"/>
      <c r="I785" s="1186"/>
      <c r="J785" s="1186"/>
      <c r="K785" s="1186"/>
      <c r="L785" s="1186"/>
      <c r="M785" s="1186"/>
      <c r="N785" s="1186"/>
      <c r="O785" s="1186"/>
      <c r="P785" s="1186"/>
      <c r="Q785" s="1186"/>
      <c r="R785" s="1186"/>
      <c r="S785" s="1186"/>
      <c r="T785" s="1186"/>
      <c r="U785" s="1186"/>
      <c r="V785" s="1186"/>
      <c r="W785" s="1186"/>
      <c r="X785" s="1186"/>
      <c r="Y785" s="1186"/>
      <c r="Z785" s="1186"/>
      <c r="AA785" s="1186">
        <v>18.5</v>
      </c>
      <c r="AB785" s="1186">
        <v>4.9000000000000004</v>
      </c>
      <c r="AC785" s="1186">
        <v>16.600000000000001</v>
      </c>
      <c r="AD785" s="1187">
        <v>3.5</v>
      </c>
    </row>
    <row r="786" spans="1:30" x14ac:dyDescent="0.2">
      <c r="A786">
        <f t="shared" si="46"/>
        <v>21</v>
      </c>
      <c r="B786">
        <v>777</v>
      </c>
      <c r="C786" s="1078">
        <v>4</v>
      </c>
      <c r="D786" s="1077" t="s">
        <v>4722</v>
      </c>
      <c r="E786" s="1077" t="s">
        <v>4763</v>
      </c>
      <c r="F786" s="1185">
        <v>1</v>
      </c>
      <c r="G786" s="1186"/>
      <c r="H786" s="1186"/>
      <c r="I786" s="1186"/>
      <c r="J786" s="1186"/>
      <c r="K786" s="1186"/>
      <c r="L786" s="1186"/>
      <c r="M786" s="1186"/>
      <c r="N786" s="1186"/>
      <c r="O786" s="1186"/>
      <c r="P786" s="1186"/>
      <c r="Q786" s="1186"/>
      <c r="R786" s="1186"/>
      <c r="S786" s="1186"/>
      <c r="T786" s="1186"/>
      <c r="U786" s="1186"/>
      <c r="V786" s="1186"/>
      <c r="W786" s="1186"/>
      <c r="X786" s="1186"/>
      <c r="Y786" s="1186"/>
      <c r="Z786" s="1186"/>
      <c r="AA786" s="1186">
        <v>24.4</v>
      </c>
      <c r="AB786" s="1186">
        <v>5.4</v>
      </c>
      <c r="AC786" s="1186">
        <v>22.6</v>
      </c>
      <c r="AD786" s="1187">
        <v>3.7</v>
      </c>
    </row>
    <row r="787" spans="1:30" x14ac:dyDescent="0.2">
      <c r="A787">
        <f t="shared" si="46"/>
        <v>21</v>
      </c>
      <c r="B787">
        <v>778</v>
      </c>
      <c r="C787" s="1078">
        <v>3</v>
      </c>
      <c r="D787" s="1077" t="s">
        <v>4722</v>
      </c>
      <c r="E787" s="1077" t="s">
        <v>4764</v>
      </c>
      <c r="F787" s="1185">
        <v>2</v>
      </c>
      <c r="G787" s="1186"/>
      <c r="H787" s="1186"/>
      <c r="I787" s="1186"/>
      <c r="J787" s="1186"/>
      <c r="K787" s="1186"/>
      <c r="L787" s="1186"/>
      <c r="M787" s="1186"/>
      <c r="N787" s="1186"/>
      <c r="O787" s="1186"/>
      <c r="P787" s="1186"/>
      <c r="Q787" s="1186"/>
      <c r="R787" s="1186"/>
      <c r="S787" s="1186"/>
      <c r="T787" s="1186"/>
      <c r="U787" s="1186"/>
      <c r="V787" s="1186"/>
      <c r="W787" s="1186">
        <v>26.2</v>
      </c>
      <c r="X787" s="1186">
        <v>4</v>
      </c>
      <c r="Y787" s="1186">
        <v>23.5</v>
      </c>
      <c r="Z787" s="1186">
        <v>2.7</v>
      </c>
      <c r="AA787" s="1186"/>
      <c r="AB787" s="1186"/>
      <c r="AC787" s="1186"/>
      <c r="AD787" s="1187"/>
    </row>
    <row r="788" spans="1:30" x14ac:dyDescent="0.2">
      <c r="A788">
        <f t="shared" si="46"/>
        <v>21</v>
      </c>
      <c r="B788">
        <v>779</v>
      </c>
      <c r="C788" s="1078">
        <v>3</v>
      </c>
      <c r="D788" s="1077" t="s">
        <v>4722</v>
      </c>
      <c r="E788" s="1077" t="s">
        <v>4765</v>
      </c>
      <c r="F788" s="1185">
        <v>2</v>
      </c>
      <c r="G788" s="1186"/>
      <c r="H788" s="1186"/>
      <c r="I788" s="1186"/>
      <c r="J788" s="1186"/>
      <c r="K788" s="1186"/>
      <c r="L788" s="1186"/>
      <c r="M788" s="1186"/>
      <c r="N788" s="1186"/>
      <c r="O788" s="1186"/>
      <c r="P788" s="1186"/>
      <c r="Q788" s="1186"/>
      <c r="R788" s="1186"/>
      <c r="S788" s="1186"/>
      <c r="T788" s="1186"/>
      <c r="U788" s="1186"/>
      <c r="V788" s="1186"/>
      <c r="W788" s="1186">
        <v>35.5</v>
      </c>
      <c r="X788" s="1186">
        <v>4.3</v>
      </c>
      <c r="Y788" s="1186">
        <v>32.6</v>
      </c>
      <c r="Z788" s="1186">
        <v>2.9</v>
      </c>
      <c r="AA788" s="1186"/>
      <c r="AB788" s="1186"/>
      <c r="AC788" s="1186"/>
      <c r="AD788" s="1187"/>
    </row>
    <row r="789" spans="1:30" x14ac:dyDescent="0.2">
      <c r="A789">
        <f t="shared" si="46"/>
        <v>21</v>
      </c>
      <c r="B789">
        <v>780</v>
      </c>
      <c r="C789" s="1078">
        <v>3</v>
      </c>
      <c r="D789" s="1077" t="s">
        <v>4722</v>
      </c>
      <c r="E789" s="1077" t="s">
        <v>4766</v>
      </c>
      <c r="F789" s="1185">
        <v>2</v>
      </c>
      <c r="G789" s="1186"/>
      <c r="H789" s="1186"/>
      <c r="I789" s="1186"/>
      <c r="J789" s="1186"/>
      <c r="K789" s="1186"/>
      <c r="L789" s="1186"/>
      <c r="M789" s="1186"/>
      <c r="N789" s="1186"/>
      <c r="O789" s="1186"/>
      <c r="P789" s="1186"/>
      <c r="Q789" s="1186"/>
      <c r="R789" s="1186"/>
      <c r="S789" s="1186"/>
      <c r="T789" s="1186"/>
      <c r="U789" s="1186"/>
      <c r="V789" s="1186"/>
      <c r="W789" s="1186">
        <v>45</v>
      </c>
      <c r="X789" s="1186">
        <v>4.3</v>
      </c>
      <c r="Y789" s="1186">
        <v>41.2</v>
      </c>
      <c r="Z789" s="1186">
        <v>3</v>
      </c>
      <c r="AA789" s="1186"/>
      <c r="AB789" s="1186"/>
      <c r="AC789" s="1186"/>
      <c r="AD789" s="1187"/>
    </row>
    <row r="790" spans="1:30" x14ac:dyDescent="0.2">
      <c r="A790">
        <f t="shared" si="46"/>
        <v>21</v>
      </c>
      <c r="B790">
        <v>781</v>
      </c>
      <c r="C790" s="1078">
        <v>3</v>
      </c>
      <c r="D790" s="1077" t="s">
        <v>4722</v>
      </c>
      <c r="E790" s="1077" t="s">
        <v>4767</v>
      </c>
      <c r="F790" s="1185">
        <v>2</v>
      </c>
      <c r="G790" s="1186"/>
      <c r="H790" s="1186"/>
      <c r="I790" s="1186"/>
      <c r="J790" s="1186"/>
      <c r="K790" s="1186"/>
      <c r="L790" s="1186"/>
      <c r="M790" s="1186"/>
      <c r="N790" s="1186"/>
      <c r="O790" s="1186"/>
      <c r="P790" s="1186"/>
      <c r="Q790" s="1186"/>
      <c r="R790" s="1186"/>
      <c r="S790" s="1186"/>
      <c r="T790" s="1186"/>
      <c r="U790" s="1186"/>
      <c r="V790" s="1186"/>
      <c r="W790" s="1186">
        <v>55</v>
      </c>
      <c r="X790" s="1186">
        <v>4.3</v>
      </c>
      <c r="Y790" s="1186">
        <v>49.4</v>
      </c>
      <c r="Z790" s="1186">
        <v>3</v>
      </c>
      <c r="AA790" s="1186"/>
      <c r="AB790" s="1186"/>
      <c r="AC790" s="1186"/>
      <c r="AD790" s="1187"/>
    </row>
    <row r="791" spans="1:30" x14ac:dyDescent="0.2">
      <c r="A791">
        <f t="shared" si="46"/>
        <v>21</v>
      </c>
      <c r="B791">
        <v>782</v>
      </c>
      <c r="C791" s="1078">
        <v>4</v>
      </c>
      <c r="D791" s="1077" t="s">
        <v>4722</v>
      </c>
      <c r="E791" s="1077" t="s">
        <v>4764</v>
      </c>
      <c r="F791" s="1185">
        <v>2</v>
      </c>
      <c r="G791" s="1186"/>
      <c r="H791" s="1186"/>
      <c r="I791" s="1186"/>
      <c r="J791" s="1186"/>
      <c r="K791" s="1186"/>
      <c r="L791" s="1186"/>
      <c r="M791" s="1186"/>
      <c r="N791" s="1186"/>
      <c r="O791" s="1186"/>
      <c r="P791" s="1186"/>
      <c r="Q791" s="1186"/>
      <c r="R791" s="1186"/>
      <c r="S791" s="1186"/>
      <c r="T791" s="1186"/>
      <c r="U791" s="1186"/>
      <c r="V791" s="1186"/>
      <c r="W791" s="1186"/>
      <c r="X791" s="1186"/>
      <c r="Y791" s="1186"/>
      <c r="Z791" s="1186"/>
      <c r="AA791" s="1186">
        <v>36</v>
      </c>
      <c r="AB791" s="1186">
        <v>4.9000000000000004</v>
      </c>
      <c r="AC791" s="1186">
        <v>32.700000000000003</v>
      </c>
      <c r="AD791" s="1187">
        <v>3.5</v>
      </c>
    </row>
    <row r="792" spans="1:30" x14ac:dyDescent="0.2">
      <c r="A792">
        <f t="shared" si="46"/>
        <v>21</v>
      </c>
      <c r="B792">
        <v>783</v>
      </c>
      <c r="C792" s="1078">
        <v>4</v>
      </c>
      <c r="D792" s="1077" t="s">
        <v>4722</v>
      </c>
      <c r="E792" s="1077" t="s">
        <v>4765</v>
      </c>
      <c r="F792" s="1185">
        <v>2</v>
      </c>
      <c r="G792" s="1186"/>
      <c r="H792" s="1186"/>
      <c r="I792" s="1186"/>
      <c r="J792" s="1186"/>
      <c r="K792" s="1186"/>
      <c r="L792" s="1186"/>
      <c r="M792" s="1186"/>
      <c r="N792" s="1186"/>
      <c r="O792" s="1186"/>
      <c r="P792" s="1186"/>
      <c r="Q792" s="1186"/>
      <c r="R792" s="1186"/>
      <c r="S792" s="1186"/>
      <c r="T792" s="1186"/>
      <c r="U792" s="1186"/>
      <c r="V792" s="1186"/>
      <c r="W792" s="1186"/>
      <c r="X792" s="1186"/>
      <c r="Y792" s="1186"/>
      <c r="Z792" s="1186"/>
      <c r="AA792" s="1186">
        <v>47.7</v>
      </c>
      <c r="AB792" s="1186">
        <v>5.3</v>
      </c>
      <c r="AC792" s="1186">
        <v>44.3</v>
      </c>
      <c r="AD792" s="1187">
        <v>3.6</v>
      </c>
    </row>
    <row r="793" spans="1:30" x14ac:dyDescent="0.2">
      <c r="A793">
        <f t="shared" si="46"/>
        <v>21</v>
      </c>
      <c r="B793">
        <v>784</v>
      </c>
      <c r="C793" s="1078">
        <v>4</v>
      </c>
      <c r="D793" s="1077" t="s">
        <v>4722</v>
      </c>
      <c r="E793" s="1077" t="s">
        <v>4766</v>
      </c>
      <c r="F793" s="1185">
        <v>2</v>
      </c>
      <c r="G793" s="1186"/>
      <c r="H793" s="1186"/>
      <c r="I793" s="1186"/>
      <c r="J793" s="1186"/>
      <c r="K793" s="1186"/>
      <c r="L793" s="1186"/>
      <c r="M793" s="1186"/>
      <c r="N793" s="1186"/>
      <c r="O793" s="1186"/>
      <c r="P793" s="1186"/>
      <c r="Q793" s="1186"/>
      <c r="R793" s="1186"/>
      <c r="S793" s="1186"/>
      <c r="T793" s="1186"/>
      <c r="U793" s="1186"/>
      <c r="V793" s="1186"/>
      <c r="W793" s="1186"/>
      <c r="X793" s="1186"/>
      <c r="Y793" s="1186"/>
      <c r="Z793" s="1186"/>
      <c r="AA793" s="1186">
        <v>61.2</v>
      </c>
      <c r="AB793" s="1186">
        <v>5.2</v>
      </c>
      <c r="AC793" s="1186">
        <v>56.6</v>
      </c>
      <c r="AD793" s="1187">
        <v>3.7</v>
      </c>
    </row>
    <row r="794" spans="1:30" x14ac:dyDescent="0.2">
      <c r="A794">
        <f t="shared" si="46"/>
        <v>21</v>
      </c>
      <c r="B794">
        <v>785</v>
      </c>
      <c r="C794" s="1078">
        <v>4</v>
      </c>
      <c r="D794" s="1077" t="s">
        <v>4722</v>
      </c>
      <c r="E794" s="1077" t="s">
        <v>4767</v>
      </c>
      <c r="F794" s="1185">
        <v>2</v>
      </c>
      <c r="G794" s="1186"/>
      <c r="H794" s="1186"/>
      <c r="I794" s="1186"/>
      <c r="J794" s="1186"/>
      <c r="K794" s="1186"/>
      <c r="L794" s="1186"/>
      <c r="M794" s="1186"/>
      <c r="N794" s="1186"/>
      <c r="O794" s="1186"/>
      <c r="P794" s="1186"/>
      <c r="Q794" s="1186"/>
      <c r="R794" s="1186"/>
      <c r="S794" s="1186"/>
      <c r="T794" s="1186"/>
      <c r="U794" s="1186"/>
      <c r="V794" s="1186"/>
      <c r="W794" s="1186"/>
      <c r="X794" s="1186"/>
      <c r="Y794" s="1186"/>
      <c r="Z794" s="1186"/>
      <c r="AA794" s="1186">
        <v>74.2</v>
      </c>
      <c r="AB794" s="1186">
        <v>5.2</v>
      </c>
      <c r="AC794" s="1186">
        <v>67.900000000000006</v>
      </c>
      <c r="AD794" s="1187">
        <v>3.6</v>
      </c>
    </row>
    <row r="795" spans="1:30" x14ac:dyDescent="0.2">
      <c r="A795">
        <f t="shared" si="46"/>
        <v>21</v>
      </c>
      <c r="B795">
        <v>786</v>
      </c>
      <c r="C795" s="1078">
        <v>3</v>
      </c>
      <c r="D795" s="1077" t="s">
        <v>4722</v>
      </c>
      <c r="E795" s="1077" t="s">
        <v>4768</v>
      </c>
      <c r="F795" s="1185">
        <v>4</v>
      </c>
      <c r="G795" s="1186"/>
      <c r="H795" s="1186"/>
      <c r="I795" s="1186"/>
      <c r="J795" s="1186"/>
      <c r="K795" s="1186"/>
      <c r="L795" s="1186"/>
      <c r="M795" s="1186"/>
      <c r="N795" s="1186"/>
      <c r="O795" s="1186"/>
      <c r="P795" s="1186"/>
      <c r="Q795" s="1186"/>
      <c r="R795" s="1186"/>
      <c r="S795" s="1186"/>
      <c r="T795" s="1186"/>
      <c r="U795" s="1186"/>
      <c r="V795" s="1186"/>
      <c r="W795" s="1186">
        <v>5.6</v>
      </c>
      <c r="X795" s="1186">
        <v>4.7</v>
      </c>
      <c r="Y795" s="1186">
        <v>5.7</v>
      </c>
      <c r="Z795" s="1186">
        <v>2.8</v>
      </c>
      <c r="AA795" s="1186"/>
      <c r="AB795" s="1186"/>
      <c r="AC795" s="1186"/>
      <c r="AD795" s="1187"/>
    </row>
    <row r="796" spans="1:30" x14ac:dyDescent="0.2">
      <c r="A796">
        <f t="shared" si="46"/>
        <v>21</v>
      </c>
      <c r="B796">
        <v>787</v>
      </c>
      <c r="C796" s="1078">
        <v>3</v>
      </c>
      <c r="D796" s="1077" t="s">
        <v>4722</v>
      </c>
      <c r="E796" s="1077" t="s">
        <v>4769</v>
      </c>
      <c r="F796" s="1185">
        <v>4</v>
      </c>
      <c r="G796" s="1186"/>
      <c r="H796" s="1186"/>
      <c r="I796" s="1186"/>
      <c r="J796" s="1186"/>
      <c r="K796" s="1186"/>
      <c r="L796" s="1186"/>
      <c r="M796" s="1186"/>
      <c r="N796" s="1186"/>
      <c r="O796" s="1186"/>
      <c r="P796" s="1186"/>
      <c r="Q796" s="1186"/>
      <c r="R796" s="1186"/>
      <c r="S796" s="1186"/>
      <c r="T796" s="1186"/>
      <c r="U796" s="1186"/>
      <c r="V796" s="1186"/>
      <c r="W796" s="1186">
        <v>8.9</v>
      </c>
      <c r="X796" s="1186">
        <v>4.7</v>
      </c>
      <c r="Y796" s="1186">
        <v>9.1</v>
      </c>
      <c r="Z796" s="1186">
        <v>2.9</v>
      </c>
      <c r="AA796" s="1186"/>
      <c r="AB796" s="1186"/>
      <c r="AC796" s="1186"/>
      <c r="AD796" s="1187"/>
    </row>
    <row r="797" spans="1:30" x14ac:dyDescent="0.2">
      <c r="A797">
        <f t="shared" si="46"/>
        <v>21</v>
      </c>
      <c r="B797">
        <v>788</v>
      </c>
      <c r="C797" s="1078">
        <v>3</v>
      </c>
      <c r="D797" s="1077" t="s">
        <v>4722</v>
      </c>
      <c r="E797" s="1077" t="s">
        <v>4770</v>
      </c>
      <c r="F797" s="1185">
        <v>4</v>
      </c>
      <c r="G797" s="1186"/>
      <c r="H797" s="1186"/>
      <c r="I797" s="1186"/>
      <c r="J797" s="1186"/>
      <c r="K797" s="1186"/>
      <c r="L797" s="1186"/>
      <c r="M797" s="1186"/>
      <c r="N797" s="1186"/>
      <c r="O797" s="1186"/>
      <c r="P797" s="1186"/>
      <c r="Q797" s="1186"/>
      <c r="R797" s="1186"/>
      <c r="S797" s="1186"/>
      <c r="T797" s="1186"/>
      <c r="U797" s="1186"/>
      <c r="V797" s="1186"/>
      <c r="W797" s="1186">
        <v>14.1</v>
      </c>
      <c r="X797" s="1186">
        <v>4.5</v>
      </c>
      <c r="Y797" s="1186">
        <v>14.1</v>
      </c>
      <c r="Z797" s="1186">
        <v>2.8</v>
      </c>
      <c r="AA797" s="1186"/>
      <c r="AB797" s="1186"/>
      <c r="AC797" s="1186"/>
      <c r="AD797" s="1187"/>
    </row>
    <row r="798" spans="1:30" x14ac:dyDescent="0.2">
      <c r="A798">
        <f t="shared" si="46"/>
        <v>21</v>
      </c>
      <c r="B798">
        <v>789</v>
      </c>
      <c r="C798" s="1078">
        <v>3</v>
      </c>
      <c r="D798" s="1077" t="s">
        <v>4722</v>
      </c>
      <c r="E798" s="1077" t="s">
        <v>4771</v>
      </c>
      <c r="F798" s="1185">
        <v>4</v>
      </c>
      <c r="G798" s="1186"/>
      <c r="H798" s="1186"/>
      <c r="I798" s="1186"/>
      <c r="J798" s="1186"/>
      <c r="K798" s="1186"/>
      <c r="L798" s="1186"/>
      <c r="M798" s="1186"/>
      <c r="N798" s="1186"/>
      <c r="O798" s="1186"/>
      <c r="P798" s="1186"/>
      <c r="Q798" s="1186"/>
      <c r="R798" s="1186"/>
      <c r="S798" s="1186"/>
      <c r="T798" s="1186"/>
      <c r="U798" s="1186"/>
      <c r="V798" s="1186"/>
      <c r="W798" s="1186">
        <v>5.6</v>
      </c>
      <c r="X798" s="1186">
        <v>4.7</v>
      </c>
      <c r="Y798" s="1186">
        <v>5.7</v>
      </c>
      <c r="Z798" s="1186">
        <v>2.8</v>
      </c>
      <c r="AA798" s="1186"/>
      <c r="AB798" s="1186"/>
      <c r="AC798" s="1186"/>
      <c r="AD798" s="1187"/>
    </row>
    <row r="799" spans="1:30" x14ac:dyDescent="0.2">
      <c r="A799">
        <f t="shared" si="46"/>
        <v>21</v>
      </c>
      <c r="B799">
        <v>790</v>
      </c>
      <c r="C799" s="1078">
        <v>3</v>
      </c>
      <c r="D799" s="1077" t="s">
        <v>4722</v>
      </c>
      <c r="E799" s="1077" t="s">
        <v>4772</v>
      </c>
      <c r="F799" s="1185">
        <v>4</v>
      </c>
      <c r="G799" s="1186"/>
      <c r="H799" s="1186"/>
      <c r="I799" s="1186"/>
      <c r="J799" s="1186"/>
      <c r="K799" s="1186"/>
      <c r="L799" s="1186"/>
      <c r="M799" s="1186"/>
      <c r="N799" s="1186"/>
      <c r="O799" s="1186"/>
      <c r="P799" s="1186"/>
      <c r="Q799" s="1186"/>
      <c r="R799" s="1186"/>
      <c r="S799" s="1186"/>
      <c r="T799" s="1186"/>
      <c r="U799" s="1186"/>
      <c r="V799" s="1186"/>
      <c r="W799" s="1186">
        <v>8.9</v>
      </c>
      <c r="X799" s="1186">
        <v>4.7</v>
      </c>
      <c r="Y799" s="1186">
        <v>9.1</v>
      </c>
      <c r="Z799" s="1186">
        <v>2.9</v>
      </c>
      <c r="AA799" s="1186"/>
      <c r="AB799" s="1186"/>
      <c r="AC799" s="1186"/>
      <c r="AD799" s="1187"/>
    </row>
    <row r="800" spans="1:30" x14ac:dyDescent="0.2">
      <c r="A800">
        <f t="shared" si="46"/>
        <v>21</v>
      </c>
      <c r="B800">
        <v>791</v>
      </c>
      <c r="C800" s="1078">
        <v>3</v>
      </c>
      <c r="D800" s="1077" t="s">
        <v>4722</v>
      </c>
      <c r="E800" s="1077" t="s">
        <v>4773</v>
      </c>
      <c r="F800" s="1185">
        <v>4</v>
      </c>
      <c r="G800" s="1186"/>
      <c r="H800" s="1186"/>
      <c r="I800" s="1186"/>
      <c r="J800" s="1186"/>
      <c r="K800" s="1186"/>
      <c r="L800" s="1186"/>
      <c r="M800" s="1186"/>
      <c r="N800" s="1186"/>
      <c r="O800" s="1186"/>
      <c r="P800" s="1186"/>
      <c r="Q800" s="1186"/>
      <c r="R800" s="1186"/>
      <c r="S800" s="1186"/>
      <c r="T800" s="1186"/>
      <c r="U800" s="1186"/>
      <c r="V800" s="1186"/>
      <c r="W800" s="1186">
        <v>14.1</v>
      </c>
      <c r="X800" s="1186">
        <v>4.5</v>
      </c>
      <c r="Y800" s="1186">
        <v>14.1</v>
      </c>
      <c r="Z800" s="1186">
        <v>2.8</v>
      </c>
      <c r="AA800" s="1186"/>
      <c r="AB800" s="1186"/>
      <c r="AC800" s="1186"/>
      <c r="AD800" s="1187"/>
    </row>
    <row r="801" spans="1:30" x14ac:dyDescent="0.2">
      <c r="A801">
        <f t="shared" si="46"/>
        <v>21</v>
      </c>
      <c r="B801">
        <v>792</v>
      </c>
      <c r="C801" s="1078">
        <v>3</v>
      </c>
      <c r="D801" s="1077" t="s">
        <v>4722</v>
      </c>
      <c r="E801" s="1077" t="s">
        <v>4111</v>
      </c>
      <c r="F801" s="1185">
        <v>1</v>
      </c>
      <c r="G801" s="1186"/>
      <c r="H801" s="1186"/>
      <c r="I801" s="1186"/>
      <c r="J801" s="1186"/>
      <c r="K801" s="1186"/>
      <c r="L801" s="1186"/>
      <c r="M801" s="1186"/>
      <c r="N801" s="1186"/>
      <c r="O801" s="1186"/>
      <c r="P801" s="1186"/>
      <c r="Q801" s="1186"/>
      <c r="R801" s="1186"/>
      <c r="S801" s="1186"/>
      <c r="T801" s="1186"/>
      <c r="U801" s="1186"/>
      <c r="V801" s="1186"/>
      <c r="W801" s="1186">
        <v>6.1</v>
      </c>
      <c r="X801" s="1186">
        <v>4.7</v>
      </c>
      <c r="Y801" s="1186">
        <v>5.5</v>
      </c>
      <c r="Z801" s="1186">
        <v>2.8</v>
      </c>
      <c r="AA801" s="1186"/>
      <c r="AB801" s="1186"/>
      <c r="AC801" s="1186"/>
      <c r="AD801" s="1194"/>
    </row>
    <row r="802" spans="1:30" x14ac:dyDescent="0.2">
      <c r="A802">
        <f t="shared" si="46"/>
        <v>21</v>
      </c>
      <c r="B802">
        <v>793</v>
      </c>
      <c r="C802" s="1078">
        <v>3</v>
      </c>
      <c r="D802" s="1077" t="s">
        <v>4722</v>
      </c>
      <c r="E802" s="1077" t="s">
        <v>4115</v>
      </c>
      <c r="F802" s="1185">
        <v>1</v>
      </c>
      <c r="G802" s="1186"/>
      <c r="H802" s="1186"/>
      <c r="I802" s="1186"/>
      <c r="J802" s="1186"/>
      <c r="K802" s="1186"/>
      <c r="L802" s="1186"/>
      <c r="M802" s="1186"/>
      <c r="N802" s="1186"/>
      <c r="O802" s="1186"/>
      <c r="P802" s="1186"/>
      <c r="Q802" s="1186"/>
      <c r="R802" s="1186"/>
      <c r="S802" s="1186"/>
      <c r="T802" s="1186"/>
      <c r="U802" s="1186"/>
      <c r="V802" s="1186"/>
      <c r="W802" s="1186">
        <v>8.1</v>
      </c>
      <c r="X802" s="1186">
        <v>4.8</v>
      </c>
      <c r="Y802" s="1186">
        <v>7.2</v>
      </c>
      <c r="Z802" s="1186">
        <v>2.8</v>
      </c>
      <c r="AA802" s="1186"/>
      <c r="AB802" s="1186"/>
      <c r="AC802" s="1186"/>
      <c r="AD802" s="1195"/>
    </row>
    <row r="803" spans="1:30" x14ac:dyDescent="0.2">
      <c r="A803">
        <f t="shared" si="46"/>
        <v>21</v>
      </c>
      <c r="B803">
        <v>794</v>
      </c>
      <c r="C803" s="1078">
        <v>3</v>
      </c>
      <c r="D803" s="1077" t="s">
        <v>4722</v>
      </c>
      <c r="E803" s="1077" t="s">
        <v>4119</v>
      </c>
      <c r="F803" s="1185">
        <v>1</v>
      </c>
      <c r="G803" s="1186"/>
      <c r="H803" s="1186"/>
      <c r="I803" s="1186"/>
      <c r="J803" s="1186"/>
      <c r="K803" s="1186"/>
      <c r="L803" s="1186"/>
      <c r="M803" s="1186"/>
      <c r="N803" s="1186"/>
      <c r="O803" s="1186"/>
      <c r="P803" s="1186"/>
      <c r="Q803" s="1186"/>
      <c r="R803" s="1186"/>
      <c r="S803" s="1186"/>
      <c r="T803" s="1186"/>
      <c r="U803" s="1186"/>
      <c r="V803" s="1186"/>
      <c r="W803" s="1186">
        <v>10.9</v>
      </c>
      <c r="X803" s="1186">
        <v>4.9000000000000004</v>
      </c>
      <c r="Y803" s="1186">
        <v>10</v>
      </c>
      <c r="Z803" s="1186">
        <v>2.9</v>
      </c>
      <c r="AA803" s="1186"/>
      <c r="AB803" s="1186"/>
      <c r="AC803" s="1186"/>
      <c r="AD803" s="1187"/>
    </row>
    <row r="804" spans="1:30" x14ac:dyDescent="0.2">
      <c r="A804">
        <f t="shared" si="46"/>
        <v>21</v>
      </c>
      <c r="B804">
        <v>795</v>
      </c>
      <c r="C804" s="1078">
        <v>3</v>
      </c>
      <c r="D804" s="1077" t="s">
        <v>4722</v>
      </c>
      <c r="E804" s="1077" t="s">
        <v>4122</v>
      </c>
      <c r="F804" s="1185">
        <v>1</v>
      </c>
      <c r="G804" s="1186"/>
      <c r="H804" s="1186"/>
      <c r="I804" s="1186"/>
      <c r="J804" s="1186"/>
      <c r="K804" s="1186"/>
      <c r="L804" s="1186"/>
      <c r="M804" s="1186"/>
      <c r="N804" s="1186"/>
      <c r="O804" s="1186"/>
      <c r="P804" s="1186"/>
      <c r="Q804" s="1186"/>
      <c r="R804" s="1186"/>
      <c r="S804" s="1186"/>
      <c r="T804" s="1186"/>
      <c r="U804" s="1186"/>
      <c r="V804" s="1186"/>
      <c r="W804" s="1186">
        <v>13.9</v>
      </c>
      <c r="X804" s="1186">
        <v>5</v>
      </c>
      <c r="Y804" s="1186">
        <v>12.8</v>
      </c>
      <c r="Z804" s="1186">
        <v>3</v>
      </c>
      <c r="AA804" s="1186"/>
      <c r="AB804" s="1186"/>
      <c r="AC804" s="1186"/>
      <c r="AD804" s="1187"/>
    </row>
    <row r="805" spans="1:30" x14ac:dyDescent="0.2">
      <c r="A805">
        <f t="shared" si="46"/>
        <v>21</v>
      </c>
      <c r="B805">
        <v>796</v>
      </c>
      <c r="C805" s="1078">
        <v>3</v>
      </c>
      <c r="D805" s="1077" t="s">
        <v>4722</v>
      </c>
      <c r="E805" s="1077" t="s">
        <v>4123</v>
      </c>
      <c r="F805" s="1185">
        <v>1</v>
      </c>
      <c r="G805" s="1186"/>
      <c r="H805" s="1186"/>
      <c r="I805" s="1186"/>
      <c r="J805" s="1186"/>
      <c r="K805" s="1186"/>
      <c r="L805" s="1186"/>
      <c r="M805" s="1186"/>
      <c r="N805" s="1186"/>
      <c r="O805" s="1186"/>
      <c r="P805" s="1186"/>
      <c r="Q805" s="1186"/>
      <c r="R805" s="1186"/>
      <c r="S805" s="1186"/>
      <c r="T805" s="1186"/>
      <c r="U805" s="1186"/>
      <c r="V805" s="1186"/>
      <c r="W805" s="1186">
        <v>17.5</v>
      </c>
      <c r="X805" s="1186">
        <v>4.7</v>
      </c>
      <c r="Y805" s="1186">
        <v>16.5</v>
      </c>
      <c r="Z805" s="1186">
        <v>2.9</v>
      </c>
      <c r="AA805" s="1186"/>
      <c r="AB805" s="1186"/>
      <c r="AC805" s="1186"/>
      <c r="AD805" s="1187"/>
    </row>
    <row r="806" spans="1:30" x14ac:dyDescent="0.2">
      <c r="A806">
        <f t="shared" si="46"/>
        <v>21</v>
      </c>
      <c r="B806">
        <v>797</v>
      </c>
      <c r="C806" s="1078">
        <v>3</v>
      </c>
      <c r="D806" s="1077" t="s">
        <v>4722</v>
      </c>
      <c r="E806" s="1077" t="s">
        <v>4774</v>
      </c>
      <c r="F806" s="1185">
        <v>1</v>
      </c>
      <c r="G806" s="1186"/>
      <c r="H806" s="1186"/>
      <c r="I806" s="1186"/>
      <c r="J806" s="1186"/>
      <c r="K806" s="1186"/>
      <c r="L806" s="1186"/>
      <c r="M806" s="1186"/>
      <c r="N806" s="1186"/>
      <c r="O806" s="1186"/>
      <c r="P806" s="1186"/>
      <c r="Q806" s="1186"/>
      <c r="R806" s="1186"/>
      <c r="S806" s="1186"/>
      <c r="T806" s="1186"/>
      <c r="U806" s="1186"/>
      <c r="V806" s="1186"/>
      <c r="W806" s="1186">
        <v>22.9</v>
      </c>
      <c r="X806" s="1186">
        <v>4.4000000000000004</v>
      </c>
      <c r="Y806" s="1186">
        <v>21.5</v>
      </c>
      <c r="Z806" s="1186">
        <v>2.9</v>
      </c>
      <c r="AA806" s="1186"/>
      <c r="AB806" s="1186"/>
      <c r="AC806" s="1186"/>
      <c r="AD806" s="1187"/>
    </row>
    <row r="807" spans="1:30" x14ac:dyDescent="0.2">
      <c r="A807">
        <f t="shared" si="46"/>
        <v>21</v>
      </c>
      <c r="B807">
        <v>798</v>
      </c>
      <c r="C807" s="1078">
        <v>3</v>
      </c>
      <c r="D807" s="1077" t="s">
        <v>4722</v>
      </c>
      <c r="E807" s="1077" t="s">
        <v>4125</v>
      </c>
      <c r="F807" s="1185">
        <v>2</v>
      </c>
      <c r="G807" s="1186"/>
      <c r="H807" s="1186"/>
      <c r="I807" s="1186"/>
      <c r="J807" s="1186"/>
      <c r="K807" s="1186"/>
      <c r="L807" s="1186"/>
      <c r="M807" s="1186"/>
      <c r="N807" s="1186"/>
      <c r="O807" s="1186"/>
      <c r="P807" s="1186"/>
      <c r="Q807" s="1186"/>
      <c r="R807" s="1186"/>
      <c r="S807" s="1186"/>
      <c r="T807" s="1186"/>
      <c r="U807" s="1186"/>
      <c r="V807" s="1186"/>
      <c r="W807" s="1186">
        <v>26.7</v>
      </c>
      <c r="X807" s="1186">
        <v>4.9000000000000004</v>
      </c>
      <c r="Y807" s="1186">
        <v>24.7</v>
      </c>
      <c r="Z807" s="1186">
        <v>3.1</v>
      </c>
      <c r="AA807" s="1186"/>
      <c r="AB807" s="1186"/>
      <c r="AC807" s="1186"/>
      <c r="AD807" s="1187"/>
    </row>
    <row r="808" spans="1:30" x14ac:dyDescent="0.2">
      <c r="A808">
        <f t="shared" si="46"/>
        <v>21</v>
      </c>
      <c r="B808">
        <v>799</v>
      </c>
      <c r="C808" s="1078">
        <v>3</v>
      </c>
      <c r="D808" s="1077" t="s">
        <v>4722</v>
      </c>
      <c r="E808" s="1077" t="s">
        <v>4126</v>
      </c>
      <c r="F808" s="1185">
        <v>2</v>
      </c>
      <c r="G808" s="1186"/>
      <c r="H808" s="1186"/>
      <c r="I808" s="1186"/>
      <c r="J808" s="1186"/>
      <c r="K808" s="1186"/>
      <c r="L808" s="1186"/>
      <c r="M808" s="1186"/>
      <c r="N808" s="1186"/>
      <c r="O808" s="1186"/>
      <c r="P808" s="1186"/>
      <c r="Q808" s="1186"/>
      <c r="R808" s="1186"/>
      <c r="S808" s="1186"/>
      <c r="T808" s="1186"/>
      <c r="U808" s="1186"/>
      <c r="V808" s="1186"/>
      <c r="W808" s="1186">
        <v>34.799999999999997</v>
      </c>
      <c r="X808" s="1186">
        <v>4.8</v>
      </c>
      <c r="Y808" s="1186">
        <v>32.1</v>
      </c>
      <c r="Z808" s="1186">
        <v>3</v>
      </c>
      <c r="AA808" s="1186"/>
      <c r="AB808" s="1186"/>
      <c r="AC808" s="1186"/>
      <c r="AD808" s="1187"/>
    </row>
    <row r="809" spans="1:30" x14ac:dyDescent="0.2">
      <c r="A809">
        <f t="shared" si="46"/>
        <v>21</v>
      </c>
      <c r="B809">
        <v>800</v>
      </c>
      <c r="C809" s="1078">
        <v>3</v>
      </c>
      <c r="D809" s="1077" t="s">
        <v>4722</v>
      </c>
      <c r="E809" s="1077" t="s">
        <v>4127</v>
      </c>
      <c r="F809" s="1185">
        <v>2</v>
      </c>
      <c r="G809" s="1186"/>
      <c r="H809" s="1186"/>
      <c r="I809" s="1186"/>
      <c r="J809" s="1186"/>
      <c r="K809" s="1186"/>
      <c r="L809" s="1186"/>
      <c r="M809" s="1186"/>
      <c r="N809" s="1186"/>
      <c r="O809" s="1186"/>
      <c r="P809" s="1186"/>
      <c r="Q809" s="1186"/>
      <c r="R809" s="1186"/>
      <c r="S809" s="1186"/>
      <c r="T809" s="1186"/>
      <c r="U809" s="1186"/>
      <c r="V809" s="1186"/>
      <c r="W809" s="1186">
        <v>52</v>
      </c>
      <c r="X809" s="1186">
        <v>5</v>
      </c>
      <c r="Y809" s="1186">
        <v>44.1</v>
      </c>
      <c r="Z809" s="1186">
        <v>2.8</v>
      </c>
      <c r="AA809" s="1186"/>
      <c r="AB809" s="1186"/>
      <c r="AC809" s="1186"/>
      <c r="AD809" s="1187"/>
    </row>
    <row r="810" spans="1:30" x14ac:dyDescent="0.2">
      <c r="A810">
        <f t="shared" si="46"/>
        <v>21</v>
      </c>
      <c r="B810">
        <v>801</v>
      </c>
      <c r="C810" s="1078">
        <v>3</v>
      </c>
      <c r="D810" s="1077" t="s">
        <v>4722</v>
      </c>
      <c r="E810" s="1077" t="s">
        <v>4128</v>
      </c>
      <c r="F810" s="1185">
        <v>2</v>
      </c>
      <c r="G810" s="1186"/>
      <c r="H810" s="1186"/>
      <c r="I810" s="1186"/>
      <c r="J810" s="1186"/>
      <c r="K810" s="1186"/>
      <c r="L810" s="1186"/>
      <c r="M810" s="1186"/>
      <c r="N810" s="1186"/>
      <c r="O810" s="1186"/>
      <c r="P810" s="1186"/>
      <c r="Q810" s="1186"/>
      <c r="R810" s="1186"/>
      <c r="S810" s="1186"/>
      <c r="T810" s="1186"/>
      <c r="U810" s="1186"/>
      <c r="V810" s="1186"/>
      <c r="W810" s="1186">
        <v>73.5</v>
      </c>
      <c r="X810" s="1186">
        <v>4.8</v>
      </c>
      <c r="Y810" s="1186">
        <v>67.3</v>
      </c>
      <c r="Z810" s="1186">
        <v>3</v>
      </c>
      <c r="AA810" s="1186"/>
      <c r="AB810" s="1186"/>
      <c r="AC810" s="1186"/>
      <c r="AD810" s="1187"/>
    </row>
    <row r="811" spans="1:30" x14ac:dyDescent="0.2">
      <c r="A811">
        <f t="shared" si="46"/>
        <v>21</v>
      </c>
      <c r="B811">
        <v>802</v>
      </c>
      <c r="C811" s="1078">
        <v>3</v>
      </c>
      <c r="D811" s="1077" t="s">
        <v>4722</v>
      </c>
      <c r="E811" s="1077" t="s">
        <v>4775</v>
      </c>
      <c r="F811" s="1185">
        <v>2</v>
      </c>
      <c r="G811" s="1186"/>
      <c r="H811" s="1186"/>
      <c r="I811" s="1186"/>
      <c r="J811" s="1186"/>
      <c r="K811" s="1186"/>
      <c r="L811" s="1186"/>
      <c r="M811" s="1186"/>
      <c r="N811" s="1186"/>
      <c r="O811" s="1186"/>
      <c r="P811" s="1186"/>
      <c r="Q811" s="1186"/>
      <c r="R811" s="1186"/>
      <c r="S811" s="1186"/>
      <c r="T811" s="1186"/>
      <c r="U811" s="1186"/>
      <c r="V811" s="1186"/>
      <c r="W811" s="1186">
        <v>86</v>
      </c>
      <c r="X811" s="1186">
        <v>4.7</v>
      </c>
      <c r="Y811" s="1186">
        <v>78.900000000000006</v>
      </c>
      <c r="Z811" s="1186">
        <v>3</v>
      </c>
      <c r="AA811" s="1186"/>
      <c r="AB811" s="1186"/>
      <c r="AC811" s="1186"/>
      <c r="AD811" s="1187"/>
    </row>
    <row r="812" spans="1:30" x14ac:dyDescent="0.2">
      <c r="A812">
        <f t="shared" si="46"/>
        <v>21</v>
      </c>
      <c r="B812">
        <v>803</v>
      </c>
      <c r="C812" s="1078">
        <v>3</v>
      </c>
      <c r="D812" s="1077" t="s">
        <v>4722</v>
      </c>
      <c r="E812" s="1077" t="s">
        <v>4776</v>
      </c>
      <c r="F812" s="1185">
        <v>2</v>
      </c>
      <c r="G812" s="1186"/>
      <c r="H812" s="1186"/>
      <c r="I812" s="1186"/>
      <c r="J812" s="1186"/>
      <c r="K812" s="1186"/>
      <c r="L812" s="1186"/>
      <c r="M812" s="1186"/>
      <c r="N812" s="1186"/>
      <c r="O812" s="1186"/>
      <c r="P812" s="1186"/>
      <c r="Q812" s="1186"/>
      <c r="R812" s="1186"/>
      <c r="S812" s="1186"/>
      <c r="T812" s="1186"/>
      <c r="U812" s="1186"/>
      <c r="V812" s="1186"/>
      <c r="W812" s="1186">
        <v>138.1</v>
      </c>
      <c r="X812" s="1186">
        <v>4.5999999999999996</v>
      </c>
      <c r="Y812" s="1186">
        <v>129.6</v>
      </c>
      <c r="Z812" s="1186">
        <v>3.1</v>
      </c>
      <c r="AA812" s="1186"/>
      <c r="AB812" s="1186"/>
      <c r="AC812" s="1186"/>
      <c r="AD812" s="1187"/>
    </row>
    <row r="813" spans="1:30" x14ac:dyDescent="0.2">
      <c r="A813">
        <f t="shared" si="46"/>
        <v>21</v>
      </c>
      <c r="B813">
        <v>804</v>
      </c>
      <c r="C813" s="1078">
        <v>3</v>
      </c>
      <c r="D813" s="1077" t="s">
        <v>4722</v>
      </c>
      <c r="E813" s="1077" t="s">
        <v>4109</v>
      </c>
      <c r="F813" s="1185">
        <v>1</v>
      </c>
      <c r="G813" s="1186"/>
      <c r="H813" s="1186"/>
      <c r="I813" s="1186"/>
      <c r="J813" s="1186"/>
      <c r="K813" s="1186"/>
      <c r="L813" s="1186"/>
      <c r="M813" s="1186"/>
      <c r="N813" s="1186"/>
      <c r="O813" s="1186"/>
      <c r="P813" s="1186"/>
      <c r="Q813" s="1186"/>
      <c r="R813" s="1186"/>
      <c r="S813" s="1186"/>
      <c r="T813" s="1186"/>
      <c r="U813" s="1186"/>
      <c r="V813" s="1186"/>
      <c r="W813" s="1186">
        <v>5.9</v>
      </c>
      <c r="X813" s="1186">
        <v>4.7</v>
      </c>
      <c r="Y813" s="1186">
        <v>5.4</v>
      </c>
      <c r="Z813" s="1186">
        <v>2.9</v>
      </c>
      <c r="AA813" s="1186"/>
      <c r="AB813" s="1186"/>
      <c r="AC813" s="1186"/>
      <c r="AD813" s="1187"/>
    </row>
    <row r="814" spans="1:30" x14ac:dyDescent="0.2">
      <c r="A814">
        <f t="shared" si="46"/>
        <v>21</v>
      </c>
      <c r="B814">
        <v>805</v>
      </c>
      <c r="C814" s="1078">
        <v>3</v>
      </c>
      <c r="D814" s="1077" t="s">
        <v>4722</v>
      </c>
      <c r="E814" s="1077" t="s">
        <v>4113</v>
      </c>
      <c r="F814" s="1185">
        <v>1</v>
      </c>
      <c r="G814" s="1186"/>
      <c r="H814" s="1186"/>
      <c r="I814" s="1186"/>
      <c r="J814" s="1186"/>
      <c r="K814" s="1186"/>
      <c r="L814" s="1186"/>
      <c r="M814" s="1186"/>
      <c r="N814" s="1186"/>
      <c r="O814" s="1186"/>
      <c r="P814" s="1186"/>
      <c r="Q814" s="1186"/>
      <c r="R814" s="1186"/>
      <c r="S814" s="1186"/>
      <c r="T814" s="1186"/>
      <c r="U814" s="1186"/>
      <c r="V814" s="1186"/>
      <c r="W814" s="1186">
        <v>7.8</v>
      </c>
      <c r="X814" s="1186">
        <v>4.8</v>
      </c>
      <c r="Y814" s="1186">
        <v>7.1</v>
      </c>
      <c r="Z814" s="1186">
        <v>2.9</v>
      </c>
      <c r="AA814" s="1186"/>
      <c r="AB814" s="1186"/>
      <c r="AC814" s="1186"/>
      <c r="AD814" s="1187"/>
    </row>
    <row r="815" spans="1:30" x14ac:dyDescent="0.2">
      <c r="A815">
        <f t="shared" si="46"/>
        <v>21</v>
      </c>
      <c r="B815">
        <v>806</v>
      </c>
      <c r="C815" s="1078">
        <v>3</v>
      </c>
      <c r="D815" s="1077" t="s">
        <v>4722</v>
      </c>
      <c r="E815" s="1077" t="s">
        <v>4117</v>
      </c>
      <c r="F815" s="1185">
        <v>1</v>
      </c>
      <c r="G815" s="1186"/>
      <c r="H815" s="1186"/>
      <c r="I815" s="1186"/>
      <c r="J815" s="1186"/>
      <c r="K815" s="1186"/>
      <c r="L815" s="1186"/>
      <c r="M815" s="1186"/>
      <c r="N815" s="1186"/>
      <c r="O815" s="1186"/>
      <c r="P815" s="1186"/>
      <c r="Q815" s="1186"/>
      <c r="R815" s="1186"/>
      <c r="S815" s="1186"/>
      <c r="T815" s="1186"/>
      <c r="U815" s="1186"/>
      <c r="V815" s="1186"/>
      <c r="W815" s="1186">
        <v>10.6</v>
      </c>
      <c r="X815" s="1186">
        <v>5</v>
      </c>
      <c r="Y815" s="1186">
        <v>9.8000000000000007</v>
      </c>
      <c r="Z815" s="1186">
        <v>3.1</v>
      </c>
      <c r="AA815" s="1186"/>
      <c r="AB815" s="1186"/>
      <c r="AC815" s="1186"/>
      <c r="AD815" s="1187"/>
    </row>
    <row r="816" spans="1:30" x14ac:dyDescent="0.2">
      <c r="A816">
        <f t="shared" si="46"/>
        <v>21</v>
      </c>
      <c r="B816">
        <v>807</v>
      </c>
      <c r="C816" s="1078">
        <v>3</v>
      </c>
      <c r="D816" s="1077" t="s">
        <v>4722</v>
      </c>
      <c r="E816" s="1077" t="s">
        <v>4121</v>
      </c>
      <c r="F816" s="1185">
        <v>1</v>
      </c>
      <c r="G816" s="1186"/>
      <c r="H816" s="1186"/>
      <c r="I816" s="1186"/>
      <c r="J816" s="1186"/>
      <c r="K816" s="1186"/>
      <c r="L816" s="1186"/>
      <c r="M816" s="1186"/>
      <c r="N816" s="1186"/>
      <c r="O816" s="1186"/>
      <c r="P816" s="1186"/>
      <c r="Q816" s="1186"/>
      <c r="R816" s="1186"/>
      <c r="S816" s="1186"/>
      <c r="T816" s="1186"/>
      <c r="U816" s="1186"/>
      <c r="V816" s="1186"/>
      <c r="W816" s="1186">
        <v>13.1</v>
      </c>
      <c r="X816" s="1186">
        <v>4.7</v>
      </c>
      <c r="Y816" s="1186">
        <v>12.2</v>
      </c>
      <c r="Z816" s="1186">
        <v>3</v>
      </c>
      <c r="AA816" s="1186"/>
      <c r="AB816" s="1186"/>
      <c r="AC816" s="1186"/>
      <c r="AD816" s="1187"/>
    </row>
    <row r="817" spans="1:30" x14ac:dyDescent="0.2">
      <c r="A817">
        <f t="shared" si="46"/>
        <v>21</v>
      </c>
      <c r="B817">
        <v>808</v>
      </c>
      <c r="C817" s="1078">
        <v>2</v>
      </c>
      <c r="D817" s="1077" t="s">
        <v>4722</v>
      </c>
      <c r="E817" s="1077" t="s">
        <v>5193</v>
      </c>
      <c r="F817" s="1185">
        <v>4</v>
      </c>
      <c r="G817" s="1186">
        <v>21</v>
      </c>
      <c r="H817" s="1186">
        <v>2.2000000000000002</v>
      </c>
      <c r="I817" s="1186">
        <v>28.1</v>
      </c>
      <c r="J817" s="1186">
        <v>2.8</v>
      </c>
      <c r="K817" s="1186">
        <v>34.6</v>
      </c>
      <c r="L817" s="1186">
        <v>3.6</v>
      </c>
      <c r="M817" s="1186">
        <v>38.9</v>
      </c>
      <c r="N817" s="1186">
        <v>4</v>
      </c>
      <c r="O817" s="1186">
        <v>49.9</v>
      </c>
      <c r="P817" s="1186">
        <v>5.2</v>
      </c>
      <c r="Q817" s="1186">
        <v>23</v>
      </c>
      <c r="R817" s="1186">
        <v>1.2</v>
      </c>
      <c r="S817" s="1186">
        <v>25.9</v>
      </c>
      <c r="T817" s="1186">
        <v>2.6</v>
      </c>
      <c r="U817" s="1186">
        <v>34.200000000000003</v>
      </c>
      <c r="V817" s="1186">
        <v>3.2</v>
      </c>
      <c r="W817" s="1186"/>
      <c r="X817" s="1186"/>
      <c r="Y817" s="1186"/>
      <c r="Z817" s="1186"/>
      <c r="AA817" s="1186"/>
      <c r="AB817" s="1186"/>
      <c r="AC817" s="1186"/>
      <c r="AD817" s="1187"/>
    </row>
    <row r="818" spans="1:30" x14ac:dyDescent="0.2">
      <c r="A818">
        <f t="shared" si="46"/>
        <v>21</v>
      </c>
      <c r="B818">
        <v>809</v>
      </c>
      <c r="C818" s="1078">
        <v>2</v>
      </c>
      <c r="D818" s="1077" t="s">
        <v>4722</v>
      </c>
      <c r="E818" s="1077" t="s">
        <v>5194</v>
      </c>
      <c r="F818" s="1185">
        <v>4</v>
      </c>
      <c r="G818" s="1186">
        <v>21</v>
      </c>
      <c r="H818" s="1186">
        <v>2.2000000000000002</v>
      </c>
      <c r="I818" s="1186">
        <v>28.1</v>
      </c>
      <c r="J818" s="1186">
        <v>2.8</v>
      </c>
      <c r="K818" s="1186">
        <v>34.6</v>
      </c>
      <c r="L818" s="1186">
        <v>3.6</v>
      </c>
      <c r="M818" s="1186">
        <v>38.9</v>
      </c>
      <c r="N818" s="1186">
        <v>4</v>
      </c>
      <c r="O818" s="1186">
        <v>49.9</v>
      </c>
      <c r="P818" s="1186">
        <v>5.2</v>
      </c>
      <c r="Q818" s="1186">
        <v>23</v>
      </c>
      <c r="R818" s="1186">
        <v>1.2</v>
      </c>
      <c r="S818" s="1186">
        <v>25.9</v>
      </c>
      <c r="T818" s="1186">
        <v>2.6</v>
      </c>
      <c r="U818" s="1186">
        <v>34.200000000000003</v>
      </c>
      <c r="V818" s="1186">
        <v>3.2</v>
      </c>
      <c r="W818" s="1186"/>
      <c r="X818" s="1186"/>
      <c r="Y818" s="1186"/>
      <c r="Z818" s="1186"/>
      <c r="AA818" s="1186"/>
      <c r="AB818" s="1186"/>
      <c r="AC818" s="1186"/>
      <c r="AD818" s="1187"/>
    </row>
    <row r="819" spans="1:30" x14ac:dyDescent="0.2">
      <c r="A819">
        <f t="shared" si="46"/>
        <v>21</v>
      </c>
      <c r="B819">
        <v>810</v>
      </c>
      <c r="C819" s="1078">
        <v>2</v>
      </c>
      <c r="D819" s="1077" t="s">
        <v>4722</v>
      </c>
      <c r="E819" s="1077" t="s">
        <v>5195</v>
      </c>
      <c r="F819" s="1185">
        <v>4</v>
      </c>
      <c r="G819" s="1186">
        <v>24</v>
      </c>
      <c r="H819" s="1186">
        <v>2.7</v>
      </c>
      <c r="I819" s="1186">
        <v>32</v>
      </c>
      <c r="J819" s="1186">
        <v>3.4</v>
      </c>
      <c r="K819" s="1186">
        <v>39.5</v>
      </c>
      <c r="L819" s="1186">
        <v>4.3</v>
      </c>
      <c r="M819" s="1186">
        <v>45</v>
      </c>
      <c r="N819" s="1186">
        <v>4.8</v>
      </c>
      <c r="O819" s="1186">
        <v>50</v>
      </c>
      <c r="P819" s="1186">
        <v>6.2</v>
      </c>
      <c r="Q819" s="1186">
        <v>28</v>
      </c>
      <c r="R819" s="1186">
        <v>2.2000000000000002</v>
      </c>
      <c r="S819" s="1186">
        <v>37.5</v>
      </c>
      <c r="T819" s="1186">
        <v>3.1</v>
      </c>
      <c r="U819" s="1186">
        <v>50</v>
      </c>
      <c r="V819" s="1186">
        <v>4</v>
      </c>
      <c r="W819" s="1186"/>
      <c r="X819" s="1186"/>
      <c r="Y819" s="1186"/>
      <c r="Z819" s="1186"/>
      <c r="AA819" s="1186"/>
      <c r="AB819" s="1186"/>
      <c r="AC819" s="1186"/>
      <c r="AD819" s="1187"/>
    </row>
    <row r="820" spans="1:30" x14ac:dyDescent="0.2">
      <c r="A820">
        <f t="shared" si="46"/>
        <v>21</v>
      </c>
      <c r="B820">
        <v>811</v>
      </c>
      <c r="C820" s="1078">
        <v>2</v>
      </c>
      <c r="D820" s="1077" t="s">
        <v>4722</v>
      </c>
      <c r="E820" s="1077" t="s">
        <v>5196</v>
      </c>
      <c r="F820" s="1185">
        <v>4</v>
      </c>
      <c r="G820" s="1186">
        <v>25.5</v>
      </c>
      <c r="H820" s="1186">
        <v>2.7</v>
      </c>
      <c r="I820" s="1186">
        <v>34</v>
      </c>
      <c r="J820" s="1186">
        <v>3.4</v>
      </c>
      <c r="K820" s="1186">
        <v>42</v>
      </c>
      <c r="L820" s="1186">
        <v>4.2</v>
      </c>
      <c r="M820" s="1186">
        <v>47</v>
      </c>
      <c r="N820" s="1186">
        <v>4.7</v>
      </c>
      <c r="O820" s="1186">
        <v>51.3</v>
      </c>
      <c r="P820" s="1186">
        <v>6.2</v>
      </c>
      <c r="Q820" s="1186">
        <v>33</v>
      </c>
      <c r="R820" s="1186">
        <v>2.2000000000000002</v>
      </c>
      <c r="S820" s="1186">
        <v>43</v>
      </c>
      <c r="T820" s="1186">
        <v>3</v>
      </c>
      <c r="U820" s="1186">
        <v>55.6</v>
      </c>
      <c r="V820" s="1186">
        <v>3.8</v>
      </c>
      <c r="W820" s="1186"/>
      <c r="X820" s="1186"/>
      <c r="Y820" s="1186"/>
      <c r="Z820" s="1186"/>
      <c r="AA820" s="1186"/>
      <c r="AB820" s="1186"/>
      <c r="AC820" s="1186"/>
      <c r="AD820" s="1187"/>
    </row>
    <row r="821" spans="1:30" x14ac:dyDescent="0.2">
      <c r="A821">
        <f t="shared" si="46"/>
        <v>21</v>
      </c>
      <c r="B821">
        <v>812</v>
      </c>
      <c r="C821" s="1078">
        <v>2</v>
      </c>
      <c r="D821" s="1077" t="s">
        <v>4722</v>
      </c>
      <c r="E821" s="1077" t="s">
        <v>5197</v>
      </c>
      <c r="F821" s="1185">
        <v>4</v>
      </c>
      <c r="G821" s="1186">
        <v>30</v>
      </c>
      <c r="H821" s="1186">
        <v>2.7</v>
      </c>
      <c r="I821" s="1186">
        <v>38</v>
      </c>
      <c r="J821" s="1186">
        <v>3.4</v>
      </c>
      <c r="K821" s="1186">
        <v>48</v>
      </c>
      <c r="L821" s="1186">
        <v>3.9</v>
      </c>
      <c r="M821" s="1186">
        <v>54</v>
      </c>
      <c r="N821" s="1186">
        <v>4.8</v>
      </c>
      <c r="O821" s="1186">
        <v>74</v>
      </c>
      <c r="P821" s="1186">
        <v>6.4</v>
      </c>
      <c r="Q821" s="1186">
        <v>35.5</v>
      </c>
      <c r="R821" s="1186">
        <v>2.2000000000000002</v>
      </c>
      <c r="S821" s="1186">
        <v>46</v>
      </c>
      <c r="T821" s="1186">
        <v>3</v>
      </c>
      <c r="U821" s="1186">
        <v>61</v>
      </c>
      <c r="V821" s="1186">
        <v>3.9</v>
      </c>
      <c r="W821" s="1186"/>
      <c r="X821" s="1186"/>
      <c r="Y821" s="1186"/>
      <c r="Z821" s="1186"/>
      <c r="AA821" s="1186"/>
      <c r="AB821" s="1186"/>
      <c r="AC821" s="1186"/>
      <c r="AD821" s="1187"/>
    </row>
    <row r="822" spans="1:30" x14ac:dyDescent="0.2">
      <c r="A822">
        <f t="shared" si="46"/>
        <v>21</v>
      </c>
      <c r="B822">
        <v>813</v>
      </c>
      <c r="C822" s="1078">
        <v>2</v>
      </c>
      <c r="D822" s="1077" t="s">
        <v>4722</v>
      </c>
      <c r="E822" s="1077" t="s">
        <v>5198</v>
      </c>
      <c r="F822" s="1185">
        <v>4</v>
      </c>
      <c r="G822" s="1186">
        <v>31.5</v>
      </c>
      <c r="H822" s="1186">
        <v>2.8</v>
      </c>
      <c r="I822" s="1186">
        <v>44</v>
      </c>
      <c r="J822" s="1186">
        <v>3.5</v>
      </c>
      <c r="K822" s="1186">
        <v>56</v>
      </c>
      <c r="L822" s="1186">
        <v>4</v>
      </c>
      <c r="M822" s="1186">
        <v>62</v>
      </c>
      <c r="N822" s="1186">
        <v>4.9000000000000004</v>
      </c>
      <c r="O822" s="1186">
        <v>84</v>
      </c>
      <c r="P822" s="1186">
        <v>7.1</v>
      </c>
      <c r="Q822" s="1186">
        <v>41.2</v>
      </c>
      <c r="R822" s="1186">
        <v>2.2000000000000002</v>
      </c>
      <c r="S822" s="1186">
        <v>55</v>
      </c>
      <c r="T822" s="1186">
        <v>3</v>
      </c>
      <c r="U822" s="1186">
        <v>70.2</v>
      </c>
      <c r="V822" s="1186">
        <v>3.9</v>
      </c>
      <c r="W822" s="1186"/>
      <c r="X822" s="1186"/>
      <c r="Y822" s="1186"/>
      <c r="Z822" s="1186"/>
      <c r="AA822" s="1186"/>
      <c r="AB822" s="1186"/>
      <c r="AC822" s="1186"/>
      <c r="AD822" s="1187"/>
    </row>
    <row r="823" spans="1:30" x14ac:dyDescent="0.2">
      <c r="A823">
        <f t="shared" si="46"/>
        <v>21</v>
      </c>
      <c r="B823">
        <v>814</v>
      </c>
      <c r="C823" s="1078">
        <v>2</v>
      </c>
      <c r="D823" s="1077" t="s">
        <v>4722</v>
      </c>
      <c r="E823" s="1077" t="s">
        <v>5199</v>
      </c>
      <c r="F823" s="1185">
        <v>4</v>
      </c>
      <c r="G823" s="1186">
        <v>37.200000000000003</v>
      </c>
      <c r="H823" s="1186">
        <v>2.7</v>
      </c>
      <c r="I823" s="1186">
        <v>56</v>
      </c>
      <c r="J823" s="1186">
        <v>3.4</v>
      </c>
      <c r="K823" s="1186">
        <v>70</v>
      </c>
      <c r="L823" s="1186">
        <v>4.2</v>
      </c>
      <c r="M823" s="1186">
        <v>78</v>
      </c>
      <c r="N823" s="1186">
        <v>4.5999999999999996</v>
      </c>
      <c r="O823" s="1186">
        <v>105</v>
      </c>
      <c r="P823" s="1186">
        <v>5.9</v>
      </c>
      <c r="Q823" s="1186">
        <v>46</v>
      </c>
      <c r="R823" s="1186">
        <v>2.2000000000000002</v>
      </c>
      <c r="S823" s="1186">
        <v>70</v>
      </c>
      <c r="T823" s="1186">
        <v>3</v>
      </c>
      <c r="U823" s="1186">
        <v>88</v>
      </c>
      <c r="V823" s="1186">
        <v>3.9</v>
      </c>
      <c r="W823" s="1186"/>
      <c r="X823" s="1186"/>
      <c r="Y823" s="1186"/>
      <c r="Z823" s="1186"/>
      <c r="AA823" s="1186"/>
      <c r="AB823" s="1186"/>
      <c r="AC823" s="1186"/>
      <c r="AD823" s="1187"/>
    </row>
    <row r="824" spans="1:30" x14ac:dyDescent="0.2">
      <c r="A824">
        <f t="shared" si="46"/>
        <v>21</v>
      </c>
      <c r="B824">
        <v>815</v>
      </c>
      <c r="C824" s="1078">
        <v>2</v>
      </c>
      <c r="D824" s="1077" t="s">
        <v>4722</v>
      </c>
      <c r="E824" s="1077" t="s">
        <v>5200</v>
      </c>
      <c r="F824" s="1185">
        <v>4</v>
      </c>
      <c r="G824" s="1186">
        <v>45</v>
      </c>
      <c r="H824" s="1186">
        <v>2.6</v>
      </c>
      <c r="I824" s="1186">
        <v>72</v>
      </c>
      <c r="J824" s="1186">
        <v>3.2</v>
      </c>
      <c r="K824" s="1186">
        <v>86</v>
      </c>
      <c r="L824" s="1186">
        <v>4</v>
      </c>
      <c r="M824" s="1186">
        <v>98</v>
      </c>
      <c r="N824" s="1186">
        <v>4.4000000000000004</v>
      </c>
      <c r="O824" s="1186">
        <v>128</v>
      </c>
      <c r="P824" s="1186">
        <v>6.1</v>
      </c>
      <c r="Q824" s="1186">
        <v>70</v>
      </c>
      <c r="R824" s="1186">
        <v>1.2</v>
      </c>
      <c r="S824" s="1186">
        <v>88</v>
      </c>
      <c r="T824" s="1186">
        <v>2.7</v>
      </c>
      <c r="U824" s="1186">
        <v>114</v>
      </c>
      <c r="V824" s="1186">
        <v>3.6</v>
      </c>
      <c r="W824" s="1186"/>
      <c r="X824" s="1186"/>
      <c r="Y824" s="1186"/>
      <c r="Z824" s="1186"/>
      <c r="AA824" s="1186"/>
      <c r="AB824" s="1186"/>
      <c r="AC824" s="1186"/>
      <c r="AD824" s="1187"/>
    </row>
    <row r="825" spans="1:30" x14ac:dyDescent="0.2">
      <c r="A825">
        <f t="shared" si="46"/>
        <v>21</v>
      </c>
      <c r="B825">
        <v>816</v>
      </c>
      <c r="C825" s="1078">
        <v>2</v>
      </c>
      <c r="D825" s="1077" t="s">
        <v>4722</v>
      </c>
      <c r="E825" s="1077" t="s">
        <v>5201</v>
      </c>
      <c r="F825" s="1185">
        <v>4</v>
      </c>
      <c r="G825" s="1186">
        <v>24</v>
      </c>
      <c r="H825" s="1186">
        <v>2.7</v>
      </c>
      <c r="I825" s="1186">
        <v>32</v>
      </c>
      <c r="J825" s="1186">
        <v>3.4</v>
      </c>
      <c r="K825" s="1186">
        <v>39.5</v>
      </c>
      <c r="L825" s="1186">
        <v>4.3</v>
      </c>
      <c r="M825" s="1186">
        <v>45</v>
      </c>
      <c r="N825" s="1186">
        <v>4.8</v>
      </c>
      <c r="O825" s="1186">
        <v>50</v>
      </c>
      <c r="P825" s="1186">
        <v>6.2</v>
      </c>
      <c r="Q825" s="1186">
        <v>28</v>
      </c>
      <c r="R825" s="1186">
        <v>2.2000000000000002</v>
      </c>
      <c r="S825" s="1186">
        <v>37.5</v>
      </c>
      <c r="T825" s="1186">
        <v>3.1</v>
      </c>
      <c r="U825" s="1186">
        <v>50</v>
      </c>
      <c r="V825" s="1186">
        <v>4</v>
      </c>
      <c r="W825" s="1186"/>
      <c r="X825" s="1186"/>
      <c r="Y825" s="1186"/>
      <c r="Z825" s="1186"/>
      <c r="AA825" s="1186"/>
      <c r="AB825" s="1186"/>
      <c r="AC825" s="1186"/>
      <c r="AD825" s="1187"/>
    </row>
    <row r="826" spans="1:30" x14ac:dyDescent="0.2">
      <c r="A826">
        <f t="shared" si="46"/>
        <v>21</v>
      </c>
      <c r="B826">
        <v>817</v>
      </c>
      <c r="C826" s="1078">
        <v>2</v>
      </c>
      <c r="D826" s="1077" t="s">
        <v>4722</v>
      </c>
      <c r="E826" s="1077" t="s">
        <v>5202</v>
      </c>
      <c r="F826" s="1185">
        <v>4</v>
      </c>
      <c r="G826" s="1186">
        <v>25.5</v>
      </c>
      <c r="H826" s="1186">
        <v>2.7</v>
      </c>
      <c r="I826" s="1186">
        <v>34</v>
      </c>
      <c r="J826" s="1186">
        <v>3.4</v>
      </c>
      <c r="K826" s="1186">
        <v>42</v>
      </c>
      <c r="L826" s="1186">
        <v>4.2</v>
      </c>
      <c r="M826" s="1186">
        <v>47</v>
      </c>
      <c r="N826" s="1186">
        <v>4.7</v>
      </c>
      <c r="O826" s="1186">
        <v>51.3</v>
      </c>
      <c r="P826" s="1186">
        <v>6.2</v>
      </c>
      <c r="Q826" s="1186">
        <v>33</v>
      </c>
      <c r="R826" s="1186">
        <v>2.2000000000000002</v>
      </c>
      <c r="S826" s="1186">
        <v>43</v>
      </c>
      <c r="T826" s="1186">
        <v>3</v>
      </c>
      <c r="U826" s="1186">
        <v>55.6</v>
      </c>
      <c r="V826" s="1186">
        <v>3.8</v>
      </c>
      <c r="W826" s="1186"/>
      <c r="X826" s="1186"/>
      <c r="Y826" s="1186"/>
      <c r="Z826" s="1186"/>
      <c r="AA826" s="1186"/>
      <c r="AB826" s="1186"/>
      <c r="AC826" s="1186"/>
      <c r="AD826" s="1187"/>
    </row>
    <row r="827" spans="1:30" x14ac:dyDescent="0.2">
      <c r="A827">
        <f t="shared" si="46"/>
        <v>21</v>
      </c>
      <c r="B827">
        <v>818</v>
      </c>
      <c r="C827" s="1078">
        <v>2</v>
      </c>
      <c r="D827" s="1077" t="s">
        <v>4722</v>
      </c>
      <c r="E827" s="1077" t="s">
        <v>5203</v>
      </c>
      <c r="F827" s="1185">
        <v>4</v>
      </c>
      <c r="G827" s="1186">
        <v>30</v>
      </c>
      <c r="H827" s="1186">
        <v>2.7</v>
      </c>
      <c r="I827" s="1186">
        <v>38</v>
      </c>
      <c r="J827" s="1186">
        <v>3.4</v>
      </c>
      <c r="K827" s="1186">
        <v>48</v>
      </c>
      <c r="L827" s="1186">
        <v>3.9</v>
      </c>
      <c r="M827" s="1186">
        <v>54</v>
      </c>
      <c r="N827" s="1186">
        <v>4.8</v>
      </c>
      <c r="O827" s="1186">
        <v>74</v>
      </c>
      <c r="P827" s="1186">
        <v>6.4</v>
      </c>
      <c r="Q827" s="1186">
        <v>35.5</v>
      </c>
      <c r="R827" s="1186">
        <v>2.2000000000000002</v>
      </c>
      <c r="S827" s="1186">
        <v>46</v>
      </c>
      <c r="T827" s="1186">
        <v>3</v>
      </c>
      <c r="U827" s="1186">
        <v>61</v>
      </c>
      <c r="V827" s="1186">
        <v>3.9</v>
      </c>
      <c r="W827" s="1186"/>
      <c r="X827" s="1186"/>
      <c r="Y827" s="1186"/>
      <c r="Z827" s="1186"/>
      <c r="AA827" s="1186"/>
      <c r="AB827" s="1186"/>
      <c r="AC827" s="1186"/>
      <c r="AD827" s="1187"/>
    </row>
    <row r="828" spans="1:30" x14ac:dyDescent="0.2">
      <c r="A828">
        <f t="shared" si="46"/>
        <v>21</v>
      </c>
      <c r="B828">
        <v>819</v>
      </c>
      <c r="C828" s="1078">
        <v>2</v>
      </c>
      <c r="D828" s="1077" t="s">
        <v>4722</v>
      </c>
      <c r="E828" s="1077" t="s">
        <v>5204</v>
      </c>
      <c r="F828" s="1185">
        <v>4</v>
      </c>
      <c r="G828" s="1186">
        <v>31.5</v>
      </c>
      <c r="H828" s="1186">
        <v>2.8</v>
      </c>
      <c r="I828" s="1186">
        <v>44</v>
      </c>
      <c r="J828" s="1186">
        <v>3.5</v>
      </c>
      <c r="K828" s="1186">
        <v>56</v>
      </c>
      <c r="L828" s="1186">
        <v>4</v>
      </c>
      <c r="M828" s="1186">
        <v>62</v>
      </c>
      <c r="N828" s="1186">
        <v>4.9000000000000004</v>
      </c>
      <c r="O828" s="1186">
        <v>84</v>
      </c>
      <c r="P828" s="1186">
        <v>7.1</v>
      </c>
      <c r="Q828" s="1186">
        <v>41.2</v>
      </c>
      <c r="R828" s="1186">
        <v>2.2000000000000002</v>
      </c>
      <c r="S828" s="1186">
        <v>55</v>
      </c>
      <c r="T828" s="1186">
        <v>3</v>
      </c>
      <c r="U828" s="1186">
        <v>70.2</v>
      </c>
      <c r="V828" s="1186">
        <v>3.9</v>
      </c>
      <c r="W828" s="1186"/>
      <c r="X828" s="1186"/>
      <c r="Y828" s="1186"/>
      <c r="Z828" s="1186"/>
      <c r="AA828" s="1186"/>
      <c r="AB828" s="1186"/>
      <c r="AC828" s="1186"/>
      <c r="AD828" s="1187"/>
    </row>
    <row r="829" spans="1:30" x14ac:dyDescent="0.2">
      <c r="A829">
        <f t="shared" si="46"/>
        <v>21</v>
      </c>
      <c r="B829">
        <v>820</v>
      </c>
      <c r="C829" s="1078">
        <v>2</v>
      </c>
      <c r="D829" s="1077" t="s">
        <v>4722</v>
      </c>
      <c r="E829" s="1077" t="s">
        <v>5205</v>
      </c>
      <c r="F829" s="1185">
        <v>4</v>
      </c>
      <c r="G829" s="1186">
        <v>37.200000000000003</v>
      </c>
      <c r="H829" s="1186">
        <v>2.7</v>
      </c>
      <c r="I829" s="1186">
        <v>56</v>
      </c>
      <c r="J829" s="1186">
        <v>3.4</v>
      </c>
      <c r="K829" s="1186">
        <v>70</v>
      </c>
      <c r="L829" s="1186">
        <v>4.2</v>
      </c>
      <c r="M829" s="1186">
        <v>78</v>
      </c>
      <c r="N829" s="1186">
        <v>4.5999999999999996</v>
      </c>
      <c r="O829" s="1186">
        <v>105</v>
      </c>
      <c r="P829" s="1186">
        <v>5.9</v>
      </c>
      <c r="Q829" s="1186">
        <v>46</v>
      </c>
      <c r="R829" s="1186">
        <v>2.2000000000000002</v>
      </c>
      <c r="S829" s="1186">
        <v>70</v>
      </c>
      <c r="T829" s="1186">
        <v>3</v>
      </c>
      <c r="U829" s="1186">
        <v>88</v>
      </c>
      <c r="V829" s="1186">
        <v>3.9</v>
      </c>
      <c r="W829" s="1186"/>
      <c r="X829" s="1186"/>
      <c r="Y829" s="1186"/>
      <c r="Z829" s="1186"/>
      <c r="AA829" s="1186"/>
      <c r="AB829" s="1186"/>
      <c r="AC829" s="1186"/>
      <c r="AD829" s="1187"/>
    </row>
    <row r="830" spans="1:30" x14ac:dyDescent="0.2">
      <c r="A830">
        <f t="shared" si="46"/>
        <v>21</v>
      </c>
      <c r="B830">
        <v>821</v>
      </c>
      <c r="C830" s="1078">
        <v>2</v>
      </c>
      <c r="D830" s="1077" t="s">
        <v>4722</v>
      </c>
      <c r="E830" s="1077" t="s">
        <v>5206</v>
      </c>
      <c r="F830" s="1185">
        <v>4</v>
      </c>
      <c r="G830" s="1186">
        <v>45</v>
      </c>
      <c r="H830" s="1186">
        <v>2.6</v>
      </c>
      <c r="I830" s="1186">
        <v>72</v>
      </c>
      <c r="J830" s="1186">
        <v>3.2</v>
      </c>
      <c r="K830" s="1186">
        <v>86</v>
      </c>
      <c r="L830" s="1186">
        <v>4</v>
      </c>
      <c r="M830" s="1186">
        <v>98</v>
      </c>
      <c r="N830" s="1186">
        <v>4.4000000000000004</v>
      </c>
      <c r="O830" s="1186">
        <v>128</v>
      </c>
      <c r="P830" s="1186">
        <v>6.1</v>
      </c>
      <c r="Q830" s="1186">
        <v>70</v>
      </c>
      <c r="R830" s="1186">
        <v>1.2</v>
      </c>
      <c r="S830" s="1186">
        <v>88</v>
      </c>
      <c r="T830" s="1186">
        <v>2.7</v>
      </c>
      <c r="U830" s="1186">
        <v>114</v>
      </c>
      <c r="V830" s="1186">
        <v>3.6</v>
      </c>
      <c r="W830" s="1186"/>
      <c r="X830" s="1186"/>
      <c r="Y830" s="1186"/>
      <c r="Z830" s="1186"/>
      <c r="AA830" s="1186"/>
      <c r="AB830" s="1186"/>
      <c r="AC830" s="1186"/>
      <c r="AD830" s="1187"/>
    </row>
    <row r="831" spans="1:30" x14ac:dyDescent="0.2">
      <c r="A831">
        <f t="shared" si="46"/>
        <v>21</v>
      </c>
      <c r="B831">
        <v>822</v>
      </c>
      <c r="C831" s="1081">
        <v>2</v>
      </c>
      <c r="D831" s="1082" t="s">
        <v>4722</v>
      </c>
      <c r="E831" s="1082" t="s">
        <v>5207</v>
      </c>
      <c r="F831" s="1188">
        <v>4</v>
      </c>
      <c r="G831" s="1189">
        <v>24</v>
      </c>
      <c r="H831" s="1189">
        <v>2.7</v>
      </c>
      <c r="I831" s="1189">
        <v>32</v>
      </c>
      <c r="J831" s="1189">
        <v>3.4</v>
      </c>
      <c r="K831" s="1189">
        <v>39.5</v>
      </c>
      <c r="L831" s="1189">
        <v>4.3</v>
      </c>
      <c r="M831" s="1189">
        <v>45</v>
      </c>
      <c r="N831" s="1189">
        <v>4.8</v>
      </c>
      <c r="O831" s="1189">
        <v>50</v>
      </c>
      <c r="P831" s="1189">
        <v>6.2</v>
      </c>
      <c r="Q831" s="1189">
        <v>28</v>
      </c>
      <c r="R831" s="1189">
        <v>2.2000000000000002</v>
      </c>
      <c r="S831" s="1189">
        <v>37.5</v>
      </c>
      <c r="T831" s="1189">
        <v>3.1</v>
      </c>
      <c r="U831" s="1189">
        <v>50</v>
      </c>
      <c r="V831" s="1189">
        <v>4</v>
      </c>
      <c r="W831" s="1189"/>
      <c r="X831" s="1189"/>
      <c r="Y831" s="1189"/>
      <c r="Z831" s="1189"/>
      <c r="AA831" s="1189"/>
      <c r="AB831" s="1189"/>
      <c r="AC831" s="1189"/>
      <c r="AD831" s="1187"/>
    </row>
    <row r="832" spans="1:30" x14ac:dyDescent="0.2">
      <c r="A832">
        <f t="shared" si="46"/>
        <v>21</v>
      </c>
      <c r="B832">
        <v>823</v>
      </c>
      <c r="C832" s="1190">
        <v>2</v>
      </c>
      <c r="D832" s="1191" t="s">
        <v>4722</v>
      </c>
      <c r="E832" s="1191" t="s">
        <v>5208</v>
      </c>
      <c r="F832" s="1192">
        <v>4</v>
      </c>
      <c r="G832" s="1193">
        <v>25.5</v>
      </c>
      <c r="H832" s="1193">
        <v>2.7</v>
      </c>
      <c r="I832" s="1193">
        <v>34</v>
      </c>
      <c r="J832" s="1193">
        <v>3.4</v>
      </c>
      <c r="K832" s="1193">
        <v>42</v>
      </c>
      <c r="L832" s="1193">
        <v>4.2</v>
      </c>
      <c r="M832" s="1193">
        <v>47</v>
      </c>
      <c r="N832" s="1193">
        <v>4.7</v>
      </c>
      <c r="O832" s="1193">
        <v>51.3</v>
      </c>
      <c r="P832" s="1193">
        <v>6.2</v>
      </c>
      <c r="Q832" s="1193">
        <v>33</v>
      </c>
      <c r="R832" s="1193">
        <v>2.2000000000000002</v>
      </c>
      <c r="S832" s="1193">
        <v>43</v>
      </c>
      <c r="T832" s="1193">
        <v>3</v>
      </c>
      <c r="U832" s="1193">
        <v>55.6</v>
      </c>
      <c r="V832" s="1193">
        <v>3.8</v>
      </c>
      <c r="W832" s="1193"/>
      <c r="X832" s="1193"/>
      <c r="Y832" s="1193"/>
      <c r="Z832" s="1193"/>
      <c r="AA832" s="1193"/>
      <c r="AB832" s="1193"/>
      <c r="AC832" s="1193"/>
      <c r="AD832" s="1187"/>
    </row>
    <row r="833" spans="1:30" x14ac:dyDescent="0.2">
      <c r="A833">
        <f t="shared" si="46"/>
        <v>21</v>
      </c>
      <c r="B833">
        <v>824</v>
      </c>
      <c r="C833" s="1078">
        <v>2</v>
      </c>
      <c r="D833" s="1077" t="s">
        <v>4722</v>
      </c>
      <c r="E833" s="1077" t="s">
        <v>5209</v>
      </c>
      <c r="F833" s="1185">
        <v>4</v>
      </c>
      <c r="G833" s="1186">
        <v>30</v>
      </c>
      <c r="H833" s="1186">
        <v>2.7</v>
      </c>
      <c r="I833" s="1186">
        <v>38</v>
      </c>
      <c r="J833" s="1186">
        <v>3.4</v>
      </c>
      <c r="K833" s="1186">
        <v>48</v>
      </c>
      <c r="L833" s="1186">
        <v>3.9</v>
      </c>
      <c r="M833" s="1186">
        <v>54</v>
      </c>
      <c r="N833" s="1186">
        <v>4.8</v>
      </c>
      <c r="O833" s="1186">
        <v>74</v>
      </c>
      <c r="P833" s="1186">
        <v>6.4</v>
      </c>
      <c r="Q833" s="1186">
        <v>35.5</v>
      </c>
      <c r="R833" s="1186">
        <v>2.2000000000000002</v>
      </c>
      <c r="S833" s="1186">
        <v>46</v>
      </c>
      <c r="T833" s="1186">
        <v>3</v>
      </c>
      <c r="U833" s="1186">
        <v>61</v>
      </c>
      <c r="V833" s="1186">
        <v>3.9</v>
      </c>
      <c r="W833" s="1186"/>
      <c r="X833" s="1186"/>
      <c r="Y833" s="1186"/>
      <c r="Z833" s="1186"/>
      <c r="AA833" s="1186"/>
      <c r="AB833" s="1186"/>
      <c r="AC833" s="1186"/>
      <c r="AD833" s="1187"/>
    </row>
    <row r="834" spans="1:30" x14ac:dyDescent="0.2">
      <c r="A834">
        <f t="shared" si="46"/>
        <v>21</v>
      </c>
      <c r="B834">
        <v>825</v>
      </c>
      <c r="C834" s="1078">
        <v>2</v>
      </c>
      <c r="D834" s="1077" t="s">
        <v>4722</v>
      </c>
      <c r="E834" s="1077" t="s">
        <v>5210</v>
      </c>
      <c r="F834" s="1185">
        <v>4</v>
      </c>
      <c r="G834" s="1186">
        <v>31.5</v>
      </c>
      <c r="H834" s="1186">
        <v>2.8</v>
      </c>
      <c r="I834" s="1186">
        <v>44</v>
      </c>
      <c r="J834" s="1186">
        <v>3.5</v>
      </c>
      <c r="K834" s="1186">
        <v>56</v>
      </c>
      <c r="L834" s="1186">
        <v>4</v>
      </c>
      <c r="M834" s="1186">
        <v>62</v>
      </c>
      <c r="N834" s="1186">
        <v>4.9000000000000004</v>
      </c>
      <c r="O834" s="1186">
        <v>84</v>
      </c>
      <c r="P834" s="1186">
        <v>7.1</v>
      </c>
      <c r="Q834" s="1186">
        <v>41.2</v>
      </c>
      <c r="R834" s="1186">
        <v>2.2000000000000002</v>
      </c>
      <c r="S834" s="1186">
        <v>55</v>
      </c>
      <c r="T834" s="1186">
        <v>3</v>
      </c>
      <c r="U834" s="1186">
        <v>70.2</v>
      </c>
      <c r="V834" s="1186">
        <v>3.9</v>
      </c>
      <c r="W834" s="1186"/>
      <c r="X834" s="1186"/>
      <c r="Y834" s="1186"/>
      <c r="Z834" s="1186"/>
      <c r="AA834" s="1186"/>
      <c r="AB834" s="1186"/>
      <c r="AC834" s="1186"/>
      <c r="AD834" s="1187"/>
    </row>
    <row r="835" spans="1:30" x14ac:dyDescent="0.2">
      <c r="A835">
        <f t="shared" si="46"/>
        <v>21</v>
      </c>
      <c r="B835">
        <v>826</v>
      </c>
      <c r="C835" s="1078">
        <v>2</v>
      </c>
      <c r="D835" s="1077" t="s">
        <v>4722</v>
      </c>
      <c r="E835" s="1077" t="s">
        <v>5211</v>
      </c>
      <c r="F835" s="1185">
        <v>4</v>
      </c>
      <c r="G835" s="1186">
        <v>37.200000000000003</v>
      </c>
      <c r="H835" s="1186">
        <v>2.7</v>
      </c>
      <c r="I835" s="1186">
        <v>56</v>
      </c>
      <c r="J835" s="1186">
        <v>3.4</v>
      </c>
      <c r="K835" s="1186">
        <v>70</v>
      </c>
      <c r="L835" s="1186">
        <v>4.2</v>
      </c>
      <c r="M835" s="1186">
        <v>78</v>
      </c>
      <c r="N835" s="1186">
        <v>4.5999999999999996</v>
      </c>
      <c r="O835" s="1186">
        <v>105</v>
      </c>
      <c r="P835" s="1186">
        <v>5.9</v>
      </c>
      <c r="Q835" s="1186">
        <v>46</v>
      </c>
      <c r="R835" s="1186">
        <v>2.2000000000000002</v>
      </c>
      <c r="S835" s="1186">
        <v>70</v>
      </c>
      <c r="T835" s="1186">
        <v>3</v>
      </c>
      <c r="U835" s="1186">
        <v>88</v>
      </c>
      <c r="V835" s="1186">
        <v>3.9</v>
      </c>
      <c r="W835" s="1186"/>
      <c r="X835" s="1186"/>
      <c r="Y835" s="1186"/>
      <c r="Z835" s="1186"/>
      <c r="AA835" s="1186"/>
      <c r="AB835" s="1186"/>
      <c r="AC835" s="1186"/>
      <c r="AD835" s="1187"/>
    </row>
    <row r="836" spans="1:30" x14ac:dyDescent="0.2">
      <c r="A836">
        <f t="shared" si="46"/>
        <v>21</v>
      </c>
      <c r="B836">
        <v>827</v>
      </c>
      <c r="C836" s="1078">
        <v>2</v>
      </c>
      <c r="D836" s="1077" t="s">
        <v>4722</v>
      </c>
      <c r="E836" s="1077" t="s">
        <v>5212</v>
      </c>
      <c r="F836" s="1185">
        <v>4</v>
      </c>
      <c r="G836" s="1186">
        <v>45</v>
      </c>
      <c r="H836" s="1186">
        <v>2.6</v>
      </c>
      <c r="I836" s="1186">
        <v>72</v>
      </c>
      <c r="J836" s="1186">
        <v>3.2</v>
      </c>
      <c r="K836" s="1186">
        <v>86</v>
      </c>
      <c r="L836" s="1186">
        <v>4</v>
      </c>
      <c r="M836" s="1186">
        <v>98</v>
      </c>
      <c r="N836" s="1186">
        <v>4.4000000000000004</v>
      </c>
      <c r="O836" s="1186">
        <v>128</v>
      </c>
      <c r="P836" s="1186">
        <v>6.1</v>
      </c>
      <c r="Q836" s="1186">
        <v>70</v>
      </c>
      <c r="R836" s="1186">
        <v>1.2</v>
      </c>
      <c r="S836" s="1186">
        <v>88</v>
      </c>
      <c r="T836" s="1186">
        <v>2.7</v>
      </c>
      <c r="U836" s="1186">
        <v>114</v>
      </c>
      <c r="V836" s="1186">
        <v>3.6</v>
      </c>
      <c r="W836" s="1186"/>
      <c r="X836" s="1186"/>
      <c r="Y836" s="1186"/>
      <c r="Z836" s="1186"/>
      <c r="AA836" s="1186"/>
      <c r="AB836" s="1186"/>
      <c r="AC836" s="1186"/>
      <c r="AD836" s="1187"/>
    </row>
    <row r="837" spans="1:30" x14ac:dyDescent="0.2">
      <c r="A837">
        <f t="shared" si="46"/>
        <v>21</v>
      </c>
      <c r="B837">
        <v>828</v>
      </c>
      <c r="C837" s="1078">
        <v>2</v>
      </c>
      <c r="D837" s="1077" t="s">
        <v>4722</v>
      </c>
      <c r="E837" s="1077" t="s">
        <v>5213</v>
      </c>
      <c r="F837" s="1185">
        <v>4</v>
      </c>
      <c r="G837" s="1186">
        <v>24</v>
      </c>
      <c r="H837" s="1186">
        <v>2.7</v>
      </c>
      <c r="I837" s="1186">
        <v>32</v>
      </c>
      <c r="J837" s="1186">
        <v>3.4</v>
      </c>
      <c r="K837" s="1186">
        <v>39.5</v>
      </c>
      <c r="L837" s="1186">
        <v>4.3</v>
      </c>
      <c r="M837" s="1186">
        <v>45</v>
      </c>
      <c r="N837" s="1186">
        <v>4.8</v>
      </c>
      <c r="O837" s="1186">
        <v>50</v>
      </c>
      <c r="P837" s="1186">
        <v>6.2</v>
      </c>
      <c r="Q837" s="1186">
        <v>28</v>
      </c>
      <c r="R837" s="1186">
        <v>2.2000000000000002</v>
      </c>
      <c r="S837" s="1186">
        <v>37.5</v>
      </c>
      <c r="T837" s="1186">
        <v>3.1</v>
      </c>
      <c r="U837" s="1186">
        <v>50</v>
      </c>
      <c r="V837" s="1186">
        <v>4</v>
      </c>
      <c r="W837" s="1186"/>
      <c r="X837" s="1186"/>
      <c r="Y837" s="1186"/>
      <c r="Z837" s="1186"/>
      <c r="AA837" s="1186"/>
      <c r="AB837" s="1186"/>
      <c r="AC837" s="1186"/>
      <c r="AD837" s="1187"/>
    </row>
    <row r="838" spans="1:30" x14ac:dyDescent="0.2">
      <c r="A838">
        <f t="shared" si="46"/>
        <v>21</v>
      </c>
      <c r="B838">
        <v>829</v>
      </c>
      <c r="C838" s="1078">
        <v>2</v>
      </c>
      <c r="D838" s="1077" t="s">
        <v>4722</v>
      </c>
      <c r="E838" s="1077" t="s">
        <v>5214</v>
      </c>
      <c r="F838" s="1185">
        <v>4</v>
      </c>
      <c r="G838" s="1186">
        <v>25.5</v>
      </c>
      <c r="H838" s="1186">
        <v>2.7</v>
      </c>
      <c r="I838" s="1186">
        <v>34</v>
      </c>
      <c r="J838" s="1186">
        <v>3.4</v>
      </c>
      <c r="K838" s="1186">
        <v>42</v>
      </c>
      <c r="L838" s="1186">
        <v>4.2</v>
      </c>
      <c r="M838" s="1186">
        <v>47</v>
      </c>
      <c r="N838" s="1186">
        <v>4.7</v>
      </c>
      <c r="O838" s="1186">
        <v>51.3</v>
      </c>
      <c r="P838" s="1186">
        <v>6.2</v>
      </c>
      <c r="Q838" s="1186">
        <v>33</v>
      </c>
      <c r="R838" s="1186">
        <v>2.2000000000000002</v>
      </c>
      <c r="S838" s="1186">
        <v>43</v>
      </c>
      <c r="T838" s="1186">
        <v>3</v>
      </c>
      <c r="U838" s="1186">
        <v>55.6</v>
      </c>
      <c r="V838" s="1186">
        <v>3.8</v>
      </c>
      <c r="W838" s="1186"/>
      <c r="X838" s="1186"/>
      <c r="Y838" s="1186"/>
      <c r="Z838" s="1186"/>
      <c r="AA838" s="1186"/>
      <c r="AB838" s="1186"/>
      <c r="AC838" s="1186"/>
      <c r="AD838" s="1187"/>
    </row>
    <row r="839" spans="1:30" x14ac:dyDescent="0.2">
      <c r="A839">
        <f t="shared" si="46"/>
        <v>21</v>
      </c>
      <c r="B839">
        <v>830</v>
      </c>
      <c r="C839" s="1078">
        <v>2</v>
      </c>
      <c r="D839" s="1077" t="s">
        <v>4722</v>
      </c>
      <c r="E839" s="1077" t="s">
        <v>5215</v>
      </c>
      <c r="F839" s="1185">
        <v>4</v>
      </c>
      <c r="G839" s="1186">
        <v>30</v>
      </c>
      <c r="H839" s="1186">
        <v>2.7</v>
      </c>
      <c r="I839" s="1186">
        <v>38</v>
      </c>
      <c r="J839" s="1186">
        <v>3.4</v>
      </c>
      <c r="K839" s="1186">
        <v>48</v>
      </c>
      <c r="L839" s="1186">
        <v>3.9</v>
      </c>
      <c r="M839" s="1186">
        <v>54</v>
      </c>
      <c r="N839" s="1186">
        <v>4.8</v>
      </c>
      <c r="O839" s="1186">
        <v>74</v>
      </c>
      <c r="P839" s="1186">
        <v>6.4</v>
      </c>
      <c r="Q839" s="1186">
        <v>35.5</v>
      </c>
      <c r="R839" s="1186">
        <v>2.2000000000000002</v>
      </c>
      <c r="S839" s="1186">
        <v>46</v>
      </c>
      <c r="T839" s="1186">
        <v>3</v>
      </c>
      <c r="U839" s="1186">
        <v>61</v>
      </c>
      <c r="V839" s="1186">
        <v>3.9</v>
      </c>
      <c r="W839" s="1186"/>
      <c r="X839" s="1186"/>
      <c r="Y839" s="1186"/>
      <c r="Z839" s="1186"/>
      <c r="AA839" s="1186"/>
      <c r="AB839" s="1186"/>
      <c r="AC839" s="1186"/>
      <c r="AD839" s="1187"/>
    </row>
    <row r="840" spans="1:30" x14ac:dyDescent="0.2">
      <c r="A840">
        <f t="shared" si="46"/>
        <v>21</v>
      </c>
      <c r="B840">
        <v>831</v>
      </c>
      <c r="C840" s="1078">
        <v>2</v>
      </c>
      <c r="D840" s="1077" t="s">
        <v>4722</v>
      </c>
      <c r="E840" s="1077" t="s">
        <v>5216</v>
      </c>
      <c r="F840" s="1185">
        <v>4</v>
      </c>
      <c r="G840" s="1186">
        <v>31.5</v>
      </c>
      <c r="H840" s="1186">
        <v>2.8</v>
      </c>
      <c r="I840" s="1186">
        <v>44</v>
      </c>
      <c r="J840" s="1186">
        <v>3.5</v>
      </c>
      <c r="K840" s="1186">
        <v>56</v>
      </c>
      <c r="L840" s="1186">
        <v>4</v>
      </c>
      <c r="M840" s="1186">
        <v>62</v>
      </c>
      <c r="N840" s="1186">
        <v>4.9000000000000004</v>
      </c>
      <c r="O840" s="1186">
        <v>84</v>
      </c>
      <c r="P840" s="1186">
        <v>7.1</v>
      </c>
      <c r="Q840" s="1186">
        <v>41.2</v>
      </c>
      <c r="R840" s="1186">
        <v>2.2000000000000002</v>
      </c>
      <c r="S840" s="1186">
        <v>55</v>
      </c>
      <c r="T840" s="1186">
        <v>3</v>
      </c>
      <c r="U840" s="1186">
        <v>70.2</v>
      </c>
      <c r="V840" s="1186">
        <v>3.9</v>
      </c>
      <c r="W840" s="1186"/>
      <c r="X840" s="1186"/>
      <c r="Y840" s="1186"/>
      <c r="Z840" s="1186"/>
      <c r="AA840" s="1186"/>
      <c r="AB840" s="1186"/>
      <c r="AC840" s="1186"/>
      <c r="AD840" s="1187"/>
    </row>
    <row r="841" spans="1:30" x14ac:dyDescent="0.2">
      <c r="A841">
        <f t="shared" si="46"/>
        <v>21</v>
      </c>
      <c r="B841">
        <v>832</v>
      </c>
      <c r="C841" s="1078">
        <v>2</v>
      </c>
      <c r="D841" s="1077" t="s">
        <v>4722</v>
      </c>
      <c r="E841" s="1077" t="s">
        <v>5217</v>
      </c>
      <c r="F841" s="1185">
        <v>4</v>
      </c>
      <c r="G841" s="1186">
        <v>37.200000000000003</v>
      </c>
      <c r="H841" s="1186">
        <v>2.7</v>
      </c>
      <c r="I841" s="1186">
        <v>56</v>
      </c>
      <c r="J841" s="1186">
        <v>3.4</v>
      </c>
      <c r="K841" s="1186">
        <v>70</v>
      </c>
      <c r="L841" s="1186">
        <v>4.2</v>
      </c>
      <c r="M841" s="1186">
        <v>78</v>
      </c>
      <c r="N841" s="1186">
        <v>4.5999999999999996</v>
      </c>
      <c r="O841" s="1186">
        <v>105</v>
      </c>
      <c r="P841" s="1186">
        <v>5.9</v>
      </c>
      <c r="Q841" s="1186">
        <v>46</v>
      </c>
      <c r="R841" s="1186">
        <v>2.2000000000000002</v>
      </c>
      <c r="S841" s="1186">
        <v>70</v>
      </c>
      <c r="T841" s="1186">
        <v>3</v>
      </c>
      <c r="U841" s="1186">
        <v>88</v>
      </c>
      <c r="V841" s="1186">
        <v>3.9</v>
      </c>
      <c r="W841" s="1186"/>
      <c r="X841" s="1186"/>
      <c r="Y841" s="1186"/>
      <c r="Z841" s="1186"/>
      <c r="AA841" s="1186"/>
      <c r="AB841" s="1186"/>
      <c r="AC841" s="1186"/>
      <c r="AD841" s="1187"/>
    </row>
    <row r="842" spans="1:30" x14ac:dyDescent="0.2">
      <c r="A842">
        <f t="shared" si="46"/>
        <v>21</v>
      </c>
      <c r="B842">
        <v>833</v>
      </c>
      <c r="C842" s="1078">
        <v>2</v>
      </c>
      <c r="D842" s="1077" t="s">
        <v>4722</v>
      </c>
      <c r="E842" s="1077" t="s">
        <v>5218</v>
      </c>
      <c r="F842" s="1185">
        <v>4</v>
      </c>
      <c r="G842" s="1186">
        <v>45</v>
      </c>
      <c r="H842" s="1186">
        <v>2.6</v>
      </c>
      <c r="I842" s="1186">
        <v>72</v>
      </c>
      <c r="J842" s="1186">
        <v>3.2</v>
      </c>
      <c r="K842" s="1186">
        <v>86</v>
      </c>
      <c r="L842" s="1186">
        <v>4</v>
      </c>
      <c r="M842" s="1186">
        <v>98</v>
      </c>
      <c r="N842" s="1186">
        <v>4.4000000000000004</v>
      </c>
      <c r="O842" s="1186">
        <v>128</v>
      </c>
      <c r="P842" s="1186">
        <v>6.1</v>
      </c>
      <c r="Q842" s="1186">
        <v>70</v>
      </c>
      <c r="R842" s="1186">
        <v>1.2</v>
      </c>
      <c r="S842" s="1186">
        <v>88</v>
      </c>
      <c r="T842" s="1186">
        <v>2.7</v>
      </c>
      <c r="U842" s="1186">
        <v>114</v>
      </c>
      <c r="V842" s="1186">
        <v>3.6</v>
      </c>
      <c r="W842" s="1186"/>
      <c r="X842" s="1186"/>
      <c r="Y842" s="1186"/>
      <c r="Z842" s="1186"/>
      <c r="AA842" s="1186"/>
      <c r="AB842" s="1186"/>
      <c r="AC842" s="1186"/>
      <c r="AD842" s="1187"/>
    </row>
    <row r="843" spans="1:30" x14ac:dyDescent="0.2">
      <c r="A843">
        <f t="shared" si="46"/>
        <v>21</v>
      </c>
      <c r="B843">
        <v>834</v>
      </c>
      <c r="C843" s="1078">
        <v>2</v>
      </c>
      <c r="D843" s="1077" t="s">
        <v>4722</v>
      </c>
      <c r="E843" s="1077" t="s">
        <v>5500</v>
      </c>
      <c r="F843" s="1185">
        <v>2</v>
      </c>
      <c r="G843" s="1186">
        <v>19.38</v>
      </c>
      <c r="H843" s="1186">
        <v>2.4531645569620251</v>
      </c>
      <c r="I843" s="1186">
        <v>26</v>
      </c>
      <c r="J843" s="1186">
        <v>3.051643192488263</v>
      </c>
      <c r="K843" s="1186">
        <v>35.700000000000003</v>
      </c>
      <c r="L843" s="1186">
        <v>3.9230769230769234</v>
      </c>
      <c r="M843" s="1186">
        <v>42.4</v>
      </c>
      <c r="N843" s="1186">
        <v>4.5010615711252653</v>
      </c>
      <c r="O843" s="1186">
        <v>65</v>
      </c>
      <c r="P843" s="1186">
        <v>6.1320754716981138</v>
      </c>
      <c r="Q843" s="1186">
        <v>12.35</v>
      </c>
      <c r="R843" s="1186">
        <v>2.2998137802607075</v>
      </c>
      <c r="S843" s="1186">
        <v>38.200000000000003</v>
      </c>
      <c r="T843" s="1186">
        <v>2.9797191887675507</v>
      </c>
      <c r="U843" s="1186">
        <v>56.6</v>
      </c>
      <c r="V843" s="1186">
        <v>4.0028288543140027</v>
      </c>
      <c r="W843" s="1186"/>
      <c r="X843" s="1186"/>
      <c r="Y843" s="1186"/>
      <c r="Z843" s="1186"/>
      <c r="AA843" s="1186"/>
      <c r="AB843" s="1186"/>
      <c r="AC843" s="1186"/>
      <c r="AD843" s="1187"/>
    </row>
    <row r="844" spans="1:30" x14ac:dyDescent="0.2">
      <c r="A844">
        <f t="shared" ref="A844:A907" si="47">A843+(D844&lt;&gt;D843)*1</f>
        <v>21</v>
      </c>
      <c r="B844">
        <v>835</v>
      </c>
      <c r="C844" s="1078">
        <v>2</v>
      </c>
      <c r="D844" s="1077" t="s">
        <v>4722</v>
      </c>
      <c r="E844" s="1077" t="s">
        <v>5501</v>
      </c>
      <c r="F844" s="1185">
        <v>2</v>
      </c>
      <c r="G844" s="1186">
        <v>26.6</v>
      </c>
      <c r="H844" s="1186">
        <v>2.6494023904382473</v>
      </c>
      <c r="I844" s="1186">
        <v>36</v>
      </c>
      <c r="J844" s="1186">
        <v>3.2432432432432434</v>
      </c>
      <c r="K844" s="1186">
        <v>49.4</v>
      </c>
      <c r="L844" s="1186">
        <v>4.1652613827993257</v>
      </c>
      <c r="M844" s="1186">
        <v>58.6</v>
      </c>
      <c r="N844" s="1186">
        <v>4.8032786885245908</v>
      </c>
      <c r="O844" s="1186">
        <v>90</v>
      </c>
      <c r="P844" s="1186">
        <v>6.7771084337349397</v>
      </c>
      <c r="Q844" s="1186">
        <v>16.899999999999999</v>
      </c>
      <c r="R844" s="1186">
        <v>2.4074074074074074</v>
      </c>
      <c r="S844" s="1186">
        <v>52.8</v>
      </c>
      <c r="T844" s="1186">
        <v>3.0662020905923346</v>
      </c>
      <c r="U844" s="1186">
        <v>78.599999999999994</v>
      </c>
      <c r="V844" s="1186">
        <v>4.1764080765143463</v>
      </c>
      <c r="W844" s="1186"/>
      <c r="X844" s="1186"/>
      <c r="Y844" s="1186"/>
      <c r="Z844" s="1186"/>
      <c r="AA844" s="1186"/>
      <c r="AB844" s="1186"/>
      <c r="AC844" s="1186"/>
      <c r="AD844" s="1187"/>
    </row>
    <row r="845" spans="1:30" x14ac:dyDescent="0.2">
      <c r="A845">
        <f t="shared" si="47"/>
        <v>21</v>
      </c>
      <c r="B845">
        <v>836</v>
      </c>
      <c r="C845" s="1078">
        <v>2</v>
      </c>
      <c r="D845" s="1077" t="s">
        <v>4722</v>
      </c>
      <c r="E845" s="1077" t="s">
        <v>5502</v>
      </c>
      <c r="F845" s="1185">
        <v>2</v>
      </c>
      <c r="G845" s="1186">
        <v>33.9</v>
      </c>
      <c r="H845" s="1186">
        <v>2.7650897226753668</v>
      </c>
      <c r="I845" s="1186">
        <v>45.8</v>
      </c>
      <c r="J845" s="1186">
        <v>3.3775811209439524</v>
      </c>
      <c r="K845" s="1186">
        <v>62.8</v>
      </c>
      <c r="L845" s="1186">
        <v>4.2605156037991856</v>
      </c>
      <c r="M845" s="1186">
        <v>74.599999999999994</v>
      </c>
      <c r="N845" s="1186">
        <v>4.8441558441558437</v>
      </c>
      <c r="O845" s="1186">
        <v>114.2</v>
      </c>
      <c r="P845" s="1186">
        <v>6.5257142857142858</v>
      </c>
      <c r="Q845" s="1186">
        <v>21.3</v>
      </c>
      <c r="R845" s="1186">
        <v>2.4796274738067523</v>
      </c>
      <c r="S845" s="1186">
        <v>67</v>
      </c>
      <c r="T845" s="1186">
        <v>3.1308411214953273</v>
      </c>
      <c r="U845" s="1186">
        <v>100.2</v>
      </c>
      <c r="V845" s="1186">
        <v>4.1576763485477173</v>
      </c>
      <c r="W845" s="1186"/>
      <c r="X845" s="1186"/>
      <c r="Y845" s="1186"/>
      <c r="Z845" s="1186"/>
      <c r="AA845" s="1186"/>
      <c r="AB845" s="1186"/>
      <c r="AC845" s="1186"/>
      <c r="AD845" s="1187"/>
    </row>
    <row r="846" spans="1:30" x14ac:dyDescent="0.2">
      <c r="A846">
        <f t="shared" si="47"/>
        <v>21</v>
      </c>
      <c r="B846">
        <v>837</v>
      </c>
      <c r="C846" s="1078">
        <v>2</v>
      </c>
      <c r="D846" s="1077" t="s">
        <v>4722</v>
      </c>
      <c r="E846" s="1077" t="s">
        <v>5503</v>
      </c>
      <c r="F846" s="1185">
        <v>2</v>
      </c>
      <c r="G846" s="1186">
        <v>42</v>
      </c>
      <c r="H846" s="1186">
        <v>2.7814569536423841</v>
      </c>
      <c r="I846" s="1186">
        <v>55.8</v>
      </c>
      <c r="J846" s="1186">
        <v>3.3818181818181818</v>
      </c>
      <c r="K846" s="1186">
        <v>76</v>
      </c>
      <c r="L846" s="1186">
        <v>4.2792792792792786</v>
      </c>
      <c r="M846" s="1186">
        <v>89.8</v>
      </c>
      <c r="N846" s="1186">
        <v>4.8331539289558672</v>
      </c>
      <c r="O846" s="1186">
        <v>138.4</v>
      </c>
      <c r="P846" s="1186">
        <v>6.290909090909091</v>
      </c>
      <c r="Q846" s="1186">
        <v>26</v>
      </c>
      <c r="R846" s="1186">
        <v>2.5</v>
      </c>
      <c r="S846" s="1186">
        <v>80.8</v>
      </c>
      <c r="T846" s="1186">
        <v>3.1439688715953307</v>
      </c>
      <c r="U846" s="1186">
        <v>120.8</v>
      </c>
      <c r="V846" s="1186">
        <v>4.1944444444444446</v>
      </c>
      <c r="W846" s="1186"/>
      <c r="X846" s="1186"/>
      <c r="Y846" s="1186"/>
      <c r="Z846" s="1186"/>
      <c r="AA846" s="1186"/>
      <c r="AB846" s="1186"/>
      <c r="AC846" s="1186"/>
      <c r="AD846" s="1187"/>
    </row>
    <row r="847" spans="1:30" x14ac:dyDescent="0.2">
      <c r="A847">
        <f t="shared" si="47"/>
        <v>21</v>
      </c>
      <c r="B847">
        <v>838</v>
      </c>
      <c r="C847" s="1078">
        <v>2</v>
      </c>
      <c r="D847" s="1077" t="s">
        <v>4722</v>
      </c>
      <c r="E847" s="1077" t="s">
        <v>4723</v>
      </c>
      <c r="F847" s="1185">
        <v>2</v>
      </c>
      <c r="G847" s="1186">
        <v>28</v>
      </c>
      <c r="H847" s="1186">
        <v>3.1</v>
      </c>
      <c r="I847" s="1186">
        <v>32</v>
      </c>
      <c r="J847" s="1186">
        <v>3.25</v>
      </c>
      <c r="K847" s="1186">
        <v>40.799999999999997</v>
      </c>
      <c r="L847" s="1186">
        <v>4.0637450199203187</v>
      </c>
      <c r="M847" s="1186">
        <v>46.8</v>
      </c>
      <c r="N847" s="1186">
        <v>4.5882352941176467</v>
      </c>
      <c r="O847" s="1186">
        <v>66</v>
      </c>
      <c r="P847" s="1186">
        <v>6.2618595825426953</v>
      </c>
      <c r="Q847" s="1186">
        <v>32.700000000000003</v>
      </c>
      <c r="R847" s="1186">
        <v>2.7</v>
      </c>
      <c r="S847" s="1186">
        <v>48</v>
      </c>
      <c r="T847" s="1186">
        <v>3.4</v>
      </c>
      <c r="U847" s="1186">
        <v>65.599999999999994</v>
      </c>
      <c r="V847" s="1186">
        <v>4.5</v>
      </c>
      <c r="W847" s="1186"/>
      <c r="X847" s="1186"/>
      <c r="Y847" s="1186"/>
      <c r="Z847" s="1186"/>
      <c r="AA847" s="1186"/>
      <c r="AB847" s="1186"/>
      <c r="AC847" s="1186"/>
      <c r="AD847" s="1187"/>
    </row>
    <row r="848" spans="1:30" x14ac:dyDescent="0.2">
      <c r="A848">
        <f t="shared" si="47"/>
        <v>21</v>
      </c>
      <c r="B848">
        <v>839</v>
      </c>
      <c r="C848" s="1078">
        <v>2</v>
      </c>
      <c r="D848" s="1077" t="s">
        <v>4722</v>
      </c>
      <c r="E848" s="1077" t="s">
        <v>4724</v>
      </c>
      <c r="F848" s="1185">
        <v>2</v>
      </c>
      <c r="G848" s="1186">
        <v>40</v>
      </c>
      <c r="H848" s="1186">
        <v>3.2</v>
      </c>
      <c r="I848" s="1186">
        <v>44</v>
      </c>
      <c r="J848" s="1186">
        <v>3.4755134281200633</v>
      </c>
      <c r="K848" s="1186">
        <v>57</v>
      </c>
      <c r="L848" s="1186">
        <v>4.2</v>
      </c>
      <c r="M848" s="1186">
        <v>65.400000000000006</v>
      </c>
      <c r="N848" s="1186">
        <v>4.8301329394387009</v>
      </c>
      <c r="O848" s="1186">
        <v>91.6</v>
      </c>
      <c r="P848" s="1186">
        <v>6.6184971098265892</v>
      </c>
      <c r="Q848" s="1186">
        <v>46</v>
      </c>
      <c r="R848" s="1186">
        <v>2.9</v>
      </c>
      <c r="S848" s="1186">
        <v>66.599999999999994</v>
      </c>
      <c r="T848" s="1186">
        <v>3.5</v>
      </c>
      <c r="U848" s="1186">
        <v>91.2</v>
      </c>
      <c r="V848" s="1186">
        <v>4.5</v>
      </c>
      <c r="W848" s="1186"/>
      <c r="X848" s="1186"/>
      <c r="Y848" s="1186"/>
      <c r="Z848" s="1186"/>
      <c r="AA848" s="1186"/>
      <c r="AB848" s="1186"/>
      <c r="AC848" s="1186"/>
      <c r="AD848" s="1187"/>
    </row>
    <row r="849" spans="1:30" x14ac:dyDescent="0.2">
      <c r="A849">
        <f t="shared" si="47"/>
        <v>21</v>
      </c>
      <c r="B849">
        <v>840</v>
      </c>
      <c r="C849" s="1078">
        <v>2</v>
      </c>
      <c r="D849" s="1077" t="s">
        <v>4722</v>
      </c>
      <c r="E849" s="1077" t="s">
        <v>4725</v>
      </c>
      <c r="F849" s="1185">
        <v>2</v>
      </c>
      <c r="G849" s="1186">
        <v>50</v>
      </c>
      <c r="H849" s="1186">
        <v>3.2</v>
      </c>
      <c r="I849" s="1186">
        <v>54.4</v>
      </c>
      <c r="J849" s="1186">
        <v>3.4738186462324392</v>
      </c>
      <c r="K849" s="1186">
        <v>71.400000000000006</v>
      </c>
      <c r="L849" s="1186">
        <v>4.22</v>
      </c>
      <c r="M849" s="1186">
        <v>82.6</v>
      </c>
      <c r="N849" s="1186">
        <v>4.8417350527549825</v>
      </c>
      <c r="O849" s="1186">
        <v>118.4</v>
      </c>
      <c r="P849" s="1186">
        <v>6.4069264069264067</v>
      </c>
      <c r="Q849" s="1186">
        <v>52</v>
      </c>
      <c r="R849" s="1186">
        <v>2.6</v>
      </c>
      <c r="S849" s="1186">
        <v>83.8</v>
      </c>
      <c r="T849" s="1186">
        <v>3.3</v>
      </c>
      <c r="U849" s="1186">
        <v>116</v>
      </c>
      <c r="V849" s="1186">
        <v>4.2181818181818178</v>
      </c>
      <c r="W849" s="1186"/>
      <c r="X849" s="1186"/>
      <c r="Y849" s="1186"/>
      <c r="Z849" s="1186"/>
      <c r="AA849" s="1186"/>
      <c r="AB849" s="1186"/>
      <c r="AC849" s="1186"/>
      <c r="AD849" s="1187"/>
    </row>
    <row r="850" spans="1:30" x14ac:dyDescent="0.2">
      <c r="A850">
        <f t="shared" si="47"/>
        <v>21</v>
      </c>
      <c r="B850">
        <v>841</v>
      </c>
      <c r="C850" s="1078">
        <v>2</v>
      </c>
      <c r="D850" s="1077" t="s">
        <v>4722</v>
      </c>
      <c r="E850" s="1077" t="s">
        <v>5504</v>
      </c>
      <c r="F850" s="1185">
        <v>2</v>
      </c>
      <c r="G850" s="1186">
        <v>19.38</v>
      </c>
      <c r="H850" s="1186">
        <v>2.4531645569620251</v>
      </c>
      <c r="I850" s="1186">
        <v>26</v>
      </c>
      <c r="J850" s="1186">
        <v>3.051643192488263</v>
      </c>
      <c r="K850" s="1186">
        <v>35.700000000000003</v>
      </c>
      <c r="L850" s="1186">
        <v>3.9230769230769234</v>
      </c>
      <c r="M850" s="1186">
        <v>42.4</v>
      </c>
      <c r="N850" s="1186">
        <v>4.5010615711252653</v>
      </c>
      <c r="O850" s="1186">
        <v>65</v>
      </c>
      <c r="P850" s="1186">
        <v>6.1320754716981138</v>
      </c>
      <c r="Q850" s="1186">
        <v>12.35</v>
      </c>
      <c r="R850" s="1186">
        <v>2.2998137802607075</v>
      </c>
      <c r="S850" s="1186">
        <v>38.200000000000003</v>
      </c>
      <c r="T850" s="1186">
        <v>2.9797191887675507</v>
      </c>
      <c r="U850" s="1186">
        <v>56.6</v>
      </c>
      <c r="V850" s="1186">
        <v>4.0028288543140027</v>
      </c>
      <c r="W850" s="1186"/>
      <c r="X850" s="1186"/>
      <c r="Y850" s="1186"/>
      <c r="Z850" s="1186"/>
      <c r="AA850" s="1186"/>
      <c r="AB850" s="1186"/>
      <c r="AC850" s="1186"/>
      <c r="AD850" s="1187"/>
    </row>
    <row r="851" spans="1:30" x14ac:dyDescent="0.2">
      <c r="A851">
        <f t="shared" si="47"/>
        <v>21</v>
      </c>
      <c r="B851">
        <v>842</v>
      </c>
      <c r="C851" s="1078">
        <v>2</v>
      </c>
      <c r="D851" s="1077" t="s">
        <v>4722</v>
      </c>
      <c r="E851" s="1077" t="s">
        <v>5505</v>
      </c>
      <c r="F851" s="1185">
        <v>2</v>
      </c>
      <c r="G851" s="1186">
        <v>26.6</v>
      </c>
      <c r="H851" s="1186">
        <v>2.6494023904382473</v>
      </c>
      <c r="I851" s="1186">
        <v>36</v>
      </c>
      <c r="J851" s="1186">
        <v>3.2432432432432434</v>
      </c>
      <c r="K851" s="1186">
        <v>49.4</v>
      </c>
      <c r="L851" s="1186">
        <v>4.1652613827993257</v>
      </c>
      <c r="M851" s="1186">
        <v>58.6</v>
      </c>
      <c r="N851" s="1186">
        <v>4.8032786885245908</v>
      </c>
      <c r="O851" s="1186">
        <v>90</v>
      </c>
      <c r="P851" s="1186">
        <v>6.7771084337349397</v>
      </c>
      <c r="Q851" s="1186">
        <v>16.899999999999999</v>
      </c>
      <c r="R851" s="1186">
        <v>2.4074074074074074</v>
      </c>
      <c r="S851" s="1186">
        <v>52.8</v>
      </c>
      <c r="T851" s="1186">
        <v>3.0662020905923346</v>
      </c>
      <c r="U851" s="1186">
        <v>78.599999999999994</v>
      </c>
      <c r="V851" s="1186">
        <v>4.1764080765143463</v>
      </c>
      <c r="W851" s="1186"/>
      <c r="X851" s="1186"/>
      <c r="Y851" s="1186"/>
      <c r="Z851" s="1186"/>
      <c r="AA851" s="1186"/>
      <c r="AB851" s="1186"/>
      <c r="AC851" s="1186"/>
      <c r="AD851" s="1187"/>
    </row>
    <row r="852" spans="1:30" x14ac:dyDescent="0.2">
      <c r="A852">
        <f t="shared" si="47"/>
        <v>21</v>
      </c>
      <c r="B852">
        <v>843</v>
      </c>
      <c r="C852" s="1078">
        <v>2</v>
      </c>
      <c r="D852" s="1077" t="s">
        <v>4722</v>
      </c>
      <c r="E852" s="1077" t="s">
        <v>5506</v>
      </c>
      <c r="F852" s="1185">
        <v>2</v>
      </c>
      <c r="G852" s="1186">
        <v>33.9</v>
      </c>
      <c r="H852" s="1186">
        <v>2.7650897226753668</v>
      </c>
      <c r="I852" s="1186">
        <v>45.8</v>
      </c>
      <c r="J852" s="1186">
        <v>3.3775811209439524</v>
      </c>
      <c r="K852" s="1186">
        <v>62.8</v>
      </c>
      <c r="L852" s="1186">
        <v>4.2605156037991856</v>
      </c>
      <c r="M852" s="1186">
        <v>74.599999999999994</v>
      </c>
      <c r="N852" s="1186">
        <v>4.8441558441558437</v>
      </c>
      <c r="O852" s="1186">
        <v>114.2</v>
      </c>
      <c r="P852" s="1186">
        <v>6.5257142857142858</v>
      </c>
      <c r="Q852" s="1186">
        <v>21.3</v>
      </c>
      <c r="R852" s="1186">
        <v>2.4796274738067523</v>
      </c>
      <c r="S852" s="1186">
        <v>67</v>
      </c>
      <c r="T852" s="1186">
        <v>3.1308411214953273</v>
      </c>
      <c r="U852" s="1186">
        <v>100.2</v>
      </c>
      <c r="V852" s="1186">
        <v>4.1576763485477173</v>
      </c>
      <c r="W852" s="1186"/>
      <c r="X852" s="1186"/>
      <c r="Y852" s="1186"/>
      <c r="Z852" s="1186"/>
      <c r="AA852" s="1186"/>
      <c r="AB852" s="1186"/>
      <c r="AC852" s="1186"/>
      <c r="AD852" s="1187"/>
    </row>
    <row r="853" spans="1:30" x14ac:dyDescent="0.2">
      <c r="A853">
        <f t="shared" si="47"/>
        <v>21</v>
      </c>
      <c r="B853">
        <v>844</v>
      </c>
      <c r="C853" s="1078">
        <v>2</v>
      </c>
      <c r="D853" s="1077" t="s">
        <v>4722</v>
      </c>
      <c r="E853" s="1077" t="s">
        <v>5507</v>
      </c>
      <c r="F853" s="1185">
        <v>2</v>
      </c>
      <c r="G853" s="1186">
        <v>42</v>
      </c>
      <c r="H853" s="1186">
        <v>2.7814569536423841</v>
      </c>
      <c r="I853" s="1186">
        <v>55.8</v>
      </c>
      <c r="J853" s="1186">
        <v>3.3818181818181818</v>
      </c>
      <c r="K853" s="1186">
        <v>76</v>
      </c>
      <c r="L853" s="1186">
        <v>4.2792792792792786</v>
      </c>
      <c r="M853" s="1186">
        <v>89.8</v>
      </c>
      <c r="N853" s="1186">
        <v>4.8331539289558672</v>
      </c>
      <c r="O853" s="1186">
        <v>138.4</v>
      </c>
      <c r="P853" s="1186">
        <v>6.290909090909091</v>
      </c>
      <c r="Q853" s="1186">
        <v>26</v>
      </c>
      <c r="R853" s="1186">
        <v>2.5</v>
      </c>
      <c r="S853" s="1186">
        <v>80.8</v>
      </c>
      <c r="T853" s="1186">
        <v>3.1439688715953307</v>
      </c>
      <c r="U853" s="1186">
        <v>120.8</v>
      </c>
      <c r="V853" s="1186">
        <v>4.1944444444444446</v>
      </c>
      <c r="W853" s="1186"/>
      <c r="X853" s="1186"/>
      <c r="Y853" s="1186"/>
      <c r="Z853" s="1186"/>
      <c r="AA853" s="1186"/>
      <c r="AB853" s="1186"/>
      <c r="AC853" s="1186"/>
      <c r="AD853" s="1187"/>
    </row>
    <row r="854" spans="1:30" x14ac:dyDescent="0.2">
      <c r="A854">
        <f t="shared" si="47"/>
        <v>21</v>
      </c>
      <c r="B854">
        <v>845</v>
      </c>
      <c r="C854" s="1078">
        <v>2</v>
      </c>
      <c r="D854" s="1077" t="s">
        <v>4722</v>
      </c>
      <c r="E854" s="1077" t="s">
        <v>4726</v>
      </c>
      <c r="F854" s="1185">
        <v>2</v>
      </c>
      <c r="G854" s="1186">
        <v>28</v>
      </c>
      <c r="H854" s="1186">
        <v>3.1</v>
      </c>
      <c r="I854" s="1186">
        <v>32</v>
      </c>
      <c r="J854" s="1186">
        <v>3.25</v>
      </c>
      <c r="K854" s="1186">
        <v>40.799999999999997</v>
      </c>
      <c r="L854" s="1186">
        <v>4.0637450199203187</v>
      </c>
      <c r="M854" s="1186">
        <v>46.8</v>
      </c>
      <c r="N854" s="1186">
        <v>4.5882352941176467</v>
      </c>
      <c r="O854" s="1186">
        <v>66</v>
      </c>
      <c r="P854" s="1186">
        <v>6.2618595825426953</v>
      </c>
      <c r="Q854" s="1186">
        <v>32.700000000000003</v>
      </c>
      <c r="R854" s="1186">
        <v>2.7</v>
      </c>
      <c r="S854" s="1186">
        <v>48</v>
      </c>
      <c r="T854" s="1186">
        <v>3.4</v>
      </c>
      <c r="U854" s="1186">
        <v>65.599999999999994</v>
      </c>
      <c r="V854" s="1186">
        <v>4.5</v>
      </c>
      <c r="W854" s="1186"/>
      <c r="X854" s="1186"/>
      <c r="Y854" s="1186"/>
      <c r="Z854" s="1186"/>
      <c r="AA854" s="1186"/>
      <c r="AB854" s="1186"/>
      <c r="AC854" s="1186"/>
      <c r="AD854" s="1187"/>
    </row>
    <row r="855" spans="1:30" x14ac:dyDescent="0.2">
      <c r="A855">
        <f t="shared" si="47"/>
        <v>21</v>
      </c>
      <c r="B855">
        <v>846</v>
      </c>
      <c r="C855" s="1078">
        <v>2</v>
      </c>
      <c r="D855" s="1077" t="s">
        <v>4722</v>
      </c>
      <c r="E855" s="1077" t="s">
        <v>4727</v>
      </c>
      <c r="F855" s="1185">
        <v>2</v>
      </c>
      <c r="G855" s="1186">
        <v>40</v>
      </c>
      <c r="H855" s="1186">
        <v>3.2</v>
      </c>
      <c r="I855" s="1186">
        <v>44</v>
      </c>
      <c r="J855" s="1186">
        <v>3.4755134281200633</v>
      </c>
      <c r="K855" s="1186">
        <v>57</v>
      </c>
      <c r="L855" s="1186">
        <v>4.2</v>
      </c>
      <c r="M855" s="1186">
        <v>65.400000000000006</v>
      </c>
      <c r="N855" s="1186">
        <v>4.8301329394387009</v>
      </c>
      <c r="O855" s="1186">
        <v>91.6</v>
      </c>
      <c r="P855" s="1186">
        <v>6.6184971098265892</v>
      </c>
      <c r="Q855" s="1186">
        <v>46</v>
      </c>
      <c r="R855" s="1186">
        <v>2.9</v>
      </c>
      <c r="S855" s="1186">
        <v>66.599999999999994</v>
      </c>
      <c r="T855" s="1186">
        <v>3.5</v>
      </c>
      <c r="U855" s="1186">
        <v>91.2</v>
      </c>
      <c r="V855" s="1186">
        <v>4.5</v>
      </c>
      <c r="W855" s="1186"/>
      <c r="X855" s="1186"/>
      <c r="Y855" s="1186"/>
      <c r="Z855" s="1186"/>
      <c r="AA855" s="1186"/>
      <c r="AB855" s="1186"/>
      <c r="AC855" s="1186"/>
      <c r="AD855" s="1187"/>
    </row>
    <row r="856" spans="1:30" x14ac:dyDescent="0.2">
      <c r="A856">
        <f t="shared" si="47"/>
        <v>21</v>
      </c>
      <c r="B856">
        <v>847</v>
      </c>
      <c r="C856" s="1078">
        <v>2</v>
      </c>
      <c r="D856" s="1077" t="s">
        <v>4722</v>
      </c>
      <c r="E856" s="1077" t="s">
        <v>4728</v>
      </c>
      <c r="F856" s="1185">
        <v>2</v>
      </c>
      <c r="G856" s="1186">
        <v>50</v>
      </c>
      <c r="H856" s="1186">
        <v>3.2</v>
      </c>
      <c r="I856" s="1186">
        <v>54.4</v>
      </c>
      <c r="J856" s="1186">
        <v>3.4738186462324392</v>
      </c>
      <c r="K856" s="1186">
        <v>71.400000000000006</v>
      </c>
      <c r="L856" s="1186">
        <v>4.22</v>
      </c>
      <c r="M856" s="1186">
        <v>82.6</v>
      </c>
      <c r="N856" s="1186">
        <v>4.8417350527549825</v>
      </c>
      <c r="O856" s="1186">
        <v>118.4</v>
      </c>
      <c r="P856" s="1186">
        <v>6.4069264069264067</v>
      </c>
      <c r="Q856" s="1186">
        <v>52</v>
      </c>
      <c r="R856" s="1186">
        <v>2.6</v>
      </c>
      <c r="S856" s="1186">
        <v>83.8</v>
      </c>
      <c r="T856" s="1186">
        <v>3.3</v>
      </c>
      <c r="U856" s="1186">
        <v>116</v>
      </c>
      <c r="V856" s="1186">
        <v>4.2181818181818178</v>
      </c>
      <c r="W856" s="1186"/>
      <c r="X856" s="1186"/>
      <c r="Y856" s="1186"/>
      <c r="Z856" s="1186"/>
      <c r="AA856" s="1186"/>
      <c r="AB856" s="1186"/>
      <c r="AC856" s="1186"/>
      <c r="AD856" s="1187"/>
    </row>
    <row r="857" spans="1:30" x14ac:dyDescent="0.2">
      <c r="A857">
        <f t="shared" si="47"/>
        <v>21</v>
      </c>
      <c r="B857">
        <v>848</v>
      </c>
      <c r="C857" s="1078">
        <v>2</v>
      </c>
      <c r="D857" s="1077" t="s">
        <v>4722</v>
      </c>
      <c r="E857" s="1077" t="s">
        <v>4729</v>
      </c>
      <c r="F857" s="1185">
        <v>4</v>
      </c>
      <c r="G857" s="1186">
        <v>3.2</v>
      </c>
      <c r="H857" s="1186">
        <v>2.335766423357664</v>
      </c>
      <c r="I857" s="1186">
        <v>3.3</v>
      </c>
      <c r="J857" s="1186">
        <v>2.79</v>
      </c>
      <c r="K857" s="1186">
        <v>3.2</v>
      </c>
      <c r="L857" s="1186">
        <v>3.63</v>
      </c>
      <c r="M857" s="1186">
        <v>3.2</v>
      </c>
      <c r="N857" s="1186">
        <v>5.3</v>
      </c>
      <c r="O857" s="1186">
        <v>3.26</v>
      </c>
      <c r="P857" s="1186">
        <v>7.670588235294117</v>
      </c>
      <c r="Q857" s="1186">
        <v>3.2</v>
      </c>
      <c r="R857" s="1186">
        <v>1.787709497206704</v>
      </c>
      <c r="S857" s="1186">
        <v>3.2</v>
      </c>
      <c r="T857" s="1186">
        <v>2.8070175438596494</v>
      </c>
      <c r="U857" s="1186">
        <v>3.82</v>
      </c>
      <c r="V857" s="1186">
        <v>3.42</v>
      </c>
      <c r="W857" s="1186"/>
      <c r="X857" s="1186"/>
      <c r="Y857" s="1186"/>
      <c r="Z857" s="1186"/>
      <c r="AA857" s="1186"/>
      <c r="AB857" s="1186"/>
      <c r="AC857" s="1186"/>
      <c r="AD857" s="1187"/>
    </row>
    <row r="858" spans="1:30" x14ac:dyDescent="0.2">
      <c r="A858">
        <f t="shared" si="47"/>
        <v>21</v>
      </c>
      <c r="B858">
        <v>849</v>
      </c>
      <c r="C858" s="1078">
        <v>2</v>
      </c>
      <c r="D858" s="1077" t="s">
        <v>4722</v>
      </c>
      <c r="E858" s="1077" t="s">
        <v>4730</v>
      </c>
      <c r="F858" s="1185">
        <v>4</v>
      </c>
      <c r="G858" s="1186">
        <v>4.2</v>
      </c>
      <c r="H858" s="1186">
        <v>2.1761658031088085</v>
      </c>
      <c r="I858" s="1186">
        <v>4.2</v>
      </c>
      <c r="J858" s="1186">
        <v>2.59</v>
      </c>
      <c r="K858" s="1186">
        <v>4.2</v>
      </c>
      <c r="L858" s="1186">
        <v>3.18</v>
      </c>
      <c r="M858" s="1186">
        <v>5</v>
      </c>
      <c r="N858" s="1186">
        <v>5</v>
      </c>
      <c r="O858" s="1186">
        <v>5</v>
      </c>
      <c r="P858" s="1186">
        <v>6.25</v>
      </c>
      <c r="Q858" s="1186">
        <v>3.55</v>
      </c>
      <c r="R858" s="1186">
        <v>1.7067307692307692</v>
      </c>
      <c r="S858" s="1186">
        <v>5</v>
      </c>
      <c r="T858" s="1186">
        <v>2.7173913043478262</v>
      </c>
      <c r="U858" s="1186">
        <v>5.43</v>
      </c>
      <c r="V858" s="1186">
        <v>3.8</v>
      </c>
      <c r="W858" s="1186"/>
      <c r="X858" s="1186"/>
      <c r="Y858" s="1186"/>
      <c r="Z858" s="1186"/>
      <c r="AA858" s="1186"/>
      <c r="AB858" s="1186"/>
      <c r="AC858" s="1186"/>
      <c r="AD858" s="1187"/>
    </row>
    <row r="859" spans="1:30" x14ac:dyDescent="0.2">
      <c r="A859">
        <f t="shared" si="47"/>
        <v>21</v>
      </c>
      <c r="B859">
        <v>850</v>
      </c>
      <c r="C859" s="1078">
        <v>2</v>
      </c>
      <c r="D859" s="1077" t="s">
        <v>4722</v>
      </c>
      <c r="E859" s="1077" t="s">
        <v>4731</v>
      </c>
      <c r="F859" s="1185">
        <v>4</v>
      </c>
      <c r="G859" s="1186">
        <v>7.4</v>
      </c>
      <c r="H859" s="1186">
        <v>2.3125</v>
      </c>
      <c r="I859" s="1186">
        <v>6.1</v>
      </c>
      <c r="J859" s="1186">
        <v>2.78</v>
      </c>
      <c r="K859" s="1186">
        <v>7</v>
      </c>
      <c r="L859" s="1186">
        <v>3.39</v>
      </c>
      <c r="M859" s="1186">
        <v>9</v>
      </c>
      <c r="N859" s="1186">
        <v>4.47</v>
      </c>
      <c r="O859" s="1186">
        <v>6.9</v>
      </c>
      <c r="P859" s="1186">
        <v>6.5714285714285712</v>
      </c>
      <c r="Q859" s="1186">
        <v>5.9</v>
      </c>
      <c r="R859" s="1186">
        <v>1.9281045751633987</v>
      </c>
      <c r="S859" s="1186">
        <v>8.9499999999999993</v>
      </c>
      <c r="T859" s="1186">
        <v>2.7795031055900616</v>
      </c>
      <c r="U859" s="1186">
        <v>8.14</v>
      </c>
      <c r="V859" s="1186">
        <v>3.51</v>
      </c>
      <c r="W859" s="1186"/>
      <c r="X859" s="1186"/>
      <c r="Y859" s="1186"/>
      <c r="Z859" s="1186"/>
      <c r="AA859" s="1186"/>
      <c r="AB859" s="1186"/>
      <c r="AC859" s="1186"/>
      <c r="AD859" s="1187"/>
    </row>
    <row r="860" spans="1:30" x14ac:dyDescent="0.2">
      <c r="A860">
        <f t="shared" si="47"/>
        <v>21</v>
      </c>
      <c r="B860">
        <v>851</v>
      </c>
      <c r="C860" s="1078">
        <v>2</v>
      </c>
      <c r="D860" s="1077" t="s">
        <v>4722</v>
      </c>
      <c r="E860" s="1077" t="s">
        <v>4732</v>
      </c>
      <c r="F860" s="1185">
        <v>4</v>
      </c>
      <c r="G860" s="1186">
        <v>9</v>
      </c>
      <c r="H860" s="1186">
        <v>2.5641025641025643</v>
      </c>
      <c r="I860" s="1186">
        <v>9</v>
      </c>
      <c r="J860" s="1186">
        <v>2.8481012658227849</v>
      </c>
      <c r="K860" s="1186">
        <v>9</v>
      </c>
      <c r="L860" s="1186">
        <v>3.5856573705179287</v>
      </c>
      <c r="M860" s="1186">
        <v>9</v>
      </c>
      <c r="N860" s="1186">
        <v>4.838709677419355</v>
      </c>
      <c r="O860" s="1186">
        <v>12.26</v>
      </c>
      <c r="P860" s="1186">
        <v>6.8111111111111109</v>
      </c>
      <c r="Q860" s="1186">
        <v>9</v>
      </c>
      <c r="R860" s="1186">
        <v>2.0179372197309418</v>
      </c>
      <c r="S860" s="1186">
        <v>9</v>
      </c>
      <c r="T860" s="1186">
        <v>2.9411764705882351</v>
      </c>
      <c r="U860" s="1186">
        <v>9</v>
      </c>
      <c r="V860" s="1186">
        <v>3.25</v>
      </c>
      <c r="W860" s="1186"/>
      <c r="X860" s="1186"/>
      <c r="Y860" s="1186"/>
      <c r="Z860" s="1186"/>
      <c r="AA860" s="1186"/>
      <c r="AB860" s="1186"/>
      <c r="AC860" s="1186"/>
      <c r="AD860" s="1187"/>
    </row>
    <row r="861" spans="1:30" x14ac:dyDescent="0.2">
      <c r="A861">
        <f t="shared" si="47"/>
        <v>21</v>
      </c>
      <c r="B861">
        <v>852</v>
      </c>
      <c r="C861" s="1078">
        <v>2</v>
      </c>
      <c r="D861" s="1077" t="s">
        <v>4722</v>
      </c>
      <c r="E861" s="1077" t="s">
        <v>4733</v>
      </c>
      <c r="F861" s="1185">
        <v>4</v>
      </c>
      <c r="G861" s="1186">
        <v>12</v>
      </c>
      <c r="H861" s="1186">
        <v>2.4193548387096775</v>
      </c>
      <c r="I861" s="1186">
        <v>12</v>
      </c>
      <c r="J861" s="1186">
        <v>2.7210884353741496</v>
      </c>
      <c r="K861" s="1186">
        <v>12</v>
      </c>
      <c r="L861" s="1186">
        <v>3.4383954154727792</v>
      </c>
      <c r="M861" s="1186">
        <v>12</v>
      </c>
      <c r="N861" s="1186">
        <v>4.7430830039525693</v>
      </c>
      <c r="O861" s="1186">
        <v>13.13</v>
      </c>
      <c r="P861" s="1186">
        <v>6.6313131313131315</v>
      </c>
      <c r="Q861" s="1186">
        <v>12</v>
      </c>
      <c r="R861" s="1186">
        <v>1.9169329073482428</v>
      </c>
      <c r="S861" s="1186">
        <v>12</v>
      </c>
      <c r="T861" s="1186">
        <v>2.8846153846153846</v>
      </c>
      <c r="U861" s="1186">
        <v>12</v>
      </c>
      <c r="V861" s="1186">
        <v>3.72</v>
      </c>
      <c r="W861" s="1186"/>
      <c r="X861" s="1186"/>
      <c r="Y861" s="1186"/>
      <c r="Z861" s="1186"/>
      <c r="AA861" s="1186"/>
      <c r="AB861" s="1186"/>
      <c r="AC861" s="1186"/>
      <c r="AD861" s="1187"/>
    </row>
    <row r="862" spans="1:30" x14ac:dyDescent="0.2">
      <c r="A862">
        <f t="shared" si="47"/>
        <v>21</v>
      </c>
      <c r="B862">
        <v>853</v>
      </c>
      <c r="C862" s="1078">
        <v>2</v>
      </c>
      <c r="D862" s="1077" t="s">
        <v>4722</v>
      </c>
      <c r="E862" s="1077" t="s">
        <v>4734</v>
      </c>
      <c r="F862" s="1185">
        <v>4</v>
      </c>
      <c r="G862" s="1186">
        <v>16</v>
      </c>
      <c r="H862" s="1186">
        <v>2.3222060957910013</v>
      </c>
      <c r="I862" s="1186">
        <v>16</v>
      </c>
      <c r="J862" s="1186">
        <v>2.4922118380062304</v>
      </c>
      <c r="K862" s="1186">
        <v>16</v>
      </c>
      <c r="L862" s="1186">
        <v>3.0710172744721689</v>
      </c>
      <c r="M862" s="1186">
        <v>16</v>
      </c>
      <c r="N862" s="1186">
        <v>4.2780748663101598</v>
      </c>
      <c r="O862" s="1186">
        <v>16</v>
      </c>
      <c r="P862" s="1186">
        <v>5.4794520547945202</v>
      </c>
      <c r="Q862" s="1186">
        <v>16</v>
      </c>
      <c r="R862" s="1186">
        <v>1.8561484918793505</v>
      </c>
      <c r="S862" s="1186">
        <v>16</v>
      </c>
      <c r="T862" s="1186">
        <v>2.7072758037225042</v>
      </c>
      <c r="U862" s="1186">
        <v>16</v>
      </c>
      <c r="V862" s="1186">
        <v>3.47</v>
      </c>
      <c r="W862" s="1186"/>
      <c r="X862" s="1186"/>
      <c r="Y862" s="1186"/>
      <c r="Z862" s="1186"/>
      <c r="AA862" s="1186"/>
      <c r="AB862" s="1186"/>
      <c r="AC862" s="1186"/>
      <c r="AD862" s="1187"/>
    </row>
    <row r="863" spans="1:30" x14ac:dyDescent="0.2">
      <c r="A863">
        <f t="shared" si="47"/>
        <v>21</v>
      </c>
      <c r="B863">
        <v>854</v>
      </c>
      <c r="C863" s="1078">
        <v>2</v>
      </c>
      <c r="D863" s="1077" t="s">
        <v>4722</v>
      </c>
      <c r="E863" s="1077" t="s">
        <v>4735</v>
      </c>
      <c r="F863" s="1185">
        <v>4</v>
      </c>
      <c r="G863" s="1186">
        <v>7.4</v>
      </c>
      <c r="H863" s="1186">
        <v>2.2400000000000002</v>
      </c>
      <c r="I863" s="1186">
        <v>6.6</v>
      </c>
      <c r="J863" s="1186">
        <v>3.1</v>
      </c>
      <c r="K863" s="1186">
        <v>5.7</v>
      </c>
      <c r="L863" s="1186">
        <v>4.0999999999999996</v>
      </c>
      <c r="M863" s="1186">
        <v>4.9000000000000004</v>
      </c>
      <c r="N863" s="1186">
        <v>4.9000000000000004</v>
      </c>
      <c r="O863" s="1186">
        <v>5.61</v>
      </c>
      <c r="P863" s="1186">
        <v>6.63</v>
      </c>
      <c r="Q863" s="1186">
        <v>5.6</v>
      </c>
      <c r="R863" s="1186">
        <v>2</v>
      </c>
      <c r="S863" s="1186">
        <v>4.8</v>
      </c>
      <c r="T863" s="1186">
        <v>2.8</v>
      </c>
      <c r="U863" s="1186">
        <v>8.7100000000000009</v>
      </c>
      <c r="V863" s="1186">
        <v>3.71</v>
      </c>
      <c r="W863" s="1186"/>
      <c r="X863" s="1186"/>
      <c r="Y863" s="1186"/>
      <c r="Z863" s="1186"/>
      <c r="AA863" s="1186"/>
      <c r="AB863" s="1186"/>
      <c r="AC863" s="1186"/>
      <c r="AD863" s="1187"/>
    </row>
    <row r="864" spans="1:30" x14ac:dyDescent="0.2">
      <c r="A864">
        <f t="shared" si="47"/>
        <v>21</v>
      </c>
      <c r="B864">
        <v>855</v>
      </c>
      <c r="C864" s="1078">
        <v>2</v>
      </c>
      <c r="D864" s="1077" t="s">
        <v>4722</v>
      </c>
      <c r="E864" s="1077" t="s">
        <v>4736</v>
      </c>
      <c r="F864" s="1185">
        <v>4</v>
      </c>
      <c r="G864" s="1186">
        <v>13.45</v>
      </c>
      <c r="H864" s="1186">
        <v>2.37</v>
      </c>
      <c r="I864" s="1186">
        <v>12.7</v>
      </c>
      <c r="J864" s="1186">
        <v>3</v>
      </c>
      <c r="K864" s="1186">
        <v>8.8000000000000007</v>
      </c>
      <c r="L864" s="1186">
        <v>4.2</v>
      </c>
      <c r="M864" s="1186">
        <v>6.1</v>
      </c>
      <c r="N864" s="1186">
        <v>5.0999999999999996</v>
      </c>
      <c r="O864" s="1186">
        <v>8.82</v>
      </c>
      <c r="P864" s="1186">
        <v>7.112903225806452</v>
      </c>
      <c r="Q864" s="1186">
        <v>12.7</v>
      </c>
      <c r="R864" s="1186">
        <v>2.1</v>
      </c>
      <c r="S864" s="1186">
        <v>7</v>
      </c>
      <c r="T864" s="1186">
        <v>2.9</v>
      </c>
      <c r="U864" s="1186">
        <v>9.2200000000000006</v>
      </c>
      <c r="V864" s="1186">
        <v>3.78</v>
      </c>
      <c r="W864" s="1186"/>
      <c r="X864" s="1186"/>
      <c r="Y864" s="1186"/>
      <c r="Z864" s="1186"/>
      <c r="AA864" s="1186"/>
      <c r="AB864" s="1186"/>
      <c r="AC864" s="1186"/>
      <c r="AD864" s="1187"/>
    </row>
    <row r="865" spans="1:30" x14ac:dyDescent="0.2">
      <c r="A865">
        <f t="shared" si="47"/>
        <v>21</v>
      </c>
      <c r="B865">
        <v>856</v>
      </c>
      <c r="C865" s="1078">
        <v>2</v>
      </c>
      <c r="D865" s="1077" t="s">
        <v>4722</v>
      </c>
      <c r="E865" s="1077" t="s">
        <v>4737</v>
      </c>
      <c r="F865" s="1185">
        <v>4</v>
      </c>
      <c r="G865" s="1186">
        <v>7.4</v>
      </c>
      <c r="H865" s="1186">
        <v>2.2400000000000002</v>
      </c>
      <c r="I865" s="1186">
        <v>6.6</v>
      </c>
      <c r="J865" s="1186">
        <v>3.1</v>
      </c>
      <c r="K865" s="1186">
        <v>5.7</v>
      </c>
      <c r="L865" s="1186">
        <v>4.0999999999999996</v>
      </c>
      <c r="M865" s="1186">
        <v>4.9000000000000004</v>
      </c>
      <c r="N865" s="1186">
        <v>4.9000000000000004</v>
      </c>
      <c r="O865" s="1186">
        <v>5.61</v>
      </c>
      <c r="P865" s="1186">
        <v>6.63</v>
      </c>
      <c r="Q865" s="1186">
        <v>5.6</v>
      </c>
      <c r="R865" s="1186">
        <v>2</v>
      </c>
      <c r="S865" s="1186">
        <v>4.8</v>
      </c>
      <c r="T865" s="1186">
        <v>2.8</v>
      </c>
      <c r="U865" s="1186">
        <v>8.7100000000000009</v>
      </c>
      <c r="V865" s="1186">
        <v>3.71</v>
      </c>
      <c r="W865" s="1186"/>
      <c r="X865" s="1186"/>
      <c r="Y865" s="1186"/>
      <c r="Z865" s="1186"/>
      <c r="AA865" s="1186"/>
      <c r="AB865" s="1186"/>
      <c r="AC865" s="1186"/>
      <c r="AD865" s="1187"/>
    </row>
    <row r="866" spans="1:30" x14ac:dyDescent="0.2">
      <c r="A866">
        <f t="shared" si="47"/>
        <v>21</v>
      </c>
      <c r="B866">
        <v>857</v>
      </c>
      <c r="C866" s="1078">
        <v>2</v>
      </c>
      <c r="D866" s="1077" t="s">
        <v>4722</v>
      </c>
      <c r="E866" s="1077" t="s">
        <v>4738</v>
      </c>
      <c r="F866" s="1185">
        <v>4</v>
      </c>
      <c r="G866" s="1186">
        <v>13.45</v>
      </c>
      <c r="H866" s="1186">
        <v>2.37</v>
      </c>
      <c r="I866" s="1186">
        <v>12.7</v>
      </c>
      <c r="J866" s="1186">
        <v>3</v>
      </c>
      <c r="K866" s="1186">
        <v>8.8000000000000007</v>
      </c>
      <c r="L866" s="1186">
        <v>4.2</v>
      </c>
      <c r="M866" s="1186">
        <v>6.1</v>
      </c>
      <c r="N866" s="1186">
        <v>5.0999999999999996</v>
      </c>
      <c r="O866" s="1186">
        <v>8.82</v>
      </c>
      <c r="P866" s="1186">
        <v>7.112903225806452</v>
      </c>
      <c r="Q866" s="1186">
        <v>12.7</v>
      </c>
      <c r="R866" s="1186">
        <v>2.1</v>
      </c>
      <c r="S866" s="1186">
        <v>7</v>
      </c>
      <c r="T866" s="1186">
        <v>2.9</v>
      </c>
      <c r="U866" s="1186">
        <v>9.2200000000000006</v>
      </c>
      <c r="V866" s="1186">
        <v>3.78</v>
      </c>
      <c r="W866" s="1186"/>
      <c r="X866" s="1186"/>
      <c r="Y866" s="1186"/>
      <c r="Z866" s="1186"/>
      <c r="AA866" s="1186"/>
      <c r="AB866" s="1186"/>
      <c r="AC866" s="1186"/>
      <c r="AD866" s="1187"/>
    </row>
    <row r="867" spans="1:30" x14ac:dyDescent="0.2">
      <c r="A867">
        <f t="shared" si="47"/>
        <v>21</v>
      </c>
      <c r="B867">
        <v>858</v>
      </c>
      <c r="C867" s="1078">
        <v>2</v>
      </c>
      <c r="D867" s="1077" t="s">
        <v>4722</v>
      </c>
      <c r="E867" s="1077" t="s">
        <v>4300</v>
      </c>
      <c r="F867" s="1185">
        <v>1</v>
      </c>
      <c r="G867" s="1186">
        <v>4.2</v>
      </c>
      <c r="H867" s="1186">
        <v>2.4</v>
      </c>
      <c r="I867" s="1186">
        <v>5.4</v>
      </c>
      <c r="J867" s="1186">
        <v>3</v>
      </c>
      <c r="K867" s="1186">
        <v>6.8</v>
      </c>
      <c r="L867" s="1186">
        <v>3.9</v>
      </c>
      <c r="M867" s="1186">
        <v>8.5</v>
      </c>
      <c r="N867" s="1186">
        <v>4.7</v>
      </c>
      <c r="O867" s="1186">
        <v>10.6</v>
      </c>
      <c r="P867" s="1186">
        <v>6</v>
      </c>
      <c r="Q867" s="1186">
        <v>5</v>
      </c>
      <c r="R867" s="1186">
        <v>1.9</v>
      </c>
      <c r="S867" s="1186">
        <v>7.5</v>
      </c>
      <c r="T867" s="1186">
        <v>2.9</v>
      </c>
      <c r="U867" s="1186">
        <v>9.6</v>
      </c>
      <c r="V867" s="1186">
        <v>3.5</v>
      </c>
      <c r="W867" s="1186"/>
      <c r="X867" s="1186"/>
      <c r="Y867" s="1186"/>
      <c r="Z867" s="1186"/>
      <c r="AA867" s="1186"/>
      <c r="AB867" s="1186"/>
      <c r="AC867" s="1186"/>
      <c r="AD867" s="1187"/>
    </row>
    <row r="868" spans="1:30" x14ac:dyDescent="0.2">
      <c r="A868">
        <f t="shared" si="47"/>
        <v>21</v>
      </c>
      <c r="B868">
        <v>859</v>
      </c>
      <c r="C868" s="1078">
        <v>2</v>
      </c>
      <c r="D868" s="1077" t="s">
        <v>4722</v>
      </c>
      <c r="E868" s="1077" t="s">
        <v>4307</v>
      </c>
      <c r="F868" s="1185">
        <v>1</v>
      </c>
      <c r="G868" s="1186">
        <v>5.7</v>
      </c>
      <c r="H868" s="1186">
        <v>2.6</v>
      </c>
      <c r="I868" s="1186">
        <v>7.1</v>
      </c>
      <c r="J868" s="1186">
        <v>3.1</v>
      </c>
      <c r="K868" s="1186">
        <v>9.4</v>
      </c>
      <c r="L868" s="1186">
        <v>4</v>
      </c>
      <c r="M868" s="1186">
        <v>11.5</v>
      </c>
      <c r="N868" s="1186">
        <v>4.8</v>
      </c>
      <c r="O868" s="1186">
        <v>14.4</v>
      </c>
      <c r="P868" s="1186">
        <v>6.1</v>
      </c>
      <c r="Q868" s="1186">
        <v>6.8</v>
      </c>
      <c r="R868" s="1186">
        <v>2.1</v>
      </c>
      <c r="S868" s="1186">
        <v>10.3</v>
      </c>
      <c r="T868" s="1186">
        <v>3</v>
      </c>
      <c r="U868" s="1186">
        <v>12.9</v>
      </c>
      <c r="V868" s="1186">
        <v>3.6</v>
      </c>
      <c r="W868" s="1186"/>
      <c r="X868" s="1186"/>
      <c r="Y868" s="1186"/>
      <c r="Z868" s="1186"/>
      <c r="AA868" s="1186"/>
      <c r="AB868" s="1186"/>
      <c r="AC868" s="1186"/>
      <c r="AD868" s="1187"/>
    </row>
    <row r="869" spans="1:30" x14ac:dyDescent="0.2">
      <c r="A869">
        <f t="shared" si="47"/>
        <v>21</v>
      </c>
      <c r="B869">
        <v>860</v>
      </c>
      <c r="C869" s="1078">
        <v>2</v>
      </c>
      <c r="D869" s="1077" t="s">
        <v>4722</v>
      </c>
      <c r="E869" s="1077" t="s">
        <v>4739</v>
      </c>
      <c r="F869" s="1185">
        <v>1</v>
      </c>
      <c r="G869" s="1186">
        <v>5.7</v>
      </c>
      <c r="H869" s="1186">
        <v>2.6</v>
      </c>
      <c r="I869" s="1186">
        <v>7.1</v>
      </c>
      <c r="J869" s="1186">
        <v>3.3</v>
      </c>
      <c r="K869" s="1186">
        <v>9.4</v>
      </c>
      <c r="L869" s="1186">
        <v>4.2</v>
      </c>
      <c r="M869" s="1186">
        <v>11.5</v>
      </c>
      <c r="N869" s="1186">
        <v>5</v>
      </c>
      <c r="O869" s="1186">
        <v>14.4</v>
      </c>
      <c r="P869" s="1186">
        <v>6.3</v>
      </c>
      <c r="Q869" s="1186">
        <v>6.9</v>
      </c>
      <c r="R869" s="1186">
        <v>2.2000000000000002</v>
      </c>
      <c r="S869" s="1186">
        <v>10.3</v>
      </c>
      <c r="T869" s="1186">
        <v>3.2</v>
      </c>
      <c r="U869" s="1186">
        <v>12.9</v>
      </c>
      <c r="V869" s="1186">
        <v>3.8</v>
      </c>
      <c r="W869" s="1186"/>
      <c r="X869" s="1186"/>
      <c r="Y869" s="1186"/>
      <c r="Z869" s="1186"/>
      <c r="AA869" s="1186"/>
      <c r="AB869" s="1186"/>
      <c r="AC869" s="1186"/>
      <c r="AD869" s="1187"/>
    </row>
    <row r="870" spans="1:30" x14ac:dyDescent="0.2">
      <c r="A870">
        <f t="shared" si="47"/>
        <v>21</v>
      </c>
      <c r="B870">
        <v>861</v>
      </c>
      <c r="C870" s="1078">
        <v>2</v>
      </c>
      <c r="D870" s="1077" t="s">
        <v>4722</v>
      </c>
      <c r="E870" s="1077" t="s">
        <v>4740</v>
      </c>
      <c r="F870" s="1185">
        <v>1</v>
      </c>
      <c r="G870" s="1186">
        <v>4.3</v>
      </c>
      <c r="H870" s="1186">
        <v>2.2999999999999998</v>
      </c>
      <c r="I870" s="1186">
        <v>5.3</v>
      </c>
      <c r="J870" s="1186">
        <v>2.9</v>
      </c>
      <c r="K870" s="1186">
        <v>6.6</v>
      </c>
      <c r="L870" s="1186">
        <v>3.6</v>
      </c>
      <c r="M870" s="1186">
        <v>7.7</v>
      </c>
      <c r="N870" s="1186">
        <v>4.0999999999999996</v>
      </c>
      <c r="O870" s="1186">
        <v>9.6</v>
      </c>
      <c r="P870" s="1186">
        <v>5.0999999999999996</v>
      </c>
      <c r="Q870" s="1186">
        <v>4.9000000000000004</v>
      </c>
      <c r="R870" s="1186">
        <v>1.8</v>
      </c>
      <c r="S870" s="1186">
        <v>7.4</v>
      </c>
      <c r="T870" s="1186">
        <v>3.2</v>
      </c>
      <c r="U870" s="1186">
        <v>9.1</v>
      </c>
      <c r="V870" s="1186">
        <v>3.2</v>
      </c>
      <c r="W870" s="1186"/>
      <c r="X870" s="1186"/>
      <c r="Y870" s="1186"/>
      <c r="Z870" s="1186"/>
      <c r="AA870" s="1186"/>
      <c r="AB870" s="1186"/>
      <c r="AC870" s="1186"/>
      <c r="AD870" s="1187"/>
    </row>
    <row r="871" spans="1:30" x14ac:dyDescent="0.2">
      <c r="A871">
        <f t="shared" si="47"/>
        <v>21</v>
      </c>
      <c r="B871">
        <v>862</v>
      </c>
      <c r="C871" s="1078">
        <v>2</v>
      </c>
      <c r="D871" s="1077" t="s">
        <v>4722</v>
      </c>
      <c r="E871" s="1077" t="s">
        <v>5508</v>
      </c>
      <c r="F871" s="1185">
        <v>1</v>
      </c>
      <c r="G871" s="1186">
        <v>5.7</v>
      </c>
      <c r="H871" s="1186">
        <v>2.6</v>
      </c>
      <c r="I871" s="1186">
        <v>7</v>
      </c>
      <c r="J871" s="1186">
        <v>3</v>
      </c>
      <c r="K871" s="1186">
        <v>8.3000000000000007</v>
      </c>
      <c r="L871" s="1186">
        <v>3.6</v>
      </c>
      <c r="M871" s="1186">
        <v>10</v>
      </c>
      <c r="N871" s="1186">
        <v>4.2</v>
      </c>
      <c r="O871" s="1186">
        <v>12.9</v>
      </c>
      <c r="P871" s="1186">
        <v>5.4</v>
      </c>
      <c r="Q871" s="1186">
        <v>6.4</v>
      </c>
      <c r="R871" s="1186">
        <v>2</v>
      </c>
      <c r="S871" s="1186">
        <v>9.8000000000000007</v>
      </c>
      <c r="T871" s="1186">
        <v>2.8</v>
      </c>
      <c r="U871" s="1186">
        <v>12.2</v>
      </c>
      <c r="V871" s="1186">
        <v>3.4</v>
      </c>
      <c r="W871" s="1186"/>
      <c r="X871" s="1186"/>
      <c r="Y871" s="1186"/>
      <c r="Z871" s="1186"/>
      <c r="AA871" s="1186"/>
      <c r="AB871" s="1186"/>
      <c r="AC871" s="1186"/>
      <c r="AD871" s="1187"/>
    </row>
    <row r="872" spans="1:30" x14ac:dyDescent="0.2">
      <c r="A872">
        <f t="shared" si="47"/>
        <v>21</v>
      </c>
      <c r="B872">
        <v>863</v>
      </c>
      <c r="C872" s="1078">
        <v>2</v>
      </c>
      <c r="D872" s="1077" t="s">
        <v>4722</v>
      </c>
      <c r="E872" s="1077" t="s">
        <v>5509</v>
      </c>
      <c r="F872" s="1185">
        <v>1</v>
      </c>
      <c r="G872" s="1186">
        <v>8.6</v>
      </c>
      <c r="H872" s="1186">
        <v>2.2000000000000002</v>
      </c>
      <c r="I872" s="1186">
        <v>10.7</v>
      </c>
      <c r="J872" s="1186">
        <v>2.7</v>
      </c>
      <c r="K872" s="1186">
        <v>13.4</v>
      </c>
      <c r="L872" s="1186">
        <v>3.3</v>
      </c>
      <c r="M872" s="1186">
        <v>16.399999999999999</v>
      </c>
      <c r="N872" s="1186">
        <v>4</v>
      </c>
      <c r="O872" s="1186">
        <v>22.5</v>
      </c>
      <c r="P872" s="1186">
        <v>5.2</v>
      </c>
      <c r="Q872" s="1186">
        <v>9.8000000000000007</v>
      </c>
      <c r="R872" s="1186">
        <v>1.7</v>
      </c>
      <c r="S872" s="1186">
        <v>15.6</v>
      </c>
      <c r="T872" s="1186">
        <v>2.5</v>
      </c>
      <c r="U872" s="1186">
        <v>21.3</v>
      </c>
      <c r="V872" s="1186">
        <v>3.5</v>
      </c>
      <c r="W872" s="1186"/>
      <c r="X872" s="1186"/>
      <c r="Y872" s="1186"/>
      <c r="Z872" s="1186"/>
      <c r="AA872" s="1186"/>
      <c r="AB872" s="1186"/>
      <c r="AC872" s="1186"/>
      <c r="AD872" s="1187"/>
    </row>
    <row r="873" spans="1:30" x14ac:dyDescent="0.2">
      <c r="A873">
        <f t="shared" si="47"/>
        <v>21</v>
      </c>
      <c r="B873">
        <v>864</v>
      </c>
      <c r="C873" s="1078">
        <v>2</v>
      </c>
      <c r="D873" s="1077" t="s">
        <v>4722</v>
      </c>
      <c r="E873" s="1077" t="s">
        <v>4741</v>
      </c>
      <c r="F873" s="1185">
        <v>2</v>
      </c>
      <c r="G873" s="1186">
        <v>10.4</v>
      </c>
      <c r="H873" s="1186">
        <v>2.5</v>
      </c>
      <c r="I873" s="1186">
        <v>12.8</v>
      </c>
      <c r="J873" s="1186">
        <v>2.9</v>
      </c>
      <c r="K873" s="1186">
        <v>14.7</v>
      </c>
      <c r="L873" s="1186">
        <v>3.3</v>
      </c>
      <c r="M873" s="1186">
        <v>17.7</v>
      </c>
      <c r="N873" s="1186">
        <v>4</v>
      </c>
      <c r="O873" s="1186">
        <v>22.3</v>
      </c>
      <c r="P873" s="1186">
        <v>4.7</v>
      </c>
      <c r="Q873" s="1186">
        <v>12.8</v>
      </c>
      <c r="R873" s="1186">
        <v>1.8</v>
      </c>
      <c r="S873" s="1186">
        <v>18</v>
      </c>
      <c r="T873" s="1186">
        <v>2.6</v>
      </c>
      <c r="U873" s="1186">
        <v>21.4</v>
      </c>
      <c r="V873" s="1186">
        <v>2.9</v>
      </c>
      <c r="W873" s="1186"/>
      <c r="X873" s="1186"/>
      <c r="Y873" s="1186"/>
      <c r="Z873" s="1186"/>
      <c r="AA873" s="1186"/>
      <c r="AB873" s="1186"/>
      <c r="AC873" s="1186"/>
      <c r="AD873" s="1187"/>
    </row>
    <row r="874" spans="1:30" x14ac:dyDescent="0.2">
      <c r="A874">
        <f t="shared" si="47"/>
        <v>21</v>
      </c>
      <c r="B874">
        <v>865</v>
      </c>
      <c r="C874" s="1078">
        <v>2</v>
      </c>
      <c r="D874" s="1077" t="s">
        <v>4722</v>
      </c>
      <c r="E874" s="1077" t="s">
        <v>4742</v>
      </c>
      <c r="F874" s="1185">
        <v>2</v>
      </c>
      <c r="G874" s="1186">
        <v>12.8</v>
      </c>
      <c r="H874" s="1186">
        <v>2.2999999999999998</v>
      </c>
      <c r="I874" s="1186">
        <v>15.7</v>
      </c>
      <c r="J874" s="1186">
        <v>2.7</v>
      </c>
      <c r="K874" s="1186">
        <v>19.899999999999999</v>
      </c>
      <c r="L874" s="1186">
        <v>3.4</v>
      </c>
      <c r="M874" s="1186">
        <v>23.4</v>
      </c>
      <c r="N874" s="1186">
        <v>3.9</v>
      </c>
      <c r="O874" s="1186">
        <v>27.5</v>
      </c>
      <c r="P874" s="1186">
        <v>4.4000000000000004</v>
      </c>
      <c r="Q874" s="1186">
        <v>15.7</v>
      </c>
      <c r="R874" s="1186">
        <v>1.9</v>
      </c>
      <c r="S874" s="1186">
        <v>22.4</v>
      </c>
      <c r="T874" s="1186">
        <v>2.6</v>
      </c>
      <c r="U874" s="1186">
        <v>26.3</v>
      </c>
      <c r="V874" s="1186">
        <v>3</v>
      </c>
      <c r="W874" s="1186"/>
      <c r="X874" s="1186"/>
      <c r="Y874" s="1186"/>
      <c r="Z874" s="1186"/>
      <c r="AA874" s="1186"/>
      <c r="AB874" s="1186"/>
      <c r="AC874" s="1186"/>
      <c r="AD874" s="1187"/>
    </row>
    <row r="875" spans="1:30" x14ac:dyDescent="0.2">
      <c r="A875">
        <f t="shared" si="47"/>
        <v>21</v>
      </c>
      <c r="B875">
        <v>866</v>
      </c>
      <c r="C875" s="1078">
        <v>2</v>
      </c>
      <c r="D875" s="1077" t="s">
        <v>4722</v>
      </c>
      <c r="E875" s="1077" t="s">
        <v>5510</v>
      </c>
      <c r="F875" s="1185">
        <v>2</v>
      </c>
      <c r="G875" s="1186">
        <v>18.3</v>
      </c>
      <c r="H875" s="1186">
        <v>2.4</v>
      </c>
      <c r="I875" s="1186">
        <v>21.6</v>
      </c>
      <c r="J875" s="1186">
        <v>2.8</v>
      </c>
      <c r="K875" s="1186">
        <v>25.2</v>
      </c>
      <c r="L875" s="1186">
        <v>3.3</v>
      </c>
      <c r="M875" s="1186">
        <v>27.8</v>
      </c>
      <c r="N875" s="1186">
        <v>3.5</v>
      </c>
      <c r="O875" s="1186">
        <v>31</v>
      </c>
      <c r="P875" s="1186">
        <v>4</v>
      </c>
      <c r="Q875" s="1186">
        <v>21.8</v>
      </c>
      <c r="R875" s="1186">
        <v>1.9</v>
      </c>
      <c r="S875" s="1186">
        <v>26.4</v>
      </c>
      <c r="T875" s="1186">
        <v>2.4</v>
      </c>
      <c r="U875" s="1186">
        <v>29.8</v>
      </c>
      <c r="V875" s="1186">
        <v>2.7</v>
      </c>
      <c r="W875" s="1186"/>
      <c r="X875" s="1186"/>
      <c r="Y875" s="1186"/>
      <c r="Z875" s="1186"/>
      <c r="AA875" s="1186"/>
      <c r="AB875" s="1186"/>
      <c r="AC875" s="1186"/>
      <c r="AD875" s="1187"/>
    </row>
    <row r="876" spans="1:30" x14ac:dyDescent="0.2">
      <c r="A876">
        <f t="shared" si="47"/>
        <v>21</v>
      </c>
      <c r="B876">
        <v>867</v>
      </c>
      <c r="C876" s="1078">
        <v>2</v>
      </c>
      <c r="D876" s="1077" t="s">
        <v>4722</v>
      </c>
      <c r="E876" s="1077" t="s">
        <v>4743</v>
      </c>
      <c r="F876" s="1185">
        <v>4</v>
      </c>
      <c r="G876" s="1186">
        <v>7.25</v>
      </c>
      <c r="H876" s="1186">
        <v>2.2799999999999998</v>
      </c>
      <c r="I876" s="1186">
        <v>6.4</v>
      </c>
      <c r="J876" s="1186">
        <v>3.2</v>
      </c>
      <c r="K876" s="1186">
        <v>5.8</v>
      </c>
      <c r="L876" s="1186">
        <v>4.0999999999999996</v>
      </c>
      <c r="M876" s="1186">
        <v>4.9000000000000004</v>
      </c>
      <c r="N876" s="1186">
        <v>5</v>
      </c>
      <c r="O876" s="1186">
        <v>5.61</v>
      </c>
      <c r="P876" s="1186">
        <v>6.63</v>
      </c>
      <c r="Q876" s="1186">
        <v>5.5</v>
      </c>
      <c r="R876" s="1186">
        <v>2</v>
      </c>
      <c r="S876" s="1186">
        <v>4.7</v>
      </c>
      <c r="T876" s="1186">
        <v>2.8</v>
      </c>
      <c r="U876" s="1186">
        <v>8.5500000000000007</v>
      </c>
      <c r="V876" s="1186">
        <v>3.69</v>
      </c>
      <c r="W876" s="1186"/>
      <c r="X876" s="1186"/>
      <c r="Y876" s="1186"/>
      <c r="Z876" s="1186"/>
      <c r="AA876" s="1186"/>
      <c r="AB876" s="1186"/>
      <c r="AC876" s="1186"/>
      <c r="AD876" s="1187"/>
    </row>
    <row r="877" spans="1:30" x14ac:dyDescent="0.2">
      <c r="A877">
        <f t="shared" si="47"/>
        <v>21</v>
      </c>
      <c r="B877">
        <v>868</v>
      </c>
      <c r="C877" s="1078">
        <v>2</v>
      </c>
      <c r="D877" s="1077" t="s">
        <v>4722</v>
      </c>
      <c r="E877" s="1077" t="s">
        <v>4744</v>
      </c>
      <c r="F877" s="1185">
        <v>4</v>
      </c>
      <c r="G877" s="1186">
        <v>13.67</v>
      </c>
      <c r="H877" s="1186">
        <v>2.41</v>
      </c>
      <c r="I877" s="1186">
        <v>12.9</v>
      </c>
      <c r="J877" s="1186">
        <v>3.2</v>
      </c>
      <c r="K877" s="1186">
        <v>8.8000000000000007</v>
      </c>
      <c r="L877" s="1186">
        <v>4.3</v>
      </c>
      <c r="M877" s="1186">
        <v>6.3</v>
      </c>
      <c r="N877" s="1186">
        <v>5.0999999999999996</v>
      </c>
      <c r="O877" s="1186">
        <v>8.82</v>
      </c>
      <c r="P877" s="1186">
        <v>7.112903225806452</v>
      </c>
      <c r="Q877" s="1186">
        <v>12.8</v>
      </c>
      <c r="R877" s="1186">
        <v>2.1</v>
      </c>
      <c r="S877" s="1186">
        <v>6.9</v>
      </c>
      <c r="T877" s="1186">
        <v>2.9</v>
      </c>
      <c r="U877" s="1186">
        <v>9.0399999999999991</v>
      </c>
      <c r="V877" s="1186">
        <v>3.83</v>
      </c>
      <c r="W877" s="1186"/>
      <c r="X877" s="1186"/>
      <c r="Y877" s="1186"/>
      <c r="Z877" s="1186"/>
      <c r="AA877" s="1186"/>
      <c r="AB877" s="1186"/>
      <c r="AC877" s="1186"/>
      <c r="AD877" s="1187"/>
    </row>
    <row r="878" spans="1:30" x14ac:dyDescent="0.2">
      <c r="A878">
        <f t="shared" si="47"/>
        <v>21</v>
      </c>
      <c r="B878">
        <v>869</v>
      </c>
      <c r="C878" s="1078">
        <v>2</v>
      </c>
      <c r="D878" s="1077" t="s">
        <v>4722</v>
      </c>
      <c r="E878" s="1077" t="s">
        <v>4745</v>
      </c>
      <c r="F878" s="1185">
        <v>4</v>
      </c>
      <c r="G878" s="1186">
        <v>7.25</v>
      </c>
      <c r="H878" s="1186">
        <v>2.2799999999999998</v>
      </c>
      <c r="I878" s="1186">
        <v>6.4</v>
      </c>
      <c r="J878" s="1186">
        <v>3.2</v>
      </c>
      <c r="K878" s="1186">
        <v>5.8</v>
      </c>
      <c r="L878" s="1186">
        <v>4.0999999999999996</v>
      </c>
      <c r="M878" s="1186">
        <v>4.9000000000000004</v>
      </c>
      <c r="N878" s="1186">
        <v>5</v>
      </c>
      <c r="O878" s="1186">
        <v>5.61</v>
      </c>
      <c r="P878" s="1186">
        <v>6.63</v>
      </c>
      <c r="Q878" s="1186">
        <v>5.5</v>
      </c>
      <c r="R878" s="1186">
        <v>2</v>
      </c>
      <c r="S878" s="1186">
        <v>4.7</v>
      </c>
      <c r="T878" s="1186">
        <v>2.8</v>
      </c>
      <c r="U878" s="1186">
        <v>8.5500000000000007</v>
      </c>
      <c r="V878" s="1186">
        <v>3.69</v>
      </c>
      <c r="W878" s="1186"/>
      <c r="X878" s="1186"/>
      <c r="Y878" s="1186"/>
      <c r="Z878" s="1186"/>
      <c r="AA878" s="1186"/>
      <c r="AB878" s="1186"/>
      <c r="AC878" s="1186"/>
      <c r="AD878" s="1187"/>
    </row>
    <row r="879" spans="1:30" x14ac:dyDescent="0.2">
      <c r="A879">
        <f t="shared" si="47"/>
        <v>21</v>
      </c>
      <c r="B879">
        <v>870</v>
      </c>
      <c r="C879" s="1078">
        <v>2</v>
      </c>
      <c r="D879" s="1077" t="s">
        <v>4722</v>
      </c>
      <c r="E879" s="1077" t="s">
        <v>4746</v>
      </c>
      <c r="F879" s="1185">
        <v>4</v>
      </c>
      <c r="G879" s="1186">
        <v>13.67</v>
      </c>
      <c r="H879" s="1186">
        <v>2.41</v>
      </c>
      <c r="I879" s="1186">
        <v>12.9</v>
      </c>
      <c r="J879" s="1186">
        <v>3.2</v>
      </c>
      <c r="K879" s="1186">
        <v>8.8000000000000007</v>
      </c>
      <c r="L879" s="1186">
        <v>4.3</v>
      </c>
      <c r="M879" s="1186">
        <v>6.3</v>
      </c>
      <c r="N879" s="1186">
        <v>5.0999999999999996</v>
      </c>
      <c r="O879" s="1186">
        <v>8.82</v>
      </c>
      <c r="P879" s="1186">
        <v>7.112903225806452</v>
      </c>
      <c r="Q879" s="1186">
        <v>12.8</v>
      </c>
      <c r="R879" s="1186">
        <v>2.1</v>
      </c>
      <c r="S879" s="1186">
        <v>6.9</v>
      </c>
      <c r="T879" s="1186">
        <v>2.9</v>
      </c>
      <c r="U879" s="1186">
        <v>9.0399999999999991</v>
      </c>
      <c r="V879" s="1186">
        <v>3.83</v>
      </c>
      <c r="W879" s="1186"/>
      <c r="X879" s="1186"/>
      <c r="Y879" s="1186"/>
      <c r="Z879" s="1186"/>
      <c r="AA879" s="1186"/>
      <c r="AB879" s="1186"/>
      <c r="AC879" s="1186"/>
      <c r="AD879" s="1187"/>
    </row>
    <row r="880" spans="1:30" x14ac:dyDescent="0.2">
      <c r="A880">
        <f t="shared" si="47"/>
        <v>21</v>
      </c>
      <c r="B880">
        <v>871</v>
      </c>
      <c r="C880" s="1078">
        <v>2</v>
      </c>
      <c r="D880" s="1077" t="s">
        <v>4722</v>
      </c>
      <c r="E880" s="1077" t="s">
        <v>4747</v>
      </c>
      <c r="F880" s="1185">
        <v>2</v>
      </c>
      <c r="G880" s="1186">
        <v>12.4</v>
      </c>
      <c r="H880" s="1186">
        <v>2.2999999999999998</v>
      </c>
      <c r="I880" s="1186">
        <v>16.3</v>
      </c>
      <c r="J880" s="1186">
        <v>3</v>
      </c>
      <c r="K880" s="1186">
        <v>19.5</v>
      </c>
      <c r="L880" s="1186">
        <v>3.7</v>
      </c>
      <c r="M880" s="1186">
        <v>24.5</v>
      </c>
      <c r="N880" s="1186">
        <v>4.3</v>
      </c>
      <c r="O880" s="1186">
        <v>27.6</v>
      </c>
      <c r="P880" s="1186">
        <v>4.3</v>
      </c>
      <c r="Q880" s="1186">
        <v>15</v>
      </c>
      <c r="R880" s="1186">
        <v>1.9</v>
      </c>
      <c r="S880" s="1186">
        <v>22.1</v>
      </c>
      <c r="T880" s="1186">
        <v>2.7</v>
      </c>
      <c r="U880" s="1186">
        <v>26</v>
      </c>
      <c r="V880" s="1186">
        <v>3.1</v>
      </c>
      <c r="W880" s="1186"/>
      <c r="X880" s="1186"/>
      <c r="Y880" s="1186"/>
      <c r="Z880" s="1186"/>
      <c r="AA880" s="1186"/>
      <c r="AB880" s="1186"/>
      <c r="AC880" s="1186"/>
      <c r="AD880" s="1187"/>
    </row>
    <row r="881" spans="1:30" x14ac:dyDescent="0.2">
      <c r="A881">
        <f t="shared" si="47"/>
        <v>21</v>
      </c>
      <c r="B881">
        <v>872</v>
      </c>
      <c r="C881" s="1078">
        <v>2</v>
      </c>
      <c r="D881" s="1077" t="s">
        <v>4722</v>
      </c>
      <c r="E881" s="1077" t="s">
        <v>4748</v>
      </c>
      <c r="F881" s="1185">
        <v>2</v>
      </c>
      <c r="G881" s="1186">
        <v>18.5</v>
      </c>
      <c r="H881" s="1186">
        <v>2.2999999999999998</v>
      </c>
      <c r="I881" s="1186">
        <v>22.6</v>
      </c>
      <c r="J881" s="1186">
        <v>2.9</v>
      </c>
      <c r="K881" s="1186">
        <v>27.6</v>
      </c>
      <c r="L881" s="1186">
        <v>3.6</v>
      </c>
      <c r="M881" s="1186">
        <v>32.700000000000003</v>
      </c>
      <c r="N881" s="1186">
        <v>4.0999999999999996</v>
      </c>
      <c r="O881" s="1186">
        <v>43.6</v>
      </c>
      <c r="P881" s="1186">
        <v>5.2</v>
      </c>
      <c r="Q881" s="1186">
        <v>21.5</v>
      </c>
      <c r="R881" s="1186">
        <v>1.7</v>
      </c>
      <c r="S881" s="1186">
        <v>31.6</v>
      </c>
      <c r="T881" s="1186">
        <v>2.7</v>
      </c>
      <c r="U881" s="1186">
        <v>41</v>
      </c>
      <c r="V881" s="1186">
        <v>3.5</v>
      </c>
      <c r="W881" s="1186"/>
      <c r="X881" s="1186"/>
      <c r="Y881" s="1186"/>
      <c r="Z881" s="1186"/>
      <c r="AA881" s="1186"/>
      <c r="AB881" s="1186"/>
      <c r="AC881" s="1186"/>
      <c r="AD881" s="1187"/>
    </row>
    <row r="882" spans="1:30" x14ac:dyDescent="0.2">
      <c r="A882">
        <f t="shared" si="47"/>
        <v>21</v>
      </c>
      <c r="B882">
        <v>873</v>
      </c>
      <c r="C882" s="1078">
        <v>2</v>
      </c>
      <c r="D882" s="1077" t="s">
        <v>4722</v>
      </c>
      <c r="E882" s="1077" t="s">
        <v>5511</v>
      </c>
      <c r="F882" s="1185">
        <v>2</v>
      </c>
      <c r="G882" s="1186">
        <v>15.6</v>
      </c>
      <c r="H882" s="1186">
        <v>2.2999999999999998</v>
      </c>
      <c r="I882" s="1186">
        <v>22.3</v>
      </c>
      <c r="J882" s="1186">
        <v>3.1</v>
      </c>
      <c r="K882" s="1186">
        <v>23.7</v>
      </c>
      <c r="L882" s="1186">
        <v>3.35</v>
      </c>
      <c r="M882" s="1186">
        <v>17.600000000000001</v>
      </c>
      <c r="N882" s="1186">
        <v>4.33</v>
      </c>
      <c r="O882" s="1186">
        <v>22</v>
      </c>
      <c r="P882" s="1186">
        <v>5</v>
      </c>
      <c r="Q882" s="1186">
        <v>21.8</v>
      </c>
      <c r="R882" s="1186">
        <v>2.2999999999999998</v>
      </c>
      <c r="S882" s="1186">
        <v>17.399999999999999</v>
      </c>
      <c r="T882" s="1186">
        <v>3.11</v>
      </c>
      <c r="U882" s="1186">
        <v>23.5</v>
      </c>
      <c r="V882" s="1186">
        <v>3.9</v>
      </c>
      <c r="W882" s="1186"/>
      <c r="X882" s="1186"/>
      <c r="Y882" s="1186"/>
      <c r="Z882" s="1186"/>
      <c r="AA882" s="1186"/>
      <c r="AB882" s="1186"/>
      <c r="AC882" s="1186"/>
      <c r="AD882" s="1187"/>
    </row>
    <row r="883" spans="1:30" x14ac:dyDescent="0.2">
      <c r="A883">
        <f t="shared" si="47"/>
        <v>21</v>
      </c>
      <c r="B883">
        <v>874</v>
      </c>
      <c r="C883" s="1078">
        <v>2</v>
      </c>
      <c r="D883" s="1077" t="s">
        <v>4722</v>
      </c>
      <c r="E883" s="1077" t="s">
        <v>4749</v>
      </c>
      <c r="F883" s="1185">
        <v>2</v>
      </c>
      <c r="G883" s="1186">
        <v>29.5</v>
      </c>
      <c r="H883" s="1186">
        <v>2.2999999999999998</v>
      </c>
      <c r="I883" s="1186">
        <v>38.1</v>
      </c>
      <c r="J883" s="1186">
        <v>2.9</v>
      </c>
      <c r="K883" s="1186">
        <v>47.2</v>
      </c>
      <c r="L883" s="1186">
        <v>3.6</v>
      </c>
      <c r="M883" s="1186">
        <v>55.8</v>
      </c>
      <c r="N883" s="1186">
        <v>4</v>
      </c>
      <c r="O883" s="1186">
        <v>72.2</v>
      </c>
      <c r="P883" s="1186">
        <v>4.9000000000000004</v>
      </c>
      <c r="Q883" s="1186">
        <v>33</v>
      </c>
      <c r="R883" s="1186">
        <v>2.1</v>
      </c>
      <c r="S883" s="1186">
        <v>56.4</v>
      </c>
      <c r="T883" s="1186">
        <v>3</v>
      </c>
      <c r="U883" s="1186">
        <v>68</v>
      </c>
      <c r="V883" s="1186">
        <v>3.5</v>
      </c>
      <c r="W883" s="1186"/>
      <c r="X883" s="1186"/>
      <c r="Y883" s="1186"/>
      <c r="Z883" s="1186"/>
      <c r="AA883" s="1186"/>
      <c r="AB883" s="1186"/>
      <c r="AC883" s="1186"/>
      <c r="AD883" s="1187"/>
    </row>
    <row r="884" spans="1:30" x14ac:dyDescent="0.2">
      <c r="A884">
        <f t="shared" si="47"/>
        <v>21</v>
      </c>
      <c r="B884">
        <v>875</v>
      </c>
      <c r="C884" s="1078">
        <v>2</v>
      </c>
      <c r="D884" s="1077" t="s">
        <v>4722</v>
      </c>
      <c r="E884" s="1077" t="s">
        <v>4750</v>
      </c>
      <c r="F884" s="1185">
        <v>1</v>
      </c>
      <c r="G884" s="1186">
        <v>4.3</v>
      </c>
      <c r="H884" s="1186">
        <v>2.5</v>
      </c>
      <c r="I884" s="1186">
        <v>5.5</v>
      </c>
      <c r="J884" s="1186">
        <v>3.2</v>
      </c>
      <c r="K884" s="1186">
        <v>7.2</v>
      </c>
      <c r="L884" s="1186">
        <v>4.2</v>
      </c>
      <c r="M884" s="1186">
        <v>8.4</v>
      </c>
      <c r="N884" s="1186">
        <v>4.8</v>
      </c>
      <c r="O884" s="1186">
        <v>11.3</v>
      </c>
      <c r="P884" s="1186">
        <v>6.6</v>
      </c>
      <c r="Q884" s="1186">
        <v>5.3</v>
      </c>
      <c r="R884" s="1186">
        <v>2.2000000000000002</v>
      </c>
      <c r="S884" s="1186">
        <v>8</v>
      </c>
      <c r="T884" s="1186">
        <v>3.1</v>
      </c>
      <c r="U884" s="1186">
        <v>9.5</v>
      </c>
      <c r="V884" s="1186">
        <v>3.8</v>
      </c>
      <c r="W884" s="1186"/>
      <c r="X884" s="1186"/>
      <c r="Y884" s="1186"/>
      <c r="Z884" s="1186"/>
      <c r="AA884" s="1186"/>
      <c r="AB884" s="1186"/>
      <c r="AC884" s="1186"/>
      <c r="AD884" s="1187"/>
    </row>
    <row r="885" spans="1:30" x14ac:dyDescent="0.2">
      <c r="A885">
        <f t="shared" si="47"/>
        <v>21</v>
      </c>
      <c r="B885">
        <v>876</v>
      </c>
      <c r="C885" s="1078">
        <v>2</v>
      </c>
      <c r="D885" s="1077" t="s">
        <v>4722</v>
      </c>
      <c r="E885" s="1077" t="s">
        <v>4751</v>
      </c>
      <c r="F885" s="1185">
        <v>1</v>
      </c>
      <c r="G885" s="1186">
        <v>5.6</v>
      </c>
      <c r="H885" s="1186">
        <v>2.4</v>
      </c>
      <c r="I885" s="1186">
        <v>7.3</v>
      </c>
      <c r="J885" s="1186">
        <v>3.1</v>
      </c>
      <c r="K885" s="1186">
        <v>9.5</v>
      </c>
      <c r="L885" s="1186">
        <v>4</v>
      </c>
      <c r="M885" s="1186">
        <v>11.3</v>
      </c>
      <c r="N885" s="1186">
        <v>4.7</v>
      </c>
      <c r="O885" s="1186">
        <v>14.7</v>
      </c>
      <c r="P885" s="1186">
        <v>6.4</v>
      </c>
      <c r="Q885" s="1186">
        <v>7.2</v>
      </c>
      <c r="R885" s="1186">
        <v>2.2000000000000002</v>
      </c>
      <c r="S885" s="1186">
        <v>10</v>
      </c>
      <c r="T885" s="1186">
        <v>3</v>
      </c>
      <c r="U885" s="1186">
        <v>12.9</v>
      </c>
      <c r="V885" s="1186">
        <v>3.9</v>
      </c>
      <c r="W885" s="1186"/>
      <c r="X885" s="1186"/>
      <c r="Y885" s="1186"/>
      <c r="Z885" s="1186"/>
      <c r="AA885" s="1186"/>
      <c r="AB885" s="1186"/>
      <c r="AC885" s="1186"/>
      <c r="AD885" s="1187"/>
    </row>
    <row r="886" spans="1:30" x14ac:dyDescent="0.2">
      <c r="A886">
        <f t="shared" si="47"/>
        <v>21</v>
      </c>
      <c r="B886">
        <v>877</v>
      </c>
      <c r="C886" s="1078">
        <v>2</v>
      </c>
      <c r="D886" s="1077" t="s">
        <v>4722</v>
      </c>
      <c r="E886" s="1077" t="s">
        <v>5512</v>
      </c>
      <c r="F886" s="1185">
        <v>2</v>
      </c>
      <c r="G886" s="1186">
        <v>8.3800000000000008</v>
      </c>
      <c r="H886" s="1186">
        <v>2.5</v>
      </c>
      <c r="I886" s="1186">
        <v>10.6</v>
      </c>
      <c r="J886" s="1186">
        <v>3.2</v>
      </c>
      <c r="K886" s="1186">
        <v>12.3</v>
      </c>
      <c r="L886" s="1186">
        <v>3.8</v>
      </c>
      <c r="M886" s="1186">
        <v>15.1</v>
      </c>
      <c r="N886" s="1186">
        <v>3.8</v>
      </c>
      <c r="O886" s="1186">
        <v>13</v>
      </c>
      <c r="P886" s="1186">
        <v>6.5</v>
      </c>
      <c r="Q886" s="1186">
        <v>10.4</v>
      </c>
      <c r="R886" s="1186">
        <v>2.15</v>
      </c>
      <c r="S886" s="1186">
        <v>7.7</v>
      </c>
      <c r="T886" s="1186">
        <v>3.1</v>
      </c>
      <c r="U886" s="1186">
        <v>12</v>
      </c>
      <c r="V886" s="1186">
        <v>3.8</v>
      </c>
      <c r="W886" s="1186"/>
      <c r="X886" s="1186"/>
      <c r="Y886" s="1186"/>
      <c r="Z886" s="1186"/>
      <c r="AA886" s="1186"/>
      <c r="AB886" s="1186"/>
      <c r="AC886" s="1186"/>
      <c r="AD886" s="1187"/>
    </row>
    <row r="887" spans="1:30" x14ac:dyDescent="0.2">
      <c r="A887">
        <f t="shared" si="47"/>
        <v>21</v>
      </c>
      <c r="B887">
        <v>878</v>
      </c>
      <c r="C887" s="1078">
        <v>2</v>
      </c>
      <c r="D887" s="1077" t="s">
        <v>4722</v>
      </c>
      <c r="E887" s="1077" t="s">
        <v>4752</v>
      </c>
      <c r="F887" s="1185">
        <v>1</v>
      </c>
      <c r="G887" s="1186">
        <v>4.3</v>
      </c>
      <c r="H887" s="1186">
        <v>2.5</v>
      </c>
      <c r="I887" s="1186">
        <v>5.5</v>
      </c>
      <c r="J887" s="1186">
        <v>3.2</v>
      </c>
      <c r="K887" s="1186">
        <v>7.2</v>
      </c>
      <c r="L887" s="1186">
        <v>4.2</v>
      </c>
      <c r="M887" s="1186">
        <v>8.4</v>
      </c>
      <c r="N887" s="1186">
        <v>4.8</v>
      </c>
      <c r="O887" s="1186">
        <v>11.3</v>
      </c>
      <c r="P887" s="1186">
        <v>6.6</v>
      </c>
      <c r="Q887" s="1186">
        <v>5.3</v>
      </c>
      <c r="R887" s="1186">
        <v>2.2000000000000002</v>
      </c>
      <c r="S887" s="1186">
        <v>8</v>
      </c>
      <c r="T887" s="1186">
        <v>3.1</v>
      </c>
      <c r="U887" s="1186">
        <v>9.5</v>
      </c>
      <c r="V887" s="1186">
        <v>3.8</v>
      </c>
      <c r="W887" s="1186"/>
      <c r="X887" s="1186"/>
      <c r="Y887" s="1186"/>
      <c r="Z887" s="1186"/>
      <c r="AA887" s="1186"/>
      <c r="AB887" s="1186"/>
      <c r="AC887" s="1186"/>
      <c r="AD887" s="1187"/>
    </row>
    <row r="888" spans="1:30" x14ac:dyDescent="0.2">
      <c r="A888">
        <f t="shared" si="47"/>
        <v>21</v>
      </c>
      <c r="B888">
        <v>879</v>
      </c>
      <c r="C888" s="1078">
        <v>2</v>
      </c>
      <c r="D888" s="1077" t="s">
        <v>4722</v>
      </c>
      <c r="E888" s="1077" t="s">
        <v>4753</v>
      </c>
      <c r="F888" s="1185">
        <v>1</v>
      </c>
      <c r="G888" s="1186">
        <v>5.6</v>
      </c>
      <c r="H888" s="1186">
        <v>2.4</v>
      </c>
      <c r="I888" s="1186">
        <v>7.3</v>
      </c>
      <c r="J888" s="1186">
        <v>3.1</v>
      </c>
      <c r="K888" s="1186">
        <v>9.5</v>
      </c>
      <c r="L888" s="1186">
        <v>4</v>
      </c>
      <c r="M888" s="1186">
        <v>11.3</v>
      </c>
      <c r="N888" s="1186">
        <v>4.7</v>
      </c>
      <c r="O888" s="1186">
        <v>14.7</v>
      </c>
      <c r="P888" s="1186">
        <v>6.4</v>
      </c>
      <c r="Q888" s="1186">
        <v>7.2</v>
      </c>
      <c r="R888" s="1186">
        <v>2.2000000000000002</v>
      </c>
      <c r="S888" s="1186">
        <v>10</v>
      </c>
      <c r="T888" s="1186">
        <v>3</v>
      </c>
      <c r="U888" s="1186">
        <v>12.9</v>
      </c>
      <c r="V888" s="1186">
        <v>3.9</v>
      </c>
      <c r="W888" s="1186"/>
      <c r="X888" s="1186"/>
      <c r="Y888" s="1186"/>
      <c r="Z888" s="1186"/>
      <c r="AA888" s="1186"/>
      <c r="AB888" s="1186"/>
      <c r="AC888" s="1186"/>
      <c r="AD888" s="1187"/>
    </row>
    <row r="889" spans="1:30" x14ac:dyDescent="0.2">
      <c r="A889">
        <f t="shared" si="47"/>
        <v>21</v>
      </c>
      <c r="B889">
        <v>880</v>
      </c>
      <c r="C889" s="1078">
        <v>2</v>
      </c>
      <c r="D889" s="1077" t="s">
        <v>4722</v>
      </c>
      <c r="E889" s="1077" t="s">
        <v>5513</v>
      </c>
      <c r="F889" s="1185">
        <v>2</v>
      </c>
      <c r="G889" s="1186">
        <v>8.3800000000000008</v>
      </c>
      <c r="H889" s="1186">
        <v>2.12</v>
      </c>
      <c r="I889" s="1186">
        <v>10.6</v>
      </c>
      <c r="J889" s="1186">
        <v>3.2</v>
      </c>
      <c r="K889" s="1186">
        <v>12.3</v>
      </c>
      <c r="L889" s="1186">
        <v>3.8</v>
      </c>
      <c r="M889" s="1186">
        <v>8.4</v>
      </c>
      <c r="N889" s="1186">
        <v>4.8</v>
      </c>
      <c r="O889" s="1186">
        <v>13</v>
      </c>
      <c r="P889" s="1186">
        <v>6.05</v>
      </c>
      <c r="Q889" s="1186">
        <v>10.4</v>
      </c>
      <c r="R889" s="1186">
        <v>1.76</v>
      </c>
      <c r="S889" s="1186">
        <v>9.1999999999999993</v>
      </c>
      <c r="T889" s="1186">
        <v>3.1</v>
      </c>
      <c r="U889" s="1186">
        <v>12</v>
      </c>
      <c r="V889" s="1186">
        <v>3.81</v>
      </c>
      <c r="W889" s="1186"/>
      <c r="X889" s="1186"/>
      <c r="Y889" s="1186"/>
      <c r="Z889" s="1186"/>
      <c r="AA889" s="1186"/>
      <c r="AB889" s="1186"/>
      <c r="AC889" s="1186"/>
      <c r="AD889" s="1187"/>
    </row>
    <row r="890" spans="1:30" x14ac:dyDescent="0.2">
      <c r="A890">
        <f t="shared" si="47"/>
        <v>21</v>
      </c>
      <c r="B890">
        <v>881</v>
      </c>
      <c r="C890" s="1078">
        <v>2</v>
      </c>
      <c r="D890" s="1077" t="s">
        <v>4722</v>
      </c>
      <c r="E890" s="1077" t="s">
        <v>4749</v>
      </c>
      <c r="F890" s="1185">
        <v>2</v>
      </c>
      <c r="G890" s="1186">
        <v>29.5</v>
      </c>
      <c r="H890" s="1186">
        <v>2.2999999999999998</v>
      </c>
      <c r="I890" s="1186">
        <v>38.1</v>
      </c>
      <c r="J890" s="1186">
        <v>2.9</v>
      </c>
      <c r="K890" s="1186">
        <v>47.2</v>
      </c>
      <c r="L890" s="1186">
        <v>3.6</v>
      </c>
      <c r="M890" s="1186">
        <v>55.8</v>
      </c>
      <c r="N890" s="1186">
        <v>4</v>
      </c>
      <c r="O890" s="1186">
        <v>72.2</v>
      </c>
      <c r="P890" s="1186">
        <v>4.9000000000000004</v>
      </c>
      <c r="Q890" s="1186">
        <v>33</v>
      </c>
      <c r="R890" s="1186">
        <v>2.1</v>
      </c>
      <c r="S890" s="1186">
        <v>56.4</v>
      </c>
      <c r="T890" s="1186">
        <v>3</v>
      </c>
      <c r="U890" s="1186">
        <v>68</v>
      </c>
      <c r="V890" s="1186">
        <v>3.5</v>
      </c>
      <c r="W890" s="1186"/>
      <c r="X890" s="1186"/>
      <c r="Y890" s="1186"/>
      <c r="Z890" s="1186"/>
      <c r="AA890" s="1186"/>
      <c r="AB890" s="1186"/>
      <c r="AC890" s="1186"/>
      <c r="AD890" s="1187"/>
    </row>
    <row r="891" spans="1:30" x14ac:dyDescent="0.2">
      <c r="A891">
        <f t="shared" si="47"/>
        <v>21</v>
      </c>
      <c r="B891">
        <v>882</v>
      </c>
      <c r="C891" s="1078">
        <v>2</v>
      </c>
      <c r="D891" s="1077" t="s">
        <v>4722</v>
      </c>
      <c r="E891" s="1077" t="s">
        <v>4750</v>
      </c>
      <c r="F891" s="1185">
        <v>1</v>
      </c>
      <c r="G891" s="1186">
        <v>4.3</v>
      </c>
      <c r="H891" s="1186">
        <v>2.5</v>
      </c>
      <c r="I891" s="1186">
        <v>5.5</v>
      </c>
      <c r="J891" s="1186">
        <v>3.2</v>
      </c>
      <c r="K891" s="1186">
        <v>7.2</v>
      </c>
      <c r="L891" s="1186">
        <v>4.2</v>
      </c>
      <c r="M891" s="1186">
        <v>8.4</v>
      </c>
      <c r="N891" s="1186">
        <v>4.8</v>
      </c>
      <c r="O891" s="1186">
        <v>11.3</v>
      </c>
      <c r="P891" s="1186">
        <v>6.6</v>
      </c>
      <c r="Q891" s="1186">
        <v>5.3</v>
      </c>
      <c r="R891" s="1186">
        <v>2.2000000000000002</v>
      </c>
      <c r="S891" s="1186">
        <v>8</v>
      </c>
      <c r="T891" s="1186">
        <v>3.1</v>
      </c>
      <c r="U891" s="1186">
        <v>9.5</v>
      </c>
      <c r="V891" s="1186">
        <v>3.8</v>
      </c>
      <c r="W891" s="1186"/>
      <c r="X891" s="1186"/>
      <c r="Y891" s="1186"/>
      <c r="Z891" s="1186"/>
      <c r="AA891" s="1186"/>
      <c r="AB891" s="1186"/>
      <c r="AC891" s="1186"/>
      <c r="AD891" s="1187"/>
    </row>
    <row r="892" spans="1:30" x14ac:dyDescent="0.2">
      <c r="A892">
        <f t="shared" si="47"/>
        <v>21</v>
      </c>
      <c r="B892">
        <v>883</v>
      </c>
      <c r="C892" s="1078">
        <v>2</v>
      </c>
      <c r="D892" s="1077" t="s">
        <v>4722</v>
      </c>
      <c r="E892" s="1077" t="s">
        <v>4751</v>
      </c>
      <c r="F892" s="1185">
        <v>1</v>
      </c>
      <c r="G892" s="1186">
        <v>5.6</v>
      </c>
      <c r="H892" s="1186">
        <v>2.4</v>
      </c>
      <c r="I892" s="1186">
        <v>7.3</v>
      </c>
      <c r="J892" s="1186">
        <v>3.1</v>
      </c>
      <c r="K892" s="1186">
        <v>9.5</v>
      </c>
      <c r="L892" s="1186">
        <v>4</v>
      </c>
      <c r="M892" s="1186">
        <v>11.3</v>
      </c>
      <c r="N892" s="1186">
        <v>4.7</v>
      </c>
      <c r="O892" s="1186">
        <v>14.7</v>
      </c>
      <c r="P892" s="1186">
        <v>6.4</v>
      </c>
      <c r="Q892" s="1186">
        <v>7.2</v>
      </c>
      <c r="R892" s="1186">
        <v>2.2000000000000002</v>
      </c>
      <c r="S892" s="1186">
        <v>10</v>
      </c>
      <c r="T892" s="1186">
        <v>3</v>
      </c>
      <c r="U892" s="1186">
        <v>12.9</v>
      </c>
      <c r="V892" s="1186">
        <v>3.9</v>
      </c>
      <c r="W892" s="1186"/>
      <c r="X892" s="1186"/>
      <c r="Y892" s="1186"/>
      <c r="Z892" s="1186"/>
      <c r="AA892" s="1186"/>
      <c r="AB892" s="1186"/>
      <c r="AC892" s="1186"/>
      <c r="AD892" s="1194"/>
    </row>
    <row r="893" spans="1:30" x14ac:dyDescent="0.2">
      <c r="A893">
        <f t="shared" si="47"/>
        <v>21</v>
      </c>
      <c r="B893">
        <v>884</v>
      </c>
      <c r="C893" s="1078">
        <v>2</v>
      </c>
      <c r="D893" s="1077" t="s">
        <v>4722</v>
      </c>
      <c r="E893" s="1077" t="s">
        <v>5291</v>
      </c>
      <c r="F893" s="1185">
        <v>2</v>
      </c>
      <c r="G893" s="1186">
        <v>8.3800000000000008</v>
      </c>
      <c r="H893" s="1186">
        <v>2.5</v>
      </c>
      <c r="I893" s="1186">
        <v>10.6</v>
      </c>
      <c r="J893" s="1186">
        <v>3.2</v>
      </c>
      <c r="K893" s="1186">
        <v>12.3</v>
      </c>
      <c r="L893" s="1186">
        <v>3.8</v>
      </c>
      <c r="M893" s="1186">
        <v>15.1</v>
      </c>
      <c r="N893" s="1186">
        <v>3.8</v>
      </c>
      <c r="O893" s="1186">
        <v>13</v>
      </c>
      <c r="P893" s="1186">
        <v>6.5</v>
      </c>
      <c r="Q893" s="1186">
        <v>10.4</v>
      </c>
      <c r="R893" s="1186">
        <v>2.15</v>
      </c>
      <c r="S893" s="1186">
        <v>7.7</v>
      </c>
      <c r="T893" s="1186">
        <v>3.1</v>
      </c>
      <c r="U893" s="1186">
        <v>12</v>
      </c>
      <c r="V893" s="1186">
        <v>3.8</v>
      </c>
      <c r="W893" s="1186"/>
      <c r="X893" s="1186"/>
      <c r="Y893" s="1186"/>
      <c r="Z893" s="1186"/>
      <c r="AA893" s="1186"/>
      <c r="AB893" s="1186"/>
      <c r="AC893" s="1186"/>
      <c r="AD893" s="1195"/>
    </row>
    <row r="894" spans="1:30" x14ac:dyDescent="0.2">
      <c r="A894">
        <f t="shared" si="47"/>
        <v>21</v>
      </c>
      <c r="B894">
        <v>885</v>
      </c>
      <c r="C894" s="1078">
        <v>2</v>
      </c>
      <c r="D894" s="1077" t="s">
        <v>4722</v>
      </c>
      <c r="E894" s="1077" t="s">
        <v>4752</v>
      </c>
      <c r="F894" s="1185">
        <v>1</v>
      </c>
      <c r="G894" s="1186">
        <v>4.3</v>
      </c>
      <c r="H894" s="1186">
        <v>2.5</v>
      </c>
      <c r="I894" s="1186">
        <v>5.5</v>
      </c>
      <c r="J894" s="1186">
        <v>3.2</v>
      </c>
      <c r="K894" s="1186">
        <v>7.2</v>
      </c>
      <c r="L894" s="1186">
        <v>4.2</v>
      </c>
      <c r="M894" s="1186">
        <v>8.4</v>
      </c>
      <c r="N894" s="1186">
        <v>4.8</v>
      </c>
      <c r="O894" s="1186">
        <v>11.3</v>
      </c>
      <c r="P894" s="1186">
        <v>6.6</v>
      </c>
      <c r="Q894" s="1186">
        <v>5.3</v>
      </c>
      <c r="R894" s="1186">
        <v>2.2000000000000002</v>
      </c>
      <c r="S894" s="1186">
        <v>8</v>
      </c>
      <c r="T894" s="1186">
        <v>3.1</v>
      </c>
      <c r="U894" s="1186">
        <v>9.5</v>
      </c>
      <c r="V894" s="1186">
        <v>3.8</v>
      </c>
      <c r="W894" s="1186"/>
      <c r="X894" s="1186"/>
      <c r="Y894" s="1186"/>
      <c r="Z894" s="1186"/>
      <c r="AA894" s="1186"/>
      <c r="AB894" s="1186"/>
      <c r="AC894" s="1186"/>
      <c r="AD894" s="1187"/>
    </row>
    <row r="895" spans="1:30" x14ac:dyDescent="0.2">
      <c r="A895">
        <f t="shared" si="47"/>
        <v>22</v>
      </c>
      <c r="B895">
        <v>886</v>
      </c>
      <c r="C895" s="1078">
        <v>2</v>
      </c>
      <c r="D895" s="1077" t="s">
        <v>3916</v>
      </c>
      <c r="E895" s="1077" t="s">
        <v>4146</v>
      </c>
      <c r="F895" s="1185">
        <v>4</v>
      </c>
      <c r="G895" s="1186"/>
      <c r="H895" s="1186"/>
      <c r="I895" s="1186">
        <v>6.3</v>
      </c>
      <c r="J895" s="1186">
        <v>3.2</v>
      </c>
      <c r="K895" s="1186">
        <v>8</v>
      </c>
      <c r="L895" s="1186">
        <v>4.0999999999999996</v>
      </c>
      <c r="M895" s="1186">
        <v>9.6999999999999993</v>
      </c>
      <c r="N895" s="1186">
        <v>5</v>
      </c>
      <c r="O895" s="1186"/>
      <c r="P895" s="1186"/>
      <c r="Q895" s="1186">
        <v>4.7</v>
      </c>
      <c r="R895" s="1186">
        <v>1.6</v>
      </c>
      <c r="S895" s="1186">
        <v>8.3000000000000007</v>
      </c>
      <c r="T895" s="1186">
        <v>2.8</v>
      </c>
      <c r="U895" s="1186">
        <v>11.4</v>
      </c>
      <c r="V895" s="1186">
        <v>3.7</v>
      </c>
      <c r="W895" s="1186"/>
      <c r="X895" s="1186"/>
      <c r="Y895" s="1186"/>
      <c r="Z895" s="1186"/>
      <c r="AA895" s="1186"/>
      <c r="AB895" s="1186"/>
      <c r="AC895" s="1186"/>
      <c r="AD895" s="1187"/>
    </row>
    <row r="896" spans="1:30" x14ac:dyDescent="0.2">
      <c r="A896">
        <f t="shared" si="47"/>
        <v>22</v>
      </c>
      <c r="B896">
        <v>887</v>
      </c>
      <c r="C896" s="1078">
        <v>2</v>
      </c>
      <c r="D896" s="1077" t="s">
        <v>3916</v>
      </c>
      <c r="E896" s="1077" t="s">
        <v>4147</v>
      </c>
      <c r="F896" s="1185">
        <v>4</v>
      </c>
      <c r="G896" s="1186"/>
      <c r="H896" s="1186"/>
      <c r="I896" s="1186">
        <v>8</v>
      </c>
      <c r="J896" s="1186">
        <v>3.3</v>
      </c>
      <c r="K896" s="1186">
        <v>10.1</v>
      </c>
      <c r="L896" s="1186">
        <v>4.2</v>
      </c>
      <c r="M896" s="1186">
        <v>12.3</v>
      </c>
      <c r="N896" s="1186">
        <v>5.4</v>
      </c>
      <c r="O896" s="1186"/>
      <c r="P896" s="1186"/>
      <c r="Q896" s="1186">
        <v>5.7</v>
      </c>
      <c r="R896" s="1186">
        <v>1.6</v>
      </c>
      <c r="S896" s="1186">
        <v>10.4</v>
      </c>
      <c r="T896" s="1186">
        <v>2.8</v>
      </c>
      <c r="U896" s="1186">
        <v>13.6</v>
      </c>
      <c r="V896" s="1186">
        <v>3.7</v>
      </c>
      <c r="W896" s="1186"/>
      <c r="X896" s="1186"/>
      <c r="Y896" s="1186"/>
      <c r="Z896" s="1186"/>
      <c r="AA896" s="1186"/>
      <c r="AB896" s="1186"/>
      <c r="AC896" s="1186"/>
      <c r="AD896" s="1187"/>
    </row>
    <row r="897" spans="1:30" x14ac:dyDescent="0.2">
      <c r="A897">
        <f t="shared" si="47"/>
        <v>22</v>
      </c>
      <c r="B897">
        <v>888</v>
      </c>
      <c r="C897" s="1078">
        <v>2</v>
      </c>
      <c r="D897" s="1077" t="s">
        <v>3916</v>
      </c>
      <c r="E897" s="1077" t="s">
        <v>4148</v>
      </c>
      <c r="F897" s="1185">
        <v>4</v>
      </c>
      <c r="G897" s="1186"/>
      <c r="H897" s="1186"/>
      <c r="I897" s="1186">
        <v>15.7</v>
      </c>
      <c r="J897" s="1186">
        <v>2.9</v>
      </c>
      <c r="K897" s="1186">
        <v>11.2</v>
      </c>
      <c r="L897" s="1186">
        <v>3.9</v>
      </c>
      <c r="M897" s="1186">
        <v>8.3000000000000007</v>
      </c>
      <c r="N897" s="1186">
        <v>5.4</v>
      </c>
      <c r="O897" s="1186"/>
      <c r="P897" s="1186"/>
      <c r="Q897" s="1186">
        <v>9.8000000000000007</v>
      </c>
      <c r="R897" s="1186">
        <v>1.8</v>
      </c>
      <c r="S897" s="1186">
        <v>14.8</v>
      </c>
      <c r="T897" s="1186">
        <v>3</v>
      </c>
      <c r="U897" s="1186">
        <v>14</v>
      </c>
      <c r="V897" s="1186">
        <v>4.0999999999999996</v>
      </c>
      <c r="W897" s="1186"/>
      <c r="X897" s="1186"/>
      <c r="Y897" s="1186"/>
      <c r="Z897" s="1186"/>
      <c r="AA897" s="1186"/>
      <c r="AB897" s="1186"/>
      <c r="AC897" s="1186"/>
      <c r="AD897" s="1187"/>
    </row>
    <row r="898" spans="1:30" x14ac:dyDescent="0.2">
      <c r="A898">
        <f t="shared" si="47"/>
        <v>22</v>
      </c>
      <c r="B898">
        <v>889</v>
      </c>
      <c r="C898" s="1078">
        <v>2</v>
      </c>
      <c r="D898" s="1077" t="s">
        <v>3916</v>
      </c>
      <c r="E898" s="1077" t="s">
        <v>4149</v>
      </c>
      <c r="F898" s="1185">
        <v>4</v>
      </c>
      <c r="G898" s="1186"/>
      <c r="H898" s="1186"/>
      <c r="I898" s="1186">
        <v>15.7</v>
      </c>
      <c r="J898" s="1186">
        <v>2.9</v>
      </c>
      <c r="K898" s="1186">
        <v>11.2</v>
      </c>
      <c r="L898" s="1186">
        <v>3.9</v>
      </c>
      <c r="M898" s="1186">
        <v>8.3000000000000007</v>
      </c>
      <c r="N898" s="1186">
        <v>5.4</v>
      </c>
      <c r="O898" s="1186"/>
      <c r="P898" s="1186"/>
      <c r="Q898" s="1186">
        <v>9.8000000000000007</v>
      </c>
      <c r="R898" s="1186">
        <v>1.8</v>
      </c>
      <c r="S898" s="1186">
        <v>14.8</v>
      </c>
      <c r="T898" s="1186">
        <v>3</v>
      </c>
      <c r="U898" s="1186">
        <v>14</v>
      </c>
      <c r="V898" s="1186">
        <v>4.0999999999999996</v>
      </c>
      <c r="W898" s="1186"/>
      <c r="X898" s="1186"/>
      <c r="Y898" s="1186"/>
      <c r="Z898" s="1186"/>
      <c r="AA898" s="1186"/>
      <c r="AB898" s="1186"/>
      <c r="AC898" s="1186"/>
      <c r="AD898" s="1187"/>
    </row>
    <row r="899" spans="1:30" x14ac:dyDescent="0.2">
      <c r="A899">
        <f t="shared" si="47"/>
        <v>22</v>
      </c>
      <c r="B899">
        <v>890</v>
      </c>
      <c r="C899" s="1078">
        <v>2</v>
      </c>
      <c r="D899" s="1077" t="s">
        <v>3916</v>
      </c>
      <c r="E899" s="1077" t="s">
        <v>4150</v>
      </c>
      <c r="F899" s="1185">
        <v>4</v>
      </c>
      <c r="G899" s="1186"/>
      <c r="H899" s="1186"/>
      <c r="I899" s="1186">
        <v>9</v>
      </c>
      <c r="J899" s="1186">
        <v>3.3</v>
      </c>
      <c r="K899" s="1186">
        <v>11.5</v>
      </c>
      <c r="L899" s="1186">
        <v>4.2</v>
      </c>
      <c r="M899" s="1186">
        <v>10.199999999999999</v>
      </c>
      <c r="N899" s="1186">
        <v>5.3</v>
      </c>
      <c r="O899" s="1186"/>
      <c r="P899" s="1186"/>
      <c r="Q899" s="1186">
        <v>7.1</v>
      </c>
      <c r="R899" s="1186">
        <v>1.8</v>
      </c>
      <c r="S899" s="1186">
        <v>8.5</v>
      </c>
      <c r="T899" s="1186">
        <v>3.1</v>
      </c>
      <c r="U899" s="1186">
        <v>11.4</v>
      </c>
      <c r="V899" s="1186">
        <v>4.0999999999999996</v>
      </c>
      <c r="W899" s="1186"/>
      <c r="X899" s="1186"/>
      <c r="Y899" s="1186"/>
      <c r="Z899" s="1186"/>
      <c r="AA899" s="1186"/>
      <c r="AB899" s="1186"/>
      <c r="AC899" s="1186"/>
      <c r="AD899" s="1187"/>
    </row>
    <row r="900" spans="1:30" x14ac:dyDescent="0.2">
      <c r="A900">
        <f t="shared" si="47"/>
        <v>22</v>
      </c>
      <c r="B900">
        <v>891</v>
      </c>
      <c r="C900" s="1078">
        <v>2</v>
      </c>
      <c r="D900" s="1077" t="s">
        <v>3916</v>
      </c>
      <c r="E900" s="1077" t="s">
        <v>4151</v>
      </c>
      <c r="F900" s="1185">
        <v>4</v>
      </c>
      <c r="G900" s="1186"/>
      <c r="H900" s="1186"/>
      <c r="I900" s="1186">
        <v>9</v>
      </c>
      <c r="J900" s="1186">
        <v>3.3</v>
      </c>
      <c r="K900" s="1186">
        <v>11.5</v>
      </c>
      <c r="L900" s="1186">
        <v>4.2</v>
      </c>
      <c r="M900" s="1186">
        <v>10.199999999999999</v>
      </c>
      <c r="N900" s="1186">
        <v>5.3</v>
      </c>
      <c r="O900" s="1186"/>
      <c r="P900" s="1186"/>
      <c r="Q900" s="1186">
        <v>7.1</v>
      </c>
      <c r="R900" s="1186">
        <v>1.8</v>
      </c>
      <c r="S900" s="1186">
        <v>8.5</v>
      </c>
      <c r="T900" s="1186">
        <v>3.1</v>
      </c>
      <c r="U900" s="1186">
        <v>11.4</v>
      </c>
      <c r="V900" s="1186">
        <v>4.0999999999999996</v>
      </c>
      <c r="W900" s="1186"/>
      <c r="X900" s="1186"/>
      <c r="Y900" s="1186"/>
      <c r="Z900" s="1186"/>
      <c r="AA900" s="1186"/>
      <c r="AB900" s="1186"/>
      <c r="AC900" s="1186"/>
      <c r="AD900" s="1187"/>
    </row>
    <row r="901" spans="1:30" x14ac:dyDescent="0.2">
      <c r="A901">
        <f t="shared" si="47"/>
        <v>22</v>
      </c>
      <c r="B901">
        <v>892</v>
      </c>
      <c r="C901" s="1078">
        <v>2</v>
      </c>
      <c r="D901" s="1077" t="s">
        <v>3916</v>
      </c>
      <c r="E901" s="1077" t="s">
        <v>4152</v>
      </c>
      <c r="F901" s="1185">
        <v>4</v>
      </c>
      <c r="G901" s="1186"/>
      <c r="H901" s="1186"/>
      <c r="I901" s="1186">
        <v>9.6999999999999993</v>
      </c>
      <c r="J901" s="1186">
        <v>3.2</v>
      </c>
      <c r="K901" s="1186">
        <v>12.5</v>
      </c>
      <c r="L901" s="1186">
        <v>4.0999999999999996</v>
      </c>
      <c r="M901" s="1186">
        <v>15.1</v>
      </c>
      <c r="N901" s="1186">
        <v>5.0999999999999996</v>
      </c>
      <c r="O901" s="1186"/>
      <c r="P901" s="1186"/>
      <c r="Q901" s="1186">
        <v>7.4</v>
      </c>
      <c r="R901" s="1186">
        <v>1.6</v>
      </c>
      <c r="S901" s="1186">
        <v>13</v>
      </c>
      <c r="T901" s="1186">
        <v>2.8</v>
      </c>
      <c r="U901" s="1186">
        <v>17.899999999999999</v>
      </c>
      <c r="V901" s="1186">
        <v>3.7</v>
      </c>
      <c r="W901" s="1186"/>
      <c r="X901" s="1186"/>
      <c r="Y901" s="1186"/>
      <c r="Z901" s="1186"/>
      <c r="AA901" s="1186"/>
      <c r="AB901" s="1186"/>
      <c r="AC901" s="1186"/>
      <c r="AD901" s="1187"/>
    </row>
    <row r="902" spans="1:30" x14ac:dyDescent="0.2">
      <c r="A902">
        <f t="shared" si="47"/>
        <v>22</v>
      </c>
      <c r="B902">
        <v>893</v>
      </c>
      <c r="C902" s="1078">
        <v>2</v>
      </c>
      <c r="D902" s="1077" t="s">
        <v>3916</v>
      </c>
      <c r="E902" s="1077" t="s">
        <v>4153</v>
      </c>
      <c r="F902" s="1185">
        <v>4</v>
      </c>
      <c r="G902" s="1186"/>
      <c r="H902" s="1186"/>
      <c r="I902" s="1186">
        <v>16.7</v>
      </c>
      <c r="J902" s="1186">
        <v>3.3</v>
      </c>
      <c r="K902" s="1186">
        <v>20.9</v>
      </c>
      <c r="L902" s="1186">
        <v>4.0999999999999996</v>
      </c>
      <c r="M902" s="1186">
        <v>16.2</v>
      </c>
      <c r="N902" s="1186">
        <v>5.4</v>
      </c>
      <c r="O902" s="1186"/>
      <c r="P902" s="1186"/>
      <c r="Q902" s="1186">
        <v>12.5</v>
      </c>
      <c r="R902" s="1186">
        <v>1.8</v>
      </c>
      <c r="S902" s="1186">
        <v>21.4</v>
      </c>
      <c r="T902" s="1186">
        <v>3</v>
      </c>
      <c r="U902" s="1186">
        <v>17.899999999999999</v>
      </c>
      <c r="V902" s="1186">
        <v>4.0999999999999996</v>
      </c>
      <c r="W902" s="1186"/>
      <c r="X902" s="1186"/>
      <c r="Y902" s="1186"/>
      <c r="Z902" s="1186"/>
      <c r="AA902" s="1186"/>
      <c r="AB902" s="1186"/>
      <c r="AC902" s="1186"/>
      <c r="AD902" s="1187"/>
    </row>
    <row r="903" spans="1:30" x14ac:dyDescent="0.2">
      <c r="A903">
        <f t="shared" si="47"/>
        <v>22</v>
      </c>
      <c r="B903">
        <v>894</v>
      </c>
      <c r="C903" s="1078">
        <v>3</v>
      </c>
      <c r="D903" s="1077" t="s">
        <v>3916</v>
      </c>
      <c r="E903" s="1077" t="s">
        <v>4154</v>
      </c>
      <c r="F903" s="1185">
        <v>1</v>
      </c>
      <c r="G903" s="1186"/>
      <c r="H903" s="1186"/>
      <c r="I903" s="1186"/>
      <c r="J903" s="1186"/>
      <c r="K903" s="1186"/>
      <c r="L903" s="1186"/>
      <c r="M903" s="1186"/>
      <c r="N903" s="1186"/>
      <c r="O903" s="1186"/>
      <c r="P903" s="1186"/>
      <c r="Q903" s="1186"/>
      <c r="R903" s="1186"/>
      <c r="S903" s="1186"/>
      <c r="T903" s="1186"/>
      <c r="U903" s="1186"/>
      <c r="V903" s="1186"/>
      <c r="W903" s="1186">
        <v>5.9</v>
      </c>
      <c r="X903" s="1186">
        <v>4.5999999999999996</v>
      </c>
      <c r="Y903" s="1186">
        <v>5.2</v>
      </c>
      <c r="Z903" s="1186">
        <v>2.5</v>
      </c>
      <c r="AA903" s="1186">
        <v>7.5</v>
      </c>
      <c r="AB903" s="1186">
        <v>6.4</v>
      </c>
      <c r="AC903" s="1186">
        <v>6.4</v>
      </c>
      <c r="AD903" s="1187">
        <v>3.4</v>
      </c>
    </row>
    <row r="904" spans="1:30" x14ac:dyDescent="0.2">
      <c r="A904">
        <f t="shared" si="47"/>
        <v>22</v>
      </c>
      <c r="B904">
        <v>895</v>
      </c>
      <c r="C904" s="1078">
        <v>3</v>
      </c>
      <c r="D904" s="1077" t="s">
        <v>3916</v>
      </c>
      <c r="E904" s="1077" t="s">
        <v>4155</v>
      </c>
      <c r="F904" s="1185">
        <v>1</v>
      </c>
      <c r="G904" s="1186"/>
      <c r="H904" s="1186"/>
      <c r="I904" s="1186"/>
      <c r="J904" s="1186"/>
      <c r="K904" s="1186"/>
      <c r="L904" s="1186"/>
      <c r="M904" s="1186"/>
      <c r="N904" s="1186"/>
      <c r="O904" s="1186"/>
      <c r="P904" s="1186"/>
      <c r="Q904" s="1186"/>
      <c r="R904" s="1186"/>
      <c r="S904" s="1186"/>
      <c r="T904" s="1186"/>
      <c r="U904" s="1186"/>
      <c r="V904" s="1186"/>
      <c r="W904" s="1186">
        <v>7</v>
      </c>
      <c r="X904" s="1186">
        <v>4.5999999999999996</v>
      </c>
      <c r="Y904" s="1186">
        <v>6.4</v>
      </c>
      <c r="Z904" s="1186">
        <v>2.6</v>
      </c>
      <c r="AA904" s="1186">
        <v>9.3000000000000007</v>
      </c>
      <c r="AB904" s="1186">
        <v>6.4</v>
      </c>
      <c r="AC904" s="1186">
        <v>8.1</v>
      </c>
      <c r="AD904" s="1187">
        <v>3.4</v>
      </c>
    </row>
    <row r="905" spans="1:30" x14ac:dyDescent="0.2">
      <c r="A905">
        <f t="shared" si="47"/>
        <v>22</v>
      </c>
      <c r="B905">
        <v>896</v>
      </c>
      <c r="C905" s="1078">
        <v>3</v>
      </c>
      <c r="D905" s="1077" t="s">
        <v>3916</v>
      </c>
      <c r="E905" s="1077" t="s">
        <v>4156</v>
      </c>
      <c r="F905" s="1185">
        <v>1</v>
      </c>
      <c r="G905" s="1186"/>
      <c r="H905" s="1186"/>
      <c r="I905" s="1186"/>
      <c r="J905" s="1186"/>
      <c r="K905" s="1186"/>
      <c r="L905" s="1186"/>
      <c r="M905" s="1186"/>
      <c r="N905" s="1186"/>
      <c r="O905" s="1186"/>
      <c r="P905" s="1186"/>
      <c r="Q905" s="1186"/>
      <c r="R905" s="1186"/>
      <c r="S905" s="1186"/>
      <c r="T905" s="1186"/>
      <c r="U905" s="1186"/>
      <c r="V905" s="1186"/>
      <c r="W905" s="1186">
        <v>7.6</v>
      </c>
      <c r="X905" s="1186">
        <v>4.5999999999999996</v>
      </c>
      <c r="Y905" s="1186">
        <v>7</v>
      </c>
      <c r="Z905" s="1186">
        <v>2.7</v>
      </c>
      <c r="AA905" s="1186"/>
      <c r="AB905" s="1186"/>
      <c r="AC905" s="1186"/>
      <c r="AD905" s="1187"/>
    </row>
    <row r="906" spans="1:30" x14ac:dyDescent="0.2">
      <c r="A906">
        <f t="shared" si="47"/>
        <v>22</v>
      </c>
      <c r="B906">
        <v>897</v>
      </c>
      <c r="C906" s="1078">
        <v>3</v>
      </c>
      <c r="D906" s="1077" t="s">
        <v>3916</v>
      </c>
      <c r="E906" s="1077" t="s">
        <v>4157</v>
      </c>
      <c r="F906" s="1185">
        <v>1</v>
      </c>
      <c r="G906" s="1186"/>
      <c r="H906" s="1186"/>
      <c r="I906" s="1186"/>
      <c r="J906" s="1186"/>
      <c r="K906" s="1186"/>
      <c r="L906" s="1186"/>
      <c r="M906" s="1186"/>
      <c r="N906" s="1186"/>
      <c r="O906" s="1186"/>
      <c r="P906" s="1186"/>
      <c r="Q906" s="1186"/>
      <c r="R906" s="1186"/>
      <c r="S906" s="1186"/>
      <c r="T906" s="1186"/>
      <c r="U906" s="1186"/>
      <c r="V906" s="1186"/>
      <c r="W906" s="1186">
        <v>7.6</v>
      </c>
      <c r="X906" s="1186">
        <v>4.5</v>
      </c>
      <c r="Y906" s="1186">
        <v>6.3</v>
      </c>
      <c r="Z906" s="1186">
        <v>2.5</v>
      </c>
      <c r="AA906" s="1186">
        <v>10.3</v>
      </c>
      <c r="AB906" s="1186">
        <v>6.2</v>
      </c>
      <c r="AC906" s="1186">
        <v>8.5</v>
      </c>
      <c r="AD906" s="1187">
        <v>3.3</v>
      </c>
    </row>
    <row r="907" spans="1:30" x14ac:dyDescent="0.2">
      <c r="A907">
        <f t="shared" si="47"/>
        <v>22</v>
      </c>
      <c r="B907">
        <v>898</v>
      </c>
      <c r="C907" s="1078">
        <v>3</v>
      </c>
      <c r="D907" s="1077" t="s">
        <v>3916</v>
      </c>
      <c r="E907" s="1077" t="s">
        <v>4158</v>
      </c>
      <c r="F907" s="1185">
        <v>1</v>
      </c>
      <c r="G907" s="1186"/>
      <c r="H907" s="1186"/>
      <c r="I907" s="1186"/>
      <c r="J907" s="1186"/>
      <c r="K907" s="1186"/>
      <c r="L907" s="1186"/>
      <c r="M907" s="1186"/>
      <c r="N907" s="1186"/>
      <c r="O907" s="1186"/>
      <c r="P907" s="1186"/>
      <c r="Q907" s="1186"/>
      <c r="R907" s="1186"/>
      <c r="S907" s="1186"/>
      <c r="T907" s="1186"/>
      <c r="U907" s="1186"/>
      <c r="V907" s="1186"/>
      <c r="W907" s="1186">
        <v>8</v>
      </c>
      <c r="X907" s="1186">
        <v>4.5</v>
      </c>
      <c r="Y907" s="1186">
        <v>6.7</v>
      </c>
      <c r="Z907" s="1186">
        <v>2.7</v>
      </c>
      <c r="AA907" s="1186"/>
      <c r="AB907" s="1186"/>
      <c r="AC907" s="1186"/>
      <c r="AD907" s="1187"/>
    </row>
    <row r="908" spans="1:30" x14ac:dyDescent="0.2">
      <c r="A908">
        <f t="shared" ref="A908:A971" si="48">A907+(D908&lt;&gt;D907)*1</f>
        <v>22</v>
      </c>
      <c r="B908">
        <v>899</v>
      </c>
      <c r="C908" s="1078">
        <v>3</v>
      </c>
      <c r="D908" s="1077" t="s">
        <v>3916</v>
      </c>
      <c r="E908" s="1077" t="s">
        <v>4159</v>
      </c>
      <c r="F908" s="1185">
        <v>1</v>
      </c>
      <c r="G908" s="1186"/>
      <c r="H908" s="1186"/>
      <c r="I908" s="1186"/>
      <c r="J908" s="1186"/>
      <c r="K908" s="1186"/>
      <c r="L908" s="1186"/>
      <c r="M908" s="1186"/>
      <c r="N908" s="1186"/>
      <c r="O908" s="1186"/>
      <c r="P908" s="1186"/>
      <c r="Q908" s="1186"/>
      <c r="R908" s="1186"/>
      <c r="S908" s="1186"/>
      <c r="T908" s="1186"/>
      <c r="U908" s="1186"/>
      <c r="V908" s="1186"/>
      <c r="W908" s="1186">
        <v>10.3</v>
      </c>
      <c r="X908" s="1186">
        <v>4.5</v>
      </c>
      <c r="Y908" s="1186">
        <v>8.5</v>
      </c>
      <c r="Z908" s="1186">
        <v>2.7</v>
      </c>
      <c r="AA908" s="1186"/>
      <c r="AB908" s="1186"/>
      <c r="AC908" s="1186"/>
      <c r="AD908" s="1187"/>
    </row>
    <row r="909" spans="1:30" x14ac:dyDescent="0.2">
      <c r="A909">
        <f t="shared" si="48"/>
        <v>22</v>
      </c>
      <c r="B909">
        <v>900</v>
      </c>
      <c r="C909" s="1078">
        <v>3</v>
      </c>
      <c r="D909" s="1077" t="s">
        <v>3916</v>
      </c>
      <c r="E909" s="1077" t="s">
        <v>4160</v>
      </c>
      <c r="F909" s="1185">
        <v>1</v>
      </c>
      <c r="G909" s="1186"/>
      <c r="H909" s="1186"/>
      <c r="I909" s="1186"/>
      <c r="J909" s="1186"/>
      <c r="K909" s="1186"/>
      <c r="L909" s="1186"/>
      <c r="M909" s="1186"/>
      <c r="N909" s="1186"/>
      <c r="O909" s="1186"/>
      <c r="P909" s="1186"/>
      <c r="Q909" s="1186"/>
      <c r="R909" s="1186"/>
      <c r="S909" s="1186"/>
      <c r="T909" s="1186"/>
      <c r="U909" s="1186"/>
      <c r="V909" s="1186"/>
      <c r="W909" s="1186">
        <v>10.4</v>
      </c>
      <c r="X909" s="1186">
        <v>4.7</v>
      </c>
      <c r="Y909" s="1186">
        <v>9.1</v>
      </c>
      <c r="Z909" s="1186">
        <v>2.5</v>
      </c>
      <c r="AA909" s="1186">
        <v>13.9</v>
      </c>
      <c r="AB909" s="1186">
        <v>6.5</v>
      </c>
      <c r="AC909" s="1186">
        <v>12.1</v>
      </c>
      <c r="AD909" s="1187">
        <v>3.5</v>
      </c>
    </row>
    <row r="910" spans="1:30" x14ac:dyDescent="0.2">
      <c r="A910">
        <f t="shared" si="48"/>
        <v>22</v>
      </c>
      <c r="B910">
        <v>901</v>
      </c>
      <c r="C910" s="1078">
        <v>3</v>
      </c>
      <c r="D910" s="1077" t="s">
        <v>3916</v>
      </c>
      <c r="E910" s="1077" t="s">
        <v>4161</v>
      </c>
      <c r="F910" s="1185">
        <v>1</v>
      </c>
      <c r="G910" s="1186"/>
      <c r="H910" s="1186"/>
      <c r="I910" s="1186"/>
      <c r="J910" s="1186"/>
      <c r="K910" s="1186"/>
      <c r="L910" s="1186"/>
      <c r="M910" s="1186"/>
      <c r="N910" s="1186"/>
      <c r="O910" s="1186"/>
      <c r="P910" s="1186"/>
      <c r="Q910" s="1186"/>
      <c r="R910" s="1186"/>
      <c r="S910" s="1186"/>
      <c r="T910" s="1186"/>
      <c r="U910" s="1186"/>
      <c r="V910" s="1186"/>
      <c r="W910" s="1186">
        <v>15.2</v>
      </c>
      <c r="X910" s="1186">
        <v>4.7</v>
      </c>
      <c r="Y910" s="1186">
        <v>12.7</v>
      </c>
      <c r="Z910" s="1186">
        <v>2.5</v>
      </c>
      <c r="AA910" s="1186">
        <v>19.899999999999999</v>
      </c>
      <c r="AB910" s="1186">
        <v>6.4</v>
      </c>
      <c r="AC910" s="1186">
        <v>17.5</v>
      </c>
      <c r="AD910" s="1187">
        <v>3.5</v>
      </c>
    </row>
    <row r="911" spans="1:30" x14ac:dyDescent="0.2">
      <c r="A911">
        <f t="shared" si="48"/>
        <v>22</v>
      </c>
      <c r="B911">
        <v>902</v>
      </c>
      <c r="C911" s="1078">
        <v>4</v>
      </c>
      <c r="D911" s="1077" t="s">
        <v>3916</v>
      </c>
      <c r="E911" s="1077" t="s">
        <v>4162</v>
      </c>
      <c r="F911" s="1185">
        <v>4</v>
      </c>
      <c r="G911" s="1186"/>
      <c r="H911" s="1186"/>
      <c r="I911" s="1186"/>
      <c r="J911" s="1186"/>
      <c r="K911" s="1186"/>
      <c r="L911" s="1186"/>
      <c r="M911" s="1186"/>
      <c r="N911" s="1186"/>
      <c r="O911" s="1186"/>
      <c r="P911" s="1186"/>
      <c r="Q911" s="1186"/>
      <c r="R911" s="1186"/>
      <c r="S911" s="1186"/>
      <c r="T911" s="1186"/>
      <c r="U911" s="1186"/>
      <c r="V911" s="1186"/>
      <c r="W911" s="1186"/>
      <c r="X911" s="1186"/>
      <c r="Y911" s="1186"/>
      <c r="Z911" s="1186"/>
      <c r="AA911" s="1186">
        <v>10.7</v>
      </c>
      <c r="AB911" s="1186">
        <v>6.5</v>
      </c>
      <c r="AC911" s="1186">
        <v>9.6</v>
      </c>
      <c r="AD911" s="1187">
        <v>3.5</v>
      </c>
    </row>
    <row r="912" spans="1:30" x14ac:dyDescent="0.2">
      <c r="A912">
        <f t="shared" si="48"/>
        <v>22</v>
      </c>
      <c r="B912">
        <v>903</v>
      </c>
      <c r="C912" s="1078">
        <v>4</v>
      </c>
      <c r="D912" s="1077" t="s">
        <v>3916</v>
      </c>
      <c r="E912" s="1077" t="s">
        <v>4163</v>
      </c>
      <c r="F912" s="1185">
        <v>4</v>
      </c>
      <c r="G912" s="1186"/>
      <c r="H912" s="1186"/>
      <c r="I912" s="1186"/>
      <c r="J912" s="1186"/>
      <c r="K912" s="1186"/>
      <c r="L912" s="1186"/>
      <c r="M912" s="1186"/>
      <c r="N912" s="1186"/>
      <c r="O912" s="1186"/>
      <c r="P912" s="1186"/>
      <c r="Q912" s="1186"/>
      <c r="R912" s="1186"/>
      <c r="S912" s="1186"/>
      <c r="T912" s="1186"/>
      <c r="U912" s="1186"/>
      <c r="V912" s="1186"/>
      <c r="W912" s="1186"/>
      <c r="X912" s="1186"/>
      <c r="Y912" s="1186"/>
      <c r="Z912" s="1186"/>
      <c r="AA912" s="1186">
        <v>11.4</v>
      </c>
      <c r="AB912" s="1186">
        <v>6.4</v>
      </c>
      <c r="AC912" s="1186">
        <v>9.1999999999999993</v>
      </c>
      <c r="AD912" s="1187">
        <v>3.5</v>
      </c>
    </row>
    <row r="913" spans="1:30" x14ac:dyDescent="0.2">
      <c r="A913">
        <f t="shared" si="48"/>
        <v>22</v>
      </c>
      <c r="B913">
        <v>904</v>
      </c>
      <c r="C913" s="1078">
        <v>4</v>
      </c>
      <c r="D913" s="1077" t="s">
        <v>3916</v>
      </c>
      <c r="E913" s="1077" t="s">
        <v>4164</v>
      </c>
      <c r="F913" s="1185">
        <v>1</v>
      </c>
      <c r="G913" s="1186"/>
      <c r="H913" s="1186"/>
      <c r="I913" s="1186"/>
      <c r="J913" s="1186"/>
      <c r="K913" s="1186"/>
      <c r="L913" s="1186"/>
      <c r="M913" s="1186"/>
      <c r="N913" s="1186"/>
      <c r="O913" s="1186"/>
      <c r="P913" s="1186"/>
      <c r="Q913" s="1186"/>
      <c r="R913" s="1186"/>
      <c r="S913" s="1186"/>
      <c r="T913" s="1186"/>
      <c r="U913" s="1186"/>
      <c r="V913" s="1186"/>
      <c r="W913" s="1186"/>
      <c r="X913" s="1186"/>
      <c r="Y913" s="1186"/>
      <c r="Z913" s="1186"/>
      <c r="AA913" s="1186">
        <v>13.8</v>
      </c>
      <c r="AB913" s="1186">
        <v>6.4</v>
      </c>
      <c r="AC913" s="1186">
        <v>11.9</v>
      </c>
      <c r="AD913" s="1187">
        <v>3.5</v>
      </c>
    </row>
    <row r="914" spans="1:30" x14ac:dyDescent="0.2">
      <c r="A914">
        <f t="shared" si="48"/>
        <v>23</v>
      </c>
      <c r="B914">
        <v>905</v>
      </c>
      <c r="C914" s="1078">
        <v>2</v>
      </c>
      <c r="D914" s="1077" t="s">
        <v>5263</v>
      </c>
      <c r="E914" s="1077" t="s">
        <v>5150</v>
      </c>
      <c r="F914" s="1185">
        <v>4</v>
      </c>
      <c r="G914" s="1186">
        <v>7.31</v>
      </c>
      <c r="H914" s="1186">
        <v>2.64</v>
      </c>
      <c r="I914" s="1186">
        <v>8.9600000000000009</v>
      </c>
      <c r="J914" s="1186">
        <v>3.26</v>
      </c>
      <c r="K914" s="1186">
        <v>11.49</v>
      </c>
      <c r="L914" s="1186">
        <v>4.04</v>
      </c>
      <c r="M914" s="1186">
        <v>13.53</v>
      </c>
      <c r="N914" s="1186">
        <v>4.7300000000000004</v>
      </c>
      <c r="O914" s="1186">
        <v>17.39</v>
      </c>
      <c r="P914" s="1186">
        <v>7.02</v>
      </c>
      <c r="Q914" s="1186">
        <v>7.83</v>
      </c>
      <c r="R914" s="1186">
        <v>2.1800000000000002</v>
      </c>
      <c r="S914" s="1186">
        <v>12.02</v>
      </c>
      <c r="T914" s="1186">
        <v>3.04</v>
      </c>
      <c r="U914" s="1186">
        <v>15.05</v>
      </c>
      <c r="V914" s="1186">
        <v>4.0199999999999996</v>
      </c>
      <c r="W914" s="1186"/>
      <c r="X914" s="1186"/>
      <c r="Y914" s="1186"/>
      <c r="Z914" s="1186"/>
      <c r="AA914" s="1186"/>
      <c r="AB914" s="1186"/>
      <c r="AC914" s="1186"/>
      <c r="AD914" s="1187"/>
    </row>
    <row r="915" spans="1:30" x14ac:dyDescent="0.2">
      <c r="A915">
        <f t="shared" si="48"/>
        <v>23</v>
      </c>
      <c r="B915">
        <v>906</v>
      </c>
      <c r="C915" s="1078">
        <v>2</v>
      </c>
      <c r="D915" s="1077" t="s">
        <v>5263</v>
      </c>
      <c r="E915" s="1077" t="s">
        <v>4531</v>
      </c>
      <c r="F915" s="1185">
        <v>4</v>
      </c>
      <c r="G915" s="1186">
        <v>10.6</v>
      </c>
      <c r="H915" s="1186">
        <v>2.67</v>
      </c>
      <c r="I915" s="1186">
        <v>12.88</v>
      </c>
      <c r="J915" s="1186">
        <v>3.29</v>
      </c>
      <c r="K915" s="1186">
        <v>16.55</v>
      </c>
      <c r="L915" s="1186">
        <v>4.07</v>
      </c>
      <c r="M915" s="1186">
        <v>18.77</v>
      </c>
      <c r="N915" s="1186">
        <v>4.76</v>
      </c>
      <c r="O915" s="1186">
        <v>23.06</v>
      </c>
      <c r="P915" s="1186">
        <v>6.95</v>
      </c>
      <c r="Q915" s="1186">
        <v>8.84</v>
      </c>
      <c r="R915" s="1186">
        <v>2.21</v>
      </c>
      <c r="S915" s="1186">
        <v>17.059999999999999</v>
      </c>
      <c r="T915" s="1186">
        <v>3.07</v>
      </c>
      <c r="U915" s="1186">
        <v>19.77</v>
      </c>
      <c r="V915" s="1186">
        <v>4</v>
      </c>
      <c r="W915" s="1186"/>
      <c r="X915" s="1186"/>
      <c r="Y915" s="1186"/>
      <c r="Z915" s="1186"/>
      <c r="AA915" s="1186"/>
      <c r="AB915" s="1186"/>
      <c r="AC915" s="1186"/>
      <c r="AD915" s="1187"/>
    </row>
    <row r="916" spans="1:30" x14ac:dyDescent="0.2">
      <c r="A916">
        <f t="shared" si="48"/>
        <v>23</v>
      </c>
      <c r="B916">
        <v>907</v>
      </c>
      <c r="C916" s="1078">
        <v>2</v>
      </c>
      <c r="D916" s="1077" t="s">
        <v>5263</v>
      </c>
      <c r="E916" s="1077" t="s">
        <v>4532</v>
      </c>
      <c r="F916" s="1185">
        <v>4</v>
      </c>
      <c r="G916" s="1186">
        <v>14.12</v>
      </c>
      <c r="H916" s="1186">
        <v>2.63</v>
      </c>
      <c r="I916" s="1186">
        <v>16.72</v>
      </c>
      <c r="J916" s="1186">
        <v>3.25</v>
      </c>
      <c r="K916" s="1186">
        <v>20.93</v>
      </c>
      <c r="L916" s="1186">
        <v>4.03</v>
      </c>
      <c r="M916" s="1186">
        <v>25.95</v>
      </c>
      <c r="N916" s="1186">
        <v>4.72</v>
      </c>
      <c r="O916" s="1186">
        <v>31.49</v>
      </c>
      <c r="P916" s="1186">
        <v>6.8</v>
      </c>
      <c r="Q916" s="1186">
        <v>12.49</v>
      </c>
      <c r="R916" s="1186">
        <v>2.17</v>
      </c>
      <c r="S916" s="1186">
        <v>21.36</v>
      </c>
      <c r="T916" s="1186">
        <v>3.03</v>
      </c>
      <c r="U916" s="1186">
        <v>26.65</v>
      </c>
      <c r="V916" s="1186">
        <v>3.97</v>
      </c>
      <c r="W916" s="1186"/>
      <c r="X916" s="1186"/>
      <c r="Y916" s="1186"/>
      <c r="Z916" s="1186"/>
      <c r="AA916" s="1186"/>
      <c r="AB916" s="1186"/>
      <c r="AC916" s="1186"/>
      <c r="AD916" s="1187"/>
    </row>
    <row r="917" spans="1:30" x14ac:dyDescent="0.2">
      <c r="A917">
        <f t="shared" si="48"/>
        <v>23</v>
      </c>
      <c r="B917">
        <v>908</v>
      </c>
      <c r="C917" s="1078">
        <v>2</v>
      </c>
      <c r="D917" s="1077" t="s">
        <v>5263</v>
      </c>
      <c r="E917" s="1077" t="s">
        <v>4533</v>
      </c>
      <c r="F917" s="1185">
        <v>4</v>
      </c>
      <c r="G917" s="1186">
        <v>24.34</v>
      </c>
      <c r="H917" s="1186">
        <v>2.54</v>
      </c>
      <c r="I917" s="1186">
        <v>34</v>
      </c>
      <c r="J917" s="1186">
        <v>3.61</v>
      </c>
      <c r="K917" s="1186">
        <v>38.67</v>
      </c>
      <c r="L917" s="1186">
        <v>3.94</v>
      </c>
      <c r="M917" s="1186">
        <v>44.74</v>
      </c>
      <c r="N917" s="1186">
        <v>4.63</v>
      </c>
      <c r="O917" s="1186">
        <v>54.24</v>
      </c>
      <c r="P917" s="1186">
        <v>5.15</v>
      </c>
      <c r="Q917" s="1186">
        <v>26.71</v>
      </c>
      <c r="R917" s="1186">
        <v>2.08</v>
      </c>
      <c r="S917" s="1186">
        <v>36.83</v>
      </c>
      <c r="T917" s="1186">
        <v>2.94</v>
      </c>
      <c r="U917" s="1186">
        <v>45.95</v>
      </c>
      <c r="V917" s="1186">
        <v>3.88</v>
      </c>
      <c r="W917" s="1186"/>
      <c r="X917" s="1186"/>
      <c r="Y917" s="1186"/>
      <c r="Z917" s="1186"/>
      <c r="AA917" s="1186"/>
      <c r="AB917" s="1186"/>
      <c r="AC917" s="1186"/>
      <c r="AD917" s="1187"/>
    </row>
    <row r="918" spans="1:30" x14ac:dyDescent="0.2">
      <c r="A918">
        <f t="shared" si="48"/>
        <v>23</v>
      </c>
      <c r="B918">
        <v>909</v>
      </c>
      <c r="C918" s="1078">
        <v>2</v>
      </c>
      <c r="D918" s="1077" t="s">
        <v>5263</v>
      </c>
      <c r="E918" s="1077" t="s">
        <v>4534</v>
      </c>
      <c r="F918" s="1185">
        <v>4</v>
      </c>
      <c r="G918" s="1186">
        <v>28.24</v>
      </c>
      <c r="H918" s="1186">
        <v>2.63</v>
      </c>
      <c r="I918" s="1186">
        <v>39.44</v>
      </c>
      <c r="J918" s="1186">
        <v>3.25</v>
      </c>
      <c r="K918" s="1186">
        <v>44.86</v>
      </c>
      <c r="L918" s="1186">
        <v>4.03</v>
      </c>
      <c r="M918" s="1186">
        <v>51.9</v>
      </c>
      <c r="N918" s="1186">
        <v>4.72</v>
      </c>
      <c r="O918" s="1186">
        <v>62.98</v>
      </c>
      <c r="P918" s="1186">
        <v>6.8</v>
      </c>
      <c r="Q918" s="1186">
        <v>30.98</v>
      </c>
      <c r="R918" s="1186">
        <v>2.17</v>
      </c>
      <c r="S918" s="1186">
        <v>42.72</v>
      </c>
      <c r="T918" s="1186">
        <v>3.03</v>
      </c>
      <c r="U918" s="1186">
        <v>53.3</v>
      </c>
      <c r="V918" s="1186">
        <v>3.97</v>
      </c>
      <c r="W918" s="1186"/>
      <c r="X918" s="1186"/>
      <c r="Y918" s="1186"/>
      <c r="Z918" s="1186"/>
      <c r="AA918" s="1186"/>
      <c r="AB918" s="1186"/>
      <c r="AC918" s="1186"/>
      <c r="AD918" s="1187"/>
    </row>
    <row r="919" spans="1:30" x14ac:dyDescent="0.2">
      <c r="A919">
        <f t="shared" si="48"/>
        <v>23</v>
      </c>
      <c r="B919">
        <v>910</v>
      </c>
      <c r="C919" s="1078">
        <v>2</v>
      </c>
      <c r="D919" s="1077" t="s">
        <v>5263</v>
      </c>
      <c r="E919" s="1077" t="s">
        <v>4535</v>
      </c>
      <c r="F919" s="1185">
        <v>4</v>
      </c>
      <c r="G919" s="1186">
        <v>36.520000000000003</v>
      </c>
      <c r="H919" s="1186">
        <v>2.5099999999999998</v>
      </c>
      <c r="I919" s="1186">
        <v>51</v>
      </c>
      <c r="J919" s="1186">
        <v>3.13</v>
      </c>
      <c r="K919" s="1186">
        <v>58.01</v>
      </c>
      <c r="L919" s="1186">
        <v>3.91</v>
      </c>
      <c r="M919" s="1186">
        <v>67.11</v>
      </c>
      <c r="N919" s="1186">
        <v>4.5999999999999996</v>
      </c>
      <c r="O919" s="1186">
        <v>81.44</v>
      </c>
      <c r="P919" s="1186">
        <v>6.68</v>
      </c>
      <c r="Q919" s="1186">
        <v>40.06</v>
      </c>
      <c r="R919" s="1186">
        <v>2.0499999999999998</v>
      </c>
      <c r="S919" s="1186">
        <v>55.24</v>
      </c>
      <c r="T919" s="1186">
        <v>2.91</v>
      </c>
      <c r="U919" s="1186">
        <v>68.92</v>
      </c>
      <c r="V919" s="1186">
        <v>3.85</v>
      </c>
      <c r="W919" s="1186"/>
      <c r="X919" s="1186"/>
      <c r="Y919" s="1186"/>
      <c r="Z919" s="1186"/>
      <c r="AA919" s="1186"/>
      <c r="AB919" s="1186"/>
      <c r="AC919" s="1186"/>
      <c r="AD919" s="1187"/>
    </row>
    <row r="920" spans="1:30" x14ac:dyDescent="0.2">
      <c r="A920">
        <f t="shared" si="48"/>
        <v>23</v>
      </c>
      <c r="B920">
        <v>911</v>
      </c>
      <c r="C920" s="1078">
        <v>2</v>
      </c>
      <c r="D920" s="1077" t="s">
        <v>5263</v>
      </c>
      <c r="E920" s="1077" t="s">
        <v>4536</v>
      </c>
      <c r="F920" s="1185">
        <v>4</v>
      </c>
      <c r="G920" s="1186">
        <v>4.3099999999999996</v>
      </c>
      <c r="H920" s="1186">
        <v>2.5</v>
      </c>
      <c r="I920" s="1186">
        <v>4.8600000000000003</v>
      </c>
      <c r="J920" s="1186">
        <v>3.05</v>
      </c>
      <c r="K920" s="1186">
        <v>6.34</v>
      </c>
      <c r="L920" s="1186">
        <v>4.2699999999999996</v>
      </c>
      <c r="M920" s="1186">
        <v>6.87</v>
      </c>
      <c r="N920" s="1186">
        <v>5.05</v>
      </c>
      <c r="O920" s="1186">
        <v>11.52</v>
      </c>
      <c r="P920" s="1186">
        <v>7.03</v>
      </c>
      <c r="Q920" s="1186">
        <v>3.2</v>
      </c>
      <c r="R920" s="1186">
        <v>1.44</v>
      </c>
      <c r="S920" s="1186">
        <v>6.42</v>
      </c>
      <c r="T920" s="1186">
        <v>2.5</v>
      </c>
      <c r="U920" s="1186">
        <v>9.5500000000000007</v>
      </c>
      <c r="V920" s="1186">
        <v>3.88</v>
      </c>
      <c r="W920" s="1186"/>
      <c r="X920" s="1186"/>
      <c r="Y920" s="1186"/>
      <c r="Z920" s="1186"/>
      <c r="AA920" s="1186"/>
      <c r="AB920" s="1186"/>
      <c r="AC920" s="1186"/>
      <c r="AD920" s="1187"/>
    </row>
    <row r="921" spans="1:30" x14ac:dyDescent="0.2">
      <c r="A921">
        <f t="shared" si="48"/>
        <v>23</v>
      </c>
      <c r="B921">
        <v>912</v>
      </c>
      <c r="C921" s="1078">
        <v>2</v>
      </c>
      <c r="D921" s="1077" t="s">
        <v>5263</v>
      </c>
      <c r="E921" s="1077" t="s">
        <v>4537</v>
      </c>
      <c r="F921" s="1185">
        <v>4</v>
      </c>
      <c r="G921" s="1186">
        <v>4.84</v>
      </c>
      <c r="H921" s="1186">
        <v>2.46</v>
      </c>
      <c r="I921" s="1186">
        <v>5.04</v>
      </c>
      <c r="J921" s="1186">
        <v>3</v>
      </c>
      <c r="K921" s="1186">
        <v>6.84</v>
      </c>
      <c r="L921" s="1186">
        <v>4.0199999999999996</v>
      </c>
      <c r="M921" s="1186">
        <v>7.99</v>
      </c>
      <c r="N921" s="1186">
        <v>4.71</v>
      </c>
      <c r="O921" s="1186">
        <v>14.9</v>
      </c>
      <c r="P921" s="1186">
        <v>6.87</v>
      </c>
      <c r="Q921" s="1186">
        <v>3.6</v>
      </c>
      <c r="R921" s="1186">
        <v>1.41</v>
      </c>
      <c r="S921" s="1186">
        <v>6.95</v>
      </c>
      <c r="T921" s="1186">
        <v>2.5</v>
      </c>
      <c r="U921" s="1186">
        <v>10.37</v>
      </c>
      <c r="V921" s="1186">
        <v>3.76</v>
      </c>
      <c r="W921" s="1186"/>
      <c r="X921" s="1186"/>
      <c r="Y921" s="1186"/>
      <c r="Z921" s="1186"/>
      <c r="AA921" s="1186"/>
      <c r="AB921" s="1186"/>
      <c r="AC921" s="1186"/>
      <c r="AD921" s="1187"/>
    </row>
    <row r="922" spans="1:30" x14ac:dyDescent="0.2">
      <c r="A922">
        <f t="shared" si="48"/>
        <v>23</v>
      </c>
      <c r="B922">
        <v>913</v>
      </c>
      <c r="C922" s="1078">
        <v>2</v>
      </c>
      <c r="D922" s="1082" t="s">
        <v>5263</v>
      </c>
      <c r="E922" s="1082" t="s">
        <v>4538</v>
      </c>
      <c r="F922" s="1188">
        <v>4</v>
      </c>
      <c r="G922" s="1189">
        <v>12.07</v>
      </c>
      <c r="H922" s="1189">
        <v>2.5099999999999998</v>
      </c>
      <c r="I922" s="1189">
        <v>13.57</v>
      </c>
      <c r="J922" s="1189">
        <v>3.01</v>
      </c>
      <c r="K922" s="1189">
        <v>15.42</v>
      </c>
      <c r="L922" s="1189">
        <v>4.25</v>
      </c>
      <c r="M922" s="1189">
        <v>17.55</v>
      </c>
      <c r="N922" s="1189">
        <v>5.01</v>
      </c>
      <c r="O922" s="1189">
        <v>23.91</v>
      </c>
      <c r="P922" s="1189">
        <v>6.98</v>
      </c>
      <c r="Q922" s="1189">
        <v>8.36</v>
      </c>
      <c r="R922" s="1189">
        <v>1.77</v>
      </c>
      <c r="S922" s="1189">
        <v>11.7</v>
      </c>
      <c r="T922" s="1189">
        <v>2.75</v>
      </c>
      <c r="U922" s="1189">
        <v>15.46</v>
      </c>
      <c r="V922" s="1189">
        <v>3.96</v>
      </c>
      <c r="W922" s="1189"/>
      <c r="X922" s="1189"/>
      <c r="Y922" s="1189"/>
      <c r="Z922" s="1189"/>
      <c r="AA922" s="1189"/>
      <c r="AB922" s="1189"/>
      <c r="AC922" s="1189"/>
      <c r="AD922" s="1187"/>
    </row>
    <row r="923" spans="1:30" x14ac:dyDescent="0.2">
      <c r="A923">
        <f t="shared" si="48"/>
        <v>23</v>
      </c>
      <c r="B923">
        <v>914</v>
      </c>
      <c r="C923" s="1078">
        <v>3</v>
      </c>
      <c r="D923" s="1191" t="s">
        <v>5263</v>
      </c>
      <c r="E923" s="1191" t="s">
        <v>4539</v>
      </c>
      <c r="F923" s="1192">
        <v>4</v>
      </c>
      <c r="G923" s="1193"/>
      <c r="H923" s="1193"/>
      <c r="I923" s="1193"/>
      <c r="J923" s="1193"/>
      <c r="K923" s="1193"/>
      <c r="L923" s="1193"/>
      <c r="M923" s="1193"/>
      <c r="N923" s="1193"/>
      <c r="O923" s="1193"/>
      <c r="P923" s="1193"/>
      <c r="Q923" s="1193"/>
      <c r="R923" s="1193"/>
      <c r="S923" s="1193"/>
      <c r="T923" s="1193"/>
      <c r="U923" s="1193"/>
      <c r="V923" s="1193"/>
      <c r="W923" s="1193">
        <v>8.36</v>
      </c>
      <c r="X923" s="1193">
        <v>4.7</v>
      </c>
      <c r="Y923" s="1193">
        <v>6.51</v>
      </c>
      <c r="Z923" s="1193">
        <v>2.6</v>
      </c>
      <c r="AA923" s="1193"/>
      <c r="AB923" s="1193"/>
      <c r="AC923" s="1193"/>
      <c r="AD923" s="1187"/>
    </row>
    <row r="924" spans="1:30" x14ac:dyDescent="0.2">
      <c r="A924">
        <f t="shared" si="48"/>
        <v>23</v>
      </c>
      <c r="B924">
        <v>915</v>
      </c>
      <c r="C924" s="1078">
        <v>3</v>
      </c>
      <c r="D924" s="1077" t="s">
        <v>5263</v>
      </c>
      <c r="E924" s="1077" t="s">
        <v>4540</v>
      </c>
      <c r="F924" s="1185">
        <v>4</v>
      </c>
      <c r="G924" s="1186"/>
      <c r="H924" s="1186"/>
      <c r="I924" s="1186"/>
      <c r="J924" s="1186"/>
      <c r="K924" s="1186"/>
      <c r="L924" s="1186"/>
      <c r="M924" s="1186"/>
      <c r="N924" s="1186"/>
      <c r="O924" s="1186"/>
      <c r="P924" s="1186"/>
      <c r="Q924" s="1186"/>
      <c r="R924" s="1186"/>
      <c r="S924" s="1186"/>
      <c r="T924" s="1186"/>
      <c r="U924" s="1186"/>
      <c r="V924" s="1186"/>
      <c r="W924" s="1186">
        <v>7.96</v>
      </c>
      <c r="X924" s="1186">
        <v>4.5999999999999996</v>
      </c>
      <c r="Y924" s="1186">
        <v>7.02</v>
      </c>
      <c r="Z924" s="1186">
        <v>2.6</v>
      </c>
      <c r="AA924" s="1186"/>
      <c r="AB924" s="1186"/>
      <c r="AC924" s="1186"/>
      <c r="AD924" s="1187"/>
    </row>
    <row r="925" spans="1:30" x14ac:dyDescent="0.2">
      <c r="A925">
        <f t="shared" si="48"/>
        <v>23</v>
      </c>
      <c r="B925">
        <v>916</v>
      </c>
      <c r="C925" s="1078">
        <v>3</v>
      </c>
      <c r="D925" s="1077" t="s">
        <v>5263</v>
      </c>
      <c r="E925" s="1077" t="s">
        <v>4541</v>
      </c>
      <c r="F925" s="1185">
        <v>4</v>
      </c>
      <c r="G925" s="1186"/>
      <c r="H925" s="1186"/>
      <c r="I925" s="1186"/>
      <c r="J925" s="1186"/>
      <c r="K925" s="1186"/>
      <c r="L925" s="1186"/>
      <c r="M925" s="1186"/>
      <c r="N925" s="1186"/>
      <c r="O925" s="1186"/>
      <c r="P925" s="1186"/>
      <c r="Q925" s="1186"/>
      <c r="R925" s="1186"/>
      <c r="S925" s="1186"/>
      <c r="T925" s="1186"/>
      <c r="U925" s="1186"/>
      <c r="V925" s="1186"/>
      <c r="W925" s="1186">
        <v>19.61</v>
      </c>
      <c r="X925" s="1186">
        <v>4.7</v>
      </c>
      <c r="Y925" s="1186">
        <v>15.27</v>
      </c>
      <c r="Z925" s="1186">
        <v>2.5</v>
      </c>
      <c r="AA925" s="1186"/>
      <c r="AB925" s="1186"/>
      <c r="AC925" s="1186"/>
      <c r="AD925" s="1187"/>
    </row>
    <row r="926" spans="1:30" x14ac:dyDescent="0.2">
      <c r="A926">
        <f t="shared" si="48"/>
        <v>23</v>
      </c>
      <c r="B926">
        <v>917</v>
      </c>
      <c r="C926" s="1078">
        <v>4</v>
      </c>
      <c r="D926" s="1077" t="s">
        <v>5263</v>
      </c>
      <c r="E926" s="1077" t="s">
        <v>4539</v>
      </c>
      <c r="F926" s="1185">
        <v>4</v>
      </c>
      <c r="G926" s="1186"/>
      <c r="H926" s="1186"/>
      <c r="I926" s="1186"/>
      <c r="J926" s="1186"/>
      <c r="K926" s="1186"/>
      <c r="L926" s="1186"/>
      <c r="M926" s="1186"/>
      <c r="N926" s="1186"/>
      <c r="O926" s="1186"/>
      <c r="P926" s="1186"/>
      <c r="Q926" s="1186"/>
      <c r="R926" s="1186"/>
      <c r="S926" s="1186"/>
      <c r="T926" s="1186"/>
      <c r="U926" s="1186"/>
      <c r="V926" s="1186"/>
      <c r="W926" s="1186"/>
      <c r="X926" s="1186"/>
      <c r="Y926" s="1186"/>
      <c r="Z926" s="1186"/>
      <c r="AA926" s="1186">
        <v>11.39</v>
      </c>
      <c r="AB926" s="1186">
        <v>6.41</v>
      </c>
      <c r="AC926" s="1186">
        <v>9.2100000000000009</v>
      </c>
      <c r="AD926" s="1187">
        <v>3.52</v>
      </c>
    </row>
    <row r="927" spans="1:30" x14ac:dyDescent="0.2">
      <c r="A927">
        <f t="shared" si="48"/>
        <v>23</v>
      </c>
      <c r="B927">
        <v>918</v>
      </c>
      <c r="C927" s="1078">
        <v>4</v>
      </c>
      <c r="D927" s="1077" t="s">
        <v>5263</v>
      </c>
      <c r="E927" s="1077" t="s">
        <v>4540</v>
      </c>
      <c r="F927" s="1185">
        <v>4</v>
      </c>
      <c r="G927" s="1186"/>
      <c r="H927" s="1186"/>
      <c r="I927" s="1186"/>
      <c r="J927" s="1186"/>
      <c r="K927" s="1186"/>
      <c r="L927" s="1186"/>
      <c r="M927" s="1186"/>
      <c r="N927" s="1186"/>
      <c r="O927" s="1186"/>
      <c r="P927" s="1186"/>
      <c r="Q927" s="1186"/>
      <c r="R927" s="1186"/>
      <c r="S927" s="1186"/>
      <c r="T927" s="1186"/>
      <c r="U927" s="1186"/>
      <c r="V927" s="1186"/>
      <c r="W927" s="1186"/>
      <c r="X927" s="1186"/>
      <c r="Y927" s="1186"/>
      <c r="Z927" s="1186"/>
      <c r="AA927" s="1186">
        <v>10.65</v>
      </c>
      <c r="AB927" s="1186">
        <v>6.4</v>
      </c>
      <c r="AC927" s="1186">
        <v>9.5500000000000007</v>
      </c>
      <c r="AD927" s="1187">
        <v>3.53</v>
      </c>
    </row>
    <row r="928" spans="1:30" x14ac:dyDescent="0.2">
      <c r="A928">
        <f t="shared" si="48"/>
        <v>23</v>
      </c>
      <c r="B928">
        <v>919</v>
      </c>
      <c r="C928" s="1078">
        <v>4</v>
      </c>
      <c r="D928" s="1077" t="s">
        <v>5263</v>
      </c>
      <c r="E928" s="1077" t="s">
        <v>4541</v>
      </c>
      <c r="F928" s="1185">
        <v>4</v>
      </c>
      <c r="G928" s="1186"/>
      <c r="H928" s="1186"/>
      <c r="I928" s="1186"/>
      <c r="J928" s="1186"/>
      <c r="K928" s="1186"/>
      <c r="L928" s="1186"/>
      <c r="M928" s="1186"/>
      <c r="N928" s="1186"/>
      <c r="O928" s="1186"/>
      <c r="P928" s="1186"/>
      <c r="Q928" s="1186"/>
      <c r="R928" s="1186"/>
      <c r="S928" s="1186"/>
      <c r="T928" s="1186"/>
      <c r="U928" s="1186"/>
      <c r="V928" s="1186"/>
      <c r="W928" s="1186"/>
      <c r="X928" s="1186"/>
      <c r="Y928" s="1186"/>
      <c r="Z928" s="1186"/>
      <c r="AA928" s="1186">
        <v>26.23</v>
      </c>
      <c r="AB928" s="1186">
        <v>6.35</v>
      </c>
      <c r="AC928" s="1186">
        <v>21.46</v>
      </c>
      <c r="AD928" s="1187">
        <v>3.49</v>
      </c>
    </row>
    <row r="929" spans="1:30" x14ac:dyDescent="0.2">
      <c r="A929">
        <f t="shared" si="48"/>
        <v>24</v>
      </c>
      <c r="B929">
        <v>920</v>
      </c>
      <c r="C929" s="1078">
        <v>2</v>
      </c>
      <c r="D929" s="1077" t="s">
        <v>5089</v>
      </c>
      <c r="E929" s="1077" t="s">
        <v>5090</v>
      </c>
      <c r="F929" s="1185">
        <v>4</v>
      </c>
      <c r="G929" s="1186">
        <v>6.7</v>
      </c>
      <c r="H929" s="1186">
        <v>2.2000000000000002</v>
      </c>
      <c r="I929" s="1186">
        <v>8.3000000000000007</v>
      </c>
      <c r="J929" s="1186">
        <v>2.7</v>
      </c>
      <c r="K929" s="1186">
        <v>5.5</v>
      </c>
      <c r="L929" s="1186">
        <v>4</v>
      </c>
      <c r="M929" s="1186">
        <v>4.0999999999999996</v>
      </c>
      <c r="N929" s="1186">
        <v>5.4</v>
      </c>
      <c r="O929" s="1186">
        <v>2.7</v>
      </c>
      <c r="P929" s="1186">
        <v>6.7</v>
      </c>
      <c r="Q929" s="1186">
        <v>7</v>
      </c>
      <c r="R929" s="1186">
        <v>2</v>
      </c>
      <c r="S929" s="1186">
        <v>8</v>
      </c>
      <c r="T929" s="1186">
        <v>3</v>
      </c>
      <c r="U929" s="1186">
        <v>8.5</v>
      </c>
      <c r="V929" s="1186">
        <v>3.6</v>
      </c>
      <c r="W929" s="1186"/>
      <c r="X929" s="1186"/>
      <c r="Y929" s="1186"/>
      <c r="Z929" s="1186"/>
      <c r="AA929" s="1186"/>
      <c r="AB929" s="1186"/>
      <c r="AC929" s="1186"/>
      <c r="AD929" s="1187"/>
    </row>
    <row r="930" spans="1:30" x14ac:dyDescent="0.2">
      <c r="A930">
        <f t="shared" si="48"/>
        <v>24</v>
      </c>
      <c r="B930">
        <v>921</v>
      </c>
      <c r="C930" s="1078">
        <v>2</v>
      </c>
      <c r="D930" s="1077" t="s">
        <v>5089</v>
      </c>
      <c r="E930" s="1077" t="s">
        <v>5091</v>
      </c>
      <c r="F930" s="1185">
        <v>4</v>
      </c>
      <c r="G930" s="1186">
        <v>9</v>
      </c>
      <c r="H930" s="1186">
        <v>2.4</v>
      </c>
      <c r="I930" s="1186">
        <v>10.3</v>
      </c>
      <c r="J930" s="1186">
        <v>2.8</v>
      </c>
      <c r="K930" s="1186">
        <v>7.9</v>
      </c>
      <c r="L930" s="1186">
        <v>4.2</v>
      </c>
      <c r="M930" s="1186">
        <v>5.9</v>
      </c>
      <c r="N930" s="1186">
        <v>5.5</v>
      </c>
      <c r="O930" s="1186">
        <v>4</v>
      </c>
      <c r="P930" s="1186">
        <v>6.5</v>
      </c>
      <c r="Q930" s="1186">
        <v>9.9</v>
      </c>
      <c r="R930" s="1186">
        <v>2.1</v>
      </c>
      <c r="S930" s="1186">
        <v>10</v>
      </c>
      <c r="T930" s="1186">
        <v>3.2</v>
      </c>
      <c r="U930" s="1186">
        <v>10.199999999999999</v>
      </c>
      <c r="V930" s="1186">
        <v>3.8</v>
      </c>
      <c r="W930" s="1186"/>
      <c r="X930" s="1186"/>
      <c r="Y930" s="1186"/>
      <c r="Z930" s="1186"/>
      <c r="AA930" s="1186"/>
      <c r="AB930" s="1186"/>
      <c r="AC930" s="1186"/>
      <c r="AD930" s="1187"/>
    </row>
    <row r="931" spans="1:30" x14ac:dyDescent="0.2">
      <c r="A931">
        <f t="shared" si="48"/>
        <v>24</v>
      </c>
      <c r="B931">
        <v>922</v>
      </c>
      <c r="C931" s="1078">
        <v>2</v>
      </c>
      <c r="D931" s="1077" t="s">
        <v>5089</v>
      </c>
      <c r="E931" s="1077" t="s">
        <v>5092</v>
      </c>
      <c r="F931" s="1185">
        <v>4</v>
      </c>
      <c r="G931" s="1186">
        <v>10.8</v>
      </c>
      <c r="H931" s="1186">
        <v>2.2999999999999998</v>
      </c>
      <c r="I931" s="1186">
        <v>13.3</v>
      </c>
      <c r="J931" s="1186">
        <v>2.9</v>
      </c>
      <c r="K931" s="1186">
        <v>8.6999999999999993</v>
      </c>
      <c r="L931" s="1186">
        <v>4.7</v>
      </c>
      <c r="M931" s="1186">
        <v>9.8000000000000007</v>
      </c>
      <c r="N931" s="1186">
        <v>5.6</v>
      </c>
      <c r="O931" s="1186">
        <v>6.3</v>
      </c>
      <c r="P931" s="1186">
        <v>7.4</v>
      </c>
      <c r="Q931" s="1186">
        <v>11.6</v>
      </c>
      <c r="R931" s="1186">
        <v>2.1</v>
      </c>
      <c r="S931" s="1186">
        <v>11.5</v>
      </c>
      <c r="T931" s="1186">
        <v>3.3</v>
      </c>
      <c r="U931" s="1186">
        <v>12.5</v>
      </c>
      <c r="V931" s="1186">
        <v>3.9</v>
      </c>
      <c r="W931" s="1186"/>
      <c r="X931" s="1186"/>
      <c r="Y931" s="1186"/>
      <c r="Z931" s="1186"/>
      <c r="AA931" s="1186"/>
      <c r="AB931" s="1186"/>
      <c r="AC931" s="1186"/>
      <c r="AD931" s="1187"/>
    </row>
    <row r="932" spans="1:30" x14ac:dyDescent="0.2">
      <c r="A932">
        <f t="shared" si="48"/>
        <v>24</v>
      </c>
      <c r="B932">
        <v>923</v>
      </c>
      <c r="C932" s="1078">
        <v>2</v>
      </c>
      <c r="D932" s="1077" t="s">
        <v>5089</v>
      </c>
      <c r="E932" s="1077" t="s">
        <v>5093</v>
      </c>
      <c r="F932" s="1185">
        <v>4</v>
      </c>
      <c r="G932" s="1186">
        <v>6.7</v>
      </c>
      <c r="H932" s="1186">
        <v>2.2000000000000002</v>
      </c>
      <c r="I932" s="1186">
        <v>8.3000000000000007</v>
      </c>
      <c r="J932" s="1186">
        <v>2.7</v>
      </c>
      <c r="K932" s="1186">
        <v>5.5</v>
      </c>
      <c r="L932" s="1186">
        <v>4</v>
      </c>
      <c r="M932" s="1186">
        <v>4.0999999999999996</v>
      </c>
      <c r="N932" s="1186">
        <v>5.4</v>
      </c>
      <c r="O932" s="1186">
        <v>2.7</v>
      </c>
      <c r="P932" s="1186">
        <v>6.7</v>
      </c>
      <c r="Q932" s="1186">
        <v>7</v>
      </c>
      <c r="R932" s="1186">
        <v>2</v>
      </c>
      <c r="S932" s="1186">
        <v>8</v>
      </c>
      <c r="T932" s="1186">
        <v>3</v>
      </c>
      <c r="U932" s="1186">
        <v>8.5</v>
      </c>
      <c r="V932" s="1186">
        <v>3.6</v>
      </c>
      <c r="W932" s="1186"/>
      <c r="X932" s="1186"/>
      <c r="Y932" s="1186"/>
      <c r="Z932" s="1186"/>
      <c r="AA932" s="1186"/>
      <c r="AB932" s="1186"/>
      <c r="AC932" s="1186"/>
      <c r="AD932" s="1187"/>
    </row>
    <row r="933" spans="1:30" x14ac:dyDescent="0.2">
      <c r="A933">
        <f t="shared" si="48"/>
        <v>24</v>
      </c>
      <c r="B933">
        <v>924</v>
      </c>
      <c r="C933" s="1078">
        <v>2</v>
      </c>
      <c r="D933" s="1077" t="s">
        <v>5089</v>
      </c>
      <c r="E933" s="1077" t="s">
        <v>5094</v>
      </c>
      <c r="F933" s="1185">
        <v>4</v>
      </c>
      <c r="G933" s="1186">
        <v>9</v>
      </c>
      <c r="H933" s="1186">
        <v>2.4</v>
      </c>
      <c r="I933" s="1186">
        <v>10.3</v>
      </c>
      <c r="J933" s="1186">
        <v>2.8</v>
      </c>
      <c r="K933" s="1186">
        <v>7.9</v>
      </c>
      <c r="L933" s="1186">
        <v>4.2</v>
      </c>
      <c r="M933" s="1186">
        <v>5.9</v>
      </c>
      <c r="N933" s="1186">
        <v>5.5</v>
      </c>
      <c r="O933" s="1186">
        <v>4</v>
      </c>
      <c r="P933" s="1186">
        <v>6.5</v>
      </c>
      <c r="Q933" s="1186">
        <v>9.9</v>
      </c>
      <c r="R933" s="1186">
        <v>2.1</v>
      </c>
      <c r="S933" s="1186">
        <v>10</v>
      </c>
      <c r="T933" s="1186">
        <v>3.2</v>
      </c>
      <c r="U933" s="1186">
        <v>10.199999999999999</v>
      </c>
      <c r="V933" s="1186">
        <v>3.8</v>
      </c>
      <c r="W933" s="1186"/>
      <c r="X933" s="1186"/>
      <c r="Y933" s="1186"/>
      <c r="Z933" s="1186"/>
      <c r="AA933" s="1186"/>
      <c r="AB933" s="1186"/>
      <c r="AC933" s="1186"/>
      <c r="AD933" s="1187"/>
    </row>
    <row r="934" spans="1:30" x14ac:dyDescent="0.2">
      <c r="A934">
        <f t="shared" si="48"/>
        <v>24</v>
      </c>
      <c r="B934">
        <v>925</v>
      </c>
      <c r="C934" s="1078">
        <v>2</v>
      </c>
      <c r="D934" s="1077" t="s">
        <v>5089</v>
      </c>
      <c r="E934" s="1077" t="s">
        <v>5095</v>
      </c>
      <c r="F934" s="1185">
        <v>4</v>
      </c>
      <c r="G934" s="1186">
        <v>18.100000000000001</v>
      </c>
      <c r="H934" s="1186">
        <v>2</v>
      </c>
      <c r="I934" s="1186">
        <v>22.1</v>
      </c>
      <c r="J934" s="1186">
        <v>2.9</v>
      </c>
      <c r="K934" s="1186">
        <v>16.5</v>
      </c>
      <c r="L934" s="1186">
        <v>4.4000000000000004</v>
      </c>
      <c r="M934" s="1186">
        <v>16.7</v>
      </c>
      <c r="N934" s="1186">
        <v>5.7</v>
      </c>
      <c r="O934" s="1186">
        <v>10</v>
      </c>
      <c r="P934" s="1186">
        <v>7.7</v>
      </c>
      <c r="Q934" s="1186">
        <v>20.2</v>
      </c>
      <c r="R934" s="1186">
        <v>2.2000000000000002</v>
      </c>
      <c r="S934" s="1186">
        <v>20</v>
      </c>
      <c r="T934" s="1186">
        <v>3.1</v>
      </c>
      <c r="U934" s="1186">
        <v>20</v>
      </c>
      <c r="V934" s="1186">
        <v>4</v>
      </c>
      <c r="W934" s="1186"/>
      <c r="X934" s="1186"/>
      <c r="Y934" s="1186"/>
      <c r="Z934" s="1186"/>
      <c r="AA934" s="1186"/>
      <c r="AB934" s="1186"/>
      <c r="AC934" s="1186"/>
      <c r="AD934" s="1187"/>
    </row>
    <row r="935" spans="1:30" x14ac:dyDescent="0.2">
      <c r="A935">
        <f t="shared" si="48"/>
        <v>24</v>
      </c>
      <c r="B935">
        <v>926</v>
      </c>
      <c r="C935" s="1078">
        <v>2</v>
      </c>
      <c r="D935" s="1077" t="s">
        <v>5089</v>
      </c>
      <c r="E935" s="1207" t="s">
        <v>5615</v>
      </c>
      <c r="F935" s="1185">
        <v>4</v>
      </c>
      <c r="G935" s="1186">
        <v>23.324000000000002</v>
      </c>
      <c r="H935" s="1186">
        <v>3.02</v>
      </c>
      <c r="I935" s="1186">
        <v>27.664999999999999</v>
      </c>
      <c r="J935" s="1186">
        <v>3.6</v>
      </c>
      <c r="K935" s="1186">
        <v>16.375</v>
      </c>
      <c r="L935" s="1186">
        <v>4.8680000000000003</v>
      </c>
      <c r="M935" s="1186">
        <v>23.18</v>
      </c>
      <c r="N935" s="1186">
        <v>5.7220000000000004</v>
      </c>
      <c r="O935" s="1186">
        <v>12.723000000000001</v>
      </c>
      <c r="P935" s="1186">
        <v>6.3310000000000004</v>
      </c>
      <c r="Q935" s="1186">
        <v>27.292999999999999</v>
      </c>
      <c r="R935" s="1186">
        <v>2.577</v>
      </c>
      <c r="S935" s="1186">
        <v>20.977</v>
      </c>
      <c r="T935" s="1186">
        <v>3.5619999999999998</v>
      </c>
      <c r="U935" s="1186">
        <v>13.1</v>
      </c>
      <c r="V935" s="1186">
        <v>4.3</v>
      </c>
      <c r="W935" s="1186"/>
      <c r="X935" s="1186"/>
      <c r="Y935" s="1186"/>
      <c r="Z935" s="1186"/>
      <c r="AA935" s="1186"/>
      <c r="AB935" s="1186"/>
      <c r="AC935" s="1186"/>
      <c r="AD935" s="1187"/>
    </row>
    <row r="936" spans="1:30" x14ac:dyDescent="0.2">
      <c r="A936">
        <f t="shared" si="48"/>
        <v>24</v>
      </c>
      <c r="B936">
        <v>927</v>
      </c>
      <c r="C936" s="1078">
        <v>2</v>
      </c>
      <c r="D936" s="1077" t="s">
        <v>5089</v>
      </c>
      <c r="E936" s="1207" t="s">
        <v>5616</v>
      </c>
      <c r="F936" s="1185">
        <v>4</v>
      </c>
      <c r="G936" s="1186">
        <v>32.969000000000001</v>
      </c>
      <c r="H936" s="1186">
        <v>2.7330000000000001</v>
      </c>
      <c r="I936" s="1186">
        <v>37.122</v>
      </c>
      <c r="J936" s="1186">
        <v>3.2370000000000001</v>
      </c>
      <c r="K936" s="1186">
        <v>23.757999999999999</v>
      </c>
      <c r="L936" s="1186">
        <v>5.4619999999999997</v>
      </c>
      <c r="M936" s="1186">
        <v>32.124000000000002</v>
      </c>
      <c r="N936" s="1186">
        <v>5.3440000000000003</v>
      </c>
      <c r="O936" s="1186">
        <v>12.688000000000001</v>
      </c>
      <c r="P936" s="1186">
        <v>6.3639999999999999</v>
      </c>
      <c r="Q936" s="1186">
        <v>33.353999999999999</v>
      </c>
      <c r="R936" s="1186">
        <v>2.4750000000000001</v>
      </c>
      <c r="S936" s="1186">
        <v>30.657</v>
      </c>
      <c r="T936" s="1186">
        <v>3.508</v>
      </c>
      <c r="U936" s="1186">
        <v>13.1</v>
      </c>
      <c r="V936" s="1186">
        <v>4.3</v>
      </c>
      <c r="W936" s="1186"/>
      <c r="X936" s="1186"/>
      <c r="Y936" s="1186"/>
      <c r="Z936" s="1186"/>
      <c r="AA936" s="1186"/>
      <c r="AB936" s="1186"/>
      <c r="AC936" s="1186"/>
      <c r="AD936" s="1187"/>
    </row>
    <row r="937" spans="1:30" x14ac:dyDescent="0.2">
      <c r="A937">
        <f t="shared" si="48"/>
        <v>24</v>
      </c>
      <c r="B937">
        <v>928</v>
      </c>
      <c r="C937" s="1078">
        <v>2</v>
      </c>
      <c r="D937" s="1077" t="s">
        <v>5089</v>
      </c>
      <c r="E937" s="1077" t="s">
        <v>4639</v>
      </c>
      <c r="F937" s="1185">
        <v>4</v>
      </c>
      <c r="G937" s="1186">
        <v>4.7</v>
      </c>
      <c r="H937" s="1186">
        <v>0</v>
      </c>
      <c r="I937" s="1186">
        <v>6</v>
      </c>
      <c r="J937" s="1186">
        <v>3.2</v>
      </c>
      <c r="K937" s="1186">
        <v>5</v>
      </c>
      <c r="L937" s="1186">
        <v>4</v>
      </c>
      <c r="M937" s="1186">
        <v>4.5</v>
      </c>
      <c r="N937" s="1186">
        <v>5.2</v>
      </c>
      <c r="O937" s="1186">
        <v>5.4</v>
      </c>
      <c r="P937" s="1186">
        <v>6.5</v>
      </c>
      <c r="Q937" s="1186">
        <v>5.0999999999999996</v>
      </c>
      <c r="R937" s="1186">
        <v>2</v>
      </c>
      <c r="S937" s="1186">
        <v>5</v>
      </c>
      <c r="T937" s="1186">
        <v>3</v>
      </c>
      <c r="U937" s="1186">
        <v>4.7</v>
      </c>
      <c r="V937" s="1186">
        <v>3.7</v>
      </c>
      <c r="W937" s="1186"/>
      <c r="X937" s="1186"/>
      <c r="Y937" s="1186"/>
      <c r="Z937" s="1186"/>
      <c r="AA937" s="1186"/>
      <c r="AB937" s="1186"/>
      <c r="AC937" s="1186"/>
      <c r="AD937" s="1187"/>
    </row>
    <row r="938" spans="1:30" x14ac:dyDescent="0.2">
      <c r="A938">
        <f t="shared" si="48"/>
        <v>24</v>
      </c>
      <c r="B938">
        <v>929</v>
      </c>
      <c r="C938" s="1078">
        <v>2</v>
      </c>
      <c r="D938" s="1077" t="s">
        <v>5089</v>
      </c>
      <c r="E938" s="1077" t="s">
        <v>4640</v>
      </c>
      <c r="F938" s="1185">
        <v>4</v>
      </c>
      <c r="G938" s="1186">
        <v>8.1</v>
      </c>
      <c r="H938" s="1186">
        <v>2.2000000000000002</v>
      </c>
      <c r="I938" s="1186">
        <v>10</v>
      </c>
      <c r="J938" s="1186">
        <v>2.7</v>
      </c>
      <c r="K938" s="1186">
        <v>6.5</v>
      </c>
      <c r="L938" s="1186">
        <v>3.5</v>
      </c>
      <c r="M938" s="1186">
        <v>6.8</v>
      </c>
      <c r="N938" s="1186">
        <v>5.0999999999999996</v>
      </c>
      <c r="O938" s="1186">
        <v>8.9</v>
      </c>
      <c r="P938" s="1186">
        <v>6.3</v>
      </c>
      <c r="Q938" s="1186">
        <v>8</v>
      </c>
      <c r="R938" s="1186">
        <v>2.2000000000000002</v>
      </c>
      <c r="S938" s="1186">
        <v>6.1</v>
      </c>
      <c r="T938" s="1186">
        <v>3.1</v>
      </c>
      <c r="U938" s="1186">
        <v>8</v>
      </c>
      <c r="V938" s="1186">
        <v>4.3</v>
      </c>
      <c r="W938" s="1186"/>
      <c r="X938" s="1186"/>
      <c r="Y938" s="1186"/>
      <c r="Z938" s="1186"/>
      <c r="AA938" s="1186"/>
      <c r="AB938" s="1186"/>
      <c r="AC938" s="1186"/>
      <c r="AD938" s="1187"/>
    </row>
    <row r="939" spans="1:30" x14ac:dyDescent="0.2">
      <c r="A939">
        <f t="shared" si="48"/>
        <v>24</v>
      </c>
      <c r="B939">
        <v>930</v>
      </c>
      <c r="C939" s="1078">
        <v>2</v>
      </c>
      <c r="D939" s="1077" t="s">
        <v>5089</v>
      </c>
      <c r="E939" s="1077" t="s">
        <v>4641</v>
      </c>
      <c r="F939" s="1185">
        <v>4</v>
      </c>
      <c r="G939" s="1186">
        <v>12</v>
      </c>
      <c r="H939" s="1186">
        <v>2.2999999999999998</v>
      </c>
      <c r="I939" s="1186">
        <v>14.8</v>
      </c>
      <c r="J939" s="1186">
        <v>2.8</v>
      </c>
      <c r="K939" s="1186">
        <v>11.3</v>
      </c>
      <c r="L939" s="1186">
        <v>4.5</v>
      </c>
      <c r="M939" s="1186">
        <v>12.8</v>
      </c>
      <c r="N939" s="1186">
        <v>5.0999999999999996</v>
      </c>
      <c r="O939" s="1186">
        <v>15.1</v>
      </c>
      <c r="P939" s="1186">
        <v>5.9</v>
      </c>
      <c r="Q939" s="1186">
        <v>10</v>
      </c>
      <c r="R939" s="1186">
        <v>2</v>
      </c>
      <c r="S939" s="1186">
        <v>11.4</v>
      </c>
      <c r="T939" s="1186">
        <v>3.2</v>
      </c>
      <c r="U939" s="1186">
        <v>13.7</v>
      </c>
      <c r="V939" s="1186">
        <v>3.9</v>
      </c>
      <c r="W939" s="1186"/>
      <c r="X939" s="1186"/>
      <c r="Y939" s="1186"/>
      <c r="Z939" s="1186"/>
      <c r="AA939" s="1186"/>
      <c r="AB939" s="1186"/>
      <c r="AC939" s="1186"/>
      <c r="AD939" s="1187"/>
    </row>
    <row r="940" spans="1:30" x14ac:dyDescent="0.2">
      <c r="A940">
        <f t="shared" si="48"/>
        <v>24</v>
      </c>
      <c r="B940">
        <v>931</v>
      </c>
      <c r="C940" s="1078">
        <v>2</v>
      </c>
      <c r="D940" s="1077" t="s">
        <v>5089</v>
      </c>
      <c r="E940" s="1077" t="s">
        <v>4642</v>
      </c>
      <c r="F940" s="1185">
        <v>4</v>
      </c>
      <c r="G940" s="1186">
        <v>4.7</v>
      </c>
      <c r="H940" s="1186">
        <v>2.7</v>
      </c>
      <c r="I940" s="1186">
        <v>6</v>
      </c>
      <c r="J940" s="1186">
        <v>3.2</v>
      </c>
      <c r="K940" s="1186">
        <v>5</v>
      </c>
      <c r="L940" s="1186">
        <v>4</v>
      </c>
      <c r="M940" s="1186">
        <v>4.5</v>
      </c>
      <c r="N940" s="1186">
        <v>5.2</v>
      </c>
      <c r="O940" s="1186">
        <v>5.4</v>
      </c>
      <c r="P940" s="1186">
        <v>6.5</v>
      </c>
      <c r="Q940" s="1186">
        <v>5.0999999999999996</v>
      </c>
      <c r="R940" s="1186">
        <v>2</v>
      </c>
      <c r="S940" s="1186">
        <v>5</v>
      </c>
      <c r="T940" s="1186">
        <v>3</v>
      </c>
      <c r="U940" s="1186">
        <v>4.7</v>
      </c>
      <c r="V940" s="1186">
        <v>3.7</v>
      </c>
      <c r="W940" s="1186"/>
      <c r="X940" s="1186"/>
      <c r="Y940" s="1186"/>
      <c r="Z940" s="1186"/>
      <c r="AA940" s="1186"/>
      <c r="AB940" s="1186"/>
      <c r="AC940" s="1186"/>
      <c r="AD940" s="1187"/>
    </row>
    <row r="941" spans="1:30" x14ac:dyDescent="0.2">
      <c r="A941">
        <f t="shared" si="48"/>
        <v>24</v>
      </c>
      <c r="B941">
        <v>932</v>
      </c>
      <c r="C941" s="1078">
        <v>2</v>
      </c>
      <c r="D941" s="1077" t="s">
        <v>5089</v>
      </c>
      <c r="E941" s="1077" t="s">
        <v>4643</v>
      </c>
      <c r="F941" s="1185">
        <v>4</v>
      </c>
      <c r="G941" s="1186">
        <v>8.1</v>
      </c>
      <c r="H941" s="1186">
        <v>2.2000000000000002</v>
      </c>
      <c r="I941" s="1186">
        <v>10</v>
      </c>
      <c r="J941" s="1186">
        <v>2.7</v>
      </c>
      <c r="K941" s="1186">
        <v>6.5</v>
      </c>
      <c r="L941" s="1186">
        <v>3.5</v>
      </c>
      <c r="M941" s="1186">
        <v>6.8</v>
      </c>
      <c r="N941" s="1186">
        <v>5.0999999999999996</v>
      </c>
      <c r="O941" s="1186">
        <v>8.9</v>
      </c>
      <c r="P941" s="1186">
        <v>6.3</v>
      </c>
      <c r="Q941" s="1186">
        <v>8</v>
      </c>
      <c r="R941" s="1186">
        <v>2.2000000000000002</v>
      </c>
      <c r="S941" s="1186">
        <v>6.1</v>
      </c>
      <c r="T941" s="1186">
        <v>3.1</v>
      </c>
      <c r="U941" s="1186">
        <v>8</v>
      </c>
      <c r="V941" s="1186">
        <v>4.3</v>
      </c>
      <c r="W941" s="1186"/>
      <c r="X941" s="1186"/>
      <c r="Y941" s="1186"/>
      <c r="Z941" s="1186"/>
      <c r="AA941" s="1186"/>
      <c r="AB941" s="1186"/>
      <c r="AC941" s="1186"/>
      <c r="AD941" s="1187"/>
    </row>
    <row r="942" spans="1:30" x14ac:dyDescent="0.2">
      <c r="A942">
        <f t="shared" si="48"/>
        <v>24</v>
      </c>
      <c r="B942">
        <v>933</v>
      </c>
      <c r="C942" s="1078">
        <v>2</v>
      </c>
      <c r="D942" s="1077" t="s">
        <v>5089</v>
      </c>
      <c r="E942" s="1077" t="s">
        <v>4644</v>
      </c>
      <c r="F942" s="1185">
        <v>4</v>
      </c>
      <c r="G942" s="1186">
        <v>4.78</v>
      </c>
      <c r="H942" s="1186">
        <v>2.6</v>
      </c>
      <c r="I942" s="1186">
        <v>6.19</v>
      </c>
      <c r="J942" s="1186">
        <v>3.08</v>
      </c>
      <c r="K942" s="1186">
        <v>4.3</v>
      </c>
      <c r="L942" s="1186">
        <v>4.0999999999999996</v>
      </c>
      <c r="M942" s="1186">
        <v>4.51</v>
      </c>
      <c r="N942" s="1186">
        <v>5.0599999999999996</v>
      </c>
      <c r="O942" s="1186">
        <v>5.26</v>
      </c>
      <c r="P942" s="1186">
        <v>5.98</v>
      </c>
      <c r="Q942" s="1186">
        <v>5.91</v>
      </c>
      <c r="R942" s="1186">
        <v>2.23</v>
      </c>
      <c r="S942" s="1186">
        <v>3.96</v>
      </c>
      <c r="T942" s="1186">
        <v>3.05</v>
      </c>
      <c r="U942" s="1186">
        <v>4.66</v>
      </c>
      <c r="V942" s="1186">
        <v>3.5</v>
      </c>
      <c r="W942" s="1186"/>
      <c r="X942" s="1186"/>
      <c r="Y942" s="1186"/>
      <c r="Z942" s="1186"/>
      <c r="AA942" s="1186"/>
      <c r="AB942" s="1186"/>
      <c r="AC942" s="1186"/>
      <c r="AD942" s="1187"/>
    </row>
    <row r="943" spans="1:30" x14ac:dyDescent="0.2">
      <c r="A943">
        <f t="shared" si="48"/>
        <v>24</v>
      </c>
      <c r="B943">
        <v>934</v>
      </c>
      <c r="C943" s="1078">
        <v>2</v>
      </c>
      <c r="D943" s="1077" t="s">
        <v>5089</v>
      </c>
      <c r="E943" s="1077" t="s">
        <v>4645</v>
      </c>
      <c r="F943" s="1185">
        <v>4</v>
      </c>
      <c r="G943" s="1186">
        <v>8.9</v>
      </c>
      <c r="H943" s="1186">
        <v>2.1</v>
      </c>
      <c r="I943" s="1186">
        <v>10.9</v>
      </c>
      <c r="J943" s="1186">
        <v>2.6</v>
      </c>
      <c r="K943" s="1186">
        <v>7.1</v>
      </c>
      <c r="L943" s="1186">
        <v>4.0999999999999996</v>
      </c>
      <c r="M943" s="1186">
        <v>8.3000000000000007</v>
      </c>
      <c r="N943" s="1186">
        <v>4.8</v>
      </c>
      <c r="O943" s="1186">
        <v>9.9</v>
      </c>
      <c r="P943" s="1186">
        <v>5.9</v>
      </c>
      <c r="Q943" s="1186">
        <v>4.7</v>
      </c>
      <c r="R943" s="1186">
        <v>2</v>
      </c>
      <c r="S943" s="1186">
        <v>7.2</v>
      </c>
      <c r="T943" s="1186">
        <v>2.9</v>
      </c>
      <c r="U943" s="1186">
        <v>8.8000000000000007</v>
      </c>
      <c r="V943" s="1186">
        <v>3.8</v>
      </c>
      <c r="W943" s="1186"/>
      <c r="X943" s="1186"/>
      <c r="Y943" s="1186"/>
      <c r="Z943" s="1186"/>
      <c r="AA943" s="1186"/>
      <c r="AB943" s="1186"/>
      <c r="AC943" s="1186"/>
      <c r="AD943" s="1187"/>
    </row>
    <row r="944" spans="1:30" x14ac:dyDescent="0.2">
      <c r="A944">
        <f t="shared" si="48"/>
        <v>24</v>
      </c>
      <c r="B944">
        <v>935</v>
      </c>
      <c r="C944" s="1078">
        <v>2</v>
      </c>
      <c r="D944" s="1077" t="s">
        <v>5089</v>
      </c>
      <c r="E944" s="1077" t="s">
        <v>4165</v>
      </c>
      <c r="F944" s="1185">
        <v>2</v>
      </c>
      <c r="G944" s="1186">
        <v>14.2</v>
      </c>
      <c r="H944" s="1186">
        <v>2.5</v>
      </c>
      <c r="I944" s="1186">
        <v>17.600000000000001</v>
      </c>
      <c r="J944" s="1186">
        <v>3.1</v>
      </c>
      <c r="K944" s="1186">
        <v>10.67</v>
      </c>
      <c r="L944" s="1186">
        <v>3.67</v>
      </c>
      <c r="M944" s="1186">
        <v>12.9</v>
      </c>
      <c r="N944" s="1186">
        <v>4.5599999999999996</v>
      </c>
      <c r="O944" s="1186">
        <v>17.91</v>
      </c>
      <c r="P944" s="1186">
        <v>6.42</v>
      </c>
      <c r="Q944" s="1186">
        <v>16</v>
      </c>
      <c r="R944" s="1186">
        <v>1.9</v>
      </c>
      <c r="S944" s="1186">
        <v>12.2</v>
      </c>
      <c r="T944" s="1186">
        <v>3.01</v>
      </c>
      <c r="U944" s="1186">
        <v>15</v>
      </c>
      <c r="V944" s="1186">
        <v>3.66</v>
      </c>
      <c r="W944" s="1186"/>
      <c r="X944" s="1186"/>
      <c r="Y944" s="1186"/>
      <c r="Z944" s="1186"/>
      <c r="AA944" s="1186"/>
      <c r="AB944" s="1186"/>
      <c r="AC944" s="1186"/>
      <c r="AD944" s="1187"/>
    </row>
    <row r="945" spans="1:30" x14ac:dyDescent="0.2">
      <c r="A945">
        <f t="shared" si="48"/>
        <v>24</v>
      </c>
      <c r="B945">
        <v>936</v>
      </c>
      <c r="C945" s="1078">
        <v>2</v>
      </c>
      <c r="D945" s="1077" t="s">
        <v>5089</v>
      </c>
      <c r="E945" s="1077" t="s">
        <v>4166</v>
      </c>
      <c r="F945" s="1185">
        <v>2</v>
      </c>
      <c r="G945" s="1186">
        <v>14.2</v>
      </c>
      <c r="H945" s="1186">
        <v>2.5</v>
      </c>
      <c r="I945" s="1186">
        <v>17.600000000000001</v>
      </c>
      <c r="J945" s="1186">
        <v>3.1</v>
      </c>
      <c r="K945" s="1186">
        <v>10.67</v>
      </c>
      <c r="L945" s="1186">
        <v>3.67</v>
      </c>
      <c r="M945" s="1186">
        <v>12.9</v>
      </c>
      <c r="N945" s="1186">
        <v>4.5599999999999996</v>
      </c>
      <c r="O945" s="1186">
        <v>17.91</v>
      </c>
      <c r="P945" s="1186">
        <v>6.42</v>
      </c>
      <c r="Q945" s="1186">
        <v>16</v>
      </c>
      <c r="R945" s="1186">
        <v>1.9</v>
      </c>
      <c r="S945" s="1186">
        <v>12.2</v>
      </c>
      <c r="T945" s="1186">
        <v>3.01</v>
      </c>
      <c r="U945" s="1186">
        <v>15</v>
      </c>
      <c r="V945" s="1186">
        <v>3.66</v>
      </c>
      <c r="W945" s="1186"/>
      <c r="X945" s="1186"/>
      <c r="Y945" s="1186"/>
      <c r="Z945" s="1186"/>
      <c r="AA945" s="1186"/>
      <c r="AB945" s="1186"/>
      <c r="AC945" s="1186"/>
      <c r="AD945" s="1187"/>
    </row>
    <row r="946" spans="1:30" x14ac:dyDescent="0.2">
      <c r="A946">
        <f t="shared" si="48"/>
        <v>24</v>
      </c>
      <c r="B946">
        <v>937</v>
      </c>
      <c r="C946" s="1078">
        <v>2</v>
      </c>
      <c r="D946" s="1077" t="s">
        <v>5089</v>
      </c>
      <c r="E946" s="1077" t="s">
        <v>4167</v>
      </c>
      <c r="F946" s="1185">
        <v>2</v>
      </c>
      <c r="G946" s="1186">
        <v>16.2</v>
      </c>
      <c r="H946" s="1186">
        <v>2.36</v>
      </c>
      <c r="I946" s="1186">
        <v>20.8</v>
      </c>
      <c r="J946" s="1186">
        <v>2.95</v>
      </c>
      <c r="K946" s="1186">
        <v>12.5</v>
      </c>
      <c r="L946" s="1186">
        <v>3.9</v>
      </c>
      <c r="M946" s="1186">
        <v>16</v>
      </c>
      <c r="N946" s="1186">
        <v>4.5999999999999996</v>
      </c>
      <c r="O946" s="1186">
        <v>19.7</v>
      </c>
      <c r="P946" s="1186">
        <v>5.5</v>
      </c>
      <c r="Q946" s="1186">
        <v>19.2</v>
      </c>
      <c r="R946" s="1186">
        <v>1.9</v>
      </c>
      <c r="S946" s="1186">
        <v>16.7</v>
      </c>
      <c r="T946" s="1186">
        <v>3</v>
      </c>
      <c r="U946" s="1186">
        <v>19.05</v>
      </c>
      <c r="V946" s="1186">
        <v>3.5</v>
      </c>
      <c r="W946" s="1186"/>
      <c r="X946" s="1186"/>
      <c r="Y946" s="1186"/>
      <c r="Z946" s="1186"/>
      <c r="AA946" s="1186"/>
      <c r="AB946" s="1186"/>
      <c r="AC946" s="1186"/>
      <c r="AD946" s="1187"/>
    </row>
    <row r="947" spans="1:30" x14ac:dyDescent="0.2">
      <c r="A947">
        <f t="shared" si="48"/>
        <v>24</v>
      </c>
      <c r="B947">
        <v>938</v>
      </c>
      <c r="C947" s="1078">
        <v>2</v>
      </c>
      <c r="D947" s="1077" t="s">
        <v>5089</v>
      </c>
      <c r="E947" s="1077" t="s">
        <v>4646</v>
      </c>
      <c r="F947" s="1185">
        <v>2</v>
      </c>
      <c r="G947" s="1186">
        <v>16.2</v>
      </c>
      <c r="H947" s="1186">
        <v>2.36</v>
      </c>
      <c r="I947" s="1186">
        <v>20.8</v>
      </c>
      <c r="J947" s="1186">
        <v>2.95</v>
      </c>
      <c r="K947" s="1186">
        <v>12.5</v>
      </c>
      <c r="L947" s="1186">
        <v>3.9</v>
      </c>
      <c r="M947" s="1186">
        <v>16</v>
      </c>
      <c r="N947" s="1186">
        <v>4.5999999999999996</v>
      </c>
      <c r="O947" s="1186">
        <v>19.7</v>
      </c>
      <c r="P947" s="1186">
        <v>5.5</v>
      </c>
      <c r="Q947" s="1186">
        <v>19.2</v>
      </c>
      <c r="R947" s="1186">
        <v>1.9</v>
      </c>
      <c r="S947" s="1186">
        <v>16.7</v>
      </c>
      <c r="T947" s="1186">
        <v>3</v>
      </c>
      <c r="U947" s="1186">
        <v>19.05</v>
      </c>
      <c r="V947" s="1186">
        <v>3.5</v>
      </c>
      <c r="W947" s="1186"/>
      <c r="X947" s="1186"/>
      <c r="Y947" s="1186"/>
      <c r="Z947" s="1186"/>
      <c r="AA947" s="1186"/>
      <c r="AB947" s="1186"/>
      <c r="AC947" s="1186"/>
      <c r="AD947" s="1187"/>
    </row>
    <row r="948" spans="1:30" x14ac:dyDescent="0.2">
      <c r="A948">
        <f t="shared" si="48"/>
        <v>24</v>
      </c>
      <c r="B948">
        <v>939</v>
      </c>
      <c r="C948" s="1078">
        <v>2</v>
      </c>
      <c r="D948" s="1077" t="s">
        <v>5089</v>
      </c>
      <c r="E948" s="1077" t="s">
        <v>4169</v>
      </c>
      <c r="F948" s="1185">
        <v>2</v>
      </c>
      <c r="G948" s="1186">
        <v>19.399999999999999</v>
      </c>
      <c r="H948" s="1186">
        <v>2.5</v>
      </c>
      <c r="I948" s="1186">
        <v>24.4</v>
      </c>
      <c r="J948" s="1186">
        <v>3.1</v>
      </c>
      <c r="K948" s="1186">
        <v>15.2</v>
      </c>
      <c r="L948" s="1186">
        <v>3.8</v>
      </c>
      <c r="M948" s="1186">
        <v>18.899999999999999</v>
      </c>
      <c r="N948" s="1186">
        <v>4.7</v>
      </c>
      <c r="O948" s="1186">
        <v>22.6</v>
      </c>
      <c r="P948" s="1186">
        <v>5.2</v>
      </c>
      <c r="Q948" s="1186">
        <v>21.9</v>
      </c>
      <c r="R948" s="1186">
        <v>1.9</v>
      </c>
      <c r="S948" s="1186">
        <v>18.899999999999999</v>
      </c>
      <c r="T948" s="1186">
        <v>3</v>
      </c>
      <c r="U948" s="1186">
        <v>21</v>
      </c>
      <c r="V948" s="1186">
        <v>3.3</v>
      </c>
      <c r="W948" s="1186"/>
      <c r="X948" s="1186"/>
      <c r="Y948" s="1186"/>
      <c r="Z948" s="1186"/>
      <c r="AA948" s="1186"/>
      <c r="AB948" s="1186"/>
      <c r="AC948" s="1186"/>
      <c r="AD948" s="1187"/>
    </row>
    <row r="949" spans="1:30" x14ac:dyDescent="0.2">
      <c r="A949">
        <f t="shared" si="48"/>
        <v>24</v>
      </c>
      <c r="B949">
        <v>940</v>
      </c>
      <c r="C949" s="1078">
        <v>2</v>
      </c>
      <c r="D949" s="1077" t="s">
        <v>5089</v>
      </c>
      <c r="E949" s="1077" t="s">
        <v>4647</v>
      </c>
      <c r="F949" s="1185">
        <v>2</v>
      </c>
      <c r="G949" s="1186">
        <v>19.399999999999999</v>
      </c>
      <c r="H949" s="1186">
        <v>2.5</v>
      </c>
      <c r="I949" s="1186">
        <v>24.4</v>
      </c>
      <c r="J949" s="1186">
        <v>3.1</v>
      </c>
      <c r="K949" s="1186">
        <v>15.2</v>
      </c>
      <c r="L949" s="1186">
        <v>3.8</v>
      </c>
      <c r="M949" s="1186">
        <v>18.899999999999999</v>
      </c>
      <c r="N949" s="1186">
        <v>4.7</v>
      </c>
      <c r="O949" s="1186">
        <v>22.6</v>
      </c>
      <c r="P949" s="1186">
        <v>5.2</v>
      </c>
      <c r="Q949" s="1186">
        <v>21.9</v>
      </c>
      <c r="R949" s="1186">
        <v>1.9</v>
      </c>
      <c r="S949" s="1186">
        <v>18.899999999999999</v>
      </c>
      <c r="T949" s="1186">
        <v>3</v>
      </c>
      <c r="U949" s="1186">
        <v>21</v>
      </c>
      <c r="V949" s="1186">
        <v>3.3</v>
      </c>
      <c r="W949" s="1186"/>
      <c r="X949" s="1186"/>
      <c r="Y949" s="1186"/>
      <c r="Z949" s="1186"/>
      <c r="AA949" s="1186"/>
      <c r="AB949" s="1186"/>
      <c r="AC949" s="1186"/>
      <c r="AD949" s="1187"/>
    </row>
    <row r="950" spans="1:30" x14ac:dyDescent="0.2">
      <c r="A950">
        <f t="shared" si="48"/>
        <v>24</v>
      </c>
      <c r="B950">
        <v>941</v>
      </c>
      <c r="C950" s="1078">
        <v>2</v>
      </c>
      <c r="D950" s="1077" t="s">
        <v>5089</v>
      </c>
      <c r="E950" s="1077" t="s">
        <v>4172</v>
      </c>
      <c r="F950" s="1185">
        <v>2</v>
      </c>
      <c r="G950" s="1186">
        <v>15.6</v>
      </c>
      <c r="H950" s="1186">
        <v>2.72</v>
      </c>
      <c r="I950" s="1186">
        <v>20.100000000000001</v>
      </c>
      <c r="J950" s="1186">
        <v>3.4</v>
      </c>
      <c r="K950" s="1186">
        <v>13.1</v>
      </c>
      <c r="L950" s="1186">
        <v>4.62</v>
      </c>
      <c r="M950" s="1186">
        <v>15.14</v>
      </c>
      <c r="N950" s="1186">
        <v>5.4</v>
      </c>
      <c r="O950" s="1186">
        <v>21.1</v>
      </c>
      <c r="P950" s="1186">
        <v>6.46</v>
      </c>
      <c r="Q950" s="1186">
        <v>18.8</v>
      </c>
      <c r="R950" s="1186">
        <v>2.4</v>
      </c>
      <c r="S950" s="1186">
        <v>14</v>
      </c>
      <c r="T950" s="1186">
        <v>3.79</v>
      </c>
      <c r="U950" s="1186">
        <v>18.7</v>
      </c>
      <c r="V950" s="1186">
        <v>4.22</v>
      </c>
      <c r="W950" s="1186"/>
      <c r="X950" s="1186"/>
      <c r="Y950" s="1186"/>
      <c r="Z950" s="1186"/>
      <c r="AA950" s="1186"/>
      <c r="AB950" s="1186"/>
      <c r="AC950" s="1186"/>
      <c r="AD950" s="1187"/>
    </row>
    <row r="951" spans="1:30" x14ac:dyDescent="0.2">
      <c r="A951">
        <f t="shared" si="48"/>
        <v>24</v>
      </c>
      <c r="B951">
        <v>942</v>
      </c>
      <c r="C951" s="1078">
        <v>2</v>
      </c>
      <c r="D951" s="1077" t="s">
        <v>5089</v>
      </c>
      <c r="E951" s="1077" t="s">
        <v>4168</v>
      </c>
      <c r="F951" s="1185">
        <v>2</v>
      </c>
      <c r="G951" s="1186">
        <v>15.6</v>
      </c>
      <c r="H951" s="1186">
        <v>2.72</v>
      </c>
      <c r="I951" s="1186">
        <v>20.100000000000001</v>
      </c>
      <c r="J951" s="1186">
        <v>3.4</v>
      </c>
      <c r="K951" s="1186">
        <v>13.1</v>
      </c>
      <c r="L951" s="1186">
        <v>4.5999999999999996</v>
      </c>
      <c r="M951" s="1186">
        <v>15.1</v>
      </c>
      <c r="N951" s="1186">
        <v>5.4</v>
      </c>
      <c r="O951" s="1186">
        <v>21.1</v>
      </c>
      <c r="P951" s="1186">
        <v>6.46</v>
      </c>
      <c r="Q951" s="1186">
        <v>18.8</v>
      </c>
      <c r="R951" s="1186">
        <v>2.4</v>
      </c>
      <c r="S951" s="1186">
        <v>14</v>
      </c>
      <c r="T951" s="1186">
        <v>3.79</v>
      </c>
      <c r="U951" s="1186">
        <v>18.7</v>
      </c>
      <c r="V951" s="1186">
        <v>4.22</v>
      </c>
      <c r="W951" s="1186"/>
      <c r="X951" s="1186"/>
      <c r="Y951" s="1186"/>
      <c r="Z951" s="1186"/>
      <c r="AA951" s="1186"/>
      <c r="AB951" s="1186"/>
      <c r="AC951" s="1186"/>
      <c r="AD951" s="1187"/>
    </row>
    <row r="952" spans="1:30" x14ac:dyDescent="0.2">
      <c r="A952">
        <f t="shared" si="48"/>
        <v>24</v>
      </c>
      <c r="B952">
        <v>943</v>
      </c>
      <c r="C952" s="1078">
        <v>2</v>
      </c>
      <c r="D952" s="1077" t="s">
        <v>5089</v>
      </c>
      <c r="E952" s="1077" t="s">
        <v>4170</v>
      </c>
      <c r="F952" s="1185">
        <v>2</v>
      </c>
      <c r="G952" s="1186">
        <v>21.7</v>
      </c>
      <c r="H952" s="1186">
        <v>2.71</v>
      </c>
      <c r="I952" s="1186">
        <v>26.9</v>
      </c>
      <c r="J952" s="1186">
        <v>3.35</v>
      </c>
      <c r="K952" s="1186">
        <v>18.600000000000001</v>
      </c>
      <c r="L952" s="1186">
        <v>4.5599999999999996</v>
      </c>
      <c r="M952" s="1186">
        <v>20.5</v>
      </c>
      <c r="N952" s="1186">
        <v>5.3</v>
      </c>
      <c r="O952" s="1186">
        <v>25.3</v>
      </c>
      <c r="P952" s="1186">
        <v>6.4</v>
      </c>
      <c r="Q952" s="1186">
        <v>24.8</v>
      </c>
      <c r="R952" s="1186">
        <v>2.4</v>
      </c>
      <c r="S952" s="1186">
        <v>19.2</v>
      </c>
      <c r="T952" s="1186">
        <v>3.7</v>
      </c>
      <c r="U952" s="1186">
        <v>23.1</v>
      </c>
      <c r="V952" s="1186">
        <v>4.29</v>
      </c>
      <c r="W952" s="1186"/>
      <c r="X952" s="1186"/>
      <c r="Y952" s="1186"/>
      <c r="Z952" s="1186"/>
      <c r="AA952" s="1186"/>
      <c r="AB952" s="1186"/>
      <c r="AC952" s="1186"/>
      <c r="AD952" s="1187"/>
    </row>
    <row r="953" spans="1:30" x14ac:dyDescent="0.2">
      <c r="A953">
        <f t="shared" si="48"/>
        <v>24</v>
      </c>
      <c r="B953">
        <v>944</v>
      </c>
      <c r="C953" s="1078">
        <v>2</v>
      </c>
      <c r="D953" s="1077" t="s">
        <v>5089</v>
      </c>
      <c r="E953" s="1077" t="s">
        <v>4171</v>
      </c>
      <c r="F953" s="1185">
        <v>2</v>
      </c>
      <c r="G953" s="1186">
        <v>21.7</v>
      </c>
      <c r="H953" s="1186">
        <v>2.71</v>
      </c>
      <c r="I953" s="1186">
        <v>26.9</v>
      </c>
      <c r="J953" s="1186">
        <v>3.35</v>
      </c>
      <c r="K953" s="1186">
        <v>18.600000000000001</v>
      </c>
      <c r="L953" s="1186">
        <v>4.5999999999999996</v>
      </c>
      <c r="M953" s="1186">
        <v>20.5</v>
      </c>
      <c r="N953" s="1186">
        <v>5.3</v>
      </c>
      <c r="O953" s="1186">
        <v>25.3</v>
      </c>
      <c r="P953" s="1186">
        <v>6.4</v>
      </c>
      <c r="Q953" s="1186">
        <v>24.8</v>
      </c>
      <c r="R953" s="1186">
        <v>2.4</v>
      </c>
      <c r="S953" s="1186">
        <v>19.2</v>
      </c>
      <c r="T953" s="1186">
        <v>3.7</v>
      </c>
      <c r="U953" s="1186">
        <v>23.1</v>
      </c>
      <c r="V953" s="1186">
        <v>4.29</v>
      </c>
      <c r="W953" s="1186"/>
      <c r="X953" s="1186"/>
      <c r="Y953" s="1186"/>
      <c r="Z953" s="1186"/>
      <c r="AA953" s="1186"/>
      <c r="AB953" s="1186"/>
      <c r="AC953" s="1186"/>
      <c r="AD953" s="1187"/>
    </row>
    <row r="954" spans="1:30" x14ac:dyDescent="0.2">
      <c r="A954">
        <f t="shared" si="48"/>
        <v>24</v>
      </c>
      <c r="B954">
        <v>945</v>
      </c>
      <c r="C954" s="1078">
        <v>2</v>
      </c>
      <c r="D954" s="1077" t="s">
        <v>5089</v>
      </c>
      <c r="E954" s="1077" t="s">
        <v>4648</v>
      </c>
      <c r="F954" s="1185">
        <v>2</v>
      </c>
      <c r="G954" s="1186">
        <v>38.6</v>
      </c>
      <c r="H954" s="1186">
        <v>2.5</v>
      </c>
      <c r="I954" s="1186">
        <v>45.5</v>
      </c>
      <c r="J954" s="1186">
        <v>3.1</v>
      </c>
      <c r="K954" s="1186">
        <v>50.3</v>
      </c>
      <c r="L954" s="1186">
        <v>3.6</v>
      </c>
      <c r="M954" s="1186">
        <v>34.6</v>
      </c>
      <c r="N954" s="1186">
        <v>4.4000000000000004</v>
      </c>
      <c r="O954" s="1186">
        <v>46.4</v>
      </c>
      <c r="P954" s="1186">
        <v>5.5</v>
      </c>
      <c r="Q954" s="1186">
        <v>44.5</v>
      </c>
      <c r="R954" s="1186">
        <v>2.2000000000000002</v>
      </c>
      <c r="S954" s="1186">
        <v>32.799999999999997</v>
      </c>
      <c r="T954" s="1186">
        <v>3</v>
      </c>
      <c r="U954" s="1186">
        <v>41.1</v>
      </c>
      <c r="V954" s="1186">
        <v>3.6</v>
      </c>
      <c r="W954" s="1186"/>
      <c r="X954" s="1186"/>
      <c r="Y954" s="1186"/>
      <c r="Z954" s="1186"/>
      <c r="AA954" s="1186"/>
      <c r="AB954" s="1186"/>
      <c r="AC954" s="1186"/>
      <c r="AD954" s="1187"/>
    </row>
    <row r="955" spans="1:30" x14ac:dyDescent="0.2">
      <c r="A955">
        <f t="shared" si="48"/>
        <v>24</v>
      </c>
      <c r="B955">
        <v>946</v>
      </c>
      <c r="C955" s="1078">
        <v>3</v>
      </c>
      <c r="D955" s="1077" t="s">
        <v>5089</v>
      </c>
      <c r="E955" s="1077" t="s">
        <v>4649</v>
      </c>
      <c r="F955" s="1185">
        <v>4</v>
      </c>
      <c r="G955" s="1186"/>
      <c r="H955" s="1186"/>
      <c r="I955" s="1186"/>
      <c r="J955" s="1186"/>
      <c r="K955" s="1186"/>
      <c r="L955" s="1186"/>
      <c r="M955" s="1186"/>
      <c r="N955" s="1186"/>
      <c r="O955" s="1186"/>
      <c r="P955" s="1186"/>
      <c r="Q955" s="1186"/>
      <c r="R955" s="1186"/>
      <c r="S955" s="1186"/>
      <c r="T955" s="1186"/>
      <c r="U955" s="1186"/>
      <c r="V955" s="1186"/>
      <c r="W955" s="1186">
        <v>7.85</v>
      </c>
      <c r="X955" s="1186">
        <v>4.71</v>
      </c>
      <c r="Y955" s="1186">
        <v>6.31</v>
      </c>
      <c r="Z955" s="1186">
        <v>2.89</v>
      </c>
      <c r="AA955" s="1186">
        <v>9.82</v>
      </c>
      <c r="AB955" s="1186">
        <v>6.34</v>
      </c>
      <c r="AC955" s="1186">
        <v>8.02</v>
      </c>
      <c r="AD955" s="1187">
        <v>3.77</v>
      </c>
    </row>
    <row r="956" spans="1:30" x14ac:dyDescent="0.2">
      <c r="A956">
        <f t="shared" si="48"/>
        <v>24</v>
      </c>
      <c r="B956">
        <v>947</v>
      </c>
      <c r="C956" s="1078">
        <v>3</v>
      </c>
      <c r="D956" s="1077" t="s">
        <v>5089</v>
      </c>
      <c r="E956" s="1077" t="s">
        <v>4650</v>
      </c>
      <c r="F956" s="1185">
        <v>4</v>
      </c>
      <c r="G956" s="1186"/>
      <c r="H956" s="1186"/>
      <c r="I956" s="1186"/>
      <c r="J956" s="1186"/>
      <c r="K956" s="1186"/>
      <c r="L956" s="1186"/>
      <c r="M956" s="1186"/>
      <c r="N956" s="1186"/>
      <c r="O956" s="1186"/>
      <c r="P956" s="1186"/>
      <c r="Q956" s="1186"/>
      <c r="R956" s="1186"/>
      <c r="S956" s="1186"/>
      <c r="T956" s="1186"/>
      <c r="U956" s="1186"/>
      <c r="V956" s="1186"/>
      <c r="W956" s="1186">
        <v>13.3</v>
      </c>
      <c r="X956" s="1186">
        <v>5</v>
      </c>
      <c r="Y956" s="1186">
        <v>11.9</v>
      </c>
      <c r="Z956" s="1186">
        <v>3</v>
      </c>
      <c r="AA956" s="1186">
        <v>13.3</v>
      </c>
      <c r="AB956" s="1186">
        <v>6.5</v>
      </c>
      <c r="AC956" s="1186">
        <v>13.1</v>
      </c>
      <c r="AD956" s="1187">
        <v>3.7</v>
      </c>
    </row>
    <row r="957" spans="1:30" x14ac:dyDescent="0.2">
      <c r="A957">
        <f t="shared" si="48"/>
        <v>24</v>
      </c>
      <c r="B957">
        <v>948</v>
      </c>
      <c r="C957" s="1078">
        <v>3</v>
      </c>
      <c r="D957" s="1077" t="s">
        <v>5089</v>
      </c>
      <c r="E957" s="1077" t="s">
        <v>4651</v>
      </c>
      <c r="F957" s="1185">
        <v>4</v>
      </c>
      <c r="G957" s="1186"/>
      <c r="H957" s="1186"/>
      <c r="I957" s="1186"/>
      <c r="J957" s="1186"/>
      <c r="K957" s="1186"/>
      <c r="L957" s="1186"/>
      <c r="M957" s="1186"/>
      <c r="N957" s="1186"/>
      <c r="O957" s="1186"/>
      <c r="P957" s="1186"/>
      <c r="Q957" s="1186"/>
      <c r="R957" s="1186"/>
      <c r="S957" s="1186"/>
      <c r="T957" s="1186"/>
      <c r="U957" s="1186"/>
      <c r="V957" s="1186"/>
      <c r="W957" s="1186">
        <v>17.64</v>
      </c>
      <c r="X957" s="1186">
        <v>5.05</v>
      </c>
      <c r="Y957" s="1186">
        <v>15.84</v>
      </c>
      <c r="Z957" s="1186">
        <v>3</v>
      </c>
      <c r="AA957" s="1186">
        <v>21.5</v>
      </c>
      <c r="AB957" s="1186">
        <v>6.44</v>
      </c>
      <c r="AC957" s="1186">
        <v>20.2</v>
      </c>
      <c r="AD957" s="1187">
        <v>3.72</v>
      </c>
    </row>
    <row r="958" spans="1:30" x14ac:dyDescent="0.2">
      <c r="A958">
        <f t="shared" si="48"/>
        <v>24</v>
      </c>
      <c r="B958">
        <v>949</v>
      </c>
      <c r="C958" s="1078">
        <v>3</v>
      </c>
      <c r="D958" s="1077" t="s">
        <v>5089</v>
      </c>
      <c r="E958" s="1077" t="s">
        <v>4652</v>
      </c>
      <c r="F958" s="1185">
        <v>4</v>
      </c>
      <c r="G958" s="1186"/>
      <c r="H958" s="1186"/>
      <c r="I958" s="1186"/>
      <c r="J958" s="1186"/>
      <c r="K958" s="1186"/>
      <c r="L958" s="1186"/>
      <c r="M958" s="1186"/>
      <c r="N958" s="1186"/>
      <c r="O958" s="1186"/>
      <c r="P958" s="1186"/>
      <c r="Q958" s="1186"/>
      <c r="R958" s="1186"/>
      <c r="S958" s="1186"/>
      <c r="T958" s="1186"/>
      <c r="U958" s="1186"/>
      <c r="V958" s="1186"/>
      <c r="W958" s="1186">
        <v>7.85</v>
      </c>
      <c r="X958" s="1186">
        <v>4.71</v>
      </c>
      <c r="Y958" s="1186">
        <v>6.31</v>
      </c>
      <c r="Z958" s="1186">
        <v>2.89</v>
      </c>
      <c r="AA958" s="1186">
        <v>9.82</v>
      </c>
      <c r="AB958" s="1186">
        <v>6.34</v>
      </c>
      <c r="AC958" s="1186">
        <v>8.02</v>
      </c>
      <c r="AD958" s="1187">
        <v>3.77</v>
      </c>
    </row>
    <row r="959" spans="1:30" x14ac:dyDescent="0.2">
      <c r="A959">
        <f t="shared" si="48"/>
        <v>24</v>
      </c>
      <c r="B959">
        <v>950</v>
      </c>
      <c r="C959" s="1078">
        <v>3</v>
      </c>
      <c r="D959" s="1077" t="s">
        <v>5089</v>
      </c>
      <c r="E959" s="1077" t="s">
        <v>4653</v>
      </c>
      <c r="F959" s="1185">
        <v>4</v>
      </c>
      <c r="G959" s="1186"/>
      <c r="H959" s="1186"/>
      <c r="I959" s="1186"/>
      <c r="J959" s="1186"/>
      <c r="K959" s="1186"/>
      <c r="L959" s="1186"/>
      <c r="M959" s="1186"/>
      <c r="N959" s="1186"/>
      <c r="O959" s="1186"/>
      <c r="P959" s="1186"/>
      <c r="Q959" s="1186"/>
      <c r="R959" s="1186"/>
      <c r="S959" s="1186"/>
      <c r="T959" s="1186"/>
      <c r="U959" s="1186"/>
      <c r="V959" s="1186"/>
      <c r="W959" s="1186">
        <v>13.3</v>
      </c>
      <c r="X959" s="1186">
        <v>5</v>
      </c>
      <c r="Y959" s="1186">
        <v>11.9</v>
      </c>
      <c r="Z959" s="1186">
        <v>3</v>
      </c>
      <c r="AA959" s="1186">
        <v>13.3</v>
      </c>
      <c r="AB959" s="1186">
        <v>6.5</v>
      </c>
      <c r="AC959" s="1186">
        <v>13.1</v>
      </c>
      <c r="AD959" s="1187">
        <v>3.7</v>
      </c>
    </row>
    <row r="960" spans="1:30" x14ac:dyDescent="0.2">
      <c r="A960">
        <f t="shared" si="48"/>
        <v>24</v>
      </c>
      <c r="B960">
        <v>951</v>
      </c>
      <c r="C960" s="1078">
        <v>3</v>
      </c>
      <c r="D960" s="1077" t="s">
        <v>5089</v>
      </c>
      <c r="E960" s="1077" t="s">
        <v>4173</v>
      </c>
      <c r="F960" s="1185">
        <v>1</v>
      </c>
      <c r="G960" s="1186"/>
      <c r="H960" s="1186"/>
      <c r="I960" s="1186"/>
      <c r="J960" s="1186"/>
      <c r="K960" s="1186"/>
      <c r="L960" s="1186"/>
      <c r="M960" s="1186"/>
      <c r="N960" s="1186"/>
      <c r="O960" s="1186"/>
      <c r="P960" s="1186"/>
      <c r="Q960" s="1186"/>
      <c r="R960" s="1186"/>
      <c r="S960" s="1186"/>
      <c r="T960" s="1186"/>
      <c r="U960" s="1186"/>
      <c r="V960" s="1186"/>
      <c r="W960" s="1186">
        <v>5.8</v>
      </c>
      <c r="X960" s="1186">
        <v>4.45</v>
      </c>
      <c r="Y960" s="1186">
        <v>5.2</v>
      </c>
      <c r="Z960" s="1186">
        <v>2.7</v>
      </c>
      <c r="AA960" s="1186">
        <v>7.1</v>
      </c>
      <c r="AB960" s="1186">
        <v>5.43</v>
      </c>
      <c r="AC960" s="1186">
        <v>6.7</v>
      </c>
      <c r="AD960" s="1187">
        <v>3.35</v>
      </c>
    </row>
    <row r="961" spans="1:30" x14ac:dyDescent="0.2">
      <c r="A961">
        <f t="shared" si="48"/>
        <v>24</v>
      </c>
      <c r="B961">
        <v>952</v>
      </c>
      <c r="C961" s="1078">
        <v>3</v>
      </c>
      <c r="D961" s="1077" t="s">
        <v>5089</v>
      </c>
      <c r="E961" s="1077" t="s">
        <v>4174</v>
      </c>
      <c r="F961" s="1185">
        <v>1</v>
      </c>
      <c r="G961" s="1186"/>
      <c r="H961" s="1186"/>
      <c r="I961" s="1186"/>
      <c r="J961" s="1186"/>
      <c r="K961" s="1186"/>
      <c r="L961" s="1186"/>
      <c r="M961" s="1186"/>
      <c r="N961" s="1186"/>
      <c r="O961" s="1186"/>
      <c r="P961" s="1186"/>
      <c r="Q961" s="1186"/>
      <c r="R961" s="1186"/>
      <c r="S961" s="1186"/>
      <c r="T961" s="1186"/>
      <c r="U961" s="1186"/>
      <c r="V961" s="1186"/>
      <c r="W961" s="1186">
        <v>7.6</v>
      </c>
      <c r="X961" s="1186">
        <v>4.55</v>
      </c>
      <c r="Y961" s="1186">
        <v>6.9</v>
      </c>
      <c r="Z961" s="1186">
        <v>2.72</v>
      </c>
      <c r="AA961" s="1186">
        <v>9.6</v>
      </c>
      <c r="AB961" s="1186">
        <v>5.87</v>
      </c>
      <c r="AC961" s="1186">
        <v>8.9</v>
      </c>
      <c r="AD961" s="1187">
        <v>3.4</v>
      </c>
    </row>
    <row r="962" spans="1:30" x14ac:dyDescent="0.2">
      <c r="A962">
        <f t="shared" si="48"/>
        <v>24</v>
      </c>
      <c r="B962">
        <v>953</v>
      </c>
      <c r="C962" s="1078">
        <v>3</v>
      </c>
      <c r="D962" s="1077" t="s">
        <v>5089</v>
      </c>
      <c r="E962" s="1077" t="s">
        <v>4654</v>
      </c>
      <c r="F962" s="1185">
        <v>1</v>
      </c>
      <c r="G962" s="1186"/>
      <c r="H962" s="1186"/>
      <c r="I962" s="1186"/>
      <c r="J962" s="1186"/>
      <c r="K962" s="1186"/>
      <c r="L962" s="1186"/>
      <c r="M962" s="1186"/>
      <c r="N962" s="1186"/>
      <c r="O962" s="1186"/>
      <c r="P962" s="1186"/>
      <c r="Q962" s="1186"/>
      <c r="R962" s="1186"/>
      <c r="S962" s="1186"/>
      <c r="T962" s="1186"/>
      <c r="U962" s="1186"/>
      <c r="V962" s="1186"/>
      <c r="W962" s="1186">
        <v>10.6</v>
      </c>
      <c r="X962" s="1186">
        <v>4.8099999999999996</v>
      </c>
      <c r="Y962" s="1186">
        <v>9.4</v>
      </c>
      <c r="Z962" s="1186">
        <v>2.78</v>
      </c>
      <c r="AA962" s="1186">
        <v>12.7</v>
      </c>
      <c r="AB962" s="1186">
        <v>6.08</v>
      </c>
      <c r="AC962" s="1186">
        <v>11.9</v>
      </c>
      <c r="AD962" s="1187">
        <v>3.52</v>
      </c>
    </row>
    <row r="963" spans="1:30" x14ac:dyDescent="0.2">
      <c r="A963">
        <f t="shared" si="48"/>
        <v>24</v>
      </c>
      <c r="B963">
        <v>954</v>
      </c>
      <c r="C963" s="1078">
        <v>3</v>
      </c>
      <c r="D963" s="1077" t="s">
        <v>5089</v>
      </c>
      <c r="E963" s="1077" t="s">
        <v>4175</v>
      </c>
      <c r="F963" s="1185">
        <v>1</v>
      </c>
      <c r="G963" s="1186"/>
      <c r="H963" s="1186"/>
      <c r="I963" s="1186"/>
      <c r="J963" s="1186"/>
      <c r="K963" s="1186"/>
      <c r="L963" s="1186"/>
      <c r="M963" s="1186"/>
      <c r="N963" s="1186"/>
      <c r="O963" s="1186"/>
      <c r="P963" s="1186"/>
      <c r="Q963" s="1186"/>
      <c r="R963" s="1186"/>
      <c r="S963" s="1186"/>
      <c r="T963" s="1186"/>
      <c r="U963" s="1186"/>
      <c r="V963" s="1186"/>
      <c r="W963" s="1186">
        <v>13.4</v>
      </c>
      <c r="X963" s="1186">
        <v>4.8099999999999996</v>
      </c>
      <c r="Y963" s="1186">
        <v>12.4</v>
      </c>
      <c r="Z963" s="1186">
        <v>2.96</v>
      </c>
      <c r="AA963" s="1186">
        <v>17.5</v>
      </c>
      <c r="AB963" s="1186">
        <v>6.28</v>
      </c>
      <c r="AC963" s="1186">
        <v>16.2</v>
      </c>
      <c r="AD963" s="1187">
        <v>3.76</v>
      </c>
    </row>
    <row r="964" spans="1:30" x14ac:dyDescent="0.2">
      <c r="A964">
        <f t="shared" si="48"/>
        <v>24</v>
      </c>
      <c r="B964">
        <v>955</v>
      </c>
      <c r="C964" s="1078">
        <v>3</v>
      </c>
      <c r="D964" s="1077" t="s">
        <v>5089</v>
      </c>
      <c r="E964" s="1077" t="s">
        <v>4176</v>
      </c>
      <c r="F964" s="1185">
        <v>1</v>
      </c>
      <c r="G964" s="1186"/>
      <c r="H964" s="1186"/>
      <c r="I964" s="1186"/>
      <c r="J964" s="1186"/>
      <c r="K964" s="1186"/>
      <c r="L964" s="1186"/>
      <c r="M964" s="1186"/>
      <c r="N964" s="1186"/>
      <c r="O964" s="1186"/>
      <c r="P964" s="1186"/>
      <c r="Q964" s="1186"/>
      <c r="R964" s="1186"/>
      <c r="S964" s="1186"/>
      <c r="T964" s="1186"/>
      <c r="U964" s="1186"/>
      <c r="V964" s="1186"/>
      <c r="W964" s="1186">
        <v>17.2</v>
      </c>
      <c r="X964" s="1186">
        <v>4.72</v>
      </c>
      <c r="Y964" s="1186">
        <v>16.3</v>
      </c>
      <c r="Z964" s="1186">
        <v>3.01</v>
      </c>
      <c r="AA964" s="1186">
        <v>22.3</v>
      </c>
      <c r="AB964" s="1186">
        <v>5.88</v>
      </c>
      <c r="AC964" s="1186">
        <v>20.3</v>
      </c>
      <c r="AD964" s="1187">
        <v>3.59</v>
      </c>
    </row>
    <row r="965" spans="1:30" x14ac:dyDescent="0.2">
      <c r="A965">
        <f t="shared" si="48"/>
        <v>24</v>
      </c>
      <c r="B965">
        <v>956</v>
      </c>
      <c r="C965" s="1078">
        <v>3</v>
      </c>
      <c r="D965" s="1077" t="s">
        <v>5089</v>
      </c>
      <c r="E965" s="1077" t="s">
        <v>4655</v>
      </c>
      <c r="F965" s="1185">
        <v>1</v>
      </c>
      <c r="G965" s="1186"/>
      <c r="H965" s="1186"/>
      <c r="I965" s="1186"/>
      <c r="J965" s="1186"/>
      <c r="K965" s="1186"/>
      <c r="L965" s="1186"/>
      <c r="M965" s="1186"/>
      <c r="N965" s="1186"/>
      <c r="O965" s="1186"/>
      <c r="P965" s="1186"/>
      <c r="Q965" s="1186"/>
      <c r="R965" s="1186"/>
      <c r="S965" s="1186"/>
      <c r="T965" s="1186"/>
      <c r="U965" s="1186"/>
      <c r="V965" s="1186"/>
      <c r="W965" s="1186">
        <v>6.5</v>
      </c>
      <c r="X965" s="1186">
        <v>4.5</v>
      </c>
      <c r="Y965" s="1186">
        <v>6.1</v>
      </c>
      <c r="Z965" s="1186">
        <v>3.1</v>
      </c>
      <c r="AA965" s="1186">
        <v>9.1</v>
      </c>
      <c r="AB965" s="1186">
        <v>5.86</v>
      </c>
      <c r="AC965" s="1186">
        <v>8.4</v>
      </c>
      <c r="AD965" s="1187">
        <v>3.97</v>
      </c>
    </row>
    <row r="966" spans="1:30" x14ac:dyDescent="0.2">
      <c r="A966">
        <f t="shared" si="48"/>
        <v>24</v>
      </c>
      <c r="B966">
        <v>957</v>
      </c>
      <c r="C966" s="1078">
        <v>3</v>
      </c>
      <c r="D966" s="1077" t="s">
        <v>5089</v>
      </c>
      <c r="E966" s="1077" t="s">
        <v>4181</v>
      </c>
      <c r="F966" s="1185">
        <v>1</v>
      </c>
      <c r="G966" s="1186"/>
      <c r="H966" s="1186"/>
      <c r="I966" s="1186"/>
      <c r="J966" s="1186"/>
      <c r="K966" s="1186"/>
      <c r="L966" s="1186"/>
      <c r="M966" s="1186"/>
      <c r="N966" s="1186"/>
      <c r="O966" s="1186"/>
      <c r="P966" s="1186"/>
      <c r="Q966" s="1186"/>
      <c r="R966" s="1186"/>
      <c r="S966" s="1186"/>
      <c r="T966" s="1186"/>
      <c r="U966" s="1186"/>
      <c r="V966" s="1186"/>
      <c r="W966" s="1186">
        <v>9.1</v>
      </c>
      <c r="X966" s="1186">
        <v>4.58</v>
      </c>
      <c r="Y966" s="1186">
        <v>8.5</v>
      </c>
      <c r="Z966" s="1186">
        <v>3.15</v>
      </c>
      <c r="AA966" s="1186">
        <v>12.8</v>
      </c>
      <c r="AB966" s="1186">
        <v>5.96</v>
      </c>
      <c r="AC966" s="1186">
        <v>11.8</v>
      </c>
      <c r="AD966" s="1187">
        <v>4.01</v>
      </c>
    </row>
    <row r="967" spans="1:30" x14ac:dyDescent="0.2">
      <c r="A967">
        <f t="shared" si="48"/>
        <v>24</v>
      </c>
      <c r="B967">
        <v>958</v>
      </c>
      <c r="C967" s="1078">
        <v>3</v>
      </c>
      <c r="D967" s="1077" t="s">
        <v>5089</v>
      </c>
      <c r="E967" s="1077" t="s">
        <v>4177</v>
      </c>
      <c r="F967" s="1185">
        <v>2</v>
      </c>
      <c r="G967" s="1186"/>
      <c r="H967" s="1186"/>
      <c r="I967" s="1186"/>
      <c r="J967" s="1186"/>
      <c r="K967" s="1186"/>
      <c r="L967" s="1186"/>
      <c r="M967" s="1186"/>
      <c r="N967" s="1186"/>
      <c r="O967" s="1186"/>
      <c r="P967" s="1186"/>
      <c r="Q967" s="1186"/>
      <c r="R967" s="1186"/>
      <c r="S967" s="1186"/>
      <c r="T967" s="1186"/>
      <c r="U967" s="1186"/>
      <c r="V967" s="1186"/>
      <c r="W967" s="1186">
        <v>20.399999999999999</v>
      </c>
      <c r="X967" s="1186">
        <v>4.9000000000000004</v>
      </c>
      <c r="Y967" s="1186">
        <v>18.8</v>
      </c>
      <c r="Z967" s="1186">
        <v>2.8</v>
      </c>
      <c r="AA967" s="1186">
        <v>27.3</v>
      </c>
      <c r="AB967" s="1186">
        <v>6.5</v>
      </c>
      <c r="AC967" s="1186">
        <v>24.5</v>
      </c>
      <c r="AD967" s="1187">
        <v>3.6</v>
      </c>
    </row>
    <row r="968" spans="1:30" x14ac:dyDescent="0.2">
      <c r="A968">
        <f t="shared" si="48"/>
        <v>24</v>
      </c>
      <c r="B968">
        <v>959</v>
      </c>
      <c r="C968" s="1078">
        <v>3</v>
      </c>
      <c r="D968" s="1077" t="s">
        <v>5089</v>
      </c>
      <c r="E968" s="1077" t="s">
        <v>4178</v>
      </c>
      <c r="F968" s="1185">
        <v>2</v>
      </c>
      <c r="G968" s="1186"/>
      <c r="H968" s="1186"/>
      <c r="I968" s="1186"/>
      <c r="J968" s="1186"/>
      <c r="K968" s="1186"/>
      <c r="L968" s="1186"/>
      <c r="M968" s="1186"/>
      <c r="N968" s="1186"/>
      <c r="O968" s="1186"/>
      <c r="P968" s="1186"/>
      <c r="Q968" s="1186"/>
      <c r="R968" s="1186"/>
      <c r="S968" s="1186"/>
      <c r="T968" s="1186"/>
      <c r="U968" s="1186"/>
      <c r="V968" s="1186"/>
      <c r="W968" s="1186">
        <v>26.2</v>
      </c>
      <c r="X968" s="1186">
        <v>4.8</v>
      </c>
      <c r="Y968" s="1186">
        <v>24.2</v>
      </c>
      <c r="Z968" s="1186">
        <v>2.8</v>
      </c>
      <c r="AA968" s="1186">
        <v>35.1</v>
      </c>
      <c r="AB968" s="1186">
        <v>6.4</v>
      </c>
      <c r="AC968" s="1186">
        <v>31.4</v>
      </c>
      <c r="AD968" s="1187">
        <v>3.5</v>
      </c>
    </row>
    <row r="969" spans="1:30" x14ac:dyDescent="0.2">
      <c r="A969">
        <f t="shared" si="48"/>
        <v>24</v>
      </c>
      <c r="B969">
        <v>960</v>
      </c>
      <c r="C969" s="1078">
        <v>3</v>
      </c>
      <c r="D969" s="1077" t="s">
        <v>5089</v>
      </c>
      <c r="E969" s="1077" t="s">
        <v>4179</v>
      </c>
      <c r="F969" s="1185">
        <v>2</v>
      </c>
      <c r="G969" s="1186"/>
      <c r="H969" s="1186"/>
      <c r="I969" s="1186"/>
      <c r="J969" s="1186"/>
      <c r="K969" s="1186"/>
      <c r="L969" s="1186"/>
      <c r="M969" s="1186"/>
      <c r="N969" s="1186"/>
      <c r="O969" s="1186"/>
      <c r="P969" s="1186"/>
      <c r="Q969" s="1186"/>
      <c r="R969" s="1186"/>
      <c r="S969" s="1186"/>
      <c r="T969" s="1186"/>
      <c r="U969" s="1186"/>
      <c r="V969" s="1186"/>
      <c r="W969" s="1186">
        <v>35.299999999999997</v>
      </c>
      <c r="X969" s="1186">
        <v>5</v>
      </c>
      <c r="Y969" s="1186">
        <v>33.299999999999997</v>
      </c>
      <c r="Z969" s="1186">
        <v>3.1</v>
      </c>
      <c r="AA969" s="1186">
        <v>46.4</v>
      </c>
      <c r="AB969" s="1186">
        <v>6.4</v>
      </c>
      <c r="AC969" s="1186">
        <v>43.6</v>
      </c>
      <c r="AD969" s="1187">
        <v>3.9</v>
      </c>
    </row>
    <row r="970" spans="1:30" x14ac:dyDescent="0.2">
      <c r="A970">
        <f t="shared" si="48"/>
        <v>24</v>
      </c>
      <c r="B970">
        <v>961</v>
      </c>
      <c r="C970" s="1078">
        <v>3</v>
      </c>
      <c r="D970" s="1077" t="s">
        <v>5089</v>
      </c>
      <c r="E970" s="1077" t="s">
        <v>4180</v>
      </c>
      <c r="F970" s="1185">
        <v>2</v>
      </c>
      <c r="G970" s="1206"/>
      <c r="H970" s="1186"/>
      <c r="I970" s="1186"/>
      <c r="J970" s="1186"/>
      <c r="K970" s="1186"/>
      <c r="L970" s="1186"/>
      <c r="M970" s="1186"/>
      <c r="N970" s="1186"/>
      <c r="O970" s="1186"/>
      <c r="P970" s="1186"/>
      <c r="Q970" s="1186"/>
      <c r="R970" s="1186"/>
      <c r="S970" s="1186"/>
      <c r="T970" s="1186"/>
      <c r="U970" s="1186"/>
      <c r="V970" s="1186"/>
      <c r="W970" s="1186">
        <v>42</v>
      </c>
      <c r="X970" s="1186">
        <v>4.8</v>
      </c>
      <c r="Y970" s="1186">
        <v>37.9</v>
      </c>
      <c r="Z970" s="1186">
        <v>2.7</v>
      </c>
      <c r="AA970" s="1186">
        <v>55.4</v>
      </c>
      <c r="AB970" s="1186">
        <v>6.1</v>
      </c>
      <c r="AC970" s="1186">
        <v>49.9</v>
      </c>
      <c r="AD970" s="1187">
        <v>3.5</v>
      </c>
    </row>
    <row r="971" spans="1:30" x14ac:dyDescent="0.2">
      <c r="A971">
        <f t="shared" si="48"/>
        <v>24</v>
      </c>
      <c r="B971">
        <v>962</v>
      </c>
      <c r="C971" s="1078">
        <v>3</v>
      </c>
      <c r="D971" s="1077" t="s">
        <v>5089</v>
      </c>
      <c r="E971" s="1077" t="s">
        <v>4656</v>
      </c>
      <c r="F971" s="1185">
        <v>2</v>
      </c>
      <c r="G971" s="1186"/>
      <c r="H971" s="1186"/>
      <c r="I971" s="1186"/>
      <c r="J971" s="1186"/>
      <c r="K971" s="1186"/>
      <c r="L971" s="1186"/>
      <c r="M971" s="1186"/>
      <c r="N971" s="1186"/>
      <c r="O971" s="1186"/>
      <c r="P971" s="1186"/>
      <c r="Q971" s="1186"/>
      <c r="R971" s="1186"/>
      <c r="S971" s="1186"/>
      <c r="T971" s="1186"/>
      <c r="U971" s="1186"/>
      <c r="V971" s="1186"/>
      <c r="W971" s="1186">
        <v>12.3</v>
      </c>
      <c r="X971" s="1186">
        <v>4.4800000000000004</v>
      </c>
      <c r="Y971" s="1186">
        <v>10.1</v>
      </c>
      <c r="Z971" s="1186">
        <v>2.7</v>
      </c>
      <c r="AA971" s="1186">
        <v>17</v>
      </c>
      <c r="AB971" s="1186">
        <v>5.76</v>
      </c>
      <c r="AC971" s="1186">
        <v>15.1</v>
      </c>
      <c r="AD971" s="1187">
        <v>3.65</v>
      </c>
    </row>
    <row r="972" spans="1:30" x14ac:dyDescent="0.2">
      <c r="A972">
        <f t="shared" ref="A972:A1035" si="49">A971+(D972&lt;&gt;D971)*1</f>
        <v>24</v>
      </c>
      <c r="B972">
        <v>963</v>
      </c>
      <c r="C972" s="1078">
        <v>3</v>
      </c>
      <c r="D972" s="1077" t="s">
        <v>5089</v>
      </c>
      <c r="E972" s="1077" t="s">
        <v>4657</v>
      </c>
      <c r="F972" s="1185">
        <v>2</v>
      </c>
      <c r="G972" s="1186"/>
      <c r="H972" s="1186"/>
      <c r="I972" s="1186"/>
      <c r="J972" s="1186"/>
      <c r="K972" s="1186"/>
      <c r="L972" s="1186"/>
      <c r="M972" s="1186"/>
      <c r="N972" s="1186"/>
      <c r="O972" s="1186"/>
      <c r="P972" s="1186"/>
      <c r="Q972" s="1186"/>
      <c r="R972" s="1186"/>
      <c r="S972" s="1186"/>
      <c r="T972" s="1186"/>
      <c r="U972" s="1186"/>
      <c r="V972" s="1186"/>
      <c r="W972" s="1186">
        <v>18</v>
      </c>
      <c r="X972" s="1186">
        <v>4.42</v>
      </c>
      <c r="Y972" s="1186">
        <v>15.3</v>
      </c>
      <c r="Z972" s="1186">
        <v>2.83</v>
      </c>
      <c r="AA972" s="1186">
        <v>27.7</v>
      </c>
      <c r="AB972" s="1186">
        <v>5.61</v>
      </c>
      <c r="AC972" s="1186">
        <v>21.8</v>
      </c>
      <c r="AD972" s="1187">
        <v>3.69</v>
      </c>
    </row>
    <row r="973" spans="1:30" x14ac:dyDescent="0.2">
      <c r="A973">
        <f t="shared" si="49"/>
        <v>24</v>
      </c>
      <c r="B973">
        <v>964</v>
      </c>
      <c r="C973" s="1078">
        <v>3</v>
      </c>
      <c r="D973" s="1077" t="s">
        <v>5089</v>
      </c>
      <c r="E973" s="1077" t="s">
        <v>4658</v>
      </c>
      <c r="F973" s="1185">
        <v>2</v>
      </c>
      <c r="G973" s="1186"/>
      <c r="H973" s="1186"/>
      <c r="I973" s="1186"/>
      <c r="J973" s="1186"/>
      <c r="K973" s="1186"/>
      <c r="L973" s="1186"/>
      <c r="M973" s="1186"/>
      <c r="N973" s="1186"/>
      <c r="O973" s="1186"/>
      <c r="P973" s="1186"/>
      <c r="Q973" s="1186"/>
      <c r="R973" s="1186"/>
      <c r="S973" s="1186"/>
      <c r="T973" s="1186"/>
      <c r="U973" s="1186"/>
      <c r="V973" s="1186"/>
      <c r="W973" s="1186">
        <v>20.9</v>
      </c>
      <c r="X973" s="1186">
        <v>4.58</v>
      </c>
      <c r="Y973" s="1186">
        <v>17.2</v>
      </c>
      <c r="Z973" s="1186">
        <v>2.76</v>
      </c>
      <c r="AA973" s="1186">
        <v>28.8</v>
      </c>
      <c r="AB973" s="1186">
        <v>5.89</v>
      </c>
      <c r="AC973" s="1186">
        <v>25.5</v>
      </c>
      <c r="AD973" s="1187">
        <v>3.73</v>
      </c>
    </row>
    <row r="974" spans="1:30" x14ac:dyDescent="0.2">
      <c r="A974">
        <f t="shared" si="49"/>
        <v>24</v>
      </c>
      <c r="B974">
        <v>965</v>
      </c>
      <c r="C974" s="1078">
        <v>3</v>
      </c>
      <c r="D974" s="1077" t="s">
        <v>5089</v>
      </c>
      <c r="E974" s="1077" t="s">
        <v>4659</v>
      </c>
      <c r="F974" s="1185">
        <v>2</v>
      </c>
      <c r="G974" s="1186"/>
      <c r="H974" s="1186"/>
      <c r="I974" s="1186"/>
      <c r="J974" s="1186"/>
      <c r="K974" s="1186"/>
      <c r="L974" s="1186"/>
      <c r="M974" s="1186"/>
      <c r="N974" s="1186"/>
      <c r="O974" s="1186"/>
      <c r="P974" s="1186"/>
      <c r="Q974" s="1186"/>
      <c r="R974" s="1186"/>
      <c r="S974" s="1186"/>
      <c r="T974" s="1186"/>
      <c r="U974" s="1186"/>
      <c r="V974" s="1186"/>
      <c r="W974" s="1186">
        <v>57.9</v>
      </c>
      <c r="X974" s="1186">
        <v>4.63</v>
      </c>
      <c r="Y974" s="1186">
        <v>52.5</v>
      </c>
      <c r="Z974" s="1186">
        <v>2.8</v>
      </c>
      <c r="AA974" s="1186">
        <v>76.900000000000006</v>
      </c>
      <c r="AB974" s="1186">
        <v>6.07</v>
      </c>
      <c r="AC974" s="1186">
        <v>70.2</v>
      </c>
      <c r="AD974" s="1187">
        <v>3.73</v>
      </c>
    </row>
    <row r="975" spans="1:30" x14ac:dyDescent="0.2">
      <c r="A975">
        <f t="shared" si="49"/>
        <v>24</v>
      </c>
      <c r="B975">
        <v>966</v>
      </c>
      <c r="C975" s="1078">
        <v>3</v>
      </c>
      <c r="D975" s="1077" t="s">
        <v>5089</v>
      </c>
      <c r="E975" s="1077" t="s">
        <v>4660</v>
      </c>
      <c r="F975" s="1185">
        <v>2</v>
      </c>
      <c r="G975" s="1186"/>
      <c r="H975" s="1186"/>
      <c r="I975" s="1186"/>
      <c r="J975" s="1186"/>
      <c r="K975" s="1186"/>
      <c r="L975" s="1186"/>
      <c r="M975" s="1186"/>
      <c r="N975" s="1186"/>
      <c r="O975" s="1186"/>
      <c r="P975" s="1186"/>
      <c r="Q975" s="1186"/>
      <c r="R975" s="1186"/>
      <c r="S975" s="1186"/>
      <c r="T975" s="1186"/>
      <c r="U975" s="1186"/>
      <c r="V975" s="1186"/>
      <c r="W975" s="1186">
        <v>73.2</v>
      </c>
      <c r="X975" s="1186">
        <v>4.5999999999999996</v>
      </c>
      <c r="Y975" s="1186">
        <v>70</v>
      </c>
      <c r="Z975" s="1186">
        <v>2.9</v>
      </c>
      <c r="AA975" s="1186">
        <v>97.2</v>
      </c>
      <c r="AB975" s="1186">
        <v>5.87</v>
      </c>
      <c r="AC975" s="1186">
        <v>89.7</v>
      </c>
      <c r="AD975" s="1187">
        <v>3.64</v>
      </c>
    </row>
    <row r="976" spans="1:30" x14ac:dyDescent="0.2">
      <c r="A976">
        <f t="shared" si="49"/>
        <v>24</v>
      </c>
      <c r="B976">
        <v>967</v>
      </c>
      <c r="C976" s="1078">
        <v>3</v>
      </c>
      <c r="D976" s="1077" t="s">
        <v>5089</v>
      </c>
      <c r="E976" s="1077" t="s">
        <v>4661</v>
      </c>
      <c r="F976" s="1185">
        <v>2</v>
      </c>
      <c r="G976" s="1186"/>
      <c r="H976" s="1186"/>
      <c r="I976" s="1186"/>
      <c r="J976" s="1186"/>
      <c r="K976" s="1186"/>
      <c r="L976" s="1186"/>
      <c r="M976" s="1186"/>
      <c r="N976" s="1186"/>
      <c r="O976" s="1186"/>
      <c r="P976" s="1186"/>
      <c r="Q976" s="1186"/>
      <c r="R976" s="1186"/>
      <c r="S976" s="1186"/>
      <c r="T976" s="1186"/>
      <c r="U976" s="1186"/>
      <c r="V976" s="1186"/>
      <c r="W976" s="1186">
        <v>84.8</v>
      </c>
      <c r="X976" s="1186">
        <v>4.63</v>
      </c>
      <c r="Y976" s="1186">
        <v>80.599999999999994</v>
      </c>
      <c r="Z976" s="1186">
        <v>2.94</v>
      </c>
      <c r="AA976" s="1186">
        <v>112.8</v>
      </c>
      <c r="AB976" s="1186">
        <v>5.91</v>
      </c>
      <c r="AC976" s="1186">
        <v>102.2</v>
      </c>
      <c r="AD976" s="1187">
        <v>3.66</v>
      </c>
    </row>
    <row r="977" spans="1:30" x14ac:dyDescent="0.2">
      <c r="A977">
        <f t="shared" si="49"/>
        <v>24</v>
      </c>
      <c r="B977">
        <v>968</v>
      </c>
      <c r="C977" s="1078">
        <v>3</v>
      </c>
      <c r="D977" s="1077" t="s">
        <v>5089</v>
      </c>
      <c r="E977" s="1077" t="s">
        <v>4662</v>
      </c>
      <c r="F977" s="1185">
        <v>2</v>
      </c>
      <c r="G977" s="1186"/>
      <c r="H977" s="1186"/>
      <c r="I977" s="1186"/>
      <c r="J977" s="1186"/>
      <c r="K977" s="1186"/>
      <c r="L977" s="1186"/>
      <c r="M977" s="1186"/>
      <c r="N977" s="1186"/>
      <c r="O977" s="1186"/>
      <c r="P977" s="1186"/>
      <c r="Q977" s="1186"/>
      <c r="R977" s="1186"/>
      <c r="S977" s="1186"/>
      <c r="T977" s="1186"/>
      <c r="U977" s="1186"/>
      <c r="V977" s="1186"/>
      <c r="W977" s="1186">
        <v>113.4</v>
      </c>
      <c r="X977" s="1186">
        <v>4.62</v>
      </c>
      <c r="Y977" s="1186">
        <v>107.4</v>
      </c>
      <c r="Z977" s="1186">
        <v>2.92</v>
      </c>
      <c r="AA977" s="1186">
        <v>149.1</v>
      </c>
      <c r="AB977" s="1186">
        <v>5.73</v>
      </c>
      <c r="AC977" s="1186">
        <v>136.9</v>
      </c>
      <c r="AD977" s="1187">
        <v>3.62</v>
      </c>
    </row>
    <row r="978" spans="1:30" x14ac:dyDescent="0.2">
      <c r="A978">
        <f t="shared" si="49"/>
        <v>24</v>
      </c>
      <c r="B978">
        <v>969</v>
      </c>
      <c r="C978" s="1078">
        <v>3</v>
      </c>
      <c r="D978" s="1077" t="s">
        <v>5089</v>
      </c>
      <c r="E978" s="1077" t="s">
        <v>4663</v>
      </c>
      <c r="F978" s="1185">
        <v>2</v>
      </c>
      <c r="G978" s="1186"/>
      <c r="H978" s="1186"/>
      <c r="I978" s="1186"/>
      <c r="J978" s="1186"/>
      <c r="K978" s="1186"/>
      <c r="L978" s="1186"/>
      <c r="M978" s="1186"/>
      <c r="N978" s="1186"/>
      <c r="O978" s="1186"/>
      <c r="P978" s="1186"/>
      <c r="Q978" s="1186"/>
      <c r="R978" s="1186"/>
      <c r="S978" s="1186"/>
      <c r="T978" s="1186"/>
      <c r="U978" s="1186"/>
      <c r="V978" s="1186"/>
      <c r="W978" s="1186">
        <v>137.80000000000001</v>
      </c>
      <c r="X978" s="1186">
        <v>4.6100000000000003</v>
      </c>
      <c r="Y978" s="1186">
        <v>127.8</v>
      </c>
      <c r="Z978" s="1186">
        <v>2.91</v>
      </c>
      <c r="AA978" s="1186">
        <v>181.1</v>
      </c>
      <c r="AB978" s="1186">
        <v>5.79</v>
      </c>
      <c r="AC978" s="1186">
        <v>164.3</v>
      </c>
      <c r="AD978" s="1187">
        <v>3.61</v>
      </c>
    </row>
    <row r="979" spans="1:30" x14ac:dyDescent="0.2">
      <c r="A979">
        <f t="shared" si="49"/>
        <v>24</v>
      </c>
      <c r="B979">
        <v>970</v>
      </c>
      <c r="C979" s="1078">
        <v>3</v>
      </c>
      <c r="D979" s="1077" t="s">
        <v>5089</v>
      </c>
      <c r="E979" s="1077" t="s">
        <v>4664</v>
      </c>
      <c r="F979" s="1185">
        <v>2</v>
      </c>
      <c r="G979" s="1186"/>
      <c r="H979" s="1186"/>
      <c r="I979" s="1186"/>
      <c r="J979" s="1186"/>
      <c r="K979" s="1186"/>
      <c r="L979" s="1186"/>
      <c r="M979" s="1186"/>
      <c r="N979" s="1186"/>
      <c r="O979" s="1186"/>
      <c r="P979" s="1186"/>
      <c r="Q979" s="1186"/>
      <c r="R979" s="1186"/>
      <c r="S979" s="1186"/>
      <c r="T979" s="1186"/>
      <c r="U979" s="1186"/>
      <c r="V979" s="1186"/>
      <c r="W979" s="1186">
        <v>35</v>
      </c>
      <c r="X979" s="1186">
        <v>4.32</v>
      </c>
      <c r="Y979" s="1186">
        <v>32.200000000000003</v>
      </c>
      <c r="Z979" s="1186">
        <v>2.74</v>
      </c>
      <c r="AA979" s="1186">
        <v>49.3</v>
      </c>
      <c r="AB979" s="1186">
        <v>5.99</v>
      </c>
      <c r="AC979" s="1186">
        <v>44.8</v>
      </c>
      <c r="AD979" s="1187">
        <v>3.58</v>
      </c>
    </row>
    <row r="980" spans="1:30" x14ac:dyDescent="0.2">
      <c r="A980">
        <f t="shared" si="49"/>
        <v>24</v>
      </c>
      <c r="B980">
        <v>971</v>
      </c>
      <c r="C980" s="1078">
        <v>3</v>
      </c>
      <c r="D980" s="1077" t="s">
        <v>5089</v>
      </c>
      <c r="E980" s="1077" t="s">
        <v>4665</v>
      </c>
      <c r="F980" s="1185">
        <v>2</v>
      </c>
      <c r="G980" s="1186"/>
      <c r="H980" s="1186"/>
      <c r="I980" s="1186"/>
      <c r="J980" s="1186"/>
      <c r="K980" s="1186"/>
      <c r="L980" s="1186"/>
      <c r="M980" s="1186"/>
      <c r="N980" s="1186"/>
      <c r="O980" s="1186"/>
      <c r="P980" s="1186"/>
      <c r="Q980" s="1186"/>
      <c r="R980" s="1186"/>
      <c r="S980" s="1186"/>
      <c r="T980" s="1186"/>
      <c r="U980" s="1186"/>
      <c r="V980" s="1186"/>
      <c r="W980" s="1186">
        <v>52.5</v>
      </c>
      <c r="X980" s="1186">
        <v>4.38</v>
      </c>
      <c r="Y980" s="1186">
        <v>51.3</v>
      </c>
      <c r="Z980" s="1186">
        <v>2.84</v>
      </c>
      <c r="AA980" s="1186">
        <v>71.8</v>
      </c>
      <c r="AB980" s="1186">
        <v>5.81</v>
      </c>
      <c r="AC980" s="1186">
        <v>69</v>
      </c>
      <c r="AD980" s="1187">
        <v>3.68</v>
      </c>
    </row>
    <row r="981" spans="1:30" x14ac:dyDescent="0.2">
      <c r="A981">
        <f t="shared" si="49"/>
        <v>24</v>
      </c>
      <c r="B981">
        <v>972</v>
      </c>
      <c r="C981" s="1078">
        <v>3</v>
      </c>
      <c r="D981" s="1077" t="s">
        <v>5089</v>
      </c>
      <c r="E981" s="1077" t="s">
        <v>4666</v>
      </c>
      <c r="F981" s="1185">
        <v>2</v>
      </c>
      <c r="G981" s="1186"/>
      <c r="H981" s="1186"/>
      <c r="I981" s="1186"/>
      <c r="J981" s="1186"/>
      <c r="K981" s="1186"/>
      <c r="L981" s="1186"/>
      <c r="M981" s="1186"/>
      <c r="N981" s="1186"/>
      <c r="O981" s="1186"/>
      <c r="P981" s="1186"/>
      <c r="Q981" s="1186"/>
      <c r="R981" s="1186"/>
      <c r="S981" s="1186"/>
      <c r="T981" s="1186"/>
      <c r="U981" s="1186"/>
      <c r="V981" s="1186"/>
      <c r="W981" s="1186">
        <v>71</v>
      </c>
      <c r="X981" s="1186">
        <v>4.34</v>
      </c>
      <c r="Y981" s="1186">
        <v>69.5</v>
      </c>
      <c r="Z981" s="1186">
        <v>2.75</v>
      </c>
      <c r="AA981" s="1186">
        <v>97.1</v>
      </c>
      <c r="AB981" s="1186">
        <v>5.76</v>
      </c>
      <c r="AC981" s="1186">
        <v>94.1</v>
      </c>
      <c r="AD981" s="1187">
        <v>3.63</v>
      </c>
    </row>
    <row r="982" spans="1:30" x14ac:dyDescent="0.2">
      <c r="A982">
        <f t="shared" si="49"/>
        <v>24</v>
      </c>
      <c r="B982">
        <v>973</v>
      </c>
      <c r="C982" s="1078">
        <v>3</v>
      </c>
      <c r="D982" s="1077" t="s">
        <v>5089</v>
      </c>
      <c r="E982" s="1077" t="s">
        <v>4667</v>
      </c>
      <c r="F982" s="1185">
        <v>2</v>
      </c>
      <c r="G982" s="1186"/>
      <c r="H982" s="1186"/>
      <c r="I982" s="1186"/>
      <c r="J982" s="1186"/>
      <c r="K982" s="1186"/>
      <c r="L982" s="1186"/>
      <c r="M982" s="1186"/>
      <c r="N982" s="1186"/>
      <c r="O982" s="1186"/>
      <c r="P982" s="1186"/>
      <c r="Q982" s="1186"/>
      <c r="R982" s="1186"/>
      <c r="S982" s="1186"/>
      <c r="T982" s="1186"/>
      <c r="U982" s="1186"/>
      <c r="V982" s="1186"/>
      <c r="W982" s="1186">
        <v>87.4</v>
      </c>
      <c r="X982" s="1186">
        <v>4.3</v>
      </c>
      <c r="Y982" s="1186">
        <v>83.5</v>
      </c>
      <c r="Z982" s="1186">
        <v>2.74</v>
      </c>
      <c r="AA982" s="1186">
        <v>119.5</v>
      </c>
      <c r="AB982" s="1186">
        <v>5.66</v>
      </c>
      <c r="AC982" s="1186">
        <v>115.4</v>
      </c>
      <c r="AD982" s="1187">
        <v>3.58</v>
      </c>
    </row>
    <row r="983" spans="1:30" x14ac:dyDescent="0.2">
      <c r="A983">
        <f t="shared" si="49"/>
        <v>24</v>
      </c>
      <c r="B983">
        <v>974</v>
      </c>
      <c r="C983" s="1078">
        <v>4</v>
      </c>
      <c r="D983" s="1077" t="s">
        <v>5089</v>
      </c>
      <c r="E983" s="1077" t="s">
        <v>4649</v>
      </c>
      <c r="F983" s="1185">
        <v>4</v>
      </c>
      <c r="G983" s="1186"/>
      <c r="H983" s="1186"/>
      <c r="I983" s="1186"/>
      <c r="J983" s="1186"/>
      <c r="K983" s="1186"/>
      <c r="L983" s="1186"/>
      <c r="M983" s="1186"/>
      <c r="N983" s="1186"/>
      <c r="O983" s="1186"/>
      <c r="P983" s="1186"/>
      <c r="Q983" s="1186"/>
      <c r="R983" s="1186"/>
      <c r="S983" s="1186"/>
      <c r="T983" s="1186"/>
      <c r="U983" s="1186"/>
      <c r="V983" s="1186"/>
      <c r="W983" s="1186">
        <v>7.85</v>
      </c>
      <c r="X983" s="1186">
        <v>4.71</v>
      </c>
      <c r="Y983" s="1186">
        <v>6.31</v>
      </c>
      <c r="Z983" s="1186">
        <v>2.89</v>
      </c>
      <c r="AA983" s="1186">
        <v>9.82</v>
      </c>
      <c r="AB983" s="1186">
        <v>6.34</v>
      </c>
      <c r="AC983" s="1186">
        <v>8.02</v>
      </c>
      <c r="AD983" s="1187">
        <v>3.77</v>
      </c>
    </row>
    <row r="984" spans="1:30" x14ac:dyDescent="0.2">
      <c r="A984">
        <f t="shared" si="49"/>
        <v>24</v>
      </c>
      <c r="B984">
        <v>975</v>
      </c>
      <c r="C984" s="1078">
        <v>4</v>
      </c>
      <c r="D984" s="1077" t="s">
        <v>5089</v>
      </c>
      <c r="E984" s="1077" t="s">
        <v>4650</v>
      </c>
      <c r="F984" s="1185">
        <v>4</v>
      </c>
      <c r="G984" s="1186"/>
      <c r="H984" s="1186"/>
      <c r="I984" s="1186"/>
      <c r="J984" s="1186"/>
      <c r="K984" s="1186"/>
      <c r="L984" s="1186"/>
      <c r="M984" s="1186"/>
      <c r="N984" s="1186"/>
      <c r="O984" s="1186"/>
      <c r="P984" s="1186"/>
      <c r="Q984" s="1186"/>
      <c r="R984" s="1186"/>
      <c r="S984" s="1186"/>
      <c r="T984" s="1186"/>
      <c r="U984" s="1186"/>
      <c r="V984" s="1186"/>
      <c r="W984" s="1186">
        <v>13.3</v>
      </c>
      <c r="X984" s="1186">
        <v>5</v>
      </c>
      <c r="Y984" s="1186">
        <v>11.9</v>
      </c>
      <c r="Z984" s="1186">
        <v>3</v>
      </c>
      <c r="AA984" s="1186">
        <v>13.3</v>
      </c>
      <c r="AB984" s="1186">
        <v>6.5</v>
      </c>
      <c r="AC984" s="1186">
        <v>13.1</v>
      </c>
      <c r="AD984" s="1187">
        <v>3.7</v>
      </c>
    </row>
    <row r="985" spans="1:30" x14ac:dyDescent="0.2">
      <c r="A985">
        <f t="shared" si="49"/>
        <v>24</v>
      </c>
      <c r="B985">
        <v>976</v>
      </c>
      <c r="C985" s="1078">
        <v>4</v>
      </c>
      <c r="D985" s="1077" t="s">
        <v>5089</v>
      </c>
      <c r="E985" s="1077" t="s">
        <v>4651</v>
      </c>
      <c r="F985" s="1185">
        <v>4</v>
      </c>
      <c r="G985" s="1186"/>
      <c r="H985" s="1186"/>
      <c r="I985" s="1186"/>
      <c r="J985" s="1186"/>
      <c r="K985" s="1186"/>
      <c r="L985" s="1186"/>
      <c r="M985" s="1186"/>
      <c r="N985" s="1186"/>
      <c r="O985" s="1186"/>
      <c r="P985" s="1186"/>
      <c r="Q985" s="1186"/>
      <c r="R985" s="1186"/>
      <c r="S985" s="1186"/>
      <c r="T985" s="1186"/>
      <c r="U985" s="1186"/>
      <c r="V985" s="1186"/>
      <c r="W985" s="1186">
        <v>17.64</v>
      </c>
      <c r="X985" s="1186">
        <v>5.05</v>
      </c>
      <c r="Y985" s="1186">
        <v>15.84</v>
      </c>
      <c r="Z985" s="1186">
        <v>3</v>
      </c>
      <c r="AA985" s="1186">
        <v>21.5</v>
      </c>
      <c r="AB985" s="1186">
        <v>6.44</v>
      </c>
      <c r="AC985" s="1186">
        <v>20.2</v>
      </c>
      <c r="AD985" s="1187">
        <v>3.72</v>
      </c>
    </row>
    <row r="986" spans="1:30" x14ac:dyDescent="0.2">
      <c r="A986">
        <f t="shared" si="49"/>
        <v>24</v>
      </c>
      <c r="B986">
        <v>977</v>
      </c>
      <c r="C986" s="1078">
        <v>4</v>
      </c>
      <c r="D986" s="1077" t="s">
        <v>5089</v>
      </c>
      <c r="E986" s="1077" t="s">
        <v>4652</v>
      </c>
      <c r="F986" s="1185">
        <v>4</v>
      </c>
      <c r="G986" s="1186"/>
      <c r="H986" s="1186"/>
      <c r="I986" s="1186"/>
      <c r="J986" s="1186"/>
      <c r="K986" s="1186"/>
      <c r="L986" s="1186"/>
      <c r="M986" s="1186"/>
      <c r="N986" s="1186"/>
      <c r="O986" s="1186"/>
      <c r="P986" s="1186"/>
      <c r="Q986" s="1186"/>
      <c r="R986" s="1186"/>
      <c r="S986" s="1186"/>
      <c r="T986" s="1186"/>
      <c r="U986" s="1186"/>
      <c r="V986" s="1186"/>
      <c r="W986" s="1186">
        <v>7.85</v>
      </c>
      <c r="X986" s="1186">
        <v>4.71</v>
      </c>
      <c r="Y986" s="1186">
        <v>6.31</v>
      </c>
      <c r="Z986" s="1186">
        <v>2.89</v>
      </c>
      <c r="AA986" s="1186">
        <v>9.82</v>
      </c>
      <c r="AB986" s="1186">
        <v>6.34</v>
      </c>
      <c r="AC986" s="1186">
        <v>8.02</v>
      </c>
      <c r="AD986" s="1187">
        <v>3.77</v>
      </c>
    </row>
    <row r="987" spans="1:30" x14ac:dyDescent="0.2">
      <c r="A987">
        <f t="shared" si="49"/>
        <v>24</v>
      </c>
      <c r="B987">
        <v>978</v>
      </c>
      <c r="C987" s="1078">
        <v>4</v>
      </c>
      <c r="D987" s="1077" t="s">
        <v>5089</v>
      </c>
      <c r="E987" s="1077" t="s">
        <v>4653</v>
      </c>
      <c r="F987" s="1185">
        <v>4</v>
      </c>
      <c r="G987" s="1186"/>
      <c r="H987" s="1186"/>
      <c r="I987" s="1186"/>
      <c r="J987" s="1186"/>
      <c r="K987" s="1186"/>
      <c r="L987" s="1186"/>
      <c r="M987" s="1186"/>
      <c r="N987" s="1186"/>
      <c r="O987" s="1186"/>
      <c r="P987" s="1186"/>
      <c r="Q987" s="1186"/>
      <c r="R987" s="1186"/>
      <c r="S987" s="1186"/>
      <c r="T987" s="1186"/>
      <c r="U987" s="1186"/>
      <c r="V987" s="1186"/>
      <c r="W987" s="1186">
        <v>13.3</v>
      </c>
      <c r="X987" s="1186">
        <v>5</v>
      </c>
      <c r="Y987" s="1186">
        <v>11.9</v>
      </c>
      <c r="Z987" s="1186">
        <v>3</v>
      </c>
      <c r="AA987" s="1186">
        <v>13.3</v>
      </c>
      <c r="AB987" s="1186">
        <v>6.5</v>
      </c>
      <c r="AC987" s="1186">
        <v>13.1</v>
      </c>
      <c r="AD987" s="1187">
        <v>3.7</v>
      </c>
    </row>
    <row r="988" spans="1:30" x14ac:dyDescent="0.2">
      <c r="A988">
        <f t="shared" si="49"/>
        <v>24</v>
      </c>
      <c r="B988">
        <v>979</v>
      </c>
      <c r="C988" s="1078">
        <v>4</v>
      </c>
      <c r="D988" s="1077" t="s">
        <v>5089</v>
      </c>
      <c r="E988" s="1077" t="s">
        <v>4173</v>
      </c>
      <c r="F988" s="1185">
        <v>1</v>
      </c>
      <c r="G988" s="1186"/>
      <c r="H988" s="1186"/>
      <c r="I988" s="1186"/>
      <c r="J988" s="1186"/>
      <c r="K988" s="1186"/>
      <c r="L988" s="1186"/>
      <c r="M988" s="1186"/>
      <c r="N988" s="1186"/>
      <c r="O988" s="1186"/>
      <c r="P988" s="1186"/>
      <c r="Q988" s="1186"/>
      <c r="R988" s="1186"/>
      <c r="S988" s="1186"/>
      <c r="T988" s="1186"/>
      <c r="U988" s="1186"/>
      <c r="V988" s="1186"/>
      <c r="W988" s="1186">
        <v>5.8</v>
      </c>
      <c r="X988" s="1186">
        <v>4.45</v>
      </c>
      <c r="Y988" s="1186">
        <v>5.2</v>
      </c>
      <c r="Z988" s="1186">
        <v>2.7</v>
      </c>
      <c r="AA988" s="1186">
        <v>7.1</v>
      </c>
      <c r="AB988" s="1186">
        <v>5.43</v>
      </c>
      <c r="AC988" s="1186">
        <v>6.7</v>
      </c>
      <c r="AD988" s="1187">
        <v>3.35</v>
      </c>
    </row>
    <row r="989" spans="1:30" x14ac:dyDescent="0.2">
      <c r="A989">
        <f t="shared" si="49"/>
        <v>24</v>
      </c>
      <c r="B989">
        <v>980</v>
      </c>
      <c r="C989" s="1078">
        <v>4</v>
      </c>
      <c r="D989" s="1077" t="s">
        <v>5089</v>
      </c>
      <c r="E989" s="1077" t="s">
        <v>4174</v>
      </c>
      <c r="F989" s="1185">
        <v>1</v>
      </c>
      <c r="G989" s="1186"/>
      <c r="H989" s="1186"/>
      <c r="I989" s="1186"/>
      <c r="J989" s="1186"/>
      <c r="K989" s="1186"/>
      <c r="L989" s="1186"/>
      <c r="M989" s="1186"/>
      <c r="N989" s="1186"/>
      <c r="O989" s="1186"/>
      <c r="P989" s="1186"/>
      <c r="Q989" s="1186"/>
      <c r="R989" s="1186"/>
      <c r="S989" s="1186"/>
      <c r="T989" s="1186"/>
      <c r="U989" s="1186"/>
      <c r="V989" s="1186"/>
      <c r="W989" s="1186">
        <v>7.6</v>
      </c>
      <c r="X989" s="1186">
        <v>4.55</v>
      </c>
      <c r="Y989" s="1186">
        <v>6.9</v>
      </c>
      <c r="Z989" s="1186">
        <v>2.72</v>
      </c>
      <c r="AA989" s="1186">
        <v>9.6</v>
      </c>
      <c r="AB989" s="1186">
        <v>5.87</v>
      </c>
      <c r="AC989" s="1186">
        <v>8.9</v>
      </c>
      <c r="AD989" s="1187">
        <v>3.4</v>
      </c>
    </row>
    <row r="990" spans="1:30" x14ac:dyDescent="0.2">
      <c r="A990">
        <f t="shared" si="49"/>
        <v>24</v>
      </c>
      <c r="B990">
        <v>981</v>
      </c>
      <c r="C990" s="1078">
        <v>4</v>
      </c>
      <c r="D990" s="1077" t="s">
        <v>5089</v>
      </c>
      <c r="E990" s="1077" t="s">
        <v>4654</v>
      </c>
      <c r="F990" s="1185">
        <v>1</v>
      </c>
      <c r="G990" s="1186"/>
      <c r="H990" s="1186"/>
      <c r="I990" s="1186"/>
      <c r="J990" s="1186"/>
      <c r="K990" s="1186"/>
      <c r="L990" s="1186"/>
      <c r="M990" s="1186"/>
      <c r="N990" s="1186"/>
      <c r="O990" s="1186"/>
      <c r="P990" s="1186"/>
      <c r="Q990" s="1186"/>
      <c r="R990" s="1186"/>
      <c r="S990" s="1186"/>
      <c r="T990" s="1186"/>
      <c r="U990" s="1186"/>
      <c r="V990" s="1186"/>
      <c r="W990" s="1186">
        <v>10.6</v>
      </c>
      <c r="X990" s="1186">
        <v>4.8099999999999996</v>
      </c>
      <c r="Y990" s="1186">
        <v>9.4</v>
      </c>
      <c r="Z990" s="1186">
        <v>2.78</v>
      </c>
      <c r="AA990" s="1186">
        <v>12.7</v>
      </c>
      <c r="AB990" s="1186">
        <v>6.08</v>
      </c>
      <c r="AC990" s="1186">
        <v>11.9</v>
      </c>
      <c r="AD990" s="1187">
        <v>3.52</v>
      </c>
    </row>
    <row r="991" spans="1:30" x14ac:dyDescent="0.2">
      <c r="A991">
        <f t="shared" si="49"/>
        <v>24</v>
      </c>
      <c r="B991">
        <v>982</v>
      </c>
      <c r="C991" s="1078">
        <v>4</v>
      </c>
      <c r="D991" s="1077" t="s">
        <v>5089</v>
      </c>
      <c r="E991" s="1077" t="s">
        <v>4175</v>
      </c>
      <c r="F991" s="1185">
        <v>1</v>
      </c>
      <c r="G991" s="1186"/>
      <c r="H991" s="1186"/>
      <c r="I991" s="1186"/>
      <c r="J991" s="1186"/>
      <c r="K991" s="1186"/>
      <c r="L991" s="1186"/>
      <c r="M991" s="1186"/>
      <c r="N991" s="1186"/>
      <c r="O991" s="1186"/>
      <c r="P991" s="1186"/>
      <c r="Q991" s="1186"/>
      <c r="R991" s="1186"/>
      <c r="S991" s="1186"/>
      <c r="T991" s="1186"/>
      <c r="U991" s="1186"/>
      <c r="V991" s="1186"/>
      <c r="W991" s="1186">
        <v>13.4</v>
      </c>
      <c r="X991" s="1186">
        <v>4.8099999999999996</v>
      </c>
      <c r="Y991" s="1186">
        <v>12.4</v>
      </c>
      <c r="Z991" s="1186">
        <v>2.96</v>
      </c>
      <c r="AA991" s="1186">
        <v>17.5</v>
      </c>
      <c r="AB991" s="1186">
        <v>6.28</v>
      </c>
      <c r="AC991" s="1186">
        <v>16.2</v>
      </c>
      <c r="AD991" s="1187">
        <v>3.76</v>
      </c>
    </row>
    <row r="992" spans="1:30" x14ac:dyDescent="0.2">
      <c r="A992">
        <f t="shared" si="49"/>
        <v>24</v>
      </c>
      <c r="B992">
        <v>983</v>
      </c>
      <c r="C992" s="1078">
        <v>4</v>
      </c>
      <c r="D992" s="1077" t="s">
        <v>5089</v>
      </c>
      <c r="E992" s="1077" t="s">
        <v>4176</v>
      </c>
      <c r="F992" s="1185">
        <v>1</v>
      </c>
      <c r="G992" s="1186"/>
      <c r="H992" s="1186"/>
      <c r="I992" s="1186"/>
      <c r="J992" s="1186"/>
      <c r="K992" s="1186"/>
      <c r="L992" s="1186"/>
      <c r="M992" s="1186"/>
      <c r="N992" s="1186"/>
      <c r="O992" s="1186"/>
      <c r="P992" s="1186"/>
      <c r="Q992" s="1186"/>
      <c r="R992" s="1186"/>
      <c r="S992" s="1186"/>
      <c r="T992" s="1186"/>
      <c r="U992" s="1186"/>
      <c r="V992" s="1186"/>
      <c r="W992" s="1186">
        <v>17.2</v>
      </c>
      <c r="X992" s="1186">
        <v>4.72</v>
      </c>
      <c r="Y992" s="1186">
        <v>16.3</v>
      </c>
      <c r="Z992" s="1186">
        <v>3.01</v>
      </c>
      <c r="AA992" s="1186">
        <v>22.3</v>
      </c>
      <c r="AB992" s="1186">
        <v>5.88</v>
      </c>
      <c r="AC992" s="1186">
        <v>20.3</v>
      </c>
      <c r="AD992" s="1187">
        <v>3.59</v>
      </c>
    </row>
    <row r="993" spans="1:30" x14ac:dyDescent="0.2">
      <c r="A993">
        <f t="shared" si="49"/>
        <v>24</v>
      </c>
      <c r="B993">
        <v>984</v>
      </c>
      <c r="C993" s="1078">
        <v>4</v>
      </c>
      <c r="D993" s="1077" t="s">
        <v>5089</v>
      </c>
      <c r="E993" s="1077" t="s">
        <v>4655</v>
      </c>
      <c r="F993" s="1185">
        <v>1</v>
      </c>
      <c r="G993" s="1186"/>
      <c r="H993" s="1186"/>
      <c r="I993" s="1186"/>
      <c r="J993" s="1186"/>
      <c r="K993" s="1186"/>
      <c r="L993" s="1186"/>
      <c r="M993" s="1186"/>
      <c r="N993" s="1186"/>
      <c r="O993" s="1186"/>
      <c r="P993" s="1186"/>
      <c r="Q993" s="1186"/>
      <c r="R993" s="1186"/>
      <c r="S993" s="1186"/>
      <c r="T993" s="1186"/>
      <c r="U993" s="1186"/>
      <c r="V993" s="1186"/>
      <c r="W993" s="1186">
        <v>6.5</v>
      </c>
      <c r="X993" s="1186">
        <v>4.5</v>
      </c>
      <c r="Y993" s="1186">
        <v>6.1</v>
      </c>
      <c r="Z993" s="1186">
        <v>3.1</v>
      </c>
      <c r="AA993" s="1186">
        <v>9.1</v>
      </c>
      <c r="AB993" s="1186">
        <v>5.86</v>
      </c>
      <c r="AC993" s="1186">
        <v>8.4</v>
      </c>
      <c r="AD993" s="1187">
        <v>3.97</v>
      </c>
    </row>
    <row r="994" spans="1:30" x14ac:dyDescent="0.2">
      <c r="A994">
        <f t="shared" si="49"/>
        <v>24</v>
      </c>
      <c r="B994">
        <v>985</v>
      </c>
      <c r="C994" s="1078">
        <v>4</v>
      </c>
      <c r="D994" s="1077" t="s">
        <v>5089</v>
      </c>
      <c r="E994" s="1077" t="s">
        <v>4181</v>
      </c>
      <c r="F994" s="1185">
        <v>1</v>
      </c>
      <c r="G994" s="1186"/>
      <c r="H994" s="1186"/>
      <c r="I994" s="1186"/>
      <c r="J994" s="1186"/>
      <c r="K994" s="1186"/>
      <c r="L994" s="1186"/>
      <c r="M994" s="1186"/>
      <c r="N994" s="1186"/>
      <c r="O994" s="1186"/>
      <c r="P994" s="1186"/>
      <c r="Q994" s="1186"/>
      <c r="R994" s="1186"/>
      <c r="S994" s="1186"/>
      <c r="T994" s="1186"/>
      <c r="U994" s="1186"/>
      <c r="V994" s="1186"/>
      <c r="W994" s="1186">
        <v>9.1</v>
      </c>
      <c r="X994" s="1186">
        <v>4.58</v>
      </c>
      <c r="Y994" s="1186">
        <v>8.5</v>
      </c>
      <c r="Z994" s="1186">
        <v>3.15</v>
      </c>
      <c r="AA994" s="1186">
        <v>12.8</v>
      </c>
      <c r="AB994" s="1186">
        <v>5.96</v>
      </c>
      <c r="AC994" s="1186">
        <v>11.8</v>
      </c>
      <c r="AD994" s="1187">
        <v>4.01</v>
      </c>
    </row>
    <row r="995" spans="1:30" x14ac:dyDescent="0.2">
      <c r="A995">
        <f t="shared" si="49"/>
        <v>24</v>
      </c>
      <c r="B995">
        <v>986</v>
      </c>
      <c r="C995" s="1078">
        <v>4</v>
      </c>
      <c r="D995" s="1077" t="s">
        <v>5089</v>
      </c>
      <c r="E995" s="1077" t="s">
        <v>4177</v>
      </c>
      <c r="F995" s="1185">
        <v>2</v>
      </c>
      <c r="G995" s="1186"/>
      <c r="H995" s="1186"/>
      <c r="I995" s="1186"/>
      <c r="J995" s="1186"/>
      <c r="K995" s="1186"/>
      <c r="L995" s="1186"/>
      <c r="M995" s="1186"/>
      <c r="N995" s="1186"/>
      <c r="O995" s="1186"/>
      <c r="P995" s="1186"/>
      <c r="Q995" s="1186"/>
      <c r="R995" s="1186"/>
      <c r="S995" s="1186"/>
      <c r="T995" s="1186"/>
      <c r="U995" s="1186"/>
      <c r="V995" s="1186"/>
      <c r="W995" s="1186">
        <v>20.399999999999999</v>
      </c>
      <c r="X995" s="1186">
        <v>4.9000000000000004</v>
      </c>
      <c r="Y995" s="1186">
        <v>18.8</v>
      </c>
      <c r="Z995" s="1186">
        <v>2.8</v>
      </c>
      <c r="AA995" s="1186">
        <v>27.3</v>
      </c>
      <c r="AB995" s="1186">
        <v>6.5</v>
      </c>
      <c r="AC995" s="1186">
        <v>24.5</v>
      </c>
      <c r="AD995" s="1187">
        <v>3.6</v>
      </c>
    </row>
    <row r="996" spans="1:30" x14ac:dyDescent="0.2">
      <c r="A996">
        <f t="shared" si="49"/>
        <v>24</v>
      </c>
      <c r="B996">
        <v>987</v>
      </c>
      <c r="C996" s="1078">
        <v>4</v>
      </c>
      <c r="D996" s="1077" t="s">
        <v>5089</v>
      </c>
      <c r="E996" s="1077" t="s">
        <v>4178</v>
      </c>
      <c r="F996" s="1185">
        <v>2</v>
      </c>
      <c r="G996" s="1186"/>
      <c r="H996" s="1186"/>
      <c r="I996" s="1186"/>
      <c r="J996" s="1186"/>
      <c r="K996" s="1186"/>
      <c r="L996" s="1186"/>
      <c r="M996" s="1186"/>
      <c r="N996" s="1186"/>
      <c r="O996" s="1186"/>
      <c r="P996" s="1186"/>
      <c r="Q996" s="1186"/>
      <c r="R996" s="1186"/>
      <c r="S996" s="1186"/>
      <c r="T996" s="1186"/>
      <c r="U996" s="1186"/>
      <c r="V996" s="1186"/>
      <c r="W996" s="1186">
        <v>26.2</v>
      </c>
      <c r="X996" s="1186">
        <v>4.8</v>
      </c>
      <c r="Y996" s="1186">
        <v>24.2</v>
      </c>
      <c r="Z996" s="1186">
        <v>2.8</v>
      </c>
      <c r="AA996" s="1186">
        <v>35.1</v>
      </c>
      <c r="AB996" s="1186">
        <v>6.4</v>
      </c>
      <c r="AC996" s="1186">
        <v>31.4</v>
      </c>
      <c r="AD996" s="1187">
        <v>3.5</v>
      </c>
    </row>
    <row r="997" spans="1:30" x14ac:dyDescent="0.2">
      <c r="A997">
        <f t="shared" si="49"/>
        <v>24</v>
      </c>
      <c r="B997">
        <v>988</v>
      </c>
      <c r="C997" s="1078">
        <v>4</v>
      </c>
      <c r="D997" s="1077" t="s">
        <v>5089</v>
      </c>
      <c r="E997" s="1077" t="s">
        <v>4179</v>
      </c>
      <c r="F997" s="1185">
        <v>2</v>
      </c>
      <c r="G997" s="1186"/>
      <c r="H997" s="1186"/>
      <c r="I997" s="1186"/>
      <c r="J997" s="1186"/>
      <c r="K997" s="1186"/>
      <c r="L997" s="1186"/>
      <c r="M997" s="1186"/>
      <c r="N997" s="1186"/>
      <c r="O997" s="1186"/>
      <c r="P997" s="1186"/>
      <c r="Q997" s="1186"/>
      <c r="R997" s="1186"/>
      <c r="S997" s="1186"/>
      <c r="T997" s="1186"/>
      <c r="U997" s="1186"/>
      <c r="V997" s="1186"/>
      <c r="W997" s="1186">
        <v>35.299999999999997</v>
      </c>
      <c r="X997" s="1186">
        <v>5</v>
      </c>
      <c r="Y997" s="1186">
        <v>33.299999999999997</v>
      </c>
      <c r="Z997" s="1186">
        <v>3.1</v>
      </c>
      <c r="AA997" s="1186">
        <v>46.4</v>
      </c>
      <c r="AB997" s="1186">
        <v>6.4</v>
      </c>
      <c r="AC997" s="1186">
        <v>43.6</v>
      </c>
      <c r="AD997" s="1187">
        <v>3.9</v>
      </c>
    </row>
    <row r="998" spans="1:30" x14ac:dyDescent="0.2">
      <c r="A998">
        <f t="shared" si="49"/>
        <v>24</v>
      </c>
      <c r="B998">
        <v>989</v>
      </c>
      <c r="C998" s="1078">
        <v>4</v>
      </c>
      <c r="D998" s="1077" t="s">
        <v>5089</v>
      </c>
      <c r="E998" s="1077" t="s">
        <v>4180</v>
      </c>
      <c r="F998" s="1185">
        <v>2</v>
      </c>
      <c r="G998" s="1186"/>
      <c r="H998" s="1186"/>
      <c r="I998" s="1186"/>
      <c r="J998" s="1186"/>
      <c r="K998" s="1186"/>
      <c r="L998" s="1186"/>
      <c r="M998" s="1186"/>
      <c r="N998" s="1186"/>
      <c r="O998" s="1186"/>
      <c r="P998" s="1186"/>
      <c r="Q998" s="1186"/>
      <c r="R998" s="1186"/>
      <c r="S998" s="1186"/>
      <c r="T998" s="1186"/>
      <c r="U998" s="1186"/>
      <c r="V998" s="1186"/>
      <c r="W998" s="1186">
        <v>42</v>
      </c>
      <c r="X998" s="1186">
        <v>4.8</v>
      </c>
      <c r="Y998" s="1186">
        <v>37.9</v>
      </c>
      <c r="Z998" s="1186">
        <v>2.7</v>
      </c>
      <c r="AA998" s="1186">
        <v>55.4</v>
      </c>
      <c r="AB998" s="1186">
        <v>6.1</v>
      </c>
      <c r="AC998" s="1186">
        <v>49.9</v>
      </c>
      <c r="AD998" s="1187">
        <v>3.5</v>
      </c>
    </row>
    <row r="999" spans="1:30" x14ac:dyDescent="0.2">
      <c r="A999">
        <f t="shared" si="49"/>
        <v>24</v>
      </c>
      <c r="B999">
        <v>990</v>
      </c>
      <c r="C999" s="1078">
        <v>4</v>
      </c>
      <c r="D999" s="1077" t="s">
        <v>5089</v>
      </c>
      <c r="E999" s="1077" t="s">
        <v>4656</v>
      </c>
      <c r="F999" s="1185">
        <v>2</v>
      </c>
      <c r="G999" s="1186"/>
      <c r="H999" s="1186"/>
      <c r="I999" s="1186"/>
      <c r="J999" s="1186"/>
      <c r="K999" s="1186"/>
      <c r="L999" s="1186"/>
      <c r="M999" s="1186"/>
      <c r="N999" s="1186"/>
      <c r="O999" s="1186"/>
      <c r="P999" s="1186"/>
      <c r="Q999" s="1186"/>
      <c r="R999" s="1186"/>
      <c r="S999" s="1186"/>
      <c r="T999" s="1186"/>
      <c r="U999" s="1186"/>
      <c r="V999" s="1186"/>
      <c r="W999" s="1186">
        <v>12.3</v>
      </c>
      <c r="X999" s="1186">
        <v>4.4800000000000004</v>
      </c>
      <c r="Y999" s="1186">
        <v>10.1</v>
      </c>
      <c r="Z999" s="1186">
        <v>2.7</v>
      </c>
      <c r="AA999" s="1186">
        <v>17</v>
      </c>
      <c r="AB999" s="1186">
        <v>5.76</v>
      </c>
      <c r="AC999" s="1186">
        <v>15.1</v>
      </c>
      <c r="AD999" s="1187">
        <v>3.65</v>
      </c>
    </row>
    <row r="1000" spans="1:30" x14ac:dyDescent="0.2">
      <c r="A1000">
        <f t="shared" si="49"/>
        <v>24</v>
      </c>
      <c r="B1000">
        <v>991</v>
      </c>
      <c r="C1000" s="1078">
        <v>4</v>
      </c>
      <c r="D1000" s="1077" t="s">
        <v>5089</v>
      </c>
      <c r="E1000" s="1077" t="s">
        <v>4657</v>
      </c>
      <c r="F1000" s="1185">
        <v>2</v>
      </c>
      <c r="G1000" s="1186"/>
      <c r="H1000" s="1186"/>
      <c r="I1000" s="1186"/>
      <c r="J1000" s="1186"/>
      <c r="K1000" s="1186"/>
      <c r="L1000" s="1186"/>
      <c r="M1000" s="1186"/>
      <c r="N1000" s="1186"/>
      <c r="O1000" s="1186"/>
      <c r="P1000" s="1186"/>
      <c r="Q1000" s="1186"/>
      <c r="R1000" s="1186"/>
      <c r="S1000" s="1186"/>
      <c r="T1000" s="1186"/>
      <c r="U1000" s="1186"/>
      <c r="V1000" s="1186"/>
      <c r="W1000" s="1186">
        <v>18</v>
      </c>
      <c r="X1000" s="1186">
        <v>4.42</v>
      </c>
      <c r="Y1000" s="1186">
        <v>15.3</v>
      </c>
      <c r="Z1000" s="1186">
        <v>2.83</v>
      </c>
      <c r="AA1000" s="1186">
        <v>27.7</v>
      </c>
      <c r="AB1000" s="1186">
        <v>5.61</v>
      </c>
      <c r="AC1000" s="1186">
        <v>21.8</v>
      </c>
      <c r="AD1000" s="1187">
        <v>3.69</v>
      </c>
    </row>
    <row r="1001" spans="1:30" x14ac:dyDescent="0.2">
      <c r="A1001">
        <f t="shared" si="49"/>
        <v>24</v>
      </c>
      <c r="B1001">
        <v>992</v>
      </c>
      <c r="C1001" s="1078">
        <v>4</v>
      </c>
      <c r="D1001" s="1077" t="s">
        <v>5089</v>
      </c>
      <c r="E1001" s="1077" t="s">
        <v>4658</v>
      </c>
      <c r="F1001" s="1185">
        <v>2</v>
      </c>
      <c r="G1001" s="1186"/>
      <c r="H1001" s="1186"/>
      <c r="I1001" s="1186"/>
      <c r="J1001" s="1186"/>
      <c r="K1001" s="1186"/>
      <c r="L1001" s="1186"/>
      <c r="M1001" s="1186"/>
      <c r="N1001" s="1186"/>
      <c r="O1001" s="1186"/>
      <c r="P1001" s="1186"/>
      <c r="Q1001" s="1186"/>
      <c r="R1001" s="1186"/>
      <c r="S1001" s="1186"/>
      <c r="T1001" s="1186"/>
      <c r="U1001" s="1186"/>
      <c r="V1001" s="1186"/>
      <c r="W1001" s="1186">
        <v>20.9</v>
      </c>
      <c r="X1001" s="1186">
        <v>4.58</v>
      </c>
      <c r="Y1001" s="1186">
        <v>17.2</v>
      </c>
      <c r="Z1001" s="1186">
        <v>2.76</v>
      </c>
      <c r="AA1001" s="1186">
        <v>28.8</v>
      </c>
      <c r="AB1001" s="1186">
        <v>5.89</v>
      </c>
      <c r="AC1001" s="1186">
        <v>25.5</v>
      </c>
      <c r="AD1001" s="1187">
        <v>3.73</v>
      </c>
    </row>
    <row r="1002" spans="1:30" x14ac:dyDescent="0.2">
      <c r="A1002">
        <f t="shared" si="49"/>
        <v>24</v>
      </c>
      <c r="B1002">
        <v>993</v>
      </c>
      <c r="C1002" s="1078">
        <v>4</v>
      </c>
      <c r="D1002" s="1077" t="s">
        <v>5089</v>
      </c>
      <c r="E1002" s="1077" t="s">
        <v>4659</v>
      </c>
      <c r="F1002" s="1185">
        <v>2</v>
      </c>
      <c r="G1002" s="1186"/>
      <c r="H1002" s="1186"/>
      <c r="I1002" s="1186"/>
      <c r="J1002" s="1186"/>
      <c r="K1002" s="1186"/>
      <c r="L1002" s="1186"/>
      <c r="M1002" s="1186"/>
      <c r="N1002" s="1186"/>
      <c r="O1002" s="1186"/>
      <c r="P1002" s="1186"/>
      <c r="Q1002" s="1186"/>
      <c r="R1002" s="1186"/>
      <c r="S1002" s="1186"/>
      <c r="T1002" s="1186"/>
      <c r="U1002" s="1186"/>
      <c r="V1002" s="1186"/>
      <c r="W1002" s="1186">
        <v>57.9</v>
      </c>
      <c r="X1002" s="1186">
        <v>4.63</v>
      </c>
      <c r="Y1002" s="1186">
        <v>52.5</v>
      </c>
      <c r="Z1002" s="1186">
        <v>2.8</v>
      </c>
      <c r="AA1002" s="1186">
        <v>76.900000000000006</v>
      </c>
      <c r="AB1002" s="1186">
        <v>6.07</v>
      </c>
      <c r="AC1002" s="1186">
        <v>70.2</v>
      </c>
      <c r="AD1002" s="1187">
        <v>3.73</v>
      </c>
    </row>
    <row r="1003" spans="1:30" x14ac:dyDescent="0.2">
      <c r="A1003">
        <f t="shared" si="49"/>
        <v>24</v>
      </c>
      <c r="B1003">
        <v>994</v>
      </c>
      <c r="C1003" s="1078">
        <v>4</v>
      </c>
      <c r="D1003" s="1077" t="s">
        <v>5089</v>
      </c>
      <c r="E1003" s="1077" t="s">
        <v>4660</v>
      </c>
      <c r="F1003" s="1185">
        <v>2</v>
      </c>
      <c r="G1003" s="1186"/>
      <c r="H1003" s="1186"/>
      <c r="I1003" s="1186"/>
      <c r="J1003" s="1186"/>
      <c r="K1003" s="1186"/>
      <c r="L1003" s="1186"/>
      <c r="M1003" s="1186"/>
      <c r="N1003" s="1186"/>
      <c r="O1003" s="1186"/>
      <c r="P1003" s="1186"/>
      <c r="Q1003" s="1186"/>
      <c r="R1003" s="1186"/>
      <c r="S1003" s="1186"/>
      <c r="T1003" s="1186"/>
      <c r="U1003" s="1186"/>
      <c r="V1003" s="1186"/>
      <c r="W1003" s="1186">
        <v>73.2</v>
      </c>
      <c r="X1003" s="1186">
        <v>4.5999999999999996</v>
      </c>
      <c r="Y1003" s="1186">
        <v>70</v>
      </c>
      <c r="Z1003" s="1186">
        <v>2.9</v>
      </c>
      <c r="AA1003" s="1186">
        <v>97.2</v>
      </c>
      <c r="AB1003" s="1186">
        <v>5.87</v>
      </c>
      <c r="AC1003" s="1186">
        <v>89.7</v>
      </c>
      <c r="AD1003" s="1187">
        <v>3.64</v>
      </c>
    </row>
    <row r="1004" spans="1:30" x14ac:dyDescent="0.2">
      <c r="A1004">
        <f t="shared" si="49"/>
        <v>24</v>
      </c>
      <c r="B1004">
        <v>995</v>
      </c>
      <c r="C1004" s="1078">
        <v>4</v>
      </c>
      <c r="D1004" s="1077" t="s">
        <v>5089</v>
      </c>
      <c r="E1004" s="1077" t="s">
        <v>4661</v>
      </c>
      <c r="F1004" s="1185">
        <v>2</v>
      </c>
      <c r="G1004" s="1186"/>
      <c r="H1004" s="1186"/>
      <c r="I1004" s="1186"/>
      <c r="J1004" s="1186"/>
      <c r="K1004" s="1186"/>
      <c r="L1004" s="1186"/>
      <c r="M1004" s="1186"/>
      <c r="N1004" s="1186"/>
      <c r="O1004" s="1186"/>
      <c r="P1004" s="1186"/>
      <c r="Q1004" s="1186"/>
      <c r="R1004" s="1186"/>
      <c r="S1004" s="1186"/>
      <c r="T1004" s="1186"/>
      <c r="U1004" s="1186"/>
      <c r="V1004" s="1186"/>
      <c r="W1004" s="1186">
        <v>84.8</v>
      </c>
      <c r="X1004" s="1186">
        <v>4.63</v>
      </c>
      <c r="Y1004" s="1186">
        <v>80.599999999999994</v>
      </c>
      <c r="Z1004" s="1186">
        <v>2.94</v>
      </c>
      <c r="AA1004" s="1186">
        <v>112.8</v>
      </c>
      <c r="AB1004" s="1186">
        <v>5.91</v>
      </c>
      <c r="AC1004" s="1186">
        <v>102.2</v>
      </c>
      <c r="AD1004" s="1187">
        <v>3.66</v>
      </c>
    </row>
    <row r="1005" spans="1:30" x14ac:dyDescent="0.2">
      <c r="A1005">
        <f t="shared" si="49"/>
        <v>24</v>
      </c>
      <c r="B1005">
        <v>996</v>
      </c>
      <c r="C1005" s="1078">
        <v>4</v>
      </c>
      <c r="D1005" s="1077" t="s">
        <v>5089</v>
      </c>
      <c r="E1005" s="1077" t="s">
        <v>4662</v>
      </c>
      <c r="F1005" s="1185">
        <v>2</v>
      </c>
      <c r="G1005" s="1186"/>
      <c r="H1005" s="1186"/>
      <c r="I1005" s="1186"/>
      <c r="J1005" s="1186"/>
      <c r="K1005" s="1186"/>
      <c r="L1005" s="1186"/>
      <c r="M1005" s="1186"/>
      <c r="N1005" s="1186"/>
      <c r="O1005" s="1186"/>
      <c r="P1005" s="1186"/>
      <c r="Q1005" s="1186"/>
      <c r="R1005" s="1186"/>
      <c r="S1005" s="1186"/>
      <c r="T1005" s="1186"/>
      <c r="U1005" s="1186"/>
      <c r="V1005" s="1186"/>
      <c r="W1005" s="1186">
        <v>113.4</v>
      </c>
      <c r="X1005" s="1186">
        <v>4.62</v>
      </c>
      <c r="Y1005" s="1186">
        <v>107.4</v>
      </c>
      <c r="Z1005" s="1186">
        <v>2.92</v>
      </c>
      <c r="AA1005" s="1186">
        <v>149.1</v>
      </c>
      <c r="AB1005" s="1186">
        <v>5.73</v>
      </c>
      <c r="AC1005" s="1186">
        <v>136.9</v>
      </c>
      <c r="AD1005" s="1187">
        <v>3.62</v>
      </c>
    </row>
    <row r="1006" spans="1:30" x14ac:dyDescent="0.2">
      <c r="A1006">
        <f t="shared" si="49"/>
        <v>24</v>
      </c>
      <c r="B1006">
        <v>997</v>
      </c>
      <c r="C1006" s="1078">
        <v>4</v>
      </c>
      <c r="D1006" s="1077" t="s">
        <v>5089</v>
      </c>
      <c r="E1006" s="1077" t="s">
        <v>4663</v>
      </c>
      <c r="F1006" s="1185">
        <v>2</v>
      </c>
      <c r="G1006" s="1186"/>
      <c r="H1006" s="1186"/>
      <c r="I1006" s="1186"/>
      <c r="J1006" s="1186"/>
      <c r="K1006" s="1186"/>
      <c r="L1006" s="1186"/>
      <c r="M1006" s="1186"/>
      <c r="N1006" s="1186"/>
      <c r="O1006" s="1186"/>
      <c r="P1006" s="1186"/>
      <c r="Q1006" s="1186"/>
      <c r="R1006" s="1186"/>
      <c r="S1006" s="1186"/>
      <c r="T1006" s="1186"/>
      <c r="U1006" s="1186"/>
      <c r="V1006" s="1186"/>
      <c r="W1006" s="1186">
        <v>137.80000000000001</v>
      </c>
      <c r="X1006" s="1186">
        <v>4.6100000000000003</v>
      </c>
      <c r="Y1006" s="1186">
        <v>127.8</v>
      </c>
      <c r="Z1006" s="1186">
        <v>2.91</v>
      </c>
      <c r="AA1006" s="1186">
        <v>181.1</v>
      </c>
      <c r="AB1006" s="1186">
        <v>5.79</v>
      </c>
      <c r="AC1006" s="1186">
        <v>164.3</v>
      </c>
      <c r="AD1006" s="1187">
        <v>3.61</v>
      </c>
    </row>
    <row r="1007" spans="1:30" x14ac:dyDescent="0.2">
      <c r="A1007">
        <f t="shared" si="49"/>
        <v>24</v>
      </c>
      <c r="B1007">
        <v>998</v>
      </c>
      <c r="C1007" s="1078">
        <v>4</v>
      </c>
      <c r="D1007" s="1077" t="s">
        <v>5089</v>
      </c>
      <c r="E1007" s="1077" t="s">
        <v>4664</v>
      </c>
      <c r="F1007" s="1185">
        <v>2</v>
      </c>
      <c r="G1007" s="1186"/>
      <c r="H1007" s="1186"/>
      <c r="I1007" s="1186"/>
      <c r="J1007" s="1186"/>
      <c r="K1007" s="1186"/>
      <c r="L1007" s="1186"/>
      <c r="M1007" s="1186"/>
      <c r="N1007" s="1186"/>
      <c r="O1007" s="1186"/>
      <c r="P1007" s="1186"/>
      <c r="Q1007" s="1186"/>
      <c r="R1007" s="1186"/>
      <c r="S1007" s="1186"/>
      <c r="T1007" s="1186"/>
      <c r="U1007" s="1186"/>
      <c r="V1007" s="1186"/>
      <c r="W1007" s="1186">
        <v>35</v>
      </c>
      <c r="X1007" s="1186">
        <v>4.32</v>
      </c>
      <c r="Y1007" s="1186">
        <v>32.200000000000003</v>
      </c>
      <c r="Z1007" s="1186">
        <v>2.74</v>
      </c>
      <c r="AA1007" s="1186">
        <v>49.3</v>
      </c>
      <c r="AB1007" s="1186">
        <v>5.99</v>
      </c>
      <c r="AC1007" s="1186">
        <v>44.8</v>
      </c>
      <c r="AD1007" s="1187">
        <v>3.58</v>
      </c>
    </row>
    <row r="1008" spans="1:30" x14ac:dyDescent="0.2">
      <c r="A1008">
        <f t="shared" si="49"/>
        <v>24</v>
      </c>
      <c r="B1008">
        <v>999</v>
      </c>
      <c r="C1008" s="1078">
        <v>4</v>
      </c>
      <c r="D1008" s="1077" t="s">
        <v>5089</v>
      </c>
      <c r="E1008" s="1077" t="s">
        <v>4665</v>
      </c>
      <c r="F1008" s="1185">
        <v>2</v>
      </c>
      <c r="G1008" s="1186"/>
      <c r="H1008" s="1186"/>
      <c r="I1008" s="1186"/>
      <c r="J1008" s="1186"/>
      <c r="K1008" s="1186"/>
      <c r="L1008" s="1186"/>
      <c r="M1008" s="1186"/>
      <c r="N1008" s="1186"/>
      <c r="O1008" s="1186"/>
      <c r="P1008" s="1186"/>
      <c r="Q1008" s="1186"/>
      <c r="R1008" s="1186"/>
      <c r="S1008" s="1186"/>
      <c r="T1008" s="1186"/>
      <c r="U1008" s="1186"/>
      <c r="V1008" s="1186"/>
      <c r="W1008" s="1186">
        <v>52.5</v>
      </c>
      <c r="X1008" s="1186">
        <v>4.38</v>
      </c>
      <c r="Y1008" s="1186">
        <v>51.3</v>
      </c>
      <c r="Z1008" s="1186">
        <v>2.84</v>
      </c>
      <c r="AA1008" s="1186">
        <v>71.8</v>
      </c>
      <c r="AB1008" s="1186">
        <v>5.81</v>
      </c>
      <c r="AC1008" s="1186">
        <v>69</v>
      </c>
      <c r="AD1008" s="1187">
        <v>3.68</v>
      </c>
    </row>
    <row r="1009" spans="1:30" x14ac:dyDescent="0.2">
      <c r="A1009">
        <f t="shared" si="49"/>
        <v>24</v>
      </c>
      <c r="B1009">
        <v>1000</v>
      </c>
      <c r="C1009" s="1078">
        <v>4</v>
      </c>
      <c r="D1009" s="1077" t="s">
        <v>5089</v>
      </c>
      <c r="E1009" s="1077" t="s">
        <v>4666</v>
      </c>
      <c r="F1009" s="1185">
        <v>2</v>
      </c>
      <c r="G1009" s="1186"/>
      <c r="H1009" s="1186"/>
      <c r="I1009" s="1186"/>
      <c r="J1009" s="1186"/>
      <c r="K1009" s="1186"/>
      <c r="L1009" s="1186"/>
      <c r="M1009" s="1186"/>
      <c r="N1009" s="1186"/>
      <c r="O1009" s="1186"/>
      <c r="P1009" s="1186"/>
      <c r="Q1009" s="1186"/>
      <c r="R1009" s="1186"/>
      <c r="S1009" s="1186"/>
      <c r="T1009" s="1186"/>
      <c r="U1009" s="1186"/>
      <c r="V1009" s="1186"/>
      <c r="W1009" s="1186">
        <v>71</v>
      </c>
      <c r="X1009" s="1186">
        <v>4.34</v>
      </c>
      <c r="Y1009" s="1186">
        <v>69.5</v>
      </c>
      <c r="Z1009" s="1186">
        <v>2.75</v>
      </c>
      <c r="AA1009" s="1186">
        <v>97.1</v>
      </c>
      <c r="AB1009" s="1186">
        <v>5.76</v>
      </c>
      <c r="AC1009" s="1186">
        <v>94.1</v>
      </c>
      <c r="AD1009" s="1187">
        <v>3.63</v>
      </c>
    </row>
    <row r="1010" spans="1:30" x14ac:dyDescent="0.2">
      <c r="A1010">
        <f t="shared" si="49"/>
        <v>24</v>
      </c>
      <c r="B1010">
        <v>1001</v>
      </c>
      <c r="C1010" s="1078">
        <v>4</v>
      </c>
      <c r="D1010" s="1077" t="s">
        <v>5089</v>
      </c>
      <c r="E1010" s="1077" t="s">
        <v>4667</v>
      </c>
      <c r="F1010" s="1185">
        <v>2</v>
      </c>
      <c r="G1010" s="1186"/>
      <c r="H1010" s="1186"/>
      <c r="I1010" s="1186"/>
      <c r="J1010" s="1186"/>
      <c r="K1010" s="1186"/>
      <c r="L1010" s="1186"/>
      <c r="M1010" s="1186"/>
      <c r="N1010" s="1186"/>
      <c r="O1010" s="1186"/>
      <c r="P1010" s="1186"/>
      <c r="Q1010" s="1186"/>
      <c r="R1010" s="1186"/>
      <c r="S1010" s="1186"/>
      <c r="T1010" s="1186"/>
      <c r="U1010" s="1186"/>
      <c r="V1010" s="1186"/>
      <c r="W1010" s="1186">
        <v>87.4</v>
      </c>
      <c r="X1010" s="1186">
        <v>4.3</v>
      </c>
      <c r="Y1010" s="1186">
        <v>83.5</v>
      </c>
      <c r="Z1010" s="1186">
        <v>2.74</v>
      </c>
      <c r="AA1010" s="1186">
        <v>119.5</v>
      </c>
      <c r="AB1010" s="1186">
        <v>5.66</v>
      </c>
      <c r="AC1010" s="1186">
        <v>115.4</v>
      </c>
      <c r="AD1010" s="1187">
        <v>3.58</v>
      </c>
    </row>
    <row r="1011" spans="1:30" x14ac:dyDescent="0.2">
      <c r="A1011">
        <f t="shared" si="49"/>
        <v>24</v>
      </c>
      <c r="B1011">
        <v>1002</v>
      </c>
      <c r="C1011" s="1078">
        <v>2</v>
      </c>
      <c r="D1011" s="1077" t="s">
        <v>5089</v>
      </c>
      <c r="E1011" s="1077" t="s">
        <v>5367</v>
      </c>
      <c r="F1011" s="1185">
        <v>4</v>
      </c>
      <c r="G1011" s="1186">
        <v>9.4</v>
      </c>
      <c r="H1011" s="1186">
        <v>2.5</v>
      </c>
      <c r="I1011" s="1186">
        <v>10.7</v>
      </c>
      <c r="J1011" s="1186">
        <v>3.1</v>
      </c>
      <c r="K1011" s="1186">
        <v>8.6</v>
      </c>
      <c r="L1011" s="1186">
        <v>3.3</v>
      </c>
      <c r="M1011" s="1186">
        <v>9.8000000000000007</v>
      </c>
      <c r="N1011" s="1186">
        <v>4.5</v>
      </c>
      <c r="O1011" s="1186">
        <v>9.9</v>
      </c>
      <c r="P1011" s="1186">
        <v>7.2</v>
      </c>
      <c r="Q1011" s="1186">
        <v>11</v>
      </c>
      <c r="R1011" s="1186">
        <v>2.2999999999999998</v>
      </c>
      <c r="S1011" s="1186">
        <v>10.4</v>
      </c>
      <c r="T1011" s="1186">
        <v>3.1</v>
      </c>
      <c r="U1011" s="1186">
        <v>9.5</v>
      </c>
      <c r="V1011" s="1186">
        <v>4.0999999999999996</v>
      </c>
      <c r="W1011" s="1186"/>
      <c r="X1011" s="1186"/>
      <c r="Y1011" s="1186"/>
      <c r="Z1011" s="1186"/>
      <c r="AA1011" s="1186"/>
      <c r="AB1011" s="1186"/>
      <c r="AC1011" s="1186"/>
      <c r="AD1011" s="1187"/>
    </row>
    <row r="1012" spans="1:30" x14ac:dyDescent="0.2">
      <c r="A1012">
        <f t="shared" si="49"/>
        <v>24</v>
      </c>
      <c r="B1012">
        <v>1003</v>
      </c>
      <c r="C1012" s="1078">
        <v>2</v>
      </c>
      <c r="D1012" s="1077" t="s">
        <v>5089</v>
      </c>
      <c r="E1012" s="1077" t="s">
        <v>5368</v>
      </c>
      <c r="F1012" s="1185">
        <v>4</v>
      </c>
      <c r="G1012" s="1186">
        <v>11.2</v>
      </c>
      <c r="H1012" s="1186">
        <v>2.5</v>
      </c>
      <c r="I1012" s="1186">
        <v>12.7</v>
      </c>
      <c r="J1012" s="1186">
        <v>3</v>
      </c>
      <c r="K1012" s="1186">
        <v>10.199999999999999</v>
      </c>
      <c r="L1012" s="1186">
        <v>3.3</v>
      </c>
      <c r="M1012" s="1186">
        <v>11.6</v>
      </c>
      <c r="N1012" s="1186">
        <v>4.5</v>
      </c>
      <c r="O1012" s="1186">
        <v>11.8</v>
      </c>
      <c r="P1012" s="1186">
        <v>7.2</v>
      </c>
      <c r="Q1012" s="1186">
        <v>13.1</v>
      </c>
      <c r="R1012" s="1186">
        <v>2.2999999999999998</v>
      </c>
      <c r="S1012" s="1186">
        <v>12.4</v>
      </c>
      <c r="T1012" s="1186">
        <v>3.1</v>
      </c>
      <c r="U1012" s="1186">
        <v>11.4</v>
      </c>
      <c r="V1012" s="1186">
        <v>4.0999999999999996</v>
      </c>
      <c r="W1012" s="1186"/>
      <c r="X1012" s="1186"/>
      <c r="Y1012" s="1186"/>
      <c r="Z1012" s="1186"/>
      <c r="AA1012" s="1186"/>
      <c r="AB1012" s="1186"/>
      <c r="AC1012" s="1186"/>
      <c r="AD1012" s="1187"/>
    </row>
    <row r="1013" spans="1:30" x14ac:dyDescent="0.2">
      <c r="A1013">
        <f t="shared" si="49"/>
        <v>25</v>
      </c>
      <c r="B1013">
        <v>1004</v>
      </c>
      <c r="C1013" s="1078">
        <v>2</v>
      </c>
      <c r="D1013" s="1077" t="s">
        <v>5369</v>
      </c>
      <c r="E1013" s="1077" t="s">
        <v>5370</v>
      </c>
      <c r="F1013" s="1185">
        <v>1</v>
      </c>
      <c r="G1013" s="1186">
        <v>5.7</v>
      </c>
      <c r="H1013" s="1186">
        <v>2.2000000000000002</v>
      </c>
      <c r="I1013" s="1186">
        <v>7.1</v>
      </c>
      <c r="J1013" s="1186">
        <v>3.1</v>
      </c>
      <c r="K1013" s="1186">
        <v>9.4</v>
      </c>
      <c r="L1013" s="1186">
        <v>4</v>
      </c>
      <c r="M1013" s="1186">
        <v>11.5</v>
      </c>
      <c r="N1013" s="1186">
        <v>4.8</v>
      </c>
      <c r="O1013" s="1186">
        <v>14.3</v>
      </c>
      <c r="P1013" s="1186">
        <v>6</v>
      </c>
      <c r="Q1013" s="1186">
        <v>6.5</v>
      </c>
      <c r="R1013" s="1186">
        <v>2</v>
      </c>
      <c r="S1013" s="1186">
        <v>10.3</v>
      </c>
      <c r="T1013" s="1186">
        <v>3.1</v>
      </c>
      <c r="U1013" s="1186">
        <v>12.9</v>
      </c>
      <c r="V1013" s="1186">
        <v>3.6</v>
      </c>
      <c r="W1013" s="1186"/>
      <c r="X1013" s="1186"/>
      <c r="Y1013" s="1186"/>
      <c r="Z1013" s="1186"/>
      <c r="AA1013" s="1186"/>
      <c r="AB1013" s="1186"/>
      <c r="AC1013" s="1186"/>
      <c r="AD1013" s="1187"/>
    </row>
    <row r="1014" spans="1:30" x14ac:dyDescent="0.2">
      <c r="A1014">
        <f t="shared" si="49"/>
        <v>25</v>
      </c>
      <c r="B1014">
        <v>1005</v>
      </c>
      <c r="C1014" s="1078">
        <v>2</v>
      </c>
      <c r="D1014" s="1077" t="s">
        <v>5369</v>
      </c>
      <c r="E1014" s="1077" t="s">
        <v>4808</v>
      </c>
      <c r="F1014" s="1185">
        <v>4</v>
      </c>
      <c r="G1014" s="1186">
        <v>8.6</v>
      </c>
      <c r="H1014" s="1186">
        <v>2.2000000000000002</v>
      </c>
      <c r="I1014" s="1186">
        <v>10.7</v>
      </c>
      <c r="J1014" s="1186">
        <v>2.7</v>
      </c>
      <c r="K1014" s="1186">
        <v>13.4</v>
      </c>
      <c r="L1014" s="1186">
        <v>3.3</v>
      </c>
      <c r="M1014" s="1186">
        <v>16.399999999999999</v>
      </c>
      <c r="N1014" s="1186">
        <v>4</v>
      </c>
      <c r="O1014" s="1186">
        <v>22.4</v>
      </c>
      <c r="P1014" s="1186">
        <v>5.2</v>
      </c>
      <c r="Q1014" s="1186">
        <v>9.1999999999999993</v>
      </c>
      <c r="R1014" s="1186">
        <v>1.6</v>
      </c>
      <c r="S1014" s="1186">
        <v>15.3</v>
      </c>
      <c r="T1014" s="1186">
        <v>2.5</v>
      </c>
      <c r="U1014" s="1186">
        <v>21.4</v>
      </c>
      <c r="V1014" s="1186">
        <v>3.5</v>
      </c>
      <c r="W1014" s="1186"/>
      <c r="X1014" s="1186"/>
      <c r="Y1014" s="1186"/>
      <c r="Z1014" s="1186"/>
      <c r="AA1014" s="1186"/>
      <c r="AB1014" s="1186"/>
      <c r="AC1014" s="1186"/>
      <c r="AD1014" s="1187"/>
    </row>
    <row r="1015" spans="1:30" x14ac:dyDescent="0.2">
      <c r="A1015">
        <f t="shared" si="49"/>
        <v>25</v>
      </c>
      <c r="B1015">
        <v>1006</v>
      </c>
      <c r="C1015" s="1078">
        <v>2</v>
      </c>
      <c r="D1015" s="1077" t="s">
        <v>5369</v>
      </c>
      <c r="E1015" s="1077" t="s">
        <v>5301</v>
      </c>
      <c r="F1015" s="1185">
        <v>2</v>
      </c>
      <c r="G1015" s="1186">
        <v>11.39</v>
      </c>
      <c r="H1015" s="1186">
        <v>2.67</v>
      </c>
      <c r="I1015" s="1186">
        <v>13.89</v>
      </c>
      <c r="J1015" s="1186">
        <v>3.11</v>
      </c>
      <c r="K1015" s="1186">
        <v>15.86</v>
      </c>
      <c r="L1015" s="1186">
        <v>3.7</v>
      </c>
      <c r="M1015" s="1186">
        <v>11.67</v>
      </c>
      <c r="N1015" s="1186">
        <v>5.04</v>
      </c>
      <c r="O1015" s="1186">
        <v>13.57</v>
      </c>
      <c r="P1015" s="1186">
        <v>5.93</v>
      </c>
      <c r="Q1015" s="1186">
        <v>13.19</v>
      </c>
      <c r="R1015" s="1186">
        <v>2.25</v>
      </c>
      <c r="S1015" s="1186">
        <v>10.79</v>
      </c>
      <c r="T1015" s="1186">
        <v>3.17</v>
      </c>
      <c r="U1015" s="1186">
        <v>12.23</v>
      </c>
      <c r="V1015" s="1186">
        <v>3.63</v>
      </c>
      <c r="W1015" s="1186"/>
      <c r="X1015" s="1186"/>
      <c r="Y1015" s="1186"/>
      <c r="Z1015" s="1186"/>
      <c r="AA1015" s="1186"/>
      <c r="AB1015" s="1186"/>
      <c r="AC1015" s="1186"/>
      <c r="AD1015" s="1187"/>
    </row>
    <row r="1016" spans="1:30" x14ac:dyDescent="0.2">
      <c r="A1016">
        <f t="shared" si="49"/>
        <v>25</v>
      </c>
      <c r="B1016">
        <v>1007</v>
      </c>
      <c r="C1016" s="1078">
        <v>2</v>
      </c>
      <c r="D1016" s="1077" t="s">
        <v>5369</v>
      </c>
      <c r="E1016" s="1077" t="s">
        <v>5302</v>
      </c>
      <c r="F1016" s="1185">
        <v>2</v>
      </c>
      <c r="G1016" s="1186">
        <v>13.74</v>
      </c>
      <c r="H1016" s="1186">
        <v>2.6</v>
      </c>
      <c r="I1016" s="1186">
        <v>18.350000000000001</v>
      </c>
      <c r="J1016" s="1186">
        <v>3.24</v>
      </c>
      <c r="K1016" s="1186">
        <v>18.63</v>
      </c>
      <c r="L1016" s="1186">
        <v>3.65</v>
      </c>
      <c r="M1016" s="1186">
        <v>14.17</v>
      </c>
      <c r="N1016" s="1186">
        <v>4.8099999999999996</v>
      </c>
      <c r="O1016" s="1186">
        <v>17.989999999999998</v>
      </c>
      <c r="P1016" s="1186">
        <v>6.2</v>
      </c>
      <c r="Q1016" s="1186">
        <v>18.190000000000001</v>
      </c>
      <c r="R1016" s="1186">
        <v>2.31</v>
      </c>
      <c r="S1016" s="1186">
        <v>13.05</v>
      </c>
      <c r="T1016" s="1186">
        <v>3.08</v>
      </c>
      <c r="U1016" s="1186">
        <v>16.38</v>
      </c>
      <c r="V1016" s="1186">
        <v>3.86</v>
      </c>
      <c r="W1016" s="1186"/>
      <c r="X1016" s="1186"/>
      <c r="Y1016" s="1186"/>
      <c r="Z1016" s="1186"/>
      <c r="AA1016" s="1186"/>
      <c r="AB1016" s="1186"/>
      <c r="AC1016" s="1186"/>
      <c r="AD1016" s="1187"/>
    </row>
    <row r="1017" spans="1:30" x14ac:dyDescent="0.2">
      <c r="A1017">
        <f t="shared" si="49"/>
        <v>25</v>
      </c>
      <c r="B1017">
        <v>1008</v>
      </c>
      <c r="C1017" s="1078">
        <v>2</v>
      </c>
      <c r="D1017" s="1077" t="s">
        <v>5369</v>
      </c>
      <c r="E1017" s="1077" t="s">
        <v>5371</v>
      </c>
      <c r="F1017" s="1185">
        <v>4</v>
      </c>
      <c r="G1017" s="1186">
        <v>9.57</v>
      </c>
      <c r="H1017" s="1186">
        <v>2.4300000000000002</v>
      </c>
      <c r="I1017" s="1186">
        <v>12.7</v>
      </c>
      <c r="J1017" s="1186">
        <v>2.79</v>
      </c>
      <c r="K1017" s="1186">
        <v>10.3</v>
      </c>
      <c r="L1017" s="1186">
        <v>3.88</v>
      </c>
      <c r="M1017" s="1186">
        <v>15.5</v>
      </c>
      <c r="N1017" s="1186">
        <v>4.59</v>
      </c>
      <c r="O1017" s="1186">
        <v>14.6</v>
      </c>
      <c r="P1017" s="1186">
        <v>5.65</v>
      </c>
      <c r="Q1017" s="1186">
        <v>11.3</v>
      </c>
      <c r="R1017" s="1186">
        <v>2.0099999999999998</v>
      </c>
      <c r="S1017" s="1186">
        <v>14.5</v>
      </c>
      <c r="T1017" s="1186">
        <v>2.95</v>
      </c>
      <c r="U1017" s="1186">
        <v>12.7</v>
      </c>
      <c r="V1017" s="1186">
        <v>3.52</v>
      </c>
      <c r="W1017" s="1186"/>
      <c r="X1017" s="1186"/>
      <c r="Y1017" s="1186"/>
      <c r="Z1017" s="1186"/>
      <c r="AA1017" s="1186"/>
      <c r="AB1017" s="1186"/>
      <c r="AC1017" s="1186"/>
      <c r="AD1017" s="1187"/>
    </row>
    <row r="1018" spans="1:30" x14ac:dyDescent="0.2">
      <c r="A1018">
        <f t="shared" si="49"/>
        <v>25</v>
      </c>
      <c r="B1018">
        <v>1009</v>
      </c>
      <c r="C1018" s="1078">
        <v>2</v>
      </c>
      <c r="D1018" s="1077" t="s">
        <v>5369</v>
      </c>
      <c r="E1018" s="1077" t="s">
        <v>5372</v>
      </c>
      <c r="F1018" s="1185">
        <v>4</v>
      </c>
      <c r="G1018" s="1186">
        <v>7.6</v>
      </c>
      <c r="H1018" s="1186">
        <v>2.4</v>
      </c>
      <c r="I1018" s="1186">
        <v>9.4</v>
      </c>
      <c r="J1018" s="1186">
        <v>3.03</v>
      </c>
      <c r="K1018" s="1186">
        <v>6.5</v>
      </c>
      <c r="L1018" s="1186">
        <v>4.33</v>
      </c>
      <c r="M1018" s="1186">
        <v>6.9</v>
      </c>
      <c r="N1018" s="1186">
        <v>4.96</v>
      </c>
      <c r="O1018" s="1186">
        <v>8.3000000000000007</v>
      </c>
      <c r="P1018" s="1186">
        <v>6.2</v>
      </c>
      <c r="Q1018" s="1186">
        <v>8.81</v>
      </c>
      <c r="R1018" s="1186">
        <v>1.87</v>
      </c>
      <c r="S1018" s="1186">
        <v>6.94</v>
      </c>
      <c r="T1018" s="1186">
        <v>3.01</v>
      </c>
      <c r="U1018" s="1186">
        <v>13.83</v>
      </c>
      <c r="V1018" s="1186">
        <v>3.38</v>
      </c>
      <c r="W1018" s="1186"/>
      <c r="X1018" s="1186"/>
      <c r="Y1018" s="1186"/>
      <c r="Z1018" s="1186"/>
      <c r="AA1018" s="1186"/>
      <c r="AB1018" s="1186"/>
      <c r="AC1018" s="1186"/>
      <c r="AD1018" s="1187"/>
    </row>
    <row r="1019" spans="1:30" x14ac:dyDescent="0.2">
      <c r="A1019">
        <f t="shared" si="49"/>
        <v>25</v>
      </c>
      <c r="B1019">
        <v>1010</v>
      </c>
      <c r="C1019" s="1078">
        <v>2</v>
      </c>
      <c r="D1019" s="1077" t="s">
        <v>5369</v>
      </c>
      <c r="E1019" s="1077" t="s">
        <v>5373</v>
      </c>
      <c r="F1019" s="1185">
        <v>1</v>
      </c>
      <c r="G1019" s="1186">
        <v>4.3</v>
      </c>
      <c r="H1019" s="1186">
        <v>2.6</v>
      </c>
      <c r="I1019" s="1186">
        <v>5.5</v>
      </c>
      <c r="J1019" s="1186">
        <v>3.2</v>
      </c>
      <c r="K1019" s="1186">
        <v>7.2</v>
      </c>
      <c r="L1019" s="1186">
        <v>4.2</v>
      </c>
      <c r="M1019" s="1186">
        <v>8.4</v>
      </c>
      <c r="N1019" s="1186">
        <v>4.8</v>
      </c>
      <c r="O1019" s="1186">
        <v>11.3</v>
      </c>
      <c r="P1019" s="1186">
        <v>6.7</v>
      </c>
      <c r="Q1019" s="1186">
        <v>5.3</v>
      </c>
      <c r="R1019" s="1186">
        <v>2.1</v>
      </c>
      <c r="S1019" s="1186">
        <v>8</v>
      </c>
      <c r="T1019" s="1186">
        <v>3.1</v>
      </c>
      <c r="U1019" s="1186">
        <v>9.5</v>
      </c>
      <c r="V1019" s="1186">
        <v>3.7</v>
      </c>
      <c r="W1019" s="1186"/>
      <c r="X1019" s="1186"/>
      <c r="Y1019" s="1186"/>
      <c r="Z1019" s="1186"/>
      <c r="AA1019" s="1186"/>
      <c r="AB1019" s="1186"/>
      <c r="AC1019" s="1186"/>
      <c r="AD1019" s="1187"/>
    </row>
    <row r="1020" spans="1:30" x14ac:dyDescent="0.2">
      <c r="A1020">
        <f t="shared" si="49"/>
        <v>25</v>
      </c>
      <c r="B1020">
        <v>1011</v>
      </c>
      <c r="C1020" s="1078">
        <v>2</v>
      </c>
      <c r="D1020" s="1077" t="s">
        <v>5369</v>
      </c>
      <c r="E1020" s="1077" t="s">
        <v>5300</v>
      </c>
      <c r="F1020" s="1185">
        <v>1</v>
      </c>
      <c r="G1020" s="1186">
        <v>5.6</v>
      </c>
      <c r="H1020" s="1186">
        <v>2.4</v>
      </c>
      <c r="I1020" s="1186">
        <v>7.3</v>
      </c>
      <c r="J1020" s="1186">
        <v>3.1</v>
      </c>
      <c r="K1020" s="1186">
        <v>9.5</v>
      </c>
      <c r="L1020" s="1186">
        <v>4</v>
      </c>
      <c r="M1020" s="1186">
        <v>11.26</v>
      </c>
      <c r="N1020" s="1186">
        <v>4.72</v>
      </c>
      <c r="O1020" s="1186">
        <v>14.68</v>
      </c>
      <c r="P1020" s="1186">
        <v>5.34</v>
      </c>
      <c r="Q1020" s="1186">
        <v>7.23</v>
      </c>
      <c r="R1020" s="1186">
        <v>2.1800000000000002</v>
      </c>
      <c r="S1020" s="1186">
        <v>9.9700000000000006</v>
      </c>
      <c r="T1020" s="1186">
        <v>2.96</v>
      </c>
      <c r="U1020" s="1186">
        <v>13.1</v>
      </c>
      <c r="V1020" s="1186">
        <v>3.93</v>
      </c>
      <c r="W1020" s="1186"/>
      <c r="X1020" s="1186"/>
      <c r="Y1020" s="1186"/>
      <c r="Z1020" s="1186"/>
      <c r="AA1020" s="1186"/>
      <c r="AB1020" s="1186"/>
      <c r="AC1020" s="1186"/>
      <c r="AD1020" s="1187"/>
    </row>
    <row r="1021" spans="1:30" x14ac:dyDescent="0.2">
      <c r="A1021">
        <f t="shared" si="49"/>
        <v>25</v>
      </c>
      <c r="B1021">
        <v>1012</v>
      </c>
      <c r="C1021" s="1078">
        <v>2</v>
      </c>
      <c r="D1021" s="1077" t="s">
        <v>5369</v>
      </c>
      <c r="E1021" s="1077" t="s">
        <v>5299</v>
      </c>
      <c r="F1021" s="1185">
        <v>2</v>
      </c>
      <c r="G1021" s="1186">
        <v>7.95</v>
      </c>
      <c r="H1021" s="1186">
        <v>2.52</v>
      </c>
      <c r="I1021" s="1186">
        <v>11.04</v>
      </c>
      <c r="J1021" s="1186">
        <v>3.28</v>
      </c>
      <c r="K1021" s="1186">
        <v>7.2549999999999999</v>
      </c>
      <c r="L1021" s="1186">
        <v>4.1900000000000004</v>
      </c>
      <c r="M1021" s="1186">
        <v>8.266</v>
      </c>
      <c r="N1021" s="1186">
        <v>4.8</v>
      </c>
      <c r="O1021" s="1186">
        <v>11.04</v>
      </c>
      <c r="P1021" s="1186">
        <v>6.56</v>
      </c>
      <c r="Q1021" s="1186">
        <v>10.76</v>
      </c>
      <c r="R1021" s="1186">
        <v>2.1800000000000002</v>
      </c>
      <c r="S1021" s="1186">
        <v>7.74</v>
      </c>
      <c r="T1021" s="1186">
        <v>3.11</v>
      </c>
      <c r="U1021" s="1186">
        <v>9.6999999999999993</v>
      </c>
      <c r="V1021" s="1186">
        <v>3.85</v>
      </c>
      <c r="W1021" s="1186"/>
      <c r="X1021" s="1186"/>
      <c r="Y1021" s="1186"/>
      <c r="Z1021" s="1186"/>
      <c r="AA1021" s="1186"/>
      <c r="AB1021" s="1186"/>
      <c r="AC1021" s="1186"/>
      <c r="AD1021" s="1187"/>
    </row>
    <row r="1022" spans="1:30" x14ac:dyDescent="0.2">
      <c r="A1022">
        <f t="shared" si="49"/>
        <v>25</v>
      </c>
      <c r="B1022">
        <v>1013</v>
      </c>
      <c r="C1022" s="1078">
        <v>2</v>
      </c>
      <c r="D1022" s="1077" t="s">
        <v>5369</v>
      </c>
      <c r="E1022" s="1077" t="s">
        <v>5304</v>
      </c>
      <c r="F1022" s="1185">
        <v>2</v>
      </c>
      <c r="G1022" s="1186">
        <v>11.39</v>
      </c>
      <c r="H1022" s="1186">
        <v>2.67</v>
      </c>
      <c r="I1022" s="1186">
        <v>13.89</v>
      </c>
      <c r="J1022" s="1186">
        <v>3.11</v>
      </c>
      <c r="K1022" s="1186">
        <v>15.86</v>
      </c>
      <c r="L1022" s="1186">
        <v>3.7</v>
      </c>
      <c r="M1022" s="1186">
        <v>11.67</v>
      </c>
      <c r="N1022" s="1186">
        <v>5.04</v>
      </c>
      <c r="O1022" s="1186">
        <v>13.57</v>
      </c>
      <c r="P1022" s="1186">
        <v>5.93</v>
      </c>
      <c r="Q1022" s="1186">
        <v>13.19</v>
      </c>
      <c r="R1022" s="1186">
        <v>2.25</v>
      </c>
      <c r="S1022" s="1186">
        <v>10.79</v>
      </c>
      <c r="T1022" s="1186">
        <v>3.17</v>
      </c>
      <c r="U1022" s="1186">
        <v>12.23</v>
      </c>
      <c r="V1022" s="1186">
        <v>3.63</v>
      </c>
      <c r="W1022" s="1186"/>
      <c r="X1022" s="1186"/>
      <c r="Y1022" s="1186"/>
      <c r="Z1022" s="1186"/>
      <c r="AA1022" s="1186"/>
      <c r="AB1022" s="1186"/>
      <c r="AC1022" s="1186"/>
      <c r="AD1022" s="1187"/>
    </row>
    <row r="1023" spans="1:30" x14ac:dyDescent="0.2">
      <c r="A1023">
        <f t="shared" si="49"/>
        <v>25</v>
      </c>
      <c r="B1023">
        <v>1014</v>
      </c>
      <c r="C1023" s="1078">
        <v>2</v>
      </c>
      <c r="D1023" s="1077" t="s">
        <v>5369</v>
      </c>
      <c r="E1023" s="1077" t="s">
        <v>4809</v>
      </c>
      <c r="F1023" s="1185">
        <v>2</v>
      </c>
      <c r="G1023" s="1186">
        <v>18.5</v>
      </c>
      <c r="H1023" s="1186">
        <v>2.78</v>
      </c>
      <c r="I1023" s="1186">
        <v>22.3</v>
      </c>
      <c r="J1023" s="1186">
        <v>3.1</v>
      </c>
      <c r="K1023" s="1186">
        <v>14.21</v>
      </c>
      <c r="L1023" s="1186">
        <v>3.59</v>
      </c>
      <c r="M1023" s="1186">
        <v>17.63</v>
      </c>
      <c r="N1023" s="1186">
        <v>4.33</v>
      </c>
      <c r="O1023" s="1186">
        <v>23.5</v>
      </c>
      <c r="P1023" s="1186">
        <v>5.35</v>
      </c>
      <c r="Q1023" s="1186">
        <v>21.8</v>
      </c>
      <c r="R1023" s="1186">
        <v>2.34</v>
      </c>
      <c r="S1023" s="1186">
        <v>17.37</v>
      </c>
      <c r="T1023" s="1186">
        <v>3.11</v>
      </c>
      <c r="U1023" s="1186">
        <v>21.73</v>
      </c>
      <c r="V1023" s="1186">
        <v>3.9</v>
      </c>
      <c r="W1023" s="1186"/>
      <c r="X1023" s="1186"/>
      <c r="Y1023" s="1186"/>
      <c r="Z1023" s="1186"/>
      <c r="AA1023" s="1186"/>
      <c r="AB1023" s="1186"/>
      <c r="AC1023" s="1186"/>
      <c r="AD1023" s="1187"/>
    </row>
    <row r="1024" spans="1:30" x14ac:dyDescent="0.2">
      <c r="A1024">
        <f t="shared" si="49"/>
        <v>25</v>
      </c>
      <c r="B1024">
        <v>1015</v>
      </c>
      <c r="C1024" s="1078">
        <v>2</v>
      </c>
      <c r="D1024" s="1077" t="s">
        <v>5369</v>
      </c>
      <c r="E1024" s="1077" t="s">
        <v>4811</v>
      </c>
      <c r="F1024" s="1185">
        <v>2</v>
      </c>
      <c r="G1024" s="1186">
        <v>31.7</v>
      </c>
      <c r="H1024" s="1186">
        <v>2.6</v>
      </c>
      <c r="I1024" s="1186">
        <v>38</v>
      </c>
      <c r="J1024" s="1186">
        <v>3</v>
      </c>
      <c r="K1024" s="1186">
        <v>26.6</v>
      </c>
      <c r="L1024" s="1186">
        <v>3.6</v>
      </c>
      <c r="M1024" s="1186">
        <v>35.299999999999997</v>
      </c>
      <c r="N1024" s="1186">
        <v>4.5</v>
      </c>
      <c r="O1024" s="1186">
        <v>44.4</v>
      </c>
      <c r="P1024" s="1186">
        <v>5.25</v>
      </c>
      <c r="Q1024" s="1186">
        <v>36.799999999999997</v>
      </c>
      <c r="R1024" s="1186">
        <v>2.2999999999999998</v>
      </c>
      <c r="S1024" s="1186">
        <v>31.7</v>
      </c>
      <c r="T1024" s="1186">
        <v>3.2</v>
      </c>
      <c r="U1024" s="1186">
        <v>40.5</v>
      </c>
      <c r="V1024" s="1186">
        <v>3.9</v>
      </c>
      <c r="W1024" s="1186"/>
      <c r="X1024" s="1186"/>
      <c r="Y1024" s="1186"/>
      <c r="Z1024" s="1186"/>
      <c r="AA1024" s="1186"/>
      <c r="AB1024" s="1186"/>
      <c r="AC1024" s="1186"/>
      <c r="AD1024" s="1187"/>
    </row>
    <row r="1025" spans="1:30" x14ac:dyDescent="0.2">
      <c r="A1025">
        <f t="shared" si="49"/>
        <v>25</v>
      </c>
      <c r="B1025">
        <v>1016</v>
      </c>
      <c r="C1025" s="1078">
        <v>2</v>
      </c>
      <c r="D1025" s="1077" t="s">
        <v>5369</v>
      </c>
      <c r="E1025" s="1077" t="s">
        <v>5167</v>
      </c>
      <c r="F1025" s="1185">
        <v>2</v>
      </c>
      <c r="G1025" s="1186">
        <v>16</v>
      </c>
      <c r="H1025" s="1186">
        <v>2.6</v>
      </c>
      <c r="I1025" s="1186">
        <v>19.899999999999999</v>
      </c>
      <c r="J1025" s="1186">
        <v>3.1</v>
      </c>
      <c r="K1025" s="1186">
        <v>13.3</v>
      </c>
      <c r="L1025" s="1186">
        <v>4</v>
      </c>
      <c r="M1025" s="1186">
        <v>16.2</v>
      </c>
      <c r="N1025" s="1186">
        <v>4.9000000000000004</v>
      </c>
      <c r="O1025" s="1186">
        <v>23.2</v>
      </c>
      <c r="P1025" s="1186">
        <v>6.8</v>
      </c>
      <c r="Q1025" s="1186">
        <v>19.7</v>
      </c>
      <c r="R1025" s="1186">
        <v>2.2999999999999998</v>
      </c>
      <c r="S1025" s="1186">
        <v>15.4</v>
      </c>
      <c r="T1025" s="1186">
        <v>3.4</v>
      </c>
      <c r="U1025" s="1186">
        <v>21.2</v>
      </c>
      <c r="V1025" s="1186">
        <v>4.7</v>
      </c>
      <c r="W1025" s="1186"/>
      <c r="X1025" s="1186"/>
      <c r="Y1025" s="1186"/>
      <c r="Z1025" s="1186"/>
      <c r="AA1025" s="1186"/>
      <c r="AB1025" s="1186"/>
      <c r="AC1025" s="1186"/>
      <c r="AD1025" s="1187"/>
    </row>
    <row r="1026" spans="1:30" x14ac:dyDescent="0.2">
      <c r="A1026">
        <f t="shared" si="49"/>
        <v>25</v>
      </c>
      <c r="B1026">
        <v>1017</v>
      </c>
      <c r="C1026" s="1078">
        <v>4</v>
      </c>
      <c r="D1026" s="1077" t="s">
        <v>5369</v>
      </c>
      <c r="E1026" s="1077" t="s">
        <v>5303</v>
      </c>
      <c r="F1026" s="1185">
        <v>4</v>
      </c>
      <c r="G1026" s="1186">
        <v>9.4</v>
      </c>
      <c r="H1026" s="1186">
        <v>2.4</v>
      </c>
      <c r="I1026" s="1186">
        <v>11.2</v>
      </c>
      <c r="J1026" s="1186">
        <v>2.9</v>
      </c>
      <c r="K1026" s="1186">
        <v>4.9000000000000004</v>
      </c>
      <c r="L1026" s="1186">
        <v>4.5</v>
      </c>
      <c r="M1026" s="1186">
        <v>4.6500000000000004</v>
      </c>
      <c r="N1026" s="1186">
        <v>5.6</v>
      </c>
      <c r="O1026" s="1186">
        <v>5.96</v>
      </c>
      <c r="P1026" s="1186">
        <v>7.86</v>
      </c>
      <c r="Q1026" s="1186">
        <v>10.14</v>
      </c>
      <c r="R1026" s="1186">
        <v>2.0299999999999998</v>
      </c>
      <c r="S1026" s="1186">
        <v>4</v>
      </c>
      <c r="T1026" s="1186">
        <v>3.2</v>
      </c>
      <c r="U1026" s="1186">
        <v>5.31</v>
      </c>
      <c r="V1026" s="1186">
        <v>4.32</v>
      </c>
      <c r="W1026" s="1186"/>
      <c r="X1026" s="1186"/>
      <c r="Y1026" s="1186"/>
      <c r="Z1026" s="1186"/>
      <c r="AA1026" s="1186"/>
      <c r="AB1026" s="1186"/>
      <c r="AC1026" s="1186"/>
      <c r="AD1026" s="1187"/>
    </row>
    <row r="1027" spans="1:30" x14ac:dyDescent="0.2">
      <c r="A1027">
        <f t="shared" si="49"/>
        <v>25</v>
      </c>
      <c r="B1027">
        <v>1018</v>
      </c>
      <c r="C1027" s="1078">
        <v>2</v>
      </c>
      <c r="D1027" s="1077" t="s">
        <v>5369</v>
      </c>
      <c r="E1027" s="1077" t="s">
        <v>5168</v>
      </c>
      <c r="F1027" s="1185">
        <v>2</v>
      </c>
      <c r="G1027" s="1186">
        <v>34.6</v>
      </c>
      <c r="H1027" s="1186">
        <v>2.7</v>
      </c>
      <c r="I1027" s="1186">
        <v>42.1</v>
      </c>
      <c r="J1027" s="1186">
        <v>3.1</v>
      </c>
      <c r="K1027" s="1186">
        <v>25.7</v>
      </c>
      <c r="L1027" s="1186">
        <v>3.9</v>
      </c>
      <c r="M1027" s="1186">
        <v>33.299999999999997</v>
      </c>
      <c r="N1027" s="1186">
        <v>4.9000000000000004</v>
      </c>
      <c r="O1027" s="1186">
        <v>42.5</v>
      </c>
      <c r="P1027" s="1186">
        <v>6.4</v>
      </c>
      <c r="Q1027" s="1186">
        <v>41.5</v>
      </c>
      <c r="R1027" s="1186">
        <v>2.2999999999999998</v>
      </c>
      <c r="S1027" s="1186">
        <v>31.8</v>
      </c>
      <c r="T1027" s="1186">
        <v>3.4</v>
      </c>
      <c r="U1027" s="1186">
        <v>37.9</v>
      </c>
      <c r="V1027" s="1186">
        <v>4.2</v>
      </c>
      <c r="W1027" s="1186"/>
      <c r="X1027" s="1186"/>
      <c r="Y1027" s="1186"/>
      <c r="Z1027" s="1186"/>
      <c r="AA1027" s="1186"/>
      <c r="AB1027" s="1186"/>
      <c r="AC1027" s="1186"/>
      <c r="AD1027" s="1187"/>
    </row>
    <row r="1028" spans="1:30" x14ac:dyDescent="0.2">
      <c r="A1028">
        <f t="shared" si="49"/>
        <v>25</v>
      </c>
      <c r="B1028">
        <v>1019</v>
      </c>
      <c r="C1028" s="1078">
        <v>2</v>
      </c>
      <c r="D1028" s="1077" t="s">
        <v>5369</v>
      </c>
      <c r="E1028" s="1077" t="s">
        <v>5633</v>
      </c>
      <c r="F1028" s="1185">
        <v>4</v>
      </c>
      <c r="G1028" s="1186">
        <v>13.14</v>
      </c>
      <c r="H1028" s="1186">
        <v>2.4700000000000002</v>
      </c>
      <c r="I1028" s="1186">
        <v>14.5</v>
      </c>
      <c r="J1028" s="1186">
        <v>2.8</v>
      </c>
      <c r="K1028" s="1186">
        <v>12.8</v>
      </c>
      <c r="L1028" s="1186">
        <v>3.4</v>
      </c>
      <c r="M1028" s="1186">
        <v>11.7</v>
      </c>
      <c r="N1028" s="1186">
        <v>5</v>
      </c>
      <c r="O1028" s="1186">
        <v>20.28</v>
      </c>
      <c r="P1028" s="1186">
        <v>5.85</v>
      </c>
      <c r="Q1028" s="1186">
        <v>14.31</v>
      </c>
      <c r="R1028" s="1186">
        <v>1.93</v>
      </c>
      <c r="S1028" s="1186">
        <v>15.5</v>
      </c>
      <c r="T1028" s="1186">
        <v>3</v>
      </c>
      <c r="U1028" s="1186">
        <v>19.010000000000002</v>
      </c>
      <c r="V1028" s="1186">
        <v>3.77</v>
      </c>
      <c r="W1028" s="1186"/>
      <c r="X1028" s="1186"/>
      <c r="Y1028" s="1186"/>
      <c r="Z1028" s="1186"/>
      <c r="AA1028" s="1186"/>
      <c r="AB1028" s="1186"/>
      <c r="AC1028" s="1186"/>
      <c r="AD1028" s="1187"/>
    </row>
    <row r="1029" spans="1:30" x14ac:dyDescent="0.2">
      <c r="A1029">
        <f t="shared" si="49"/>
        <v>25</v>
      </c>
      <c r="B1029">
        <v>1020</v>
      </c>
      <c r="C1029" s="1078">
        <v>2</v>
      </c>
      <c r="D1029" s="1077" t="s">
        <v>5369</v>
      </c>
      <c r="E1029" s="1077" t="s">
        <v>5634</v>
      </c>
      <c r="F1029" s="1185">
        <v>4</v>
      </c>
      <c r="G1029" s="1186">
        <v>18.3</v>
      </c>
      <c r="H1029" s="1186">
        <v>2.4700000000000002</v>
      </c>
      <c r="I1029" s="1186">
        <v>19.600000000000001</v>
      </c>
      <c r="J1029" s="1186">
        <v>2.8</v>
      </c>
      <c r="K1029" s="1186">
        <v>17.399999999999999</v>
      </c>
      <c r="L1029" s="1186">
        <v>3.7</v>
      </c>
      <c r="M1029" s="1186">
        <v>19</v>
      </c>
      <c r="N1029" s="1186">
        <v>5</v>
      </c>
      <c r="O1029" s="1186">
        <v>23.6</v>
      </c>
      <c r="P1029" s="1186">
        <v>6.28</v>
      </c>
      <c r="Q1029" s="1186">
        <v>21.7</v>
      </c>
      <c r="R1029" s="1186">
        <v>21.71</v>
      </c>
      <c r="S1029" s="1186">
        <v>17.52</v>
      </c>
      <c r="T1029" s="1186">
        <v>3.18</v>
      </c>
      <c r="U1029" s="1186">
        <v>21.55</v>
      </c>
      <c r="V1029" s="1186">
        <v>3.94</v>
      </c>
      <c r="W1029" s="1186"/>
      <c r="X1029" s="1186"/>
      <c r="Y1029" s="1186"/>
      <c r="Z1029" s="1186"/>
      <c r="AA1029" s="1186"/>
      <c r="AB1029" s="1186"/>
      <c r="AC1029" s="1186"/>
      <c r="AD1029" s="1187"/>
    </row>
    <row r="1030" spans="1:30" x14ac:dyDescent="0.2">
      <c r="A1030">
        <f t="shared" si="49"/>
        <v>25</v>
      </c>
      <c r="B1030">
        <v>1021</v>
      </c>
      <c r="C1030" s="1078">
        <v>2</v>
      </c>
      <c r="D1030" s="1077" t="s">
        <v>5369</v>
      </c>
      <c r="E1030" s="1077" t="s">
        <v>5635</v>
      </c>
      <c r="F1030" s="1185">
        <v>4</v>
      </c>
      <c r="G1030" s="1186">
        <v>34.799999999999997</v>
      </c>
      <c r="H1030" s="1186">
        <v>2.2999999999999998</v>
      </c>
      <c r="I1030" s="1186">
        <v>42.5</v>
      </c>
      <c r="J1030" s="1186">
        <v>2.7</v>
      </c>
      <c r="K1030" s="1186">
        <v>35.700000000000003</v>
      </c>
      <c r="L1030" s="1186">
        <v>3.4</v>
      </c>
      <c r="M1030" s="1186">
        <v>40.200000000000003</v>
      </c>
      <c r="N1030" s="1186">
        <v>4.5999999999999996</v>
      </c>
      <c r="O1030" s="1186">
        <v>42.09</v>
      </c>
      <c r="P1030" s="1186">
        <v>5.89</v>
      </c>
      <c r="Q1030" s="1186">
        <v>41.6</v>
      </c>
      <c r="R1030" s="1186">
        <v>2</v>
      </c>
      <c r="S1030" s="1186">
        <v>36.24</v>
      </c>
      <c r="T1030" s="1186">
        <v>3.01</v>
      </c>
      <c r="U1030" s="1186">
        <v>38.44</v>
      </c>
      <c r="V1030" s="1186">
        <v>3.75</v>
      </c>
      <c r="W1030" s="1186"/>
      <c r="X1030" s="1186"/>
      <c r="Y1030" s="1186"/>
      <c r="Z1030" s="1186"/>
      <c r="AA1030" s="1186"/>
      <c r="AB1030" s="1186"/>
      <c r="AC1030" s="1186"/>
      <c r="AD1030" s="1187"/>
    </row>
    <row r="1031" spans="1:30" x14ac:dyDescent="0.2">
      <c r="A1031">
        <f t="shared" si="49"/>
        <v>25</v>
      </c>
      <c r="B1031">
        <v>1022</v>
      </c>
      <c r="C1031" s="1078">
        <v>3</v>
      </c>
      <c r="D1031" s="1077" t="s">
        <v>5369</v>
      </c>
      <c r="E1031" s="1077" t="s">
        <v>4111</v>
      </c>
      <c r="F1031" s="1185">
        <v>1</v>
      </c>
      <c r="G1031" s="1186"/>
      <c r="H1031" s="1186"/>
      <c r="I1031" s="1186"/>
      <c r="J1031" s="1186"/>
      <c r="K1031" s="1186"/>
      <c r="L1031" s="1186"/>
      <c r="M1031" s="1186"/>
      <c r="N1031" s="1186"/>
      <c r="O1031" s="1186"/>
      <c r="P1031" s="1186"/>
      <c r="Q1031" s="1186"/>
      <c r="R1031" s="1186"/>
      <c r="S1031" s="1186"/>
      <c r="T1031" s="1186"/>
      <c r="U1031" s="1186"/>
      <c r="V1031" s="1186"/>
      <c r="W1031" s="1186">
        <v>6.1</v>
      </c>
      <c r="X1031" s="1186">
        <v>4.7</v>
      </c>
      <c r="Y1031" s="1186">
        <v>5.5</v>
      </c>
      <c r="Z1031" s="1186">
        <v>2.8</v>
      </c>
      <c r="AA1031" s="1186"/>
      <c r="AB1031" s="1186"/>
      <c r="AC1031" s="1186"/>
      <c r="AD1031" s="1187"/>
    </row>
    <row r="1032" spans="1:30" x14ac:dyDescent="0.2">
      <c r="A1032">
        <f t="shared" si="49"/>
        <v>25</v>
      </c>
      <c r="B1032">
        <v>1023</v>
      </c>
      <c r="C1032" s="1078">
        <v>3</v>
      </c>
      <c r="D1032" s="1077" t="s">
        <v>5369</v>
      </c>
      <c r="E1032" s="1077" t="s">
        <v>5374</v>
      </c>
      <c r="F1032" s="1185">
        <v>1</v>
      </c>
      <c r="G1032" s="1186"/>
      <c r="H1032" s="1186"/>
      <c r="I1032" s="1186"/>
      <c r="J1032" s="1186"/>
      <c r="K1032" s="1186"/>
      <c r="L1032" s="1186"/>
      <c r="M1032" s="1186"/>
      <c r="N1032" s="1186"/>
      <c r="O1032" s="1186"/>
      <c r="P1032" s="1186"/>
      <c r="Q1032" s="1186"/>
      <c r="R1032" s="1186"/>
      <c r="S1032" s="1186"/>
      <c r="T1032" s="1186"/>
      <c r="U1032" s="1186"/>
      <c r="V1032" s="1186"/>
      <c r="W1032" s="1186">
        <v>8.1</v>
      </c>
      <c r="X1032" s="1186">
        <v>4.8</v>
      </c>
      <c r="Y1032" s="1186">
        <v>7.1</v>
      </c>
      <c r="Z1032" s="1186">
        <v>2.8</v>
      </c>
      <c r="AA1032" s="1186"/>
      <c r="AB1032" s="1186"/>
      <c r="AC1032" s="1186"/>
      <c r="AD1032" s="1187"/>
    </row>
    <row r="1033" spans="1:30" x14ac:dyDescent="0.2">
      <c r="A1033">
        <f t="shared" si="49"/>
        <v>25</v>
      </c>
      <c r="B1033">
        <v>1024</v>
      </c>
      <c r="C1033" s="1078">
        <v>3</v>
      </c>
      <c r="D1033" s="1077" t="s">
        <v>5369</v>
      </c>
      <c r="E1033" s="1077" t="s">
        <v>4119</v>
      </c>
      <c r="F1033" s="1185">
        <v>1</v>
      </c>
      <c r="G1033" s="1186"/>
      <c r="H1033" s="1186"/>
      <c r="I1033" s="1186"/>
      <c r="J1033" s="1186"/>
      <c r="K1033" s="1186"/>
      <c r="L1033" s="1186"/>
      <c r="M1033" s="1186"/>
      <c r="N1033" s="1186"/>
      <c r="O1033" s="1186"/>
      <c r="P1033" s="1186"/>
      <c r="Q1033" s="1186"/>
      <c r="R1033" s="1186"/>
      <c r="S1033" s="1186"/>
      <c r="T1033" s="1186"/>
      <c r="U1033" s="1186"/>
      <c r="V1033" s="1186"/>
      <c r="W1033" s="1186">
        <v>10.9</v>
      </c>
      <c r="X1033" s="1186">
        <v>4.9000000000000004</v>
      </c>
      <c r="Y1033" s="1186">
        <v>10</v>
      </c>
      <c r="Z1033" s="1186">
        <v>2.9</v>
      </c>
      <c r="AA1033" s="1186"/>
      <c r="AB1033" s="1186"/>
      <c r="AC1033" s="1186"/>
      <c r="AD1033" s="1187"/>
    </row>
    <row r="1034" spans="1:30" x14ac:dyDescent="0.2">
      <c r="A1034">
        <f t="shared" si="49"/>
        <v>25</v>
      </c>
      <c r="B1034">
        <v>1025</v>
      </c>
      <c r="C1034" s="1078">
        <v>3</v>
      </c>
      <c r="D1034" s="1077" t="s">
        <v>5369</v>
      </c>
      <c r="E1034" s="1077" t="s">
        <v>4122</v>
      </c>
      <c r="F1034" s="1185">
        <v>1</v>
      </c>
      <c r="G1034" s="1186"/>
      <c r="H1034" s="1186"/>
      <c r="I1034" s="1186"/>
      <c r="J1034" s="1186"/>
      <c r="K1034" s="1186"/>
      <c r="L1034" s="1186"/>
      <c r="M1034" s="1186"/>
      <c r="N1034" s="1186"/>
      <c r="O1034" s="1186"/>
      <c r="P1034" s="1186"/>
      <c r="Q1034" s="1186"/>
      <c r="R1034" s="1186"/>
      <c r="S1034" s="1186"/>
      <c r="T1034" s="1186"/>
      <c r="U1034" s="1186"/>
      <c r="V1034" s="1186"/>
      <c r="W1034" s="1186">
        <v>13.9</v>
      </c>
      <c r="X1034" s="1186">
        <v>5</v>
      </c>
      <c r="Y1034" s="1186">
        <v>12.8</v>
      </c>
      <c r="Z1034" s="1186">
        <v>3</v>
      </c>
      <c r="AA1034" s="1186"/>
      <c r="AB1034" s="1186"/>
      <c r="AC1034" s="1186"/>
      <c r="AD1034" s="1187"/>
    </row>
    <row r="1035" spans="1:30" x14ac:dyDescent="0.2">
      <c r="A1035">
        <f t="shared" si="49"/>
        <v>25</v>
      </c>
      <c r="B1035">
        <v>1026</v>
      </c>
      <c r="C1035" s="1078">
        <v>3</v>
      </c>
      <c r="D1035" s="1077" t="s">
        <v>5369</v>
      </c>
      <c r="E1035" s="1077" t="s">
        <v>4123</v>
      </c>
      <c r="F1035" s="1185">
        <v>1</v>
      </c>
      <c r="G1035" s="1186"/>
      <c r="H1035" s="1186"/>
      <c r="I1035" s="1186"/>
      <c r="J1035" s="1186"/>
      <c r="K1035" s="1186"/>
      <c r="L1035" s="1186"/>
      <c r="M1035" s="1186"/>
      <c r="N1035" s="1186"/>
      <c r="O1035" s="1186"/>
      <c r="P1035" s="1186"/>
      <c r="Q1035" s="1186"/>
      <c r="R1035" s="1186"/>
      <c r="S1035" s="1186"/>
      <c r="T1035" s="1186"/>
      <c r="U1035" s="1186"/>
      <c r="V1035" s="1186"/>
      <c r="W1035" s="1186">
        <v>17.5</v>
      </c>
      <c r="X1035" s="1186">
        <v>4.7</v>
      </c>
      <c r="Y1035" s="1186">
        <v>16.5</v>
      </c>
      <c r="Z1035" s="1186">
        <v>2.9</v>
      </c>
      <c r="AA1035" s="1186"/>
      <c r="AB1035" s="1186"/>
      <c r="AC1035" s="1186"/>
      <c r="AD1035" s="1187"/>
    </row>
    <row r="1036" spans="1:30" x14ac:dyDescent="0.2">
      <c r="A1036">
        <f t="shared" ref="A1036:A1099" si="50">A1035+(D1036&lt;&gt;D1035)*1</f>
        <v>25</v>
      </c>
      <c r="B1036">
        <v>1027</v>
      </c>
      <c r="C1036" s="1078">
        <v>3</v>
      </c>
      <c r="D1036" s="1077" t="s">
        <v>5369</v>
      </c>
      <c r="E1036" s="1077" t="s">
        <v>4125</v>
      </c>
      <c r="F1036" s="1185">
        <v>2</v>
      </c>
      <c r="G1036" s="1186"/>
      <c r="H1036" s="1186"/>
      <c r="I1036" s="1186"/>
      <c r="J1036" s="1186"/>
      <c r="K1036" s="1186"/>
      <c r="L1036" s="1186"/>
      <c r="M1036" s="1186"/>
      <c r="N1036" s="1186"/>
      <c r="O1036" s="1186"/>
      <c r="P1036" s="1186"/>
      <c r="Q1036" s="1186"/>
      <c r="R1036" s="1186"/>
      <c r="S1036" s="1186"/>
      <c r="T1036" s="1186"/>
      <c r="U1036" s="1186"/>
      <c r="V1036" s="1186"/>
      <c r="W1036" s="1186">
        <v>26.7</v>
      </c>
      <c r="X1036" s="1186">
        <v>4.9000000000000004</v>
      </c>
      <c r="Y1036" s="1186">
        <v>24.7</v>
      </c>
      <c r="Z1036" s="1186">
        <v>3.1</v>
      </c>
      <c r="AA1036" s="1186"/>
      <c r="AB1036" s="1186"/>
      <c r="AC1036" s="1186"/>
      <c r="AD1036" s="1187"/>
    </row>
    <row r="1037" spans="1:30" x14ac:dyDescent="0.2">
      <c r="A1037">
        <f t="shared" si="50"/>
        <v>25</v>
      </c>
      <c r="B1037">
        <v>1028</v>
      </c>
      <c r="C1037" s="1078">
        <v>3</v>
      </c>
      <c r="D1037" s="1077" t="s">
        <v>5369</v>
      </c>
      <c r="E1037" s="1077" t="s">
        <v>4126</v>
      </c>
      <c r="F1037" s="1185">
        <v>2</v>
      </c>
      <c r="G1037" s="1186"/>
      <c r="H1037" s="1186"/>
      <c r="I1037" s="1186"/>
      <c r="J1037" s="1186"/>
      <c r="K1037" s="1186"/>
      <c r="L1037" s="1186"/>
      <c r="M1037" s="1186"/>
      <c r="N1037" s="1186"/>
      <c r="O1037" s="1186"/>
      <c r="P1037" s="1186"/>
      <c r="Q1037" s="1186"/>
      <c r="R1037" s="1186"/>
      <c r="S1037" s="1186"/>
      <c r="T1037" s="1186"/>
      <c r="U1037" s="1186"/>
      <c r="V1037" s="1186"/>
      <c r="W1037" s="1186">
        <v>34.799999999999997</v>
      </c>
      <c r="X1037" s="1186">
        <v>4.8</v>
      </c>
      <c r="Y1037" s="1186">
        <v>32.1</v>
      </c>
      <c r="Z1037" s="1186">
        <v>3</v>
      </c>
      <c r="AA1037" s="1186"/>
      <c r="AB1037" s="1186"/>
      <c r="AC1037" s="1186"/>
      <c r="AD1037" s="1187"/>
    </row>
    <row r="1038" spans="1:30" x14ac:dyDescent="0.2">
      <c r="A1038">
        <f t="shared" si="50"/>
        <v>25</v>
      </c>
      <c r="B1038">
        <v>1029</v>
      </c>
      <c r="C1038" s="1078">
        <v>3</v>
      </c>
      <c r="D1038" s="1077" t="s">
        <v>5369</v>
      </c>
      <c r="E1038" s="1077" t="s">
        <v>4127</v>
      </c>
      <c r="F1038" s="1185">
        <v>2</v>
      </c>
      <c r="G1038" s="1186"/>
      <c r="H1038" s="1186"/>
      <c r="I1038" s="1186"/>
      <c r="J1038" s="1186"/>
      <c r="K1038" s="1186"/>
      <c r="L1038" s="1186"/>
      <c r="M1038" s="1186"/>
      <c r="N1038" s="1186"/>
      <c r="O1038" s="1186"/>
      <c r="P1038" s="1186"/>
      <c r="Q1038" s="1186"/>
      <c r="R1038" s="1186"/>
      <c r="S1038" s="1186"/>
      <c r="T1038" s="1186"/>
      <c r="U1038" s="1186"/>
      <c r="V1038" s="1186"/>
      <c r="W1038" s="1186">
        <v>52</v>
      </c>
      <c r="X1038" s="1186">
        <v>5</v>
      </c>
      <c r="Y1038" s="1186">
        <v>44.1</v>
      </c>
      <c r="Z1038" s="1186">
        <v>2.8</v>
      </c>
      <c r="AA1038" s="1186"/>
      <c r="AB1038" s="1186"/>
      <c r="AC1038" s="1186"/>
      <c r="AD1038" s="1187"/>
    </row>
    <row r="1039" spans="1:30" x14ac:dyDescent="0.2">
      <c r="A1039">
        <f t="shared" si="50"/>
        <v>25</v>
      </c>
      <c r="B1039">
        <v>1030</v>
      </c>
      <c r="C1039" s="1078">
        <v>3</v>
      </c>
      <c r="D1039" s="1077" t="s">
        <v>5369</v>
      </c>
      <c r="E1039" s="1077" t="s">
        <v>4128</v>
      </c>
      <c r="F1039" s="1185">
        <v>2</v>
      </c>
      <c r="G1039" s="1186"/>
      <c r="H1039" s="1186"/>
      <c r="I1039" s="1186"/>
      <c r="J1039" s="1186"/>
      <c r="K1039" s="1186"/>
      <c r="L1039" s="1186"/>
      <c r="M1039" s="1186"/>
      <c r="N1039" s="1186"/>
      <c r="O1039" s="1186"/>
      <c r="P1039" s="1186"/>
      <c r="Q1039" s="1186"/>
      <c r="R1039" s="1186"/>
      <c r="S1039" s="1186"/>
      <c r="T1039" s="1186"/>
      <c r="U1039" s="1186"/>
      <c r="V1039" s="1186"/>
      <c r="W1039" s="1186">
        <v>73.5</v>
      </c>
      <c r="X1039" s="1186">
        <v>4.8</v>
      </c>
      <c r="Y1039" s="1186">
        <v>67.3</v>
      </c>
      <c r="Z1039" s="1186">
        <v>3</v>
      </c>
      <c r="AA1039" s="1186"/>
      <c r="AB1039" s="1186"/>
      <c r="AC1039" s="1186"/>
      <c r="AD1039" s="1187"/>
    </row>
    <row r="1040" spans="1:30" x14ac:dyDescent="0.2">
      <c r="A1040">
        <f t="shared" si="50"/>
        <v>25</v>
      </c>
      <c r="B1040">
        <v>1031</v>
      </c>
      <c r="C1040" s="1078">
        <v>3</v>
      </c>
      <c r="D1040" s="1077" t="s">
        <v>5369</v>
      </c>
      <c r="E1040" s="1077" t="s">
        <v>5375</v>
      </c>
      <c r="F1040" s="1185">
        <v>2</v>
      </c>
      <c r="G1040" s="1186"/>
      <c r="H1040" s="1186"/>
      <c r="I1040" s="1186"/>
      <c r="J1040" s="1186"/>
      <c r="K1040" s="1186"/>
      <c r="L1040" s="1186"/>
      <c r="M1040" s="1186"/>
      <c r="N1040" s="1186"/>
      <c r="O1040" s="1186"/>
      <c r="P1040" s="1186"/>
      <c r="Q1040" s="1186"/>
      <c r="R1040" s="1186"/>
      <c r="S1040" s="1186"/>
      <c r="T1040" s="1186"/>
      <c r="U1040" s="1186"/>
      <c r="V1040" s="1186"/>
      <c r="W1040" s="1186">
        <v>86</v>
      </c>
      <c r="X1040" s="1186">
        <v>4.7</v>
      </c>
      <c r="Y1040" s="1186">
        <v>78.900000000000006</v>
      </c>
      <c r="Z1040" s="1186">
        <v>3</v>
      </c>
      <c r="AA1040" s="1186"/>
      <c r="AB1040" s="1186"/>
      <c r="AC1040" s="1186"/>
      <c r="AD1040" s="1187"/>
    </row>
    <row r="1041" spans="1:30" x14ac:dyDescent="0.2">
      <c r="A1041">
        <f t="shared" si="50"/>
        <v>25</v>
      </c>
      <c r="B1041">
        <v>1032</v>
      </c>
      <c r="C1041" s="1078">
        <v>3</v>
      </c>
      <c r="D1041" s="1077" t="s">
        <v>5369</v>
      </c>
      <c r="E1041" s="1077" t="s">
        <v>4776</v>
      </c>
      <c r="F1041" s="1185">
        <v>2</v>
      </c>
      <c r="G1041" s="1186"/>
      <c r="H1041" s="1186"/>
      <c r="I1041" s="1186"/>
      <c r="J1041" s="1186"/>
      <c r="K1041" s="1186"/>
      <c r="L1041" s="1186"/>
      <c r="M1041" s="1186"/>
      <c r="N1041" s="1186"/>
      <c r="O1041" s="1186"/>
      <c r="P1041" s="1186"/>
      <c r="Q1041" s="1186"/>
      <c r="R1041" s="1186"/>
      <c r="S1041" s="1186"/>
      <c r="T1041" s="1186"/>
      <c r="U1041" s="1186"/>
      <c r="V1041" s="1186"/>
      <c r="W1041" s="1186">
        <v>138.1</v>
      </c>
      <c r="X1041" s="1186">
        <v>4.5999999999999996</v>
      </c>
      <c r="Y1041" s="1186">
        <v>129.6</v>
      </c>
      <c r="Z1041" s="1186">
        <v>3.1</v>
      </c>
      <c r="AA1041" s="1186"/>
      <c r="AB1041" s="1186"/>
      <c r="AC1041" s="1186"/>
      <c r="AD1041" s="1187"/>
    </row>
    <row r="1042" spans="1:30" x14ac:dyDescent="0.2">
      <c r="A1042">
        <f t="shared" si="50"/>
        <v>25</v>
      </c>
      <c r="B1042">
        <v>1033</v>
      </c>
      <c r="C1042" s="1078">
        <v>3</v>
      </c>
      <c r="D1042" s="1077" t="s">
        <v>5369</v>
      </c>
      <c r="E1042" s="1077" t="s">
        <v>4124</v>
      </c>
      <c r="F1042" s="1185">
        <v>2</v>
      </c>
      <c r="G1042" s="1186"/>
      <c r="H1042" s="1186"/>
      <c r="I1042" s="1186"/>
      <c r="J1042" s="1186"/>
      <c r="K1042" s="1186"/>
      <c r="L1042" s="1186"/>
      <c r="M1042" s="1186"/>
      <c r="N1042" s="1186"/>
      <c r="O1042" s="1186"/>
      <c r="P1042" s="1186"/>
      <c r="Q1042" s="1186"/>
      <c r="R1042" s="1186"/>
      <c r="S1042" s="1186"/>
      <c r="T1042" s="1186"/>
      <c r="U1042" s="1186"/>
      <c r="V1042" s="1186"/>
      <c r="W1042" s="1186">
        <v>21.4</v>
      </c>
      <c r="X1042" s="1186">
        <v>4.4000000000000004</v>
      </c>
      <c r="Y1042" s="1186">
        <v>21</v>
      </c>
      <c r="Z1042" s="1186">
        <v>3</v>
      </c>
      <c r="AA1042" s="1186"/>
      <c r="AB1042" s="1186"/>
      <c r="AC1042" s="1186"/>
      <c r="AD1042" s="1187"/>
    </row>
    <row r="1043" spans="1:30" x14ac:dyDescent="0.2">
      <c r="A1043">
        <f t="shared" si="50"/>
        <v>25</v>
      </c>
      <c r="B1043">
        <v>1034</v>
      </c>
      <c r="C1043" s="1078">
        <v>3</v>
      </c>
      <c r="D1043" s="1077" t="s">
        <v>5369</v>
      </c>
      <c r="E1043" s="1077" t="s">
        <v>5376</v>
      </c>
      <c r="F1043" s="1185">
        <v>2</v>
      </c>
      <c r="G1043" s="1186"/>
      <c r="H1043" s="1186"/>
      <c r="I1043" s="1186"/>
      <c r="J1043" s="1186"/>
      <c r="K1043" s="1186"/>
      <c r="L1043" s="1186"/>
      <c r="M1043" s="1186"/>
      <c r="N1043" s="1186"/>
      <c r="O1043" s="1186"/>
      <c r="P1043" s="1186"/>
      <c r="Q1043" s="1186"/>
      <c r="R1043" s="1186"/>
      <c r="S1043" s="1186"/>
      <c r="T1043" s="1186"/>
      <c r="U1043" s="1186"/>
      <c r="V1043" s="1186"/>
      <c r="W1043" s="1186">
        <v>88.6</v>
      </c>
      <c r="X1043" s="1186">
        <v>4.3</v>
      </c>
      <c r="Y1043" s="1186">
        <v>84.9</v>
      </c>
      <c r="Z1043" s="1186">
        <v>2.9</v>
      </c>
      <c r="AA1043" s="1186"/>
      <c r="AB1043" s="1186"/>
      <c r="AC1043" s="1186"/>
      <c r="AD1043" s="1187"/>
    </row>
    <row r="1044" spans="1:30" x14ac:dyDescent="0.2">
      <c r="A1044">
        <f t="shared" si="50"/>
        <v>26</v>
      </c>
      <c r="B1044">
        <v>1035</v>
      </c>
      <c r="C1044" s="1078">
        <v>2</v>
      </c>
      <c r="D1044" s="1077" t="s">
        <v>3339</v>
      </c>
      <c r="E1044" s="1077" t="s">
        <v>4182</v>
      </c>
      <c r="F1044" s="1185"/>
      <c r="G1044" s="1186"/>
      <c r="H1044" s="1186"/>
      <c r="I1044" s="1186">
        <v>5.0999999999999996</v>
      </c>
      <c r="J1044" s="1186">
        <v>3.1</v>
      </c>
      <c r="K1044" s="1186">
        <v>6.7</v>
      </c>
      <c r="L1044" s="1186">
        <v>4.0999999999999996</v>
      </c>
      <c r="M1044" s="1186">
        <v>7.8</v>
      </c>
      <c r="N1044" s="1186">
        <v>4.8</v>
      </c>
      <c r="O1044" s="1186"/>
      <c r="P1044" s="1186"/>
      <c r="Q1044" s="1186">
        <v>4.9000000000000004</v>
      </c>
      <c r="R1044" s="1186">
        <v>1.9</v>
      </c>
      <c r="S1044" s="1186">
        <v>7.2</v>
      </c>
      <c r="T1044" s="1186">
        <v>2.9</v>
      </c>
      <c r="U1044" s="1186"/>
      <c r="V1044" s="1186"/>
      <c r="W1044" s="1186"/>
      <c r="X1044" s="1186"/>
      <c r="Y1044" s="1186"/>
      <c r="Z1044" s="1186"/>
      <c r="AA1044" s="1186"/>
      <c r="AB1044" s="1186"/>
      <c r="AC1044" s="1186"/>
      <c r="AD1044" s="1187"/>
    </row>
    <row r="1045" spans="1:30" x14ac:dyDescent="0.2">
      <c r="A1045">
        <f t="shared" si="50"/>
        <v>26</v>
      </c>
      <c r="B1045">
        <v>1036</v>
      </c>
      <c r="C1045" s="1078">
        <v>2</v>
      </c>
      <c r="D1045" s="1077" t="s">
        <v>3339</v>
      </c>
      <c r="E1045" s="1077" t="s">
        <v>4183</v>
      </c>
      <c r="F1045" s="1185"/>
      <c r="G1045" s="1186"/>
      <c r="H1045" s="1186"/>
      <c r="I1045" s="1186">
        <v>6.3</v>
      </c>
      <c r="J1045" s="1186">
        <v>3.1</v>
      </c>
      <c r="K1045" s="1186">
        <v>8.1999999999999993</v>
      </c>
      <c r="L1045" s="1186">
        <v>4</v>
      </c>
      <c r="M1045" s="1186">
        <v>9.5</v>
      </c>
      <c r="N1045" s="1186">
        <v>4.7</v>
      </c>
      <c r="O1045" s="1186"/>
      <c r="P1045" s="1186"/>
      <c r="Q1045" s="1186">
        <v>5.4</v>
      </c>
      <c r="R1045" s="1186">
        <v>1.9</v>
      </c>
      <c r="S1045" s="1186">
        <v>8.1</v>
      </c>
      <c r="T1045" s="1186">
        <v>2.8</v>
      </c>
      <c r="U1045" s="1186"/>
      <c r="V1045" s="1186"/>
      <c r="W1045" s="1186"/>
      <c r="X1045" s="1186"/>
      <c r="Y1045" s="1186"/>
      <c r="Z1045" s="1186"/>
      <c r="AA1045" s="1186"/>
      <c r="AB1045" s="1186"/>
      <c r="AC1045" s="1186"/>
      <c r="AD1045" s="1187"/>
    </row>
    <row r="1046" spans="1:30" x14ac:dyDescent="0.2">
      <c r="A1046">
        <f t="shared" si="50"/>
        <v>26</v>
      </c>
      <c r="B1046">
        <v>1037</v>
      </c>
      <c r="C1046" s="1078">
        <v>2</v>
      </c>
      <c r="D1046" s="1077" t="s">
        <v>3339</v>
      </c>
      <c r="E1046" s="1077" t="s">
        <v>4184</v>
      </c>
      <c r="F1046" s="1185"/>
      <c r="G1046" s="1186"/>
      <c r="H1046" s="1186"/>
      <c r="I1046" s="1186">
        <v>7.4</v>
      </c>
      <c r="J1046" s="1186">
        <v>3.4</v>
      </c>
      <c r="K1046" s="1186">
        <v>9.5</v>
      </c>
      <c r="L1046" s="1186">
        <v>4.2</v>
      </c>
      <c r="M1046" s="1186">
        <v>11</v>
      </c>
      <c r="N1046" s="1186">
        <v>4.8</v>
      </c>
      <c r="O1046" s="1186"/>
      <c r="P1046" s="1186"/>
      <c r="Q1046" s="1186">
        <v>6.9</v>
      </c>
      <c r="R1046" s="1186">
        <v>2.2000000000000002</v>
      </c>
      <c r="S1046" s="1186">
        <v>9.9</v>
      </c>
      <c r="T1046" s="1186">
        <v>3</v>
      </c>
      <c r="U1046" s="1186"/>
      <c r="V1046" s="1186"/>
      <c r="W1046" s="1186"/>
      <c r="X1046" s="1186"/>
      <c r="Y1046" s="1186"/>
      <c r="Z1046" s="1186"/>
      <c r="AA1046" s="1186"/>
      <c r="AB1046" s="1186"/>
      <c r="AC1046" s="1186"/>
      <c r="AD1046" s="1187"/>
    </row>
    <row r="1047" spans="1:30" x14ac:dyDescent="0.2">
      <c r="A1047">
        <f t="shared" si="50"/>
        <v>26</v>
      </c>
      <c r="B1047">
        <v>1038</v>
      </c>
      <c r="C1047" s="1078">
        <v>2</v>
      </c>
      <c r="D1047" s="1077" t="s">
        <v>3339</v>
      </c>
      <c r="E1047" s="1077" t="s">
        <v>4185</v>
      </c>
      <c r="F1047" s="1185"/>
      <c r="G1047" s="1186"/>
      <c r="H1047" s="1186"/>
      <c r="I1047" s="1186">
        <v>9.1999999999999993</v>
      </c>
      <c r="J1047" s="1186">
        <v>3.2</v>
      </c>
      <c r="K1047" s="1186">
        <v>10.9</v>
      </c>
      <c r="L1047" s="1186">
        <v>4</v>
      </c>
      <c r="M1047" s="1186">
        <v>16.7</v>
      </c>
      <c r="N1047" s="1186">
        <v>4.5999999999999996</v>
      </c>
      <c r="O1047" s="1186"/>
      <c r="P1047" s="1186"/>
      <c r="Q1047" s="1186">
        <v>8.6999999999999993</v>
      </c>
      <c r="R1047" s="1186">
        <v>2.1</v>
      </c>
      <c r="S1047" s="1186">
        <v>12.8</v>
      </c>
      <c r="T1047" s="1186">
        <v>2.9</v>
      </c>
      <c r="U1047" s="1186"/>
      <c r="V1047" s="1186"/>
      <c r="W1047" s="1186"/>
      <c r="X1047" s="1186"/>
      <c r="Y1047" s="1186"/>
      <c r="Z1047" s="1186"/>
      <c r="AA1047" s="1186"/>
      <c r="AB1047" s="1186"/>
      <c r="AC1047" s="1186"/>
      <c r="AD1047" s="1187"/>
    </row>
    <row r="1048" spans="1:30" x14ac:dyDescent="0.2">
      <c r="A1048">
        <f t="shared" si="50"/>
        <v>26</v>
      </c>
      <c r="B1048">
        <v>1039</v>
      </c>
      <c r="C1048" s="1078">
        <v>2</v>
      </c>
      <c r="D1048" s="1077" t="s">
        <v>3339</v>
      </c>
      <c r="E1048" s="1077" t="s">
        <v>4186</v>
      </c>
      <c r="F1048" s="1185"/>
      <c r="G1048" s="1186"/>
      <c r="H1048" s="1186"/>
      <c r="I1048" s="1186">
        <v>9.9</v>
      </c>
      <c r="J1048" s="1186">
        <v>3.1</v>
      </c>
      <c r="K1048" s="1186">
        <v>11.5</v>
      </c>
      <c r="L1048" s="1186">
        <v>3.6</v>
      </c>
      <c r="M1048" s="1186">
        <v>14.7</v>
      </c>
      <c r="N1048" s="1186">
        <v>4.5</v>
      </c>
      <c r="O1048" s="1186"/>
      <c r="P1048" s="1186"/>
      <c r="Q1048" s="1186">
        <v>9.1999999999999993</v>
      </c>
      <c r="R1048" s="1186">
        <v>1.9</v>
      </c>
      <c r="S1048" s="1186">
        <v>13</v>
      </c>
      <c r="T1048" s="1186">
        <v>2.7</v>
      </c>
      <c r="U1048" s="1186"/>
      <c r="V1048" s="1186"/>
      <c r="W1048" s="1186"/>
      <c r="X1048" s="1186"/>
      <c r="Y1048" s="1186"/>
      <c r="Z1048" s="1186"/>
      <c r="AA1048" s="1186"/>
      <c r="AB1048" s="1186"/>
      <c r="AC1048" s="1186"/>
      <c r="AD1048" s="1187"/>
    </row>
    <row r="1049" spans="1:30" x14ac:dyDescent="0.2">
      <c r="A1049">
        <f t="shared" si="50"/>
        <v>26</v>
      </c>
      <c r="B1049">
        <v>1040</v>
      </c>
      <c r="C1049" s="1078">
        <v>3</v>
      </c>
      <c r="D1049" s="1077" t="s">
        <v>3339</v>
      </c>
      <c r="E1049" s="1077" t="s">
        <v>4187</v>
      </c>
      <c r="F1049" s="1185">
        <v>1</v>
      </c>
      <c r="G1049" s="1186"/>
      <c r="H1049" s="1186"/>
      <c r="I1049" s="1186"/>
      <c r="J1049" s="1186"/>
      <c r="K1049" s="1186"/>
      <c r="L1049" s="1186"/>
      <c r="M1049" s="1186"/>
      <c r="N1049" s="1186"/>
      <c r="O1049" s="1186"/>
      <c r="P1049" s="1186"/>
      <c r="Q1049" s="1186"/>
      <c r="R1049" s="1186"/>
      <c r="S1049" s="1186"/>
      <c r="T1049" s="1186"/>
      <c r="U1049" s="1186"/>
      <c r="V1049" s="1186"/>
      <c r="W1049" s="1186">
        <v>5.8</v>
      </c>
      <c r="X1049" s="1186">
        <v>4.5</v>
      </c>
      <c r="Y1049" s="1186">
        <v>5.2</v>
      </c>
      <c r="Z1049" s="1186">
        <v>2.6</v>
      </c>
      <c r="AA1049" s="1186">
        <v>7.1</v>
      </c>
      <c r="AB1049" s="1186">
        <v>5.4</v>
      </c>
      <c r="AC1049" s="1186">
        <v>6.7</v>
      </c>
      <c r="AD1049" s="1187">
        <v>3.4</v>
      </c>
    </row>
    <row r="1050" spans="1:30" x14ac:dyDescent="0.2">
      <c r="A1050">
        <f t="shared" si="50"/>
        <v>26</v>
      </c>
      <c r="B1050">
        <v>1041</v>
      </c>
      <c r="C1050" s="1078">
        <v>3</v>
      </c>
      <c r="D1050" s="1077" t="s">
        <v>3339</v>
      </c>
      <c r="E1050" s="1077" t="s">
        <v>4187</v>
      </c>
      <c r="F1050" s="1185">
        <v>1</v>
      </c>
      <c r="G1050" s="1186"/>
      <c r="H1050" s="1186"/>
      <c r="I1050" s="1186"/>
      <c r="J1050" s="1186"/>
      <c r="K1050" s="1186"/>
      <c r="L1050" s="1186"/>
      <c r="M1050" s="1186"/>
      <c r="N1050" s="1186"/>
      <c r="O1050" s="1186"/>
      <c r="P1050" s="1186"/>
      <c r="Q1050" s="1186"/>
      <c r="R1050" s="1186"/>
      <c r="S1050" s="1186"/>
      <c r="T1050" s="1186"/>
      <c r="U1050" s="1186"/>
      <c r="V1050" s="1186"/>
      <c r="W1050" s="1186">
        <v>5.8</v>
      </c>
      <c r="X1050" s="1186">
        <v>4.5</v>
      </c>
      <c r="Y1050" s="1186">
        <v>5.2</v>
      </c>
      <c r="Z1050" s="1186">
        <v>2.6</v>
      </c>
      <c r="AA1050" s="1186"/>
      <c r="AB1050" s="1186"/>
      <c r="AC1050" s="1186"/>
      <c r="AD1050" s="1187"/>
    </row>
    <row r="1051" spans="1:30" x14ac:dyDescent="0.2">
      <c r="A1051">
        <f t="shared" si="50"/>
        <v>26</v>
      </c>
      <c r="B1051">
        <v>1042</v>
      </c>
      <c r="C1051" s="1078">
        <v>3</v>
      </c>
      <c r="D1051" s="1077" t="s">
        <v>3339</v>
      </c>
      <c r="E1051" s="1077" t="s">
        <v>4188</v>
      </c>
      <c r="F1051" s="1185">
        <v>1</v>
      </c>
      <c r="G1051" s="1186"/>
      <c r="H1051" s="1186"/>
      <c r="I1051" s="1186"/>
      <c r="J1051" s="1186"/>
      <c r="K1051" s="1186"/>
      <c r="L1051" s="1186"/>
      <c r="M1051" s="1186"/>
      <c r="N1051" s="1186"/>
      <c r="O1051" s="1186"/>
      <c r="P1051" s="1186"/>
      <c r="Q1051" s="1186"/>
      <c r="R1051" s="1186"/>
      <c r="S1051" s="1186"/>
      <c r="T1051" s="1186"/>
      <c r="U1051" s="1186"/>
      <c r="V1051" s="1186"/>
      <c r="W1051" s="1186">
        <v>7.6</v>
      </c>
      <c r="X1051" s="1186">
        <v>4.5999999999999996</v>
      </c>
      <c r="Y1051" s="1186">
        <v>6.9</v>
      </c>
      <c r="Z1051" s="1186">
        <v>2.6</v>
      </c>
      <c r="AA1051" s="1186"/>
      <c r="AB1051" s="1186"/>
      <c r="AC1051" s="1186"/>
      <c r="AD1051" s="1187"/>
    </row>
    <row r="1052" spans="1:30" x14ac:dyDescent="0.2">
      <c r="A1052">
        <f t="shared" si="50"/>
        <v>26</v>
      </c>
      <c r="B1052">
        <v>1043</v>
      </c>
      <c r="C1052" s="1078">
        <v>3</v>
      </c>
      <c r="D1052" s="1077" t="s">
        <v>3339</v>
      </c>
      <c r="E1052" s="1077" t="s">
        <v>4189</v>
      </c>
      <c r="F1052" s="1185">
        <v>1</v>
      </c>
      <c r="G1052" s="1186"/>
      <c r="H1052" s="1186"/>
      <c r="I1052" s="1186"/>
      <c r="J1052" s="1186"/>
      <c r="K1052" s="1186"/>
      <c r="L1052" s="1186"/>
      <c r="M1052" s="1186"/>
      <c r="N1052" s="1186"/>
      <c r="O1052" s="1186"/>
      <c r="P1052" s="1186"/>
      <c r="Q1052" s="1186"/>
      <c r="R1052" s="1186"/>
      <c r="S1052" s="1186"/>
      <c r="T1052" s="1186"/>
      <c r="U1052" s="1186"/>
      <c r="V1052" s="1186"/>
      <c r="W1052" s="1186">
        <v>7.6</v>
      </c>
      <c r="X1052" s="1186">
        <v>4.5999999999999996</v>
      </c>
      <c r="Y1052" s="1186">
        <v>6.9</v>
      </c>
      <c r="Z1052" s="1186">
        <v>2.6</v>
      </c>
      <c r="AA1052" s="1186">
        <v>9.6</v>
      </c>
      <c r="AB1052" s="1186">
        <v>5.9</v>
      </c>
      <c r="AC1052" s="1186">
        <v>8.9</v>
      </c>
      <c r="AD1052" s="1187">
        <v>3.4</v>
      </c>
    </row>
    <row r="1053" spans="1:30" x14ac:dyDescent="0.2">
      <c r="A1053">
        <f t="shared" si="50"/>
        <v>26</v>
      </c>
      <c r="B1053">
        <v>1044</v>
      </c>
      <c r="C1053" s="1078">
        <v>3</v>
      </c>
      <c r="D1053" s="1077" t="s">
        <v>3339</v>
      </c>
      <c r="E1053" s="1077" t="s">
        <v>4190</v>
      </c>
      <c r="F1053" s="1185">
        <v>1</v>
      </c>
      <c r="G1053" s="1186"/>
      <c r="H1053" s="1186"/>
      <c r="I1053" s="1186"/>
      <c r="J1053" s="1186"/>
      <c r="K1053" s="1186"/>
      <c r="L1053" s="1186"/>
      <c r="M1053" s="1186"/>
      <c r="N1053" s="1186"/>
      <c r="O1053" s="1186"/>
      <c r="P1053" s="1186"/>
      <c r="Q1053" s="1186"/>
      <c r="R1053" s="1186"/>
      <c r="S1053" s="1186"/>
      <c r="T1053" s="1186"/>
      <c r="U1053" s="1186"/>
      <c r="V1053" s="1186"/>
      <c r="W1053" s="1186">
        <v>10.6</v>
      </c>
      <c r="X1053" s="1186">
        <v>4.8</v>
      </c>
      <c r="Y1053" s="1186">
        <v>9.4</v>
      </c>
      <c r="Z1053" s="1186">
        <v>2.8</v>
      </c>
      <c r="AA1053" s="1186">
        <v>12.7</v>
      </c>
      <c r="AB1053" s="1186">
        <v>6.1</v>
      </c>
      <c r="AC1053" s="1186">
        <v>11.9</v>
      </c>
      <c r="AD1053" s="1187">
        <v>3.5</v>
      </c>
    </row>
    <row r="1054" spans="1:30" x14ac:dyDescent="0.2">
      <c r="A1054">
        <f t="shared" si="50"/>
        <v>26</v>
      </c>
      <c r="B1054">
        <v>1045</v>
      </c>
      <c r="C1054" s="1078">
        <v>3</v>
      </c>
      <c r="D1054" s="1077" t="s">
        <v>3339</v>
      </c>
      <c r="E1054" s="1077" t="s">
        <v>4191</v>
      </c>
      <c r="F1054" s="1185">
        <v>1</v>
      </c>
      <c r="G1054" s="1186"/>
      <c r="H1054" s="1186"/>
      <c r="I1054" s="1186"/>
      <c r="J1054" s="1186"/>
      <c r="K1054" s="1186"/>
      <c r="L1054" s="1186"/>
      <c r="M1054" s="1186"/>
      <c r="N1054" s="1186"/>
      <c r="O1054" s="1186"/>
      <c r="P1054" s="1186"/>
      <c r="Q1054" s="1186"/>
      <c r="R1054" s="1186"/>
      <c r="S1054" s="1186"/>
      <c r="T1054" s="1186"/>
      <c r="U1054" s="1186"/>
      <c r="V1054" s="1186"/>
      <c r="W1054" s="1186">
        <v>10.6</v>
      </c>
      <c r="X1054" s="1186">
        <v>4.8</v>
      </c>
      <c r="Y1054" s="1186">
        <v>9.4</v>
      </c>
      <c r="Z1054" s="1186">
        <v>2.8</v>
      </c>
      <c r="AA1054" s="1186">
        <v>12.7</v>
      </c>
      <c r="AB1054" s="1186">
        <v>6.1</v>
      </c>
      <c r="AC1054" s="1186">
        <v>11.9</v>
      </c>
      <c r="AD1054" s="1187">
        <v>3.5</v>
      </c>
    </row>
    <row r="1055" spans="1:30" x14ac:dyDescent="0.2">
      <c r="A1055">
        <f t="shared" si="50"/>
        <v>26</v>
      </c>
      <c r="B1055">
        <v>1046</v>
      </c>
      <c r="C1055" s="1078">
        <v>3</v>
      </c>
      <c r="D1055" s="1077" t="s">
        <v>3339</v>
      </c>
      <c r="E1055" s="1077" t="s">
        <v>4192</v>
      </c>
      <c r="F1055" s="1185">
        <v>1</v>
      </c>
      <c r="G1055" s="1186"/>
      <c r="H1055" s="1186"/>
      <c r="I1055" s="1186"/>
      <c r="J1055" s="1186"/>
      <c r="K1055" s="1186"/>
      <c r="L1055" s="1186"/>
      <c r="M1055" s="1186"/>
      <c r="N1055" s="1186"/>
      <c r="O1055" s="1186"/>
      <c r="P1055" s="1186"/>
      <c r="Q1055" s="1186"/>
      <c r="R1055" s="1186"/>
      <c r="S1055" s="1186"/>
      <c r="T1055" s="1186"/>
      <c r="U1055" s="1186"/>
      <c r="V1055" s="1186"/>
      <c r="W1055" s="1186">
        <v>13.4</v>
      </c>
      <c r="X1055" s="1186">
        <v>4.8</v>
      </c>
      <c r="Y1055" s="1186">
        <v>12.4</v>
      </c>
      <c r="Z1055" s="1186">
        <v>3</v>
      </c>
      <c r="AA1055" s="1186"/>
      <c r="AB1055" s="1186"/>
      <c r="AC1055" s="1186"/>
      <c r="AD1055" s="1187"/>
    </row>
    <row r="1056" spans="1:30" x14ac:dyDescent="0.2">
      <c r="A1056">
        <f t="shared" si="50"/>
        <v>26</v>
      </c>
      <c r="B1056">
        <v>1047</v>
      </c>
      <c r="C1056" s="1078">
        <v>3</v>
      </c>
      <c r="D1056" s="1077" t="s">
        <v>3339</v>
      </c>
      <c r="E1056" s="1077" t="s">
        <v>4193</v>
      </c>
      <c r="F1056" s="1185">
        <v>1</v>
      </c>
      <c r="G1056" s="1186"/>
      <c r="H1056" s="1186"/>
      <c r="I1056" s="1186"/>
      <c r="J1056" s="1186"/>
      <c r="K1056" s="1186"/>
      <c r="L1056" s="1186"/>
      <c r="M1056" s="1186"/>
      <c r="N1056" s="1186"/>
      <c r="O1056" s="1186"/>
      <c r="P1056" s="1186"/>
      <c r="Q1056" s="1186"/>
      <c r="R1056" s="1186"/>
      <c r="S1056" s="1186"/>
      <c r="T1056" s="1186"/>
      <c r="U1056" s="1186"/>
      <c r="V1056" s="1186"/>
      <c r="W1056" s="1186">
        <v>13.4</v>
      </c>
      <c r="X1056" s="1186">
        <v>4.8</v>
      </c>
      <c r="Y1056" s="1186">
        <v>12.4</v>
      </c>
      <c r="Z1056" s="1186">
        <v>3</v>
      </c>
      <c r="AA1056" s="1186">
        <v>17.5</v>
      </c>
      <c r="AB1056" s="1186">
        <v>6.3</v>
      </c>
      <c r="AC1056" s="1186">
        <v>16.2</v>
      </c>
      <c r="AD1056" s="1187">
        <v>3.7</v>
      </c>
    </row>
    <row r="1057" spans="1:30" x14ac:dyDescent="0.2">
      <c r="A1057">
        <f t="shared" si="50"/>
        <v>26</v>
      </c>
      <c r="B1057">
        <v>1048</v>
      </c>
      <c r="C1057" s="1078">
        <v>3</v>
      </c>
      <c r="D1057" s="1077" t="s">
        <v>3339</v>
      </c>
      <c r="E1057" s="1077" t="s">
        <v>4194</v>
      </c>
      <c r="F1057" s="1185">
        <v>1</v>
      </c>
      <c r="G1057" s="1186"/>
      <c r="H1057" s="1186"/>
      <c r="I1057" s="1186"/>
      <c r="J1057" s="1186"/>
      <c r="K1057" s="1186"/>
      <c r="L1057" s="1186"/>
      <c r="M1057" s="1186"/>
      <c r="N1057" s="1186"/>
      <c r="O1057" s="1186"/>
      <c r="P1057" s="1186"/>
      <c r="Q1057" s="1186"/>
      <c r="R1057" s="1186"/>
      <c r="S1057" s="1186"/>
      <c r="T1057" s="1186"/>
      <c r="U1057" s="1186"/>
      <c r="V1057" s="1186"/>
      <c r="W1057" s="1186">
        <v>17.2</v>
      </c>
      <c r="X1057" s="1186">
        <v>4.7</v>
      </c>
      <c r="Y1057" s="1186">
        <v>16.3</v>
      </c>
      <c r="Z1057" s="1186">
        <v>2.9</v>
      </c>
      <c r="AA1057" s="1186"/>
      <c r="AB1057" s="1186"/>
      <c r="AC1057" s="1186"/>
      <c r="AD1057" s="1187"/>
    </row>
    <row r="1058" spans="1:30" x14ac:dyDescent="0.2">
      <c r="A1058">
        <f t="shared" si="50"/>
        <v>26</v>
      </c>
      <c r="B1058">
        <v>1049</v>
      </c>
      <c r="C1058" s="1078">
        <v>3</v>
      </c>
      <c r="D1058" s="1077" t="s">
        <v>3339</v>
      </c>
      <c r="E1058" s="1077" t="s">
        <v>4195</v>
      </c>
      <c r="F1058" s="1185">
        <v>1</v>
      </c>
      <c r="G1058" s="1186"/>
      <c r="H1058" s="1186"/>
      <c r="I1058" s="1186"/>
      <c r="J1058" s="1186"/>
      <c r="K1058" s="1186"/>
      <c r="L1058" s="1186"/>
      <c r="M1058" s="1186"/>
      <c r="N1058" s="1186"/>
      <c r="O1058" s="1186"/>
      <c r="P1058" s="1186"/>
      <c r="Q1058" s="1186"/>
      <c r="R1058" s="1186"/>
      <c r="S1058" s="1186"/>
      <c r="T1058" s="1186"/>
      <c r="U1058" s="1186"/>
      <c r="V1058" s="1186"/>
      <c r="W1058" s="1186">
        <v>17.2</v>
      </c>
      <c r="X1058" s="1186">
        <v>4.7</v>
      </c>
      <c r="Y1058" s="1186">
        <v>16.3</v>
      </c>
      <c r="Z1058" s="1186">
        <v>2.9</v>
      </c>
      <c r="AA1058" s="1186">
        <v>22.3</v>
      </c>
      <c r="AB1058" s="1186">
        <v>5.9</v>
      </c>
      <c r="AC1058" s="1186">
        <v>20.3</v>
      </c>
      <c r="AD1058" s="1187">
        <v>3.6</v>
      </c>
    </row>
    <row r="1059" spans="1:30" x14ac:dyDescent="0.2">
      <c r="A1059">
        <f t="shared" si="50"/>
        <v>26</v>
      </c>
      <c r="B1059">
        <v>1050</v>
      </c>
      <c r="C1059" s="1078">
        <v>3</v>
      </c>
      <c r="D1059" s="1077" t="s">
        <v>3339</v>
      </c>
      <c r="E1059" s="1077" t="s">
        <v>4196</v>
      </c>
      <c r="F1059" s="1185">
        <v>3</v>
      </c>
      <c r="G1059" s="1186"/>
      <c r="H1059" s="1186"/>
      <c r="I1059" s="1186"/>
      <c r="J1059" s="1186"/>
      <c r="K1059" s="1186"/>
      <c r="L1059" s="1186"/>
      <c r="M1059" s="1186"/>
      <c r="N1059" s="1186"/>
      <c r="O1059" s="1186"/>
      <c r="P1059" s="1186"/>
      <c r="Q1059" s="1186"/>
      <c r="R1059" s="1186"/>
      <c r="S1059" s="1186"/>
      <c r="T1059" s="1186"/>
      <c r="U1059" s="1186"/>
      <c r="V1059" s="1186"/>
      <c r="W1059" s="1186">
        <v>20.399999999999999</v>
      </c>
      <c r="X1059" s="1186">
        <v>4.9000000000000004</v>
      </c>
      <c r="Y1059" s="1186">
        <v>18.8</v>
      </c>
      <c r="Z1059" s="1186">
        <v>2.8</v>
      </c>
      <c r="AA1059" s="1186">
        <v>27.3</v>
      </c>
      <c r="AB1059" s="1186">
        <v>6.5</v>
      </c>
      <c r="AC1059" s="1186">
        <v>24.5</v>
      </c>
      <c r="AD1059" s="1187">
        <v>3.6</v>
      </c>
    </row>
    <row r="1060" spans="1:30" x14ac:dyDescent="0.2">
      <c r="A1060">
        <f t="shared" si="50"/>
        <v>26</v>
      </c>
      <c r="B1060">
        <v>1051</v>
      </c>
      <c r="C1060" s="1078">
        <v>3</v>
      </c>
      <c r="D1060" s="1077" t="s">
        <v>3339</v>
      </c>
      <c r="E1060" s="1077" t="s">
        <v>4197</v>
      </c>
      <c r="F1060" s="1185">
        <v>3</v>
      </c>
      <c r="G1060" s="1186"/>
      <c r="H1060" s="1186"/>
      <c r="I1060" s="1186"/>
      <c r="J1060" s="1186"/>
      <c r="K1060" s="1186"/>
      <c r="L1060" s="1186"/>
      <c r="M1060" s="1186"/>
      <c r="N1060" s="1186"/>
      <c r="O1060" s="1186"/>
      <c r="P1060" s="1186"/>
      <c r="Q1060" s="1186"/>
      <c r="R1060" s="1186"/>
      <c r="S1060" s="1186"/>
      <c r="T1060" s="1186"/>
      <c r="U1060" s="1186"/>
      <c r="V1060" s="1186"/>
      <c r="W1060" s="1186">
        <v>26</v>
      </c>
      <c r="X1060" s="1186">
        <v>4.9000000000000004</v>
      </c>
      <c r="Y1060" s="1186">
        <v>23.8</v>
      </c>
      <c r="Z1060" s="1186">
        <v>2.9</v>
      </c>
      <c r="AA1060" s="1186">
        <v>35.1</v>
      </c>
      <c r="AB1060" s="1186">
        <v>6.4</v>
      </c>
      <c r="AC1060" s="1186">
        <v>30.9</v>
      </c>
      <c r="AD1060" s="1187">
        <v>3.6</v>
      </c>
    </row>
    <row r="1061" spans="1:30" x14ac:dyDescent="0.2">
      <c r="A1061">
        <f t="shared" si="50"/>
        <v>26</v>
      </c>
      <c r="B1061">
        <v>1052</v>
      </c>
      <c r="C1061" s="1078">
        <v>3</v>
      </c>
      <c r="D1061" s="1077" t="s">
        <v>3339</v>
      </c>
      <c r="E1061" s="1077" t="s">
        <v>4198</v>
      </c>
      <c r="F1061" s="1185">
        <v>3</v>
      </c>
      <c r="G1061" s="1186"/>
      <c r="H1061" s="1186"/>
      <c r="I1061" s="1186"/>
      <c r="J1061" s="1186"/>
      <c r="K1061" s="1186"/>
      <c r="L1061" s="1186"/>
      <c r="M1061" s="1186"/>
      <c r="N1061" s="1186"/>
      <c r="O1061" s="1186"/>
      <c r="P1061" s="1186"/>
      <c r="Q1061" s="1186"/>
      <c r="R1061" s="1186"/>
      <c r="S1061" s="1186"/>
      <c r="T1061" s="1186"/>
      <c r="U1061" s="1186"/>
      <c r="V1061" s="1186"/>
      <c r="W1061" s="1186">
        <v>35.200000000000003</v>
      </c>
      <c r="X1061" s="1186">
        <v>5</v>
      </c>
      <c r="Y1061" s="1186">
        <v>33.299999999999997</v>
      </c>
      <c r="Z1061" s="1186">
        <v>3.1</v>
      </c>
      <c r="AA1061" s="1186">
        <v>46.3</v>
      </c>
      <c r="AB1061" s="1186">
        <v>6.4</v>
      </c>
      <c r="AC1061" s="1186">
        <v>43.5</v>
      </c>
      <c r="AD1061" s="1187">
        <v>3.9</v>
      </c>
    </row>
    <row r="1062" spans="1:30" x14ac:dyDescent="0.2">
      <c r="A1062">
        <f t="shared" si="50"/>
        <v>26</v>
      </c>
      <c r="B1062">
        <v>1053</v>
      </c>
      <c r="C1062" s="1078">
        <v>3</v>
      </c>
      <c r="D1062" s="1077" t="s">
        <v>3339</v>
      </c>
      <c r="E1062" s="1077" t="s">
        <v>4199</v>
      </c>
      <c r="F1062" s="1185">
        <v>3</v>
      </c>
      <c r="G1062" s="1186"/>
      <c r="H1062" s="1186"/>
      <c r="I1062" s="1186"/>
      <c r="J1062" s="1186"/>
      <c r="K1062" s="1186"/>
      <c r="L1062" s="1186"/>
      <c r="M1062" s="1186"/>
      <c r="N1062" s="1186"/>
      <c r="O1062" s="1186"/>
      <c r="P1062" s="1186"/>
      <c r="Q1062" s="1186"/>
      <c r="R1062" s="1186"/>
      <c r="S1062" s="1186"/>
      <c r="T1062" s="1186"/>
      <c r="U1062" s="1186"/>
      <c r="V1062" s="1186"/>
      <c r="W1062" s="1186">
        <v>42</v>
      </c>
      <c r="X1062" s="1186">
        <v>4.8</v>
      </c>
      <c r="Y1062" s="1186">
        <v>37.9</v>
      </c>
      <c r="Z1062" s="1186">
        <v>2.7</v>
      </c>
      <c r="AA1062" s="1186">
        <v>55.3</v>
      </c>
      <c r="AB1062" s="1186">
        <v>6.1</v>
      </c>
      <c r="AC1062" s="1186">
        <v>49.9</v>
      </c>
      <c r="AD1062" s="1187">
        <v>3.4</v>
      </c>
    </row>
    <row r="1063" spans="1:30" x14ac:dyDescent="0.2">
      <c r="A1063">
        <f t="shared" si="50"/>
        <v>27</v>
      </c>
      <c r="B1063">
        <v>1054</v>
      </c>
      <c r="C1063" s="1078">
        <v>2</v>
      </c>
      <c r="D1063" s="1077" t="s">
        <v>5438</v>
      </c>
      <c r="E1063" s="1077" t="s">
        <v>5439</v>
      </c>
      <c r="F1063" s="1185">
        <v>4</v>
      </c>
      <c r="G1063" s="1186">
        <v>4.7</v>
      </c>
      <c r="H1063" s="1186">
        <v>2.2999999999999998</v>
      </c>
      <c r="I1063" s="1186">
        <v>4.9000000000000004</v>
      </c>
      <c r="J1063" s="1186">
        <v>2.4</v>
      </c>
      <c r="K1063" s="1186">
        <v>1.9</v>
      </c>
      <c r="L1063" s="1186">
        <v>3.7</v>
      </c>
      <c r="M1063" s="1186">
        <v>4.2</v>
      </c>
      <c r="N1063" s="1186">
        <v>4.4000000000000004</v>
      </c>
      <c r="O1063" s="1186"/>
      <c r="P1063" s="1186"/>
      <c r="Q1063" s="1186">
        <v>5.0999999999999996</v>
      </c>
      <c r="R1063" s="1186">
        <v>2</v>
      </c>
      <c r="S1063" s="1186">
        <v>4.8</v>
      </c>
      <c r="T1063" s="1186">
        <v>2.8</v>
      </c>
      <c r="U1063" s="1186"/>
      <c r="V1063" s="1186"/>
      <c r="W1063" s="1186"/>
      <c r="X1063" s="1186"/>
      <c r="Y1063" s="1186"/>
      <c r="Z1063" s="1186"/>
      <c r="AA1063" s="1186"/>
      <c r="AB1063" s="1186"/>
      <c r="AC1063" s="1186"/>
      <c r="AD1063" s="1187"/>
    </row>
    <row r="1064" spans="1:30" x14ac:dyDescent="0.2">
      <c r="A1064">
        <f t="shared" si="50"/>
        <v>27</v>
      </c>
      <c r="B1064">
        <v>1055</v>
      </c>
      <c r="C1064" s="1078">
        <v>2</v>
      </c>
      <c r="D1064" s="1077" t="s">
        <v>5438</v>
      </c>
      <c r="E1064" s="1077" t="s">
        <v>5440</v>
      </c>
      <c r="F1064" s="1185">
        <v>4</v>
      </c>
      <c r="G1064" s="1186">
        <v>6.6</v>
      </c>
      <c r="H1064" s="1186">
        <v>2.2999999999999998</v>
      </c>
      <c r="I1064" s="1186">
        <v>6.5</v>
      </c>
      <c r="J1064" s="1186">
        <v>2.5</v>
      </c>
      <c r="K1064" s="1186">
        <v>3.1</v>
      </c>
      <c r="L1064" s="1186">
        <v>4.0999999999999996</v>
      </c>
      <c r="M1064" s="1186">
        <v>7.8</v>
      </c>
      <c r="N1064" s="1186">
        <v>4.4000000000000004</v>
      </c>
      <c r="O1064" s="1186"/>
      <c r="P1064" s="1186"/>
      <c r="Q1064" s="1186">
        <v>6.5</v>
      </c>
      <c r="R1064" s="1186">
        <v>2</v>
      </c>
      <c r="S1064" s="1186">
        <v>7.6</v>
      </c>
      <c r="T1064" s="1186">
        <v>2.9</v>
      </c>
      <c r="U1064" s="1186"/>
      <c r="V1064" s="1186"/>
      <c r="W1064" s="1186"/>
      <c r="X1064" s="1186"/>
      <c r="Y1064" s="1186"/>
      <c r="Z1064" s="1186"/>
      <c r="AA1064" s="1186"/>
      <c r="AB1064" s="1186"/>
      <c r="AC1064" s="1186"/>
      <c r="AD1064" s="1187"/>
    </row>
    <row r="1065" spans="1:30" x14ac:dyDescent="0.2">
      <c r="A1065">
        <f t="shared" si="50"/>
        <v>27</v>
      </c>
      <c r="B1065">
        <v>1056</v>
      </c>
      <c r="C1065" s="1078">
        <v>2</v>
      </c>
      <c r="D1065" s="1077" t="s">
        <v>5438</v>
      </c>
      <c r="E1065" s="1077" t="s">
        <v>5441</v>
      </c>
      <c r="F1065" s="1185">
        <v>4</v>
      </c>
      <c r="G1065" s="1186">
        <v>8.1</v>
      </c>
      <c r="H1065" s="1186">
        <v>2.2999999999999998</v>
      </c>
      <c r="I1065" s="1186">
        <v>10.199999999999999</v>
      </c>
      <c r="J1065" s="1186">
        <v>2.4</v>
      </c>
      <c r="K1065" s="1186">
        <v>5.7</v>
      </c>
      <c r="L1065" s="1186">
        <v>4.2</v>
      </c>
      <c r="M1065" s="1186">
        <v>14.3</v>
      </c>
      <c r="N1065" s="1186">
        <v>4.3</v>
      </c>
      <c r="O1065" s="1186"/>
      <c r="P1065" s="1186"/>
      <c r="Q1065" s="1186">
        <v>9.9</v>
      </c>
      <c r="R1065" s="1186">
        <v>2</v>
      </c>
      <c r="S1065" s="1186">
        <v>14.2</v>
      </c>
      <c r="T1065" s="1186">
        <v>2.8</v>
      </c>
      <c r="U1065" s="1186"/>
      <c r="V1065" s="1186"/>
      <c r="W1065" s="1186"/>
      <c r="X1065" s="1186"/>
      <c r="Y1065" s="1186"/>
      <c r="Z1065" s="1186"/>
      <c r="AA1065" s="1186"/>
      <c r="AB1065" s="1186"/>
      <c r="AC1065" s="1186"/>
      <c r="AD1065" s="1187"/>
    </row>
    <row r="1066" spans="1:30" x14ac:dyDescent="0.2">
      <c r="A1066">
        <f t="shared" si="50"/>
        <v>27</v>
      </c>
      <c r="B1066">
        <v>1057</v>
      </c>
      <c r="C1066" s="1078">
        <v>2</v>
      </c>
      <c r="D1066" s="1077" t="s">
        <v>5438</v>
      </c>
      <c r="E1066" s="1077" t="s">
        <v>5442</v>
      </c>
      <c r="F1066" s="1185">
        <v>4</v>
      </c>
      <c r="G1066" s="1186">
        <v>9.6999999999999993</v>
      </c>
      <c r="H1066" s="1186">
        <v>2</v>
      </c>
      <c r="I1066" s="1186">
        <v>11.3</v>
      </c>
      <c r="J1066" s="1186">
        <v>2.4</v>
      </c>
      <c r="K1066" s="1186">
        <v>5.7</v>
      </c>
      <c r="L1066" s="1186">
        <v>4.2</v>
      </c>
      <c r="M1066" s="1186">
        <v>14.3</v>
      </c>
      <c r="N1066" s="1186">
        <v>4.3</v>
      </c>
      <c r="O1066" s="1186"/>
      <c r="P1066" s="1186"/>
      <c r="Q1066" s="1186">
        <v>11.5</v>
      </c>
      <c r="R1066" s="1186">
        <v>1.8</v>
      </c>
      <c r="S1066" s="1186">
        <v>14.2</v>
      </c>
      <c r="T1066" s="1186">
        <v>2.8</v>
      </c>
      <c r="U1066" s="1186"/>
      <c r="V1066" s="1186"/>
      <c r="W1066" s="1186"/>
      <c r="X1066" s="1186"/>
      <c r="Y1066" s="1186"/>
      <c r="Z1066" s="1186"/>
      <c r="AA1066" s="1186"/>
      <c r="AB1066" s="1186"/>
      <c r="AC1066" s="1186"/>
      <c r="AD1066" s="1187"/>
    </row>
    <row r="1067" spans="1:30" x14ac:dyDescent="0.2">
      <c r="A1067">
        <f t="shared" si="50"/>
        <v>28</v>
      </c>
      <c r="B1067">
        <v>1058</v>
      </c>
      <c r="C1067" s="1078">
        <v>2</v>
      </c>
      <c r="D1067" s="1077" t="s">
        <v>4551</v>
      </c>
      <c r="E1067" s="1077" t="s">
        <v>4552</v>
      </c>
      <c r="F1067" s="1185">
        <v>4</v>
      </c>
      <c r="G1067" s="1186">
        <v>4.95</v>
      </c>
      <c r="H1067" s="1186">
        <v>2.5</v>
      </c>
      <c r="I1067" s="1186">
        <v>6.18</v>
      </c>
      <c r="J1067" s="1186">
        <v>2.82</v>
      </c>
      <c r="K1067" s="1186">
        <v>3.9</v>
      </c>
      <c r="L1067" s="1186">
        <v>4.13</v>
      </c>
      <c r="M1067" s="1186">
        <v>2.96</v>
      </c>
      <c r="N1067" s="1186">
        <v>4.84</v>
      </c>
      <c r="O1067" s="1186"/>
      <c r="P1067" s="1186"/>
      <c r="Q1067" s="1186">
        <v>5.05</v>
      </c>
      <c r="R1067" s="1186">
        <v>2.0499999999999998</v>
      </c>
      <c r="S1067" s="1186">
        <v>2.1</v>
      </c>
      <c r="T1067" s="1186">
        <v>2.8</v>
      </c>
      <c r="U1067" s="1186"/>
      <c r="V1067" s="1186"/>
      <c r="W1067" s="1186"/>
      <c r="X1067" s="1186"/>
      <c r="Y1067" s="1186"/>
      <c r="Z1067" s="1186"/>
      <c r="AA1067" s="1186"/>
      <c r="AB1067" s="1186"/>
      <c r="AC1067" s="1186"/>
      <c r="AD1067" s="1187"/>
    </row>
    <row r="1068" spans="1:30" x14ac:dyDescent="0.2">
      <c r="A1068">
        <f t="shared" si="50"/>
        <v>28</v>
      </c>
      <c r="B1068">
        <v>1059</v>
      </c>
      <c r="C1068" s="1078">
        <v>2</v>
      </c>
      <c r="D1068" s="1077" t="s">
        <v>4551</v>
      </c>
      <c r="E1068" s="1077" t="s">
        <v>4553</v>
      </c>
      <c r="F1068" s="1185">
        <v>4</v>
      </c>
      <c r="G1068" s="1186">
        <v>5.8</v>
      </c>
      <c r="H1068" s="1186">
        <v>2.5</v>
      </c>
      <c r="I1068" s="1186">
        <v>8.43</v>
      </c>
      <c r="J1068" s="1186">
        <v>2.95</v>
      </c>
      <c r="K1068" s="1186">
        <v>5.05</v>
      </c>
      <c r="L1068" s="1186">
        <v>4.29</v>
      </c>
      <c r="M1068" s="1186">
        <v>3.32</v>
      </c>
      <c r="N1068" s="1186">
        <v>4.88</v>
      </c>
      <c r="O1068" s="1186"/>
      <c r="P1068" s="1186"/>
      <c r="Q1068" s="1186">
        <v>5.95</v>
      </c>
      <c r="R1068" s="1186">
        <v>2.0499999999999998</v>
      </c>
      <c r="S1068" s="1186">
        <v>2.8</v>
      </c>
      <c r="T1068" s="1186">
        <v>2.6</v>
      </c>
      <c r="U1068" s="1186"/>
      <c r="V1068" s="1186"/>
      <c r="W1068" s="1186"/>
      <c r="X1068" s="1186"/>
      <c r="Y1068" s="1186"/>
      <c r="Z1068" s="1186"/>
      <c r="AA1068" s="1186"/>
      <c r="AB1068" s="1186"/>
      <c r="AC1068" s="1186"/>
      <c r="AD1068" s="1187"/>
    </row>
    <row r="1069" spans="1:30" x14ac:dyDescent="0.2">
      <c r="A1069">
        <f t="shared" si="50"/>
        <v>28</v>
      </c>
      <c r="B1069">
        <v>1060</v>
      </c>
      <c r="C1069" s="1078">
        <v>2</v>
      </c>
      <c r="D1069" s="1077" t="s">
        <v>4551</v>
      </c>
      <c r="E1069" s="1077" t="s">
        <v>4554</v>
      </c>
      <c r="F1069" s="1185">
        <v>4</v>
      </c>
      <c r="G1069" s="1186">
        <v>8.1</v>
      </c>
      <c r="H1069" s="1186">
        <v>2.4</v>
      </c>
      <c r="I1069" s="1186">
        <v>10.99</v>
      </c>
      <c r="J1069" s="1186">
        <v>2.85</v>
      </c>
      <c r="K1069" s="1186">
        <v>7.11</v>
      </c>
      <c r="L1069" s="1186">
        <v>4.05</v>
      </c>
      <c r="M1069" s="1186">
        <v>5.1100000000000003</v>
      </c>
      <c r="N1069" s="1186">
        <v>4.9000000000000004</v>
      </c>
      <c r="O1069" s="1186"/>
      <c r="P1069" s="1186"/>
      <c r="Q1069" s="1186">
        <v>9.1999999999999993</v>
      </c>
      <c r="R1069" s="1186">
        <v>1.92</v>
      </c>
      <c r="S1069" s="1186">
        <v>5</v>
      </c>
      <c r="T1069" s="1186">
        <v>2.6</v>
      </c>
      <c r="U1069" s="1186"/>
      <c r="V1069" s="1186"/>
      <c r="W1069" s="1186"/>
      <c r="X1069" s="1186"/>
      <c r="Y1069" s="1186"/>
      <c r="Z1069" s="1186"/>
      <c r="AA1069" s="1186"/>
      <c r="AB1069" s="1186"/>
      <c r="AC1069" s="1186"/>
      <c r="AD1069" s="1187"/>
    </row>
    <row r="1070" spans="1:30" x14ac:dyDescent="0.2">
      <c r="A1070">
        <f t="shared" si="50"/>
        <v>28</v>
      </c>
      <c r="B1070">
        <v>1061</v>
      </c>
      <c r="C1070" s="1078">
        <v>2</v>
      </c>
      <c r="D1070" s="1077" t="s">
        <v>4551</v>
      </c>
      <c r="E1070" s="1077" t="s">
        <v>4555</v>
      </c>
      <c r="F1070" s="1185">
        <v>4</v>
      </c>
      <c r="G1070" s="1186">
        <v>10.050000000000001</v>
      </c>
      <c r="H1070" s="1186">
        <v>2.4</v>
      </c>
      <c r="I1070" s="1186">
        <v>12.45</v>
      </c>
      <c r="J1070" s="1186">
        <v>2.5499999999999998</v>
      </c>
      <c r="K1070" s="1186">
        <v>7.42</v>
      </c>
      <c r="L1070" s="1186">
        <v>4.03</v>
      </c>
      <c r="M1070" s="1186">
        <v>4.8</v>
      </c>
      <c r="N1070" s="1186">
        <v>4.82</v>
      </c>
      <c r="O1070" s="1186"/>
      <c r="P1070" s="1186"/>
      <c r="Q1070" s="1186">
        <v>10.7</v>
      </c>
      <c r="R1070" s="1186">
        <v>1.91</v>
      </c>
      <c r="S1070" s="1186">
        <v>4.2</v>
      </c>
      <c r="T1070" s="1186">
        <v>2.85</v>
      </c>
      <c r="U1070" s="1186"/>
      <c r="V1070" s="1186"/>
      <c r="W1070" s="1186"/>
      <c r="X1070" s="1186"/>
      <c r="Y1070" s="1186"/>
      <c r="Z1070" s="1186"/>
      <c r="AA1070" s="1186"/>
      <c r="AB1070" s="1186"/>
      <c r="AC1070" s="1186"/>
      <c r="AD1070" s="1187"/>
    </row>
    <row r="1071" spans="1:30" x14ac:dyDescent="0.2">
      <c r="A1071">
        <f t="shared" si="50"/>
        <v>28</v>
      </c>
      <c r="B1071">
        <v>1062</v>
      </c>
      <c r="C1071" s="1078">
        <v>3</v>
      </c>
      <c r="D1071" s="1077" t="s">
        <v>4551</v>
      </c>
      <c r="E1071" s="1077" t="s">
        <v>4556</v>
      </c>
      <c r="F1071" s="1185">
        <v>1</v>
      </c>
      <c r="G1071" s="1186"/>
      <c r="H1071" s="1186"/>
      <c r="I1071" s="1186"/>
      <c r="J1071" s="1186"/>
      <c r="K1071" s="1186"/>
      <c r="L1071" s="1186"/>
      <c r="M1071" s="1186"/>
      <c r="N1071" s="1186"/>
      <c r="O1071" s="1186"/>
      <c r="P1071" s="1186"/>
      <c r="Q1071" s="1186"/>
      <c r="R1071" s="1186"/>
      <c r="S1071" s="1186"/>
      <c r="T1071" s="1186"/>
      <c r="U1071" s="1186"/>
      <c r="V1071" s="1186"/>
      <c r="W1071" s="1186">
        <v>5.8</v>
      </c>
      <c r="X1071" s="1186">
        <v>4.4000000000000004</v>
      </c>
      <c r="Y1071" s="1186">
        <v>5.2</v>
      </c>
      <c r="Z1071" s="1186">
        <v>2.7</v>
      </c>
      <c r="AA1071" s="1186"/>
      <c r="AB1071" s="1186"/>
      <c r="AC1071" s="1186"/>
      <c r="AD1071" s="1187"/>
    </row>
    <row r="1072" spans="1:30" x14ac:dyDescent="0.2">
      <c r="A1072">
        <f t="shared" si="50"/>
        <v>28</v>
      </c>
      <c r="B1072">
        <v>1063</v>
      </c>
      <c r="C1072" s="1078">
        <v>3</v>
      </c>
      <c r="D1072" s="1077" t="s">
        <v>4551</v>
      </c>
      <c r="E1072" s="1077" t="s">
        <v>4557</v>
      </c>
      <c r="F1072" s="1185">
        <v>1</v>
      </c>
      <c r="G1072" s="1186"/>
      <c r="H1072" s="1186"/>
      <c r="I1072" s="1186"/>
      <c r="J1072" s="1186"/>
      <c r="K1072" s="1186"/>
      <c r="L1072" s="1186"/>
      <c r="M1072" s="1186"/>
      <c r="N1072" s="1186"/>
      <c r="O1072" s="1186"/>
      <c r="P1072" s="1186"/>
      <c r="Q1072" s="1186"/>
      <c r="R1072" s="1186"/>
      <c r="S1072" s="1186"/>
      <c r="T1072" s="1186"/>
      <c r="U1072" s="1186"/>
      <c r="V1072" s="1186"/>
      <c r="W1072" s="1186">
        <v>7.6</v>
      </c>
      <c r="X1072" s="1186">
        <v>4.7</v>
      </c>
      <c r="Y1072" s="1186">
        <v>7</v>
      </c>
      <c r="Z1072" s="1186">
        <v>2.8</v>
      </c>
      <c r="AA1072" s="1186"/>
      <c r="AB1072" s="1186"/>
      <c r="AC1072" s="1186"/>
      <c r="AD1072" s="1187"/>
    </row>
    <row r="1073" spans="1:30" x14ac:dyDescent="0.2">
      <c r="A1073">
        <f t="shared" si="50"/>
        <v>28</v>
      </c>
      <c r="B1073">
        <v>1064</v>
      </c>
      <c r="C1073" s="1078">
        <v>3</v>
      </c>
      <c r="D1073" s="1077" t="s">
        <v>4551</v>
      </c>
      <c r="E1073" s="1077" t="s">
        <v>4558</v>
      </c>
      <c r="F1073" s="1185">
        <v>1</v>
      </c>
      <c r="G1073" s="1186"/>
      <c r="H1073" s="1186"/>
      <c r="I1073" s="1186"/>
      <c r="J1073" s="1186"/>
      <c r="K1073" s="1186"/>
      <c r="L1073" s="1186"/>
      <c r="M1073" s="1186"/>
      <c r="N1073" s="1186"/>
      <c r="O1073" s="1186"/>
      <c r="P1073" s="1186"/>
      <c r="Q1073" s="1186"/>
      <c r="R1073" s="1186"/>
      <c r="S1073" s="1186"/>
      <c r="T1073" s="1186"/>
      <c r="U1073" s="1186"/>
      <c r="V1073" s="1186"/>
      <c r="W1073" s="1186">
        <v>10.4</v>
      </c>
      <c r="X1073" s="1186">
        <v>4.8</v>
      </c>
      <c r="Y1073" s="1186">
        <v>9.4</v>
      </c>
      <c r="Z1073" s="1186">
        <v>2.8</v>
      </c>
      <c r="AA1073" s="1186"/>
      <c r="AB1073" s="1186"/>
      <c r="AC1073" s="1186"/>
      <c r="AD1073" s="1187"/>
    </row>
    <row r="1074" spans="1:30" x14ac:dyDescent="0.2">
      <c r="A1074">
        <f t="shared" si="50"/>
        <v>28</v>
      </c>
      <c r="B1074">
        <v>1065</v>
      </c>
      <c r="C1074" s="1078">
        <v>3</v>
      </c>
      <c r="D1074" s="1077" t="s">
        <v>4551</v>
      </c>
      <c r="E1074" s="1077" t="s">
        <v>4559</v>
      </c>
      <c r="F1074" s="1185">
        <v>1</v>
      </c>
      <c r="G1074" s="1186"/>
      <c r="H1074" s="1186"/>
      <c r="I1074" s="1186"/>
      <c r="J1074" s="1186"/>
      <c r="K1074" s="1186"/>
      <c r="L1074" s="1186"/>
      <c r="M1074" s="1186"/>
      <c r="N1074" s="1186"/>
      <c r="O1074" s="1186"/>
      <c r="P1074" s="1186"/>
      <c r="Q1074" s="1186"/>
      <c r="R1074" s="1186"/>
      <c r="S1074" s="1186"/>
      <c r="T1074" s="1186"/>
      <c r="U1074" s="1186"/>
      <c r="V1074" s="1186"/>
      <c r="W1074" s="1186">
        <v>13.3</v>
      </c>
      <c r="X1074" s="1186">
        <v>4.8</v>
      </c>
      <c r="Y1074" s="1186">
        <v>12.1</v>
      </c>
      <c r="Z1074" s="1186">
        <v>2.8</v>
      </c>
      <c r="AA1074" s="1186"/>
      <c r="AB1074" s="1186"/>
      <c r="AC1074" s="1186"/>
      <c r="AD1074" s="1187"/>
    </row>
    <row r="1075" spans="1:30" x14ac:dyDescent="0.2">
      <c r="A1075">
        <f t="shared" si="50"/>
        <v>28</v>
      </c>
      <c r="B1075">
        <v>1066</v>
      </c>
      <c r="C1075" s="1078">
        <v>3</v>
      </c>
      <c r="D1075" s="1077" t="s">
        <v>4551</v>
      </c>
      <c r="E1075" s="1077" t="s">
        <v>4560</v>
      </c>
      <c r="F1075" s="1185">
        <v>1</v>
      </c>
      <c r="G1075" s="1186"/>
      <c r="H1075" s="1186"/>
      <c r="I1075" s="1186"/>
      <c r="J1075" s="1186"/>
      <c r="K1075" s="1186"/>
      <c r="L1075" s="1186"/>
      <c r="M1075" s="1186"/>
      <c r="N1075" s="1186"/>
      <c r="O1075" s="1186"/>
      <c r="P1075" s="1186"/>
      <c r="Q1075" s="1186"/>
      <c r="R1075" s="1186"/>
      <c r="S1075" s="1186"/>
      <c r="T1075" s="1186"/>
      <c r="U1075" s="1186"/>
      <c r="V1075" s="1186"/>
      <c r="W1075" s="1186">
        <v>17</v>
      </c>
      <c r="X1075" s="1186">
        <v>4.7</v>
      </c>
      <c r="Y1075" s="1186">
        <v>15.2</v>
      </c>
      <c r="Z1075" s="1186">
        <v>2.7</v>
      </c>
      <c r="AA1075" s="1186"/>
      <c r="AB1075" s="1186"/>
      <c r="AC1075" s="1186"/>
      <c r="AD1075" s="1187"/>
    </row>
    <row r="1076" spans="1:30" x14ac:dyDescent="0.2">
      <c r="A1076">
        <f t="shared" si="50"/>
        <v>28</v>
      </c>
      <c r="B1076">
        <v>1067</v>
      </c>
      <c r="C1076" s="1078">
        <v>4</v>
      </c>
      <c r="D1076" s="1077" t="s">
        <v>4551</v>
      </c>
      <c r="E1076" s="1077" t="s">
        <v>4556</v>
      </c>
      <c r="F1076" s="1185">
        <v>1</v>
      </c>
      <c r="G1076" s="1186"/>
      <c r="H1076" s="1186"/>
      <c r="I1076" s="1186"/>
      <c r="J1076" s="1186"/>
      <c r="K1076" s="1186"/>
      <c r="L1076" s="1186"/>
      <c r="M1076" s="1186"/>
      <c r="N1076" s="1186"/>
      <c r="O1076" s="1186"/>
      <c r="P1076" s="1186"/>
      <c r="Q1076" s="1186"/>
      <c r="R1076" s="1186"/>
      <c r="S1076" s="1186"/>
      <c r="T1076" s="1186"/>
      <c r="U1076" s="1186"/>
      <c r="V1076" s="1186"/>
      <c r="W1076" s="1186"/>
      <c r="X1076" s="1186"/>
      <c r="Y1076" s="1186"/>
      <c r="Z1076" s="1186"/>
      <c r="AA1076" s="1186">
        <v>7.6</v>
      </c>
      <c r="AB1076" s="1186">
        <v>5.9</v>
      </c>
      <c r="AC1076" s="1186">
        <v>6.9</v>
      </c>
      <c r="AD1076" s="1187">
        <v>3.4</v>
      </c>
    </row>
    <row r="1077" spans="1:30" x14ac:dyDescent="0.2">
      <c r="A1077">
        <f t="shared" si="50"/>
        <v>28</v>
      </c>
      <c r="B1077">
        <v>1068</v>
      </c>
      <c r="C1077" s="1078">
        <v>4</v>
      </c>
      <c r="D1077" s="1077" t="s">
        <v>4551</v>
      </c>
      <c r="E1077" s="1077" t="s">
        <v>4557</v>
      </c>
      <c r="F1077" s="1185">
        <v>1</v>
      </c>
      <c r="G1077" s="1186"/>
      <c r="H1077" s="1186"/>
      <c r="I1077" s="1186"/>
      <c r="J1077" s="1186"/>
      <c r="K1077" s="1186"/>
      <c r="L1077" s="1186"/>
      <c r="M1077" s="1186"/>
      <c r="N1077" s="1186"/>
      <c r="O1077" s="1186"/>
      <c r="P1077" s="1186"/>
      <c r="Q1077" s="1186"/>
      <c r="R1077" s="1186"/>
      <c r="S1077" s="1186"/>
      <c r="T1077" s="1186"/>
      <c r="U1077" s="1186"/>
      <c r="V1077" s="1186"/>
      <c r="W1077" s="1186"/>
      <c r="X1077" s="1186"/>
      <c r="Y1077" s="1186"/>
      <c r="Z1077" s="1186"/>
      <c r="AA1077" s="1186">
        <v>9.8000000000000007</v>
      </c>
      <c r="AB1077" s="1186">
        <v>5.9</v>
      </c>
      <c r="AC1077" s="1186">
        <v>9</v>
      </c>
      <c r="AD1077" s="1187">
        <v>3.4</v>
      </c>
    </row>
    <row r="1078" spans="1:30" x14ac:dyDescent="0.2">
      <c r="A1078">
        <f t="shared" si="50"/>
        <v>28</v>
      </c>
      <c r="B1078">
        <v>1069</v>
      </c>
      <c r="C1078" s="1078">
        <v>4</v>
      </c>
      <c r="D1078" s="1077" t="s">
        <v>4551</v>
      </c>
      <c r="E1078" s="1077" t="s">
        <v>4558</v>
      </c>
      <c r="F1078" s="1185">
        <v>1</v>
      </c>
      <c r="G1078" s="1186"/>
      <c r="H1078" s="1186"/>
      <c r="I1078" s="1186"/>
      <c r="J1078" s="1186"/>
      <c r="K1078" s="1186"/>
      <c r="L1078" s="1186"/>
      <c r="M1078" s="1186"/>
      <c r="N1078" s="1186"/>
      <c r="O1078" s="1186"/>
      <c r="P1078" s="1186"/>
      <c r="Q1078" s="1186"/>
      <c r="R1078" s="1186"/>
      <c r="S1078" s="1186"/>
      <c r="T1078" s="1186"/>
      <c r="U1078" s="1186"/>
      <c r="V1078" s="1186"/>
      <c r="W1078" s="1186"/>
      <c r="X1078" s="1186"/>
      <c r="Y1078" s="1186"/>
      <c r="Z1078" s="1186"/>
      <c r="AA1078" s="1186">
        <v>13.4</v>
      </c>
      <c r="AB1078" s="1186">
        <v>6.2</v>
      </c>
      <c r="AC1078" s="1186">
        <v>12</v>
      </c>
      <c r="AD1078" s="1187">
        <v>3.6</v>
      </c>
    </row>
    <row r="1079" spans="1:30" x14ac:dyDescent="0.2">
      <c r="A1079">
        <f t="shared" si="50"/>
        <v>28</v>
      </c>
      <c r="B1079">
        <v>1070</v>
      </c>
      <c r="C1079" s="1078">
        <v>4</v>
      </c>
      <c r="D1079" s="1077" t="s">
        <v>4551</v>
      </c>
      <c r="E1079" s="1077" t="s">
        <v>4559</v>
      </c>
      <c r="F1079" s="1185">
        <v>1</v>
      </c>
      <c r="G1079" s="1186"/>
      <c r="H1079" s="1186"/>
      <c r="I1079" s="1186"/>
      <c r="J1079" s="1186"/>
      <c r="K1079" s="1186"/>
      <c r="L1079" s="1186"/>
      <c r="M1079" s="1186"/>
      <c r="N1079" s="1186"/>
      <c r="O1079" s="1186"/>
      <c r="P1079" s="1186"/>
      <c r="Q1079" s="1186"/>
      <c r="R1079" s="1186"/>
      <c r="S1079" s="1186"/>
      <c r="T1079" s="1186"/>
      <c r="U1079" s="1186"/>
      <c r="V1079" s="1186"/>
      <c r="W1079" s="1186"/>
      <c r="X1079" s="1186"/>
      <c r="Y1079" s="1186"/>
      <c r="Z1079" s="1186"/>
      <c r="AA1079" s="1186">
        <v>17.3</v>
      </c>
      <c r="AB1079" s="1186">
        <v>6.2</v>
      </c>
      <c r="AC1079" s="1186">
        <v>15.6</v>
      </c>
      <c r="AD1079" s="1187">
        <v>3.8</v>
      </c>
    </row>
    <row r="1080" spans="1:30" x14ac:dyDescent="0.2">
      <c r="A1080">
        <f t="shared" si="50"/>
        <v>28</v>
      </c>
      <c r="B1080">
        <v>1071</v>
      </c>
      <c r="C1080" s="1078">
        <v>4</v>
      </c>
      <c r="D1080" s="1077" t="s">
        <v>4551</v>
      </c>
      <c r="E1080" s="1077" t="s">
        <v>4560</v>
      </c>
      <c r="F1080" s="1185">
        <v>1</v>
      </c>
      <c r="G1080" s="1186"/>
      <c r="H1080" s="1186"/>
      <c r="I1080" s="1186"/>
      <c r="J1080" s="1186"/>
      <c r="K1080" s="1186"/>
      <c r="L1080" s="1186"/>
      <c r="M1080" s="1186"/>
      <c r="N1080" s="1186"/>
      <c r="O1080" s="1186"/>
      <c r="P1080" s="1186"/>
      <c r="Q1080" s="1186"/>
      <c r="R1080" s="1186"/>
      <c r="S1080" s="1186"/>
      <c r="T1080" s="1186"/>
      <c r="U1080" s="1186"/>
      <c r="V1080" s="1186"/>
      <c r="W1080" s="1186"/>
      <c r="X1080" s="1186"/>
      <c r="Y1080" s="1186"/>
      <c r="Z1080" s="1186"/>
      <c r="AA1080" s="1186">
        <v>21.5</v>
      </c>
      <c r="AB1080" s="1186">
        <v>5.8</v>
      </c>
      <c r="AC1080" s="1186">
        <v>19.399999999999999</v>
      </c>
      <c r="AD1080" s="1187">
        <v>3.4</v>
      </c>
    </row>
    <row r="1081" spans="1:30" x14ac:dyDescent="0.2">
      <c r="A1081">
        <f t="shared" si="50"/>
        <v>28</v>
      </c>
      <c r="B1081">
        <v>1072</v>
      </c>
      <c r="C1081" s="1078">
        <v>3</v>
      </c>
      <c r="D1081" s="1077" t="s">
        <v>4551</v>
      </c>
      <c r="E1081" s="1077" t="s">
        <v>4561</v>
      </c>
      <c r="F1081" s="1185">
        <v>2</v>
      </c>
      <c r="G1081" s="1186"/>
      <c r="H1081" s="1186"/>
      <c r="I1081" s="1186"/>
      <c r="J1081" s="1186"/>
      <c r="K1081" s="1186"/>
      <c r="L1081" s="1186"/>
      <c r="M1081" s="1186"/>
      <c r="N1081" s="1186"/>
      <c r="O1081" s="1186"/>
      <c r="P1081" s="1186"/>
      <c r="Q1081" s="1186"/>
      <c r="R1081" s="1186"/>
      <c r="S1081" s="1186"/>
      <c r="T1081" s="1186"/>
      <c r="U1081" s="1186"/>
      <c r="V1081" s="1186"/>
      <c r="W1081" s="1186">
        <v>22.9</v>
      </c>
      <c r="X1081" s="1186">
        <v>4.5999999999999996</v>
      </c>
      <c r="Y1081" s="1186">
        <v>23.3</v>
      </c>
      <c r="Z1081" s="1186">
        <v>3</v>
      </c>
      <c r="AA1081" s="1186"/>
      <c r="AB1081" s="1186"/>
      <c r="AC1081" s="1186"/>
      <c r="AD1081" s="1187"/>
    </row>
    <row r="1082" spans="1:30" x14ac:dyDescent="0.2">
      <c r="A1082">
        <f t="shared" si="50"/>
        <v>28</v>
      </c>
      <c r="B1082">
        <v>1073</v>
      </c>
      <c r="C1082" s="1078">
        <v>3</v>
      </c>
      <c r="D1082" s="1077" t="s">
        <v>4551</v>
      </c>
      <c r="E1082" s="1077" t="s">
        <v>4562</v>
      </c>
      <c r="F1082" s="1185">
        <v>2</v>
      </c>
      <c r="G1082" s="1186"/>
      <c r="H1082" s="1186"/>
      <c r="I1082" s="1186"/>
      <c r="J1082" s="1186"/>
      <c r="K1082" s="1186"/>
      <c r="L1082" s="1186"/>
      <c r="M1082" s="1186"/>
      <c r="N1082" s="1186"/>
      <c r="O1082" s="1186"/>
      <c r="P1082" s="1186"/>
      <c r="Q1082" s="1186"/>
      <c r="R1082" s="1186"/>
      <c r="S1082" s="1186"/>
      <c r="T1082" s="1186"/>
      <c r="U1082" s="1186"/>
      <c r="V1082" s="1186"/>
      <c r="W1082" s="1186">
        <v>28.9</v>
      </c>
      <c r="X1082" s="1186">
        <v>4.5999999999999996</v>
      </c>
      <c r="Y1082" s="1186">
        <v>29.8</v>
      </c>
      <c r="Z1082" s="1186">
        <v>3.1</v>
      </c>
      <c r="AA1082" s="1186"/>
      <c r="AB1082" s="1186"/>
      <c r="AC1082" s="1186"/>
      <c r="AD1082" s="1187"/>
    </row>
    <row r="1083" spans="1:30" x14ac:dyDescent="0.2">
      <c r="A1083">
        <f t="shared" si="50"/>
        <v>28</v>
      </c>
      <c r="B1083">
        <v>1074</v>
      </c>
      <c r="C1083" s="1078">
        <v>3</v>
      </c>
      <c r="D1083" s="1077" t="s">
        <v>4551</v>
      </c>
      <c r="E1083" s="1077" t="s">
        <v>4563</v>
      </c>
      <c r="F1083" s="1185">
        <v>2</v>
      </c>
      <c r="G1083" s="1186"/>
      <c r="H1083" s="1186"/>
      <c r="I1083" s="1186"/>
      <c r="J1083" s="1186"/>
      <c r="K1083" s="1186"/>
      <c r="L1083" s="1186"/>
      <c r="M1083" s="1186"/>
      <c r="N1083" s="1186"/>
      <c r="O1083" s="1186"/>
      <c r="P1083" s="1186"/>
      <c r="Q1083" s="1186"/>
      <c r="R1083" s="1186"/>
      <c r="S1083" s="1186"/>
      <c r="T1083" s="1186"/>
      <c r="U1083" s="1186"/>
      <c r="V1083" s="1186"/>
      <c r="W1083" s="1186">
        <v>38.700000000000003</v>
      </c>
      <c r="X1083" s="1186">
        <v>4.5</v>
      </c>
      <c r="Y1083" s="1186">
        <v>39.1</v>
      </c>
      <c r="Z1083" s="1186">
        <v>3.1</v>
      </c>
      <c r="AA1083" s="1186"/>
      <c r="AB1083" s="1186"/>
      <c r="AC1083" s="1186"/>
      <c r="AD1083" s="1187"/>
    </row>
    <row r="1084" spans="1:30" x14ac:dyDescent="0.2">
      <c r="A1084">
        <f t="shared" si="50"/>
        <v>28</v>
      </c>
      <c r="B1084">
        <v>1075</v>
      </c>
      <c r="C1084" s="1078">
        <v>3</v>
      </c>
      <c r="D1084" s="1077" t="s">
        <v>4551</v>
      </c>
      <c r="E1084" s="1077" t="s">
        <v>4564</v>
      </c>
      <c r="F1084" s="1185">
        <v>2</v>
      </c>
      <c r="G1084" s="1186"/>
      <c r="H1084" s="1186"/>
      <c r="I1084" s="1186"/>
      <c r="J1084" s="1186"/>
      <c r="K1084" s="1186"/>
      <c r="L1084" s="1186"/>
      <c r="M1084" s="1186"/>
      <c r="N1084" s="1186"/>
      <c r="O1084" s="1186"/>
      <c r="P1084" s="1186"/>
      <c r="Q1084" s="1186"/>
      <c r="R1084" s="1186"/>
      <c r="S1084" s="1186"/>
      <c r="T1084" s="1186"/>
      <c r="U1084" s="1186"/>
      <c r="V1084" s="1186"/>
      <c r="W1084" s="1186">
        <v>47.5</v>
      </c>
      <c r="X1084" s="1186">
        <v>4.4000000000000004</v>
      </c>
      <c r="Y1084" s="1186">
        <v>47.7</v>
      </c>
      <c r="Z1084" s="1186">
        <v>3.1</v>
      </c>
      <c r="AA1084" s="1186"/>
      <c r="AB1084" s="1186"/>
      <c r="AC1084" s="1186"/>
      <c r="AD1084" s="1187"/>
    </row>
    <row r="1085" spans="1:30" x14ac:dyDescent="0.2">
      <c r="A1085">
        <f t="shared" si="50"/>
        <v>28</v>
      </c>
      <c r="B1085">
        <v>1076</v>
      </c>
      <c r="C1085" s="1078">
        <v>3</v>
      </c>
      <c r="D1085" s="1077" t="s">
        <v>4551</v>
      </c>
      <c r="E1085" s="1077" t="s">
        <v>4565</v>
      </c>
      <c r="F1085" s="1185">
        <v>2</v>
      </c>
      <c r="G1085" s="1186"/>
      <c r="H1085" s="1186"/>
      <c r="I1085" s="1186"/>
      <c r="J1085" s="1186"/>
      <c r="K1085" s="1186"/>
      <c r="L1085" s="1186"/>
      <c r="M1085" s="1186"/>
      <c r="N1085" s="1186"/>
      <c r="O1085" s="1186"/>
      <c r="P1085" s="1186"/>
      <c r="Q1085" s="1186"/>
      <c r="R1085" s="1186"/>
      <c r="S1085" s="1186"/>
      <c r="T1085" s="1186"/>
      <c r="U1085" s="1186"/>
      <c r="V1085" s="1186"/>
      <c r="W1085" s="1186">
        <v>54.2</v>
      </c>
      <c r="X1085" s="1186">
        <v>4.5</v>
      </c>
      <c r="Y1085" s="1186">
        <v>56.8</v>
      </c>
      <c r="Z1085" s="1186">
        <v>3.1</v>
      </c>
      <c r="AA1085" s="1186"/>
      <c r="AB1085" s="1186"/>
      <c r="AC1085" s="1186"/>
      <c r="AD1085" s="1187"/>
    </row>
    <row r="1086" spans="1:30" x14ac:dyDescent="0.2">
      <c r="A1086">
        <f t="shared" si="50"/>
        <v>28</v>
      </c>
      <c r="B1086">
        <v>1077</v>
      </c>
      <c r="C1086" s="1078">
        <v>3</v>
      </c>
      <c r="D1086" s="1077" t="s">
        <v>4551</v>
      </c>
      <c r="E1086" s="1077" t="s">
        <v>4566</v>
      </c>
      <c r="F1086" s="1185">
        <v>2</v>
      </c>
      <c r="G1086" s="1186"/>
      <c r="H1086" s="1186"/>
      <c r="I1086" s="1186"/>
      <c r="J1086" s="1186"/>
      <c r="K1086" s="1186"/>
      <c r="L1086" s="1186"/>
      <c r="M1086" s="1186"/>
      <c r="N1086" s="1186"/>
      <c r="O1086" s="1186"/>
      <c r="P1086" s="1186"/>
      <c r="Q1086" s="1186"/>
      <c r="R1086" s="1186"/>
      <c r="S1086" s="1186"/>
      <c r="T1086" s="1186"/>
      <c r="U1086" s="1186"/>
      <c r="V1086" s="1186"/>
      <c r="W1086" s="1186">
        <v>63.9</v>
      </c>
      <c r="X1086" s="1186">
        <v>4.4000000000000004</v>
      </c>
      <c r="Y1086" s="1186">
        <v>64.8</v>
      </c>
      <c r="Z1086" s="1186">
        <v>3</v>
      </c>
      <c r="AA1086" s="1186"/>
      <c r="AB1086" s="1186"/>
      <c r="AC1086" s="1186"/>
      <c r="AD1086" s="1187"/>
    </row>
    <row r="1087" spans="1:30" x14ac:dyDescent="0.2">
      <c r="A1087">
        <f t="shared" si="50"/>
        <v>28</v>
      </c>
      <c r="B1087">
        <v>1078</v>
      </c>
      <c r="C1087" s="1078">
        <v>3</v>
      </c>
      <c r="D1087" s="1077" t="s">
        <v>4551</v>
      </c>
      <c r="E1087" s="1077" t="s">
        <v>4567</v>
      </c>
      <c r="F1087" s="1185">
        <v>2</v>
      </c>
      <c r="G1087" s="1186"/>
      <c r="H1087" s="1186"/>
      <c r="I1087" s="1186"/>
      <c r="J1087" s="1186"/>
      <c r="K1087" s="1186"/>
      <c r="L1087" s="1186"/>
      <c r="M1087" s="1186"/>
      <c r="N1087" s="1186"/>
      <c r="O1087" s="1186"/>
      <c r="P1087" s="1186"/>
      <c r="Q1087" s="1186"/>
      <c r="R1087" s="1186"/>
      <c r="S1087" s="1186"/>
      <c r="T1087" s="1186"/>
      <c r="U1087" s="1186"/>
      <c r="V1087" s="1186"/>
      <c r="W1087" s="1186">
        <v>72.8</v>
      </c>
      <c r="X1087" s="1186">
        <v>4.4000000000000004</v>
      </c>
      <c r="Y1087" s="1186">
        <v>74.099999999999994</v>
      </c>
      <c r="Z1087" s="1186">
        <v>3</v>
      </c>
      <c r="AA1087" s="1186"/>
      <c r="AB1087" s="1186"/>
      <c r="AC1087" s="1186"/>
      <c r="AD1087" s="1187"/>
    </row>
    <row r="1088" spans="1:30" x14ac:dyDescent="0.2">
      <c r="A1088">
        <f t="shared" si="50"/>
        <v>28</v>
      </c>
      <c r="B1088">
        <v>1079</v>
      </c>
      <c r="C1088" s="1078">
        <v>3</v>
      </c>
      <c r="D1088" s="1077" t="s">
        <v>4551</v>
      </c>
      <c r="E1088" s="1077" t="s">
        <v>4568</v>
      </c>
      <c r="F1088" s="1185">
        <v>2</v>
      </c>
      <c r="G1088" s="1186"/>
      <c r="H1088" s="1186"/>
      <c r="I1088" s="1186"/>
      <c r="J1088" s="1186"/>
      <c r="K1088" s="1186"/>
      <c r="L1088" s="1186"/>
      <c r="M1088" s="1186"/>
      <c r="N1088" s="1186"/>
      <c r="O1088" s="1186"/>
      <c r="P1088" s="1186"/>
      <c r="Q1088" s="1186"/>
      <c r="R1088" s="1186"/>
      <c r="S1088" s="1186"/>
      <c r="T1088" s="1186"/>
      <c r="U1088" s="1186"/>
      <c r="V1088" s="1186"/>
      <c r="W1088" s="1186">
        <v>78.5</v>
      </c>
      <c r="X1088" s="1186">
        <v>4.3</v>
      </c>
      <c r="Y1088" s="1186">
        <v>80.099999999999994</v>
      </c>
      <c r="Z1088" s="1186">
        <v>3</v>
      </c>
      <c r="AA1088" s="1186"/>
      <c r="AB1088" s="1186"/>
      <c r="AC1088" s="1186"/>
      <c r="AD1088" s="1187"/>
    </row>
    <row r="1089" spans="1:30" x14ac:dyDescent="0.2">
      <c r="A1089">
        <f t="shared" si="50"/>
        <v>28</v>
      </c>
      <c r="B1089">
        <v>1080</v>
      </c>
      <c r="C1089" s="1078">
        <v>4</v>
      </c>
      <c r="D1089" s="1077" t="s">
        <v>4551</v>
      </c>
      <c r="E1089" s="1077" t="s">
        <v>4561</v>
      </c>
      <c r="F1089" s="1185">
        <v>2</v>
      </c>
      <c r="G1089" s="1186"/>
      <c r="H1089" s="1186"/>
      <c r="I1089" s="1186"/>
      <c r="J1089" s="1186"/>
      <c r="K1089" s="1186"/>
      <c r="L1089" s="1186"/>
      <c r="M1089" s="1186"/>
      <c r="N1089" s="1186"/>
      <c r="O1089" s="1186"/>
      <c r="P1089" s="1186"/>
      <c r="Q1089" s="1186"/>
      <c r="R1089" s="1186"/>
      <c r="S1089" s="1186"/>
      <c r="T1089" s="1186"/>
      <c r="U1089" s="1186"/>
      <c r="V1089" s="1186"/>
      <c r="W1089" s="1186"/>
      <c r="X1089" s="1186"/>
      <c r="Y1089" s="1186"/>
      <c r="Z1089" s="1186"/>
      <c r="AA1089" s="1186">
        <v>28.3</v>
      </c>
      <c r="AB1089" s="1186">
        <v>5.8</v>
      </c>
      <c r="AC1089" s="1186">
        <v>28.7</v>
      </c>
      <c r="AD1089" s="1187">
        <v>3.7</v>
      </c>
    </row>
    <row r="1090" spans="1:30" x14ac:dyDescent="0.2">
      <c r="A1090">
        <f t="shared" si="50"/>
        <v>28</v>
      </c>
      <c r="B1090">
        <v>1081</v>
      </c>
      <c r="C1090" s="1078">
        <v>4</v>
      </c>
      <c r="D1090" s="1077" t="s">
        <v>4551</v>
      </c>
      <c r="E1090" s="1077" t="s">
        <v>4562</v>
      </c>
      <c r="F1090" s="1185">
        <v>2</v>
      </c>
      <c r="G1090" s="1186"/>
      <c r="H1090" s="1186"/>
      <c r="I1090" s="1186"/>
      <c r="J1090" s="1186"/>
      <c r="K1090" s="1186"/>
      <c r="L1090" s="1186"/>
      <c r="M1090" s="1186"/>
      <c r="N1090" s="1186"/>
      <c r="O1090" s="1186"/>
      <c r="P1090" s="1186"/>
      <c r="Q1090" s="1186"/>
      <c r="R1090" s="1186"/>
      <c r="S1090" s="1186"/>
      <c r="T1090" s="1186"/>
      <c r="U1090" s="1186"/>
      <c r="V1090" s="1186"/>
      <c r="W1090" s="1186"/>
      <c r="X1090" s="1186"/>
      <c r="Y1090" s="1186"/>
      <c r="Z1090" s="1186"/>
      <c r="AA1090" s="1186">
        <v>36.9</v>
      </c>
      <c r="AB1090" s="1186">
        <v>5.8</v>
      </c>
      <c r="AC1090" s="1186">
        <v>36.200000000000003</v>
      </c>
      <c r="AD1090" s="1187">
        <v>3.7</v>
      </c>
    </row>
    <row r="1091" spans="1:30" x14ac:dyDescent="0.2">
      <c r="A1091">
        <f t="shared" si="50"/>
        <v>28</v>
      </c>
      <c r="B1091">
        <v>1082</v>
      </c>
      <c r="C1091" s="1078">
        <v>4</v>
      </c>
      <c r="D1091" s="1077" t="s">
        <v>4551</v>
      </c>
      <c r="E1091" s="1077" t="s">
        <v>4563</v>
      </c>
      <c r="F1091" s="1185">
        <v>2</v>
      </c>
      <c r="G1091" s="1186"/>
      <c r="H1091" s="1186"/>
      <c r="I1091" s="1186"/>
      <c r="J1091" s="1186"/>
      <c r="K1091" s="1186"/>
      <c r="L1091" s="1186"/>
      <c r="M1091" s="1186"/>
      <c r="N1091" s="1186"/>
      <c r="O1091" s="1186"/>
      <c r="P1091" s="1186"/>
      <c r="Q1091" s="1186"/>
      <c r="R1091" s="1186"/>
      <c r="S1091" s="1186"/>
      <c r="T1091" s="1186"/>
      <c r="U1091" s="1186"/>
      <c r="V1091" s="1186"/>
      <c r="W1091" s="1186"/>
      <c r="X1091" s="1186"/>
      <c r="Y1091" s="1186"/>
      <c r="Z1091" s="1186"/>
      <c r="AA1091" s="1186">
        <v>47.7</v>
      </c>
      <c r="AB1091" s="1186">
        <v>5.6</v>
      </c>
      <c r="AC1091" s="1186">
        <v>48.6</v>
      </c>
      <c r="AD1091" s="1187">
        <v>3.7</v>
      </c>
    </row>
    <row r="1092" spans="1:30" x14ac:dyDescent="0.2">
      <c r="A1092">
        <f t="shared" si="50"/>
        <v>28</v>
      </c>
      <c r="B1092">
        <v>1083</v>
      </c>
      <c r="C1092" s="1078">
        <v>4</v>
      </c>
      <c r="D1092" s="1077" t="s">
        <v>4551</v>
      </c>
      <c r="E1092" s="1077" t="s">
        <v>4564</v>
      </c>
      <c r="F1092" s="1185">
        <v>2</v>
      </c>
      <c r="G1092" s="1186"/>
      <c r="H1092" s="1186"/>
      <c r="I1092" s="1186"/>
      <c r="J1092" s="1186"/>
      <c r="K1092" s="1186"/>
      <c r="L1092" s="1186"/>
      <c r="M1092" s="1186"/>
      <c r="N1092" s="1186"/>
      <c r="O1092" s="1186"/>
      <c r="P1092" s="1186"/>
      <c r="Q1092" s="1186"/>
      <c r="R1092" s="1186"/>
      <c r="S1092" s="1186"/>
      <c r="T1092" s="1186"/>
      <c r="U1092" s="1186"/>
      <c r="V1092" s="1186"/>
      <c r="W1092" s="1186"/>
      <c r="X1092" s="1186"/>
      <c r="Y1092" s="1186"/>
      <c r="Z1092" s="1186"/>
      <c r="AA1092" s="1186">
        <v>60.9</v>
      </c>
      <c r="AB1092" s="1186">
        <v>5.5</v>
      </c>
      <c r="AC1092" s="1186">
        <v>59.8</v>
      </c>
      <c r="AD1092" s="1187">
        <v>3.7</v>
      </c>
    </row>
    <row r="1093" spans="1:30" x14ac:dyDescent="0.2">
      <c r="A1093">
        <f t="shared" si="50"/>
        <v>28</v>
      </c>
      <c r="B1093">
        <v>1084</v>
      </c>
      <c r="C1093" s="1078">
        <v>4</v>
      </c>
      <c r="D1093" s="1077" t="s">
        <v>4551</v>
      </c>
      <c r="E1093" s="1077" t="s">
        <v>4565</v>
      </c>
      <c r="F1093" s="1185">
        <v>2</v>
      </c>
      <c r="G1093" s="1186"/>
      <c r="H1093" s="1186"/>
      <c r="I1093" s="1186"/>
      <c r="J1093" s="1186"/>
      <c r="K1093" s="1186"/>
      <c r="L1093" s="1186"/>
      <c r="M1093" s="1186"/>
      <c r="N1093" s="1186"/>
      <c r="O1093" s="1186"/>
      <c r="P1093" s="1186"/>
      <c r="Q1093" s="1186"/>
      <c r="R1093" s="1186"/>
      <c r="S1093" s="1186"/>
      <c r="T1093" s="1186"/>
      <c r="U1093" s="1186"/>
      <c r="V1093" s="1186"/>
      <c r="W1093" s="1186"/>
      <c r="X1093" s="1186"/>
      <c r="Y1093" s="1186"/>
      <c r="Z1093" s="1186"/>
      <c r="AA1093" s="1186">
        <v>66.2</v>
      </c>
      <c r="AB1093" s="1186">
        <v>5.9</v>
      </c>
      <c r="AC1093" s="1186">
        <v>66.099999999999994</v>
      </c>
      <c r="AD1093" s="1187">
        <v>3.6</v>
      </c>
    </row>
    <row r="1094" spans="1:30" x14ac:dyDescent="0.2">
      <c r="A1094">
        <f t="shared" si="50"/>
        <v>28</v>
      </c>
      <c r="B1094">
        <v>1085</v>
      </c>
      <c r="C1094" s="1078">
        <v>4</v>
      </c>
      <c r="D1094" s="1077" t="s">
        <v>4551</v>
      </c>
      <c r="E1094" s="1077" t="s">
        <v>4566</v>
      </c>
      <c r="F1094" s="1185">
        <v>2</v>
      </c>
      <c r="G1094" s="1186"/>
      <c r="H1094" s="1186"/>
      <c r="I1094" s="1186"/>
      <c r="J1094" s="1186"/>
      <c r="K1094" s="1186"/>
      <c r="L1094" s="1186"/>
      <c r="M1094" s="1186"/>
      <c r="N1094" s="1186"/>
      <c r="O1094" s="1186"/>
      <c r="P1094" s="1186"/>
      <c r="Q1094" s="1186"/>
      <c r="R1094" s="1186"/>
      <c r="S1094" s="1186"/>
      <c r="T1094" s="1186"/>
      <c r="U1094" s="1186"/>
      <c r="V1094" s="1186"/>
      <c r="W1094" s="1186"/>
      <c r="X1094" s="1186"/>
      <c r="Y1094" s="1186"/>
      <c r="Z1094" s="1186"/>
      <c r="AA1094" s="1186">
        <v>79.5</v>
      </c>
      <c r="AB1094" s="1186">
        <v>5.4</v>
      </c>
      <c r="AC1094" s="1186">
        <v>80.7</v>
      </c>
      <c r="AD1094" s="1187">
        <v>3.7</v>
      </c>
    </row>
    <row r="1095" spans="1:30" x14ac:dyDescent="0.2">
      <c r="A1095">
        <f t="shared" si="50"/>
        <v>28</v>
      </c>
      <c r="B1095">
        <v>1086</v>
      </c>
      <c r="C1095" s="1078">
        <v>4</v>
      </c>
      <c r="D1095" s="1077" t="s">
        <v>4551</v>
      </c>
      <c r="E1095" s="1077" t="s">
        <v>4567</v>
      </c>
      <c r="F1095" s="1185">
        <v>2</v>
      </c>
      <c r="G1095" s="1186"/>
      <c r="H1095" s="1186"/>
      <c r="I1095" s="1186"/>
      <c r="J1095" s="1186"/>
      <c r="K1095" s="1186"/>
      <c r="L1095" s="1186"/>
      <c r="M1095" s="1186"/>
      <c r="N1095" s="1186"/>
      <c r="O1095" s="1186"/>
      <c r="P1095" s="1186"/>
      <c r="Q1095" s="1186"/>
      <c r="R1095" s="1186"/>
      <c r="S1095" s="1186"/>
      <c r="T1095" s="1186"/>
      <c r="U1095" s="1186"/>
      <c r="V1095" s="1186"/>
      <c r="W1095" s="1186"/>
      <c r="X1095" s="1186"/>
      <c r="Y1095" s="1186"/>
      <c r="Z1095" s="1186"/>
      <c r="AA1095" s="1186">
        <v>87.4</v>
      </c>
      <c r="AB1095" s="1186">
        <v>5.6</v>
      </c>
      <c r="AC1095" s="1186">
        <v>91.8</v>
      </c>
      <c r="AD1095" s="1187">
        <v>3.7</v>
      </c>
    </row>
    <row r="1096" spans="1:30" x14ac:dyDescent="0.2">
      <c r="A1096">
        <f t="shared" si="50"/>
        <v>28</v>
      </c>
      <c r="B1096">
        <v>1087</v>
      </c>
      <c r="C1096" s="1078">
        <v>4</v>
      </c>
      <c r="D1096" s="1077" t="s">
        <v>4551</v>
      </c>
      <c r="E1096" s="1077" t="s">
        <v>4568</v>
      </c>
      <c r="F1096" s="1185">
        <v>2</v>
      </c>
      <c r="G1096" s="1186"/>
      <c r="H1096" s="1186"/>
      <c r="I1096" s="1186"/>
      <c r="J1096" s="1186"/>
      <c r="K1096" s="1186"/>
      <c r="L1096" s="1186"/>
      <c r="M1096" s="1186"/>
      <c r="N1096" s="1186"/>
      <c r="O1096" s="1186"/>
      <c r="P1096" s="1186"/>
      <c r="Q1096" s="1186"/>
      <c r="R1096" s="1186"/>
      <c r="S1096" s="1186"/>
      <c r="T1096" s="1186"/>
      <c r="U1096" s="1186"/>
      <c r="V1096" s="1186"/>
      <c r="W1096" s="1186"/>
      <c r="X1096" s="1186"/>
      <c r="Y1096" s="1186"/>
      <c r="Z1096" s="1186"/>
      <c r="AA1096" s="1186">
        <v>100.4</v>
      </c>
      <c r="AB1096" s="1186">
        <v>5.6</v>
      </c>
      <c r="AC1096" s="1186">
        <v>101.8</v>
      </c>
      <c r="AD1096" s="1187">
        <v>3.8</v>
      </c>
    </row>
    <row r="1097" spans="1:30" x14ac:dyDescent="0.2">
      <c r="A1097">
        <f t="shared" si="50"/>
        <v>28</v>
      </c>
      <c r="B1097">
        <v>1088</v>
      </c>
      <c r="C1097" s="1078">
        <v>2</v>
      </c>
      <c r="D1097" s="1077" t="s">
        <v>4551</v>
      </c>
      <c r="E1097" s="1077" t="s">
        <v>5314</v>
      </c>
      <c r="F1097" s="1185">
        <v>4</v>
      </c>
      <c r="G1097" s="1186">
        <v>5.8264080000000007</v>
      </c>
      <c r="H1097" s="1186">
        <v>2.2120000000000002</v>
      </c>
      <c r="I1097" s="1186">
        <v>6.7052413345894148</v>
      </c>
      <c r="J1097" s="1186">
        <v>2.351227036898357</v>
      </c>
      <c r="K1097" s="1186">
        <v>2.8608949158282502</v>
      </c>
      <c r="L1097" s="1186">
        <v>4.0401774078530952</v>
      </c>
      <c r="M1097" s="1186">
        <v>2.8397779000000001</v>
      </c>
      <c r="N1097" s="1186">
        <v>4.8229999999999995</v>
      </c>
      <c r="O1097" s="1186">
        <v>3.5017450000000001</v>
      </c>
      <c r="P1097" s="1186">
        <v>6.3380000000000001</v>
      </c>
      <c r="Q1097" s="1186">
        <v>5.0279520000000009</v>
      </c>
      <c r="R1097" s="1186">
        <v>1.841</v>
      </c>
      <c r="S1097" s="1186">
        <v>2.1887999999999996</v>
      </c>
      <c r="T1097" s="1186">
        <v>2.2799999999999998</v>
      </c>
      <c r="U1097" s="1186">
        <v>3.2836041000000002</v>
      </c>
      <c r="V1097" s="1186">
        <v>3.5070000000000001</v>
      </c>
      <c r="W1097" s="1186"/>
      <c r="X1097" s="1186"/>
      <c r="Y1097" s="1186"/>
      <c r="Z1097" s="1186"/>
      <c r="AA1097" s="1186"/>
      <c r="AB1097" s="1186"/>
      <c r="AC1097" s="1186"/>
      <c r="AD1097" s="1187"/>
    </row>
    <row r="1098" spans="1:30" x14ac:dyDescent="0.2">
      <c r="A1098">
        <f t="shared" si="50"/>
        <v>28</v>
      </c>
      <c r="B1098">
        <v>1089</v>
      </c>
      <c r="C1098" s="1078">
        <v>2</v>
      </c>
      <c r="D1098" s="1077" t="s">
        <v>4551</v>
      </c>
      <c r="E1098" s="1077" t="s">
        <v>5315</v>
      </c>
      <c r="F1098" s="1185">
        <v>4</v>
      </c>
      <c r="G1098" s="1186">
        <v>8.8000000000000007</v>
      </c>
      <c r="H1098" s="1186">
        <v>2.5</v>
      </c>
      <c r="I1098" s="1186">
        <v>9.8000000000000007</v>
      </c>
      <c r="J1098" s="1186">
        <v>2.6</v>
      </c>
      <c r="K1098" s="1186">
        <v>4.5999999999999996</v>
      </c>
      <c r="L1098" s="1186">
        <v>4.4000000000000004</v>
      </c>
      <c r="M1098" s="1186">
        <v>5.6</v>
      </c>
      <c r="N1098" s="1186">
        <v>4.8</v>
      </c>
      <c r="O1098" s="1186">
        <v>5.2</v>
      </c>
      <c r="P1098" s="1186">
        <v>6.7</v>
      </c>
      <c r="Q1098" s="1186">
        <v>9.5</v>
      </c>
      <c r="R1098" s="1186">
        <v>1.9</v>
      </c>
      <c r="S1098" s="1186">
        <v>4.4000000000000004</v>
      </c>
      <c r="T1098" s="1186">
        <v>2.9</v>
      </c>
      <c r="U1098" s="1186">
        <v>4.4000000000000004</v>
      </c>
      <c r="V1098" s="1186">
        <v>3.8</v>
      </c>
      <c r="W1098" s="1186"/>
      <c r="X1098" s="1186"/>
      <c r="Y1098" s="1186"/>
      <c r="Z1098" s="1186"/>
      <c r="AA1098" s="1186"/>
      <c r="AB1098" s="1186"/>
      <c r="AC1098" s="1186"/>
      <c r="AD1098" s="1187"/>
    </row>
    <row r="1099" spans="1:30" x14ac:dyDescent="0.2">
      <c r="A1099">
        <f t="shared" si="50"/>
        <v>28</v>
      </c>
      <c r="B1099">
        <v>1090</v>
      </c>
      <c r="C1099" s="1078">
        <v>2</v>
      </c>
      <c r="D1099" s="1077" t="s">
        <v>4551</v>
      </c>
      <c r="E1099" s="1077" t="s">
        <v>5316</v>
      </c>
      <c r="F1099" s="1185">
        <v>4</v>
      </c>
      <c r="G1099" s="1186">
        <v>10.6</v>
      </c>
      <c r="H1099" s="1186">
        <v>2.2999999999999998</v>
      </c>
      <c r="I1099" s="1186">
        <v>11.7</v>
      </c>
      <c r="J1099" s="1186">
        <v>2.4</v>
      </c>
      <c r="K1099" s="1186">
        <v>4.5999999999999996</v>
      </c>
      <c r="L1099" s="1186">
        <v>4.4000000000000004</v>
      </c>
      <c r="M1099" s="1186">
        <v>5.6</v>
      </c>
      <c r="N1099" s="1186">
        <v>4.8</v>
      </c>
      <c r="O1099" s="1186">
        <v>5.8</v>
      </c>
      <c r="P1099" s="1186">
        <v>6.5</v>
      </c>
      <c r="Q1099" s="1186">
        <v>11.4</v>
      </c>
      <c r="R1099" s="1186">
        <v>1.8</v>
      </c>
      <c r="S1099" s="1186">
        <v>4.4000000000000004</v>
      </c>
      <c r="T1099" s="1186">
        <v>2.9</v>
      </c>
      <c r="U1099" s="1186">
        <v>4.9000000000000004</v>
      </c>
      <c r="V1099" s="1186">
        <v>3.7</v>
      </c>
      <c r="W1099" s="1186"/>
      <c r="X1099" s="1186"/>
      <c r="Y1099" s="1186"/>
      <c r="Z1099" s="1186"/>
      <c r="AA1099" s="1186"/>
      <c r="AB1099" s="1186"/>
      <c r="AC1099" s="1186"/>
      <c r="AD1099" s="1187"/>
    </row>
    <row r="1100" spans="1:30" x14ac:dyDescent="0.2">
      <c r="A1100">
        <f t="shared" ref="A1100:A1163" si="51">A1099+(D1100&lt;&gt;D1099)*1</f>
        <v>28</v>
      </c>
      <c r="B1100">
        <v>1091</v>
      </c>
      <c r="C1100" s="1078">
        <v>2</v>
      </c>
      <c r="D1100" s="1077" t="s">
        <v>4551</v>
      </c>
      <c r="E1100" s="1077" t="s">
        <v>5110</v>
      </c>
      <c r="F1100" s="1185">
        <v>4</v>
      </c>
      <c r="G1100" s="1186">
        <v>4.0999999999999996</v>
      </c>
      <c r="H1100" s="1186">
        <v>2.4</v>
      </c>
      <c r="I1100" s="1186">
        <v>4.99</v>
      </c>
      <c r="J1100" s="1186">
        <v>2.76</v>
      </c>
      <c r="K1100" s="1186">
        <v>5.51</v>
      </c>
      <c r="L1100" s="1186">
        <v>3.06</v>
      </c>
      <c r="M1100" s="1186">
        <v>7.57</v>
      </c>
      <c r="N1100" s="1186">
        <v>3.82</v>
      </c>
      <c r="O1100" s="1186">
        <v>8.8000000000000007</v>
      </c>
      <c r="P1100" s="1186">
        <v>4.3600000000000003</v>
      </c>
      <c r="Q1100" s="1186">
        <v>4.66</v>
      </c>
      <c r="R1100" s="1186">
        <v>1.85</v>
      </c>
      <c r="S1100" s="1186">
        <v>7.08</v>
      </c>
      <c r="T1100" s="1186">
        <v>2.56</v>
      </c>
      <c r="U1100" s="1186">
        <v>8.23</v>
      </c>
      <c r="V1100" s="1186">
        <v>2.92</v>
      </c>
      <c r="W1100" s="1186"/>
      <c r="X1100" s="1186"/>
      <c r="Y1100" s="1186"/>
      <c r="Z1100" s="1186"/>
      <c r="AA1100" s="1186"/>
      <c r="AB1100" s="1186"/>
      <c r="AC1100" s="1186"/>
      <c r="AD1100" s="1187"/>
    </row>
    <row r="1101" spans="1:30" x14ac:dyDescent="0.2">
      <c r="A1101">
        <f t="shared" si="51"/>
        <v>28</v>
      </c>
      <c r="B1101">
        <v>1092</v>
      </c>
      <c r="C1101" s="1078">
        <v>2</v>
      </c>
      <c r="D1101" s="1077" t="s">
        <v>4551</v>
      </c>
      <c r="E1101" s="1077" t="s">
        <v>5111</v>
      </c>
      <c r="F1101" s="1185">
        <v>4</v>
      </c>
      <c r="G1101" s="1186">
        <v>4.0999999999999996</v>
      </c>
      <c r="H1101" s="1186">
        <v>2.4</v>
      </c>
      <c r="I1101" s="1186">
        <v>4.99</v>
      </c>
      <c r="J1101" s="1186">
        <v>2.76</v>
      </c>
      <c r="K1101" s="1186">
        <v>5.51</v>
      </c>
      <c r="L1101" s="1186">
        <v>3.06</v>
      </c>
      <c r="M1101" s="1186">
        <v>7.57</v>
      </c>
      <c r="N1101" s="1186">
        <v>3.82</v>
      </c>
      <c r="O1101" s="1186">
        <v>8.8000000000000007</v>
      </c>
      <c r="P1101" s="1186">
        <v>4.3600000000000003</v>
      </c>
      <c r="Q1101" s="1186">
        <v>4.66</v>
      </c>
      <c r="R1101" s="1186">
        <v>1.85</v>
      </c>
      <c r="S1101" s="1186">
        <v>7.08</v>
      </c>
      <c r="T1101" s="1186">
        <v>2.56</v>
      </c>
      <c r="U1101" s="1186">
        <v>8.23</v>
      </c>
      <c r="V1101" s="1186">
        <v>2.92</v>
      </c>
      <c r="W1101" s="1186"/>
      <c r="X1101" s="1186"/>
      <c r="Y1101" s="1186"/>
      <c r="Z1101" s="1186"/>
      <c r="AA1101" s="1186"/>
      <c r="AB1101" s="1186"/>
      <c r="AC1101" s="1186"/>
      <c r="AD1101" s="1187"/>
    </row>
    <row r="1102" spans="1:30" x14ac:dyDescent="0.2">
      <c r="A1102">
        <f t="shared" si="51"/>
        <v>28</v>
      </c>
      <c r="B1102">
        <v>1093</v>
      </c>
      <c r="C1102" s="1078">
        <v>2</v>
      </c>
      <c r="D1102" s="1077" t="s">
        <v>4551</v>
      </c>
      <c r="E1102" s="1077" t="s">
        <v>5100</v>
      </c>
      <c r="F1102" s="1185">
        <v>4</v>
      </c>
      <c r="G1102" s="1186">
        <v>4.75</v>
      </c>
      <c r="H1102" s="1186">
        <v>2.46</v>
      </c>
      <c r="I1102" s="1186">
        <v>5.93</v>
      </c>
      <c r="J1102" s="1186">
        <v>2.79</v>
      </c>
      <c r="K1102" s="1186">
        <v>6.26</v>
      </c>
      <c r="L1102" s="1186">
        <v>3.06</v>
      </c>
      <c r="M1102" s="1186">
        <v>8.36</v>
      </c>
      <c r="N1102" s="1186">
        <v>3.41</v>
      </c>
      <c r="O1102" s="1186">
        <v>9.74</v>
      </c>
      <c r="P1102" s="1186">
        <v>3.77</v>
      </c>
      <c r="Q1102" s="1186">
        <v>5.3</v>
      </c>
      <c r="R1102" s="1186">
        <v>1.94</v>
      </c>
      <c r="S1102" s="1186">
        <v>7.47</v>
      </c>
      <c r="T1102" s="1186">
        <v>2.38</v>
      </c>
      <c r="U1102" s="1186">
        <v>8.4</v>
      </c>
      <c r="V1102" s="1186">
        <v>2.63</v>
      </c>
      <c r="W1102" s="1186"/>
      <c r="X1102" s="1186"/>
      <c r="Y1102" s="1186"/>
      <c r="Z1102" s="1186"/>
      <c r="AA1102" s="1186"/>
      <c r="AB1102" s="1186"/>
      <c r="AC1102" s="1186"/>
      <c r="AD1102" s="1187"/>
    </row>
    <row r="1103" spans="1:30" x14ac:dyDescent="0.2">
      <c r="A1103">
        <f t="shared" si="51"/>
        <v>28</v>
      </c>
      <c r="B1103">
        <v>1094</v>
      </c>
      <c r="C1103" s="1078">
        <v>2</v>
      </c>
      <c r="D1103" s="1077" t="s">
        <v>4551</v>
      </c>
      <c r="E1103" s="1077" t="s">
        <v>5101</v>
      </c>
      <c r="F1103" s="1185">
        <v>4</v>
      </c>
      <c r="G1103" s="1186">
        <v>4.75</v>
      </c>
      <c r="H1103" s="1186">
        <v>2.46</v>
      </c>
      <c r="I1103" s="1186">
        <v>5.93</v>
      </c>
      <c r="J1103" s="1186">
        <v>2.79</v>
      </c>
      <c r="K1103" s="1186">
        <v>6.26</v>
      </c>
      <c r="L1103" s="1186">
        <v>3.06</v>
      </c>
      <c r="M1103" s="1186">
        <v>8.36</v>
      </c>
      <c r="N1103" s="1186">
        <v>3.41</v>
      </c>
      <c r="O1103" s="1186">
        <v>9.74</v>
      </c>
      <c r="P1103" s="1186">
        <v>3.77</v>
      </c>
      <c r="Q1103" s="1186">
        <v>5.3</v>
      </c>
      <c r="R1103" s="1186">
        <v>1.94</v>
      </c>
      <c r="S1103" s="1186">
        <v>7.47</v>
      </c>
      <c r="T1103" s="1186">
        <v>2.38</v>
      </c>
      <c r="U1103" s="1186">
        <v>8.4</v>
      </c>
      <c r="V1103" s="1186">
        <v>2.63</v>
      </c>
      <c r="W1103" s="1186"/>
      <c r="X1103" s="1186"/>
      <c r="Y1103" s="1186"/>
      <c r="Z1103" s="1186"/>
      <c r="AA1103" s="1186"/>
      <c r="AB1103" s="1186"/>
      <c r="AC1103" s="1186"/>
      <c r="AD1103" s="1187"/>
    </row>
    <row r="1104" spans="1:30" x14ac:dyDescent="0.2">
      <c r="A1104">
        <f t="shared" si="51"/>
        <v>28</v>
      </c>
      <c r="B1104">
        <v>1095</v>
      </c>
      <c r="C1104" s="1078">
        <v>2</v>
      </c>
      <c r="D1104" s="1077" t="s">
        <v>4551</v>
      </c>
      <c r="E1104" s="1077" t="s">
        <v>5112</v>
      </c>
      <c r="F1104" s="1185">
        <v>4</v>
      </c>
      <c r="G1104" s="1186">
        <v>5.35</v>
      </c>
      <c r="H1104" s="1186">
        <v>2.5099999999999998</v>
      </c>
      <c r="I1104" s="1186">
        <v>6.79</v>
      </c>
      <c r="J1104" s="1186">
        <v>2.9</v>
      </c>
      <c r="K1104" s="1186">
        <v>7.34</v>
      </c>
      <c r="L1104" s="1186">
        <v>3.11</v>
      </c>
      <c r="M1104" s="1186">
        <v>7.91</v>
      </c>
      <c r="N1104" s="1186">
        <v>3.59</v>
      </c>
      <c r="O1104" s="1186">
        <v>8.89</v>
      </c>
      <c r="P1104" s="1186">
        <v>4</v>
      </c>
      <c r="Q1104" s="1186">
        <v>6.06</v>
      </c>
      <c r="R1104" s="1186">
        <v>1.95</v>
      </c>
      <c r="S1104" s="1186">
        <v>7.07</v>
      </c>
      <c r="T1104" s="1186">
        <v>2.41</v>
      </c>
      <c r="U1104" s="1186">
        <v>7.95</v>
      </c>
      <c r="V1104" s="1186">
        <v>2.68</v>
      </c>
      <c r="W1104" s="1186"/>
      <c r="X1104" s="1186"/>
      <c r="Y1104" s="1186"/>
      <c r="Z1104" s="1186"/>
      <c r="AA1104" s="1186"/>
      <c r="AB1104" s="1186"/>
      <c r="AC1104" s="1186"/>
      <c r="AD1104" s="1187"/>
    </row>
    <row r="1105" spans="1:30" x14ac:dyDescent="0.2">
      <c r="A1105">
        <f t="shared" si="51"/>
        <v>28</v>
      </c>
      <c r="B1105">
        <v>1096</v>
      </c>
      <c r="C1105" s="1078">
        <v>2</v>
      </c>
      <c r="D1105" s="1077" t="s">
        <v>4551</v>
      </c>
      <c r="E1105" s="1077" t="s">
        <v>5113</v>
      </c>
      <c r="F1105" s="1185">
        <v>4</v>
      </c>
      <c r="G1105" s="1186">
        <v>5.35</v>
      </c>
      <c r="H1105" s="1186">
        <v>2.5099999999999998</v>
      </c>
      <c r="I1105" s="1186">
        <v>6.79</v>
      </c>
      <c r="J1105" s="1186">
        <v>2.9</v>
      </c>
      <c r="K1105" s="1186">
        <v>7.34</v>
      </c>
      <c r="L1105" s="1186">
        <v>3.11</v>
      </c>
      <c r="M1105" s="1186">
        <v>7.91</v>
      </c>
      <c r="N1105" s="1186">
        <v>3.59</v>
      </c>
      <c r="O1105" s="1186">
        <v>8.89</v>
      </c>
      <c r="P1105" s="1186">
        <v>4</v>
      </c>
      <c r="Q1105" s="1186">
        <v>6.06</v>
      </c>
      <c r="R1105" s="1186">
        <v>1.95</v>
      </c>
      <c r="S1105" s="1186">
        <v>7.07</v>
      </c>
      <c r="T1105" s="1186">
        <v>2.41</v>
      </c>
      <c r="U1105" s="1186">
        <v>7.95</v>
      </c>
      <c r="V1105" s="1186">
        <v>2.68</v>
      </c>
      <c r="W1105" s="1186"/>
      <c r="X1105" s="1186"/>
      <c r="Y1105" s="1186"/>
      <c r="Z1105" s="1186"/>
      <c r="AA1105" s="1186"/>
      <c r="AB1105" s="1186"/>
      <c r="AC1105" s="1186"/>
      <c r="AD1105" s="1187"/>
    </row>
    <row r="1106" spans="1:30" x14ac:dyDescent="0.2">
      <c r="A1106">
        <f t="shared" si="51"/>
        <v>28</v>
      </c>
      <c r="B1106">
        <v>1097</v>
      </c>
      <c r="C1106" s="1078">
        <v>2</v>
      </c>
      <c r="D1106" s="1077" t="s">
        <v>4551</v>
      </c>
      <c r="E1106" s="1077" t="s">
        <v>5102</v>
      </c>
      <c r="F1106" s="1185">
        <v>4</v>
      </c>
      <c r="G1106" s="1186">
        <v>6.74</v>
      </c>
      <c r="H1106" s="1186">
        <v>2.52</v>
      </c>
      <c r="I1106" s="1186">
        <v>8.25</v>
      </c>
      <c r="J1106" s="1186">
        <v>2.79</v>
      </c>
      <c r="K1106" s="1186">
        <v>8.9499999999999993</v>
      </c>
      <c r="L1106" s="1186">
        <v>2.96</v>
      </c>
      <c r="M1106" s="1186">
        <v>10.84</v>
      </c>
      <c r="N1106" s="1186">
        <v>3.21</v>
      </c>
      <c r="O1106" s="1186">
        <v>12.12</v>
      </c>
      <c r="P1106" s="1186">
        <v>3.46</v>
      </c>
      <c r="Q1106" s="1186">
        <v>6.9</v>
      </c>
      <c r="R1106" s="1186">
        <v>2.09</v>
      </c>
      <c r="S1106" s="1186">
        <v>8.41</v>
      </c>
      <c r="T1106" s="1186">
        <v>2.4</v>
      </c>
      <c r="U1106" s="1186">
        <v>9.08</v>
      </c>
      <c r="V1106" s="1186">
        <v>2.59</v>
      </c>
      <c r="W1106" s="1186"/>
      <c r="X1106" s="1186"/>
      <c r="Y1106" s="1186"/>
      <c r="Z1106" s="1186"/>
      <c r="AA1106" s="1186"/>
      <c r="AB1106" s="1186"/>
      <c r="AC1106" s="1186"/>
      <c r="AD1106" s="1187"/>
    </row>
    <row r="1107" spans="1:30" x14ac:dyDescent="0.2">
      <c r="A1107">
        <f t="shared" si="51"/>
        <v>28</v>
      </c>
      <c r="B1107">
        <v>1098</v>
      </c>
      <c r="C1107" s="1078">
        <v>2</v>
      </c>
      <c r="D1107" s="1077" t="s">
        <v>4551</v>
      </c>
      <c r="E1107" s="1077" t="s">
        <v>5103</v>
      </c>
      <c r="F1107" s="1185">
        <v>4</v>
      </c>
      <c r="G1107" s="1186">
        <v>6.74</v>
      </c>
      <c r="H1107" s="1186">
        <v>2.52</v>
      </c>
      <c r="I1107" s="1186">
        <v>8.25</v>
      </c>
      <c r="J1107" s="1186">
        <v>2.79</v>
      </c>
      <c r="K1107" s="1186">
        <v>8.9499999999999993</v>
      </c>
      <c r="L1107" s="1186">
        <v>2.96</v>
      </c>
      <c r="M1107" s="1186">
        <v>10.84</v>
      </c>
      <c r="N1107" s="1186">
        <v>3.21</v>
      </c>
      <c r="O1107" s="1186">
        <v>12.12</v>
      </c>
      <c r="P1107" s="1186">
        <v>3.46</v>
      </c>
      <c r="Q1107" s="1186">
        <v>6.9</v>
      </c>
      <c r="R1107" s="1186">
        <v>2.09</v>
      </c>
      <c r="S1107" s="1186">
        <v>8.41</v>
      </c>
      <c r="T1107" s="1186">
        <v>2.4</v>
      </c>
      <c r="U1107" s="1186">
        <v>9.08</v>
      </c>
      <c r="V1107" s="1186">
        <v>2.59</v>
      </c>
      <c r="W1107" s="1186"/>
      <c r="X1107" s="1186"/>
      <c r="Y1107" s="1186"/>
      <c r="Z1107" s="1186"/>
      <c r="AA1107" s="1186"/>
      <c r="AB1107" s="1186"/>
      <c r="AC1107" s="1186"/>
      <c r="AD1107" s="1187"/>
    </row>
    <row r="1108" spans="1:30" x14ac:dyDescent="0.2">
      <c r="A1108">
        <f t="shared" si="51"/>
        <v>28</v>
      </c>
      <c r="B1108">
        <v>1099</v>
      </c>
      <c r="C1108" s="1078">
        <v>2</v>
      </c>
      <c r="D1108" s="1077" t="s">
        <v>4551</v>
      </c>
      <c r="E1108" s="1077" t="s">
        <v>5108</v>
      </c>
      <c r="F1108" s="1185">
        <v>4</v>
      </c>
      <c r="G1108" s="1186">
        <v>6.74</v>
      </c>
      <c r="H1108" s="1186">
        <v>2.52</v>
      </c>
      <c r="I1108" s="1186">
        <v>8.25</v>
      </c>
      <c r="J1108" s="1186">
        <v>2.79</v>
      </c>
      <c r="K1108" s="1186">
        <v>8.9499999999999993</v>
      </c>
      <c r="L1108" s="1186">
        <v>2.96</v>
      </c>
      <c r="M1108" s="1186">
        <v>10.84</v>
      </c>
      <c r="N1108" s="1186">
        <v>3.21</v>
      </c>
      <c r="O1108" s="1186">
        <v>12.12</v>
      </c>
      <c r="P1108" s="1186">
        <v>3.46</v>
      </c>
      <c r="Q1108" s="1186">
        <v>6.9</v>
      </c>
      <c r="R1108" s="1186">
        <v>2.09</v>
      </c>
      <c r="S1108" s="1186">
        <v>8.41</v>
      </c>
      <c r="T1108" s="1186">
        <v>2.4</v>
      </c>
      <c r="U1108" s="1186">
        <v>9.08</v>
      </c>
      <c r="V1108" s="1186">
        <v>2.59</v>
      </c>
      <c r="W1108" s="1186"/>
      <c r="X1108" s="1186"/>
      <c r="Y1108" s="1186"/>
      <c r="Z1108" s="1186"/>
      <c r="AA1108" s="1186"/>
      <c r="AB1108" s="1186"/>
      <c r="AC1108" s="1186"/>
      <c r="AD1108" s="1187"/>
    </row>
    <row r="1109" spans="1:30" x14ac:dyDescent="0.2">
      <c r="A1109">
        <f t="shared" si="51"/>
        <v>28</v>
      </c>
      <c r="B1109">
        <v>1100</v>
      </c>
      <c r="C1109" s="1078">
        <v>2</v>
      </c>
      <c r="D1109" s="1077" t="s">
        <v>4551</v>
      </c>
      <c r="E1109" s="1077" t="s">
        <v>5109</v>
      </c>
      <c r="F1109" s="1185">
        <v>4</v>
      </c>
      <c r="G1109" s="1186">
        <v>6.74</v>
      </c>
      <c r="H1109" s="1186">
        <v>2.52</v>
      </c>
      <c r="I1109" s="1186">
        <v>8.25</v>
      </c>
      <c r="J1109" s="1186">
        <v>2.79</v>
      </c>
      <c r="K1109" s="1186">
        <v>8.9499999999999993</v>
      </c>
      <c r="L1109" s="1186">
        <v>2.96</v>
      </c>
      <c r="M1109" s="1186">
        <v>10.84</v>
      </c>
      <c r="N1109" s="1186">
        <v>3.21</v>
      </c>
      <c r="O1109" s="1186">
        <v>12.12</v>
      </c>
      <c r="P1109" s="1186">
        <v>3.46</v>
      </c>
      <c r="Q1109" s="1186">
        <v>6.9</v>
      </c>
      <c r="R1109" s="1186">
        <v>2.09</v>
      </c>
      <c r="S1109" s="1186">
        <v>8.41</v>
      </c>
      <c r="T1109" s="1186">
        <v>2.4</v>
      </c>
      <c r="U1109" s="1186">
        <v>9.08</v>
      </c>
      <c r="V1109" s="1186">
        <v>2.59</v>
      </c>
      <c r="W1109" s="1186"/>
      <c r="X1109" s="1186"/>
      <c r="Y1109" s="1186"/>
      <c r="Z1109" s="1186"/>
      <c r="AA1109" s="1186"/>
      <c r="AB1109" s="1186"/>
      <c r="AC1109" s="1186"/>
      <c r="AD1109" s="1187"/>
    </row>
    <row r="1110" spans="1:30" x14ac:dyDescent="0.2">
      <c r="A1110">
        <f t="shared" si="51"/>
        <v>28</v>
      </c>
      <c r="B1110">
        <v>1101</v>
      </c>
      <c r="C1110" s="1078">
        <v>2</v>
      </c>
      <c r="D1110" s="1077" t="s">
        <v>4551</v>
      </c>
      <c r="E1110" s="1077" t="s">
        <v>5096</v>
      </c>
      <c r="F1110" s="1185">
        <v>4</v>
      </c>
      <c r="G1110" s="1186">
        <v>8.7200000000000006</v>
      </c>
      <c r="H1110" s="1186">
        <v>2.38</v>
      </c>
      <c r="I1110" s="1186">
        <v>10.73</v>
      </c>
      <c r="J1110" s="1186">
        <v>2.74</v>
      </c>
      <c r="K1110" s="1186">
        <v>11.79</v>
      </c>
      <c r="L1110" s="1186">
        <v>3.04</v>
      </c>
      <c r="M1110" s="1186">
        <v>16.89</v>
      </c>
      <c r="N1110" s="1186">
        <v>3.59</v>
      </c>
      <c r="O1110" s="1186">
        <v>19.170000000000002</v>
      </c>
      <c r="P1110" s="1186">
        <v>4.0599999999999996</v>
      </c>
      <c r="Q1110" s="1186">
        <v>9.3800000000000008</v>
      </c>
      <c r="R1110" s="1186">
        <v>2</v>
      </c>
      <c r="S1110" s="1186">
        <v>14.77</v>
      </c>
      <c r="T1110" s="1186">
        <v>2.63</v>
      </c>
      <c r="U1110" s="1186">
        <v>16.77</v>
      </c>
      <c r="V1110" s="1186">
        <v>2.97</v>
      </c>
      <c r="W1110" s="1186"/>
      <c r="X1110" s="1186"/>
      <c r="Y1110" s="1186"/>
      <c r="Z1110" s="1186"/>
      <c r="AA1110" s="1186"/>
      <c r="AB1110" s="1186"/>
      <c r="AC1110" s="1186"/>
      <c r="AD1110" s="1187"/>
    </row>
    <row r="1111" spans="1:30" x14ac:dyDescent="0.2">
      <c r="A1111">
        <f t="shared" si="51"/>
        <v>28</v>
      </c>
      <c r="B1111">
        <v>1102</v>
      </c>
      <c r="C1111" s="1078">
        <v>2</v>
      </c>
      <c r="D1111" s="1077" t="s">
        <v>4551</v>
      </c>
      <c r="E1111" s="1077" t="s">
        <v>5097</v>
      </c>
      <c r="F1111" s="1185">
        <v>4</v>
      </c>
      <c r="G1111" s="1186">
        <v>8.7200000000000006</v>
      </c>
      <c r="H1111" s="1186">
        <v>2.38</v>
      </c>
      <c r="I1111" s="1186">
        <v>10.73</v>
      </c>
      <c r="J1111" s="1186">
        <v>2.74</v>
      </c>
      <c r="K1111" s="1186">
        <v>11.79</v>
      </c>
      <c r="L1111" s="1186">
        <v>3.04</v>
      </c>
      <c r="M1111" s="1186">
        <v>16.89</v>
      </c>
      <c r="N1111" s="1186">
        <v>3.59</v>
      </c>
      <c r="O1111" s="1186">
        <v>19.170000000000002</v>
      </c>
      <c r="P1111" s="1186">
        <v>4.0599999999999996</v>
      </c>
      <c r="Q1111" s="1186">
        <v>9.3800000000000008</v>
      </c>
      <c r="R1111" s="1186">
        <v>2</v>
      </c>
      <c r="S1111" s="1186">
        <v>14.77</v>
      </c>
      <c r="T1111" s="1186">
        <v>2.63</v>
      </c>
      <c r="U1111" s="1186">
        <v>16.77</v>
      </c>
      <c r="V1111" s="1186">
        <v>2.97</v>
      </c>
      <c r="W1111" s="1186"/>
      <c r="X1111" s="1186"/>
      <c r="Y1111" s="1186"/>
      <c r="Z1111" s="1186"/>
      <c r="AA1111" s="1186"/>
      <c r="AB1111" s="1186"/>
      <c r="AC1111" s="1186"/>
      <c r="AD1111" s="1187"/>
    </row>
    <row r="1112" spans="1:30" x14ac:dyDescent="0.2">
      <c r="A1112">
        <f t="shared" si="51"/>
        <v>28</v>
      </c>
      <c r="B1112">
        <v>1103</v>
      </c>
      <c r="C1112" s="1078">
        <v>2</v>
      </c>
      <c r="D1112" s="1077" t="s">
        <v>4551</v>
      </c>
      <c r="E1112" s="1077" t="s">
        <v>5104</v>
      </c>
      <c r="F1112" s="1185">
        <v>4</v>
      </c>
      <c r="G1112" s="1186">
        <v>8.7200000000000006</v>
      </c>
      <c r="H1112" s="1186">
        <v>2.38</v>
      </c>
      <c r="I1112" s="1186">
        <v>10.73</v>
      </c>
      <c r="J1112" s="1186">
        <v>2.74</v>
      </c>
      <c r="K1112" s="1186">
        <v>11.79</v>
      </c>
      <c r="L1112" s="1186">
        <v>3.04</v>
      </c>
      <c r="M1112" s="1186">
        <v>16.89</v>
      </c>
      <c r="N1112" s="1186">
        <v>3.59</v>
      </c>
      <c r="O1112" s="1186">
        <v>19.170000000000002</v>
      </c>
      <c r="P1112" s="1186">
        <v>4.0599999999999996</v>
      </c>
      <c r="Q1112" s="1186">
        <v>9.3800000000000008</v>
      </c>
      <c r="R1112" s="1186">
        <v>2</v>
      </c>
      <c r="S1112" s="1186">
        <v>14.77</v>
      </c>
      <c r="T1112" s="1186">
        <v>2.63</v>
      </c>
      <c r="U1112" s="1186">
        <v>16.77</v>
      </c>
      <c r="V1112" s="1186">
        <v>2.97</v>
      </c>
      <c r="W1112" s="1186"/>
      <c r="X1112" s="1186"/>
      <c r="Y1112" s="1186"/>
      <c r="Z1112" s="1186"/>
      <c r="AA1112" s="1186"/>
      <c r="AB1112" s="1186"/>
      <c r="AC1112" s="1186"/>
      <c r="AD1112" s="1187"/>
    </row>
    <row r="1113" spans="1:30" x14ac:dyDescent="0.2">
      <c r="A1113">
        <f t="shared" si="51"/>
        <v>28</v>
      </c>
      <c r="B1113">
        <v>1104</v>
      </c>
      <c r="C1113" s="1078">
        <v>2</v>
      </c>
      <c r="D1113" s="1077" t="s">
        <v>4551</v>
      </c>
      <c r="E1113" s="1077" t="s">
        <v>5105</v>
      </c>
      <c r="F1113" s="1185">
        <v>4</v>
      </c>
      <c r="G1113" s="1186">
        <v>8.7200000000000006</v>
      </c>
      <c r="H1113" s="1186">
        <v>2.38</v>
      </c>
      <c r="I1113" s="1186">
        <v>10.73</v>
      </c>
      <c r="J1113" s="1186">
        <v>2.74</v>
      </c>
      <c r="K1113" s="1186">
        <v>11.79</v>
      </c>
      <c r="L1113" s="1186">
        <v>3.04</v>
      </c>
      <c r="M1113" s="1186">
        <v>16.89</v>
      </c>
      <c r="N1113" s="1186">
        <v>3.59</v>
      </c>
      <c r="O1113" s="1186">
        <v>19.170000000000002</v>
      </c>
      <c r="P1113" s="1186">
        <v>4.0599999999999996</v>
      </c>
      <c r="Q1113" s="1186">
        <v>9.3800000000000008</v>
      </c>
      <c r="R1113" s="1186">
        <v>2</v>
      </c>
      <c r="S1113" s="1186">
        <v>14.77</v>
      </c>
      <c r="T1113" s="1186">
        <v>2.63</v>
      </c>
      <c r="U1113" s="1186">
        <v>16.77</v>
      </c>
      <c r="V1113" s="1186">
        <v>2.97</v>
      </c>
      <c r="W1113" s="1186"/>
      <c r="X1113" s="1186"/>
      <c r="Y1113" s="1186"/>
      <c r="Z1113" s="1186"/>
      <c r="AA1113" s="1186"/>
      <c r="AB1113" s="1186"/>
      <c r="AC1113" s="1186"/>
      <c r="AD1113" s="1187"/>
    </row>
    <row r="1114" spans="1:30" x14ac:dyDescent="0.2">
      <c r="A1114">
        <f t="shared" si="51"/>
        <v>28</v>
      </c>
      <c r="B1114">
        <v>1105</v>
      </c>
      <c r="C1114" s="1078">
        <v>2</v>
      </c>
      <c r="D1114" s="1077" t="s">
        <v>4551</v>
      </c>
      <c r="E1114" s="1077" t="s">
        <v>5098</v>
      </c>
      <c r="F1114" s="1185">
        <v>4</v>
      </c>
      <c r="G1114" s="1186">
        <v>10.63</v>
      </c>
      <c r="H1114" s="1186">
        <v>2.2999999999999998</v>
      </c>
      <c r="I1114" s="1186">
        <v>13.02</v>
      </c>
      <c r="J1114" s="1186">
        <v>2.5499999999999998</v>
      </c>
      <c r="K1114" s="1186">
        <v>14.59</v>
      </c>
      <c r="L1114" s="1186">
        <v>2.85</v>
      </c>
      <c r="M1114" s="1186">
        <v>19.850000000000001</v>
      </c>
      <c r="N1114" s="1186">
        <v>3.4</v>
      </c>
      <c r="O1114" s="1186">
        <v>22.36</v>
      </c>
      <c r="P1114" s="1186">
        <v>4.28</v>
      </c>
      <c r="Q1114" s="1186">
        <v>10.45</v>
      </c>
      <c r="R1114" s="1186">
        <v>1.92</v>
      </c>
      <c r="S1114" s="1186">
        <v>15.93</v>
      </c>
      <c r="T1114" s="1186">
        <v>2.5499999999999998</v>
      </c>
      <c r="U1114" s="1186">
        <v>17.93</v>
      </c>
      <c r="V1114" s="1186">
        <v>3.22</v>
      </c>
      <c r="W1114" s="1186"/>
      <c r="X1114" s="1186"/>
      <c r="Y1114" s="1186"/>
      <c r="Z1114" s="1186"/>
      <c r="AA1114" s="1186"/>
      <c r="AB1114" s="1186"/>
      <c r="AC1114" s="1186"/>
      <c r="AD1114" s="1187"/>
    </row>
    <row r="1115" spans="1:30" x14ac:dyDescent="0.2">
      <c r="A1115">
        <f t="shared" si="51"/>
        <v>28</v>
      </c>
      <c r="B1115">
        <v>1106</v>
      </c>
      <c r="C1115" s="1078">
        <v>2</v>
      </c>
      <c r="D1115" s="1077" t="s">
        <v>4551</v>
      </c>
      <c r="E1115" s="1077" t="s">
        <v>5099</v>
      </c>
      <c r="F1115" s="1185">
        <v>4</v>
      </c>
      <c r="G1115" s="1186">
        <v>10.63</v>
      </c>
      <c r="H1115" s="1186">
        <v>2.2999999999999998</v>
      </c>
      <c r="I1115" s="1186">
        <v>13.02</v>
      </c>
      <c r="J1115" s="1186">
        <v>2.5499999999999998</v>
      </c>
      <c r="K1115" s="1186">
        <v>14.59</v>
      </c>
      <c r="L1115" s="1186">
        <v>2.85</v>
      </c>
      <c r="M1115" s="1186">
        <v>19.850000000000001</v>
      </c>
      <c r="N1115" s="1186">
        <v>3.4</v>
      </c>
      <c r="O1115" s="1186">
        <v>22.36</v>
      </c>
      <c r="P1115" s="1186">
        <v>4.28</v>
      </c>
      <c r="Q1115" s="1186">
        <v>10.45</v>
      </c>
      <c r="R1115" s="1186">
        <v>1.92</v>
      </c>
      <c r="S1115" s="1186">
        <v>15.93</v>
      </c>
      <c r="T1115" s="1186">
        <v>2.5499999999999998</v>
      </c>
      <c r="U1115" s="1186">
        <v>17.93</v>
      </c>
      <c r="V1115" s="1186">
        <v>3.22</v>
      </c>
      <c r="W1115" s="1186"/>
      <c r="X1115" s="1186"/>
      <c r="Y1115" s="1186"/>
      <c r="Z1115" s="1186"/>
      <c r="AA1115" s="1186"/>
      <c r="AB1115" s="1186"/>
      <c r="AC1115" s="1186"/>
      <c r="AD1115" s="1187"/>
    </row>
    <row r="1116" spans="1:30" x14ac:dyDescent="0.2">
      <c r="A1116">
        <f t="shared" si="51"/>
        <v>28</v>
      </c>
      <c r="B1116">
        <v>1107</v>
      </c>
      <c r="C1116" s="1078">
        <v>2</v>
      </c>
      <c r="D1116" s="1077" t="s">
        <v>4551</v>
      </c>
      <c r="E1116" s="1077" t="s">
        <v>5106</v>
      </c>
      <c r="F1116" s="1185">
        <v>4</v>
      </c>
      <c r="G1116" s="1186">
        <v>10.63</v>
      </c>
      <c r="H1116" s="1186">
        <v>2.2999999999999998</v>
      </c>
      <c r="I1116" s="1186">
        <v>13.02</v>
      </c>
      <c r="J1116" s="1186">
        <v>2.5499999999999998</v>
      </c>
      <c r="K1116" s="1186">
        <v>14.59</v>
      </c>
      <c r="L1116" s="1186">
        <v>2.85</v>
      </c>
      <c r="M1116" s="1186">
        <v>19.850000000000001</v>
      </c>
      <c r="N1116" s="1186">
        <v>3.4</v>
      </c>
      <c r="O1116" s="1186">
        <v>22.36</v>
      </c>
      <c r="P1116" s="1186">
        <v>4.28</v>
      </c>
      <c r="Q1116" s="1186">
        <v>10.45</v>
      </c>
      <c r="R1116" s="1186">
        <v>1.92</v>
      </c>
      <c r="S1116" s="1186">
        <v>15.93</v>
      </c>
      <c r="T1116" s="1186">
        <v>2.5499999999999998</v>
      </c>
      <c r="U1116" s="1186">
        <v>17.93</v>
      </c>
      <c r="V1116" s="1186">
        <v>3.22</v>
      </c>
      <c r="W1116" s="1186"/>
      <c r="X1116" s="1186"/>
      <c r="Y1116" s="1186"/>
      <c r="Z1116" s="1186"/>
      <c r="AA1116" s="1186"/>
      <c r="AB1116" s="1186"/>
      <c r="AC1116" s="1186"/>
      <c r="AD1116" s="1187"/>
    </row>
    <row r="1117" spans="1:30" x14ac:dyDescent="0.2">
      <c r="A1117">
        <f t="shared" si="51"/>
        <v>28</v>
      </c>
      <c r="B1117">
        <v>1108</v>
      </c>
      <c r="C1117" s="1078">
        <v>2</v>
      </c>
      <c r="D1117" s="1077" t="s">
        <v>4551</v>
      </c>
      <c r="E1117" s="1077" t="s">
        <v>5107</v>
      </c>
      <c r="F1117" s="1185">
        <v>4</v>
      </c>
      <c r="G1117" s="1186">
        <v>10.63</v>
      </c>
      <c r="H1117" s="1186">
        <v>2.2999999999999998</v>
      </c>
      <c r="I1117" s="1186">
        <v>13.02</v>
      </c>
      <c r="J1117" s="1186">
        <v>2.5499999999999998</v>
      </c>
      <c r="K1117" s="1186">
        <v>14.59</v>
      </c>
      <c r="L1117" s="1186">
        <v>2.85</v>
      </c>
      <c r="M1117" s="1186">
        <v>19.850000000000001</v>
      </c>
      <c r="N1117" s="1186">
        <v>3.4</v>
      </c>
      <c r="O1117" s="1186">
        <v>22.36</v>
      </c>
      <c r="P1117" s="1186">
        <v>4.28</v>
      </c>
      <c r="Q1117" s="1186">
        <v>10.45</v>
      </c>
      <c r="R1117" s="1186">
        <v>1.92</v>
      </c>
      <c r="S1117" s="1186">
        <v>15.93</v>
      </c>
      <c r="T1117" s="1186">
        <v>2.5499999999999998</v>
      </c>
      <c r="U1117" s="1186">
        <v>17.93</v>
      </c>
      <c r="V1117" s="1186">
        <v>3.22</v>
      </c>
      <c r="W1117" s="1186"/>
      <c r="X1117" s="1186"/>
      <c r="Y1117" s="1186"/>
      <c r="Z1117" s="1186"/>
      <c r="AA1117" s="1186"/>
      <c r="AB1117" s="1186"/>
      <c r="AC1117" s="1186"/>
      <c r="AD1117" s="1187"/>
    </row>
    <row r="1118" spans="1:30" x14ac:dyDescent="0.2">
      <c r="A1118">
        <f t="shared" si="51"/>
        <v>28</v>
      </c>
      <c r="B1118">
        <v>1109</v>
      </c>
      <c r="C1118" s="1078">
        <v>4</v>
      </c>
      <c r="D1118" s="1077" t="s">
        <v>4551</v>
      </c>
      <c r="E1118" s="1077" t="s">
        <v>5114</v>
      </c>
      <c r="F1118" s="1185">
        <v>4</v>
      </c>
      <c r="G1118" s="1186"/>
      <c r="H1118" s="1186"/>
      <c r="I1118" s="1186"/>
      <c r="J1118" s="1186"/>
      <c r="K1118" s="1186"/>
      <c r="L1118" s="1186"/>
      <c r="M1118" s="1186"/>
      <c r="N1118" s="1186"/>
      <c r="O1118" s="1186"/>
      <c r="P1118" s="1186"/>
      <c r="Q1118" s="1186"/>
      <c r="R1118" s="1186"/>
      <c r="S1118" s="1186"/>
      <c r="T1118" s="1186"/>
      <c r="U1118" s="1186"/>
      <c r="V1118" s="1186"/>
      <c r="W1118" s="1186">
        <v>12.5</v>
      </c>
      <c r="X1118" s="1186">
        <v>4.7</v>
      </c>
      <c r="Y1118" s="1186">
        <v>11.2</v>
      </c>
      <c r="Z1118" s="1186">
        <v>2.6</v>
      </c>
      <c r="AA1118" s="1186">
        <v>16</v>
      </c>
      <c r="AB1118" s="1186">
        <v>4.9000000000000004</v>
      </c>
      <c r="AC1118" s="1186">
        <v>14.1</v>
      </c>
      <c r="AD1118" s="1187">
        <v>3.2</v>
      </c>
    </row>
    <row r="1119" spans="1:30" x14ac:dyDescent="0.2">
      <c r="A1119">
        <f t="shared" si="51"/>
        <v>28</v>
      </c>
      <c r="B1119">
        <v>1110</v>
      </c>
      <c r="C1119" s="1078">
        <v>4</v>
      </c>
      <c r="D1119" s="1077" t="s">
        <v>4551</v>
      </c>
      <c r="E1119" s="1077" t="s">
        <v>5115</v>
      </c>
      <c r="F1119" s="1185">
        <v>4</v>
      </c>
      <c r="G1119" s="1186"/>
      <c r="H1119" s="1186"/>
      <c r="I1119" s="1186"/>
      <c r="J1119" s="1186"/>
      <c r="K1119" s="1186"/>
      <c r="L1119" s="1186"/>
      <c r="M1119" s="1186"/>
      <c r="N1119" s="1186"/>
      <c r="O1119" s="1186"/>
      <c r="P1119" s="1186"/>
      <c r="Q1119" s="1186"/>
      <c r="R1119" s="1186"/>
      <c r="S1119" s="1186"/>
      <c r="T1119" s="1186"/>
      <c r="U1119" s="1186"/>
      <c r="V1119" s="1186"/>
      <c r="W1119" s="1186">
        <v>12.5</v>
      </c>
      <c r="X1119" s="1186">
        <v>4.7</v>
      </c>
      <c r="Y1119" s="1186">
        <v>11.2</v>
      </c>
      <c r="Z1119" s="1186">
        <v>2.6</v>
      </c>
      <c r="AA1119" s="1186">
        <v>16</v>
      </c>
      <c r="AB1119" s="1186">
        <v>4.9000000000000004</v>
      </c>
      <c r="AC1119" s="1186">
        <v>14.1</v>
      </c>
      <c r="AD1119" s="1187">
        <v>3.2</v>
      </c>
    </row>
    <row r="1120" spans="1:30" x14ac:dyDescent="0.2">
      <c r="A1120">
        <f t="shared" si="51"/>
        <v>28</v>
      </c>
      <c r="B1120">
        <v>1111</v>
      </c>
      <c r="C1120" s="1078">
        <v>4</v>
      </c>
      <c r="D1120" s="1077" t="s">
        <v>4551</v>
      </c>
      <c r="E1120" s="1077" t="s">
        <v>5116</v>
      </c>
      <c r="F1120" s="1185">
        <v>4</v>
      </c>
      <c r="G1120" s="1186"/>
      <c r="H1120" s="1186"/>
      <c r="I1120" s="1186"/>
      <c r="J1120" s="1186"/>
      <c r="K1120" s="1186"/>
      <c r="L1120" s="1186"/>
      <c r="M1120" s="1186"/>
      <c r="N1120" s="1186"/>
      <c r="O1120" s="1186"/>
      <c r="P1120" s="1186"/>
      <c r="Q1120" s="1186"/>
      <c r="R1120" s="1186"/>
      <c r="S1120" s="1186"/>
      <c r="T1120" s="1186"/>
      <c r="U1120" s="1186"/>
      <c r="V1120" s="1186"/>
      <c r="W1120" s="1186">
        <v>15.5</v>
      </c>
      <c r="X1120" s="1186">
        <v>4.8</v>
      </c>
      <c r="Y1120" s="1186">
        <v>14.1</v>
      </c>
      <c r="Z1120" s="1186">
        <v>2.5</v>
      </c>
      <c r="AA1120" s="1186">
        <v>20</v>
      </c>
      <c r="AB1120" s="1186">
        <v>5.8</v>
      </c>
      <c r="AC1120" s="1186">
        <v>17.899999999999999</v>
      </c>
      <c r="AD1120" s="1187">
        <v>3.2</v>
      </c>
    </row>
    <row r="1121" spans="1:30" x14ac:dyDescent="0.2">
      <c r="A1121">
        <f t="shared" si="51"/>
        <v>28</v>
      </c>
      <c r="B1121">
        <v>1112</v>
      </c>
      <c r="C1121" s="1078">
        <v>4</v>
      </c>
      <c r="D1121" s="1077" t="s">
        <v>4551</v>
      </c>
      <c r="E1121" s="1077" t="s">
        <v>5117</v>
      </c>
      <c r="F1121" s="1185">
        <v>4</v>
      </c>
      <c r="G1121" s="1186"/>
      <c r="H1121" s="1186"/>
      <c r="I1121" s="1186"/>
      <c r="J1121" s="1186"/>
      <c r="K1121" s="1186"/>
      <c r="L1121" s="1186"/>
      <c r="M1121" s="1186"/>
      <c r="N1121" s="1186"/>
      <c r="O1121" s="1186"/>
      <c r="P1121" s="1186"/>
      <c r="Q1121" s="1186"/>
      <c r="R1121" s="1186"/>
      <c r="S1121" s="1186"/>
      <c r="T1121" s="1186"/>
      <c r="U1121" s="1186"/>
      <c r="V1121" s="1186"/>
      <c r="W1121" s="1186">
        <v>15.5</v>
      </c>
      <c r="X1121" s="1186">
        <v>4.8</v>
      </c>
      <c r="Y1121" s="1186">
        <v>14.1</v>
      </c>
      <c r="Z1121" s="1186">
        <v>2.5</v>
      </c>
      <c r="AA1121" s="1186">
        <v>20</v>
      </c>
      <c r="AB1121" s="1186">
        <v>5.8</v>
      </c>
      <c r="AC1121" s="1186">
        <v>17.899999999999999</v>
      </c>
      <c r="AD1121" s="1187">
        <v>3.2</v>
      </c>
    </row>
    <row r="1122" spans="1:30" x14ac:dyDescent="0.2">
      <c r="A1122">
        <f t="shared" si="51"/>
        <v>28</v>
      </c>
      <c r="B1122">
        <v>1113</v>
      </c>
      <c r="C1122" s="1078">
        <v>4</v>
      </c>
      <c r="D1122" s="1077" t="s">
        <v>4551</v>
      </c>
      <c r="E1122" s="1077" t="s">
        <v>5118</v>
      </c>
      <c r="F1122" s="1185">
        <v>4</v>
      </c>
      <c r="G1122" s="1186"/>
      <c r="H1122" s="1186"/>
      <c r="I1122" s="1186"/>
      <c r="J1122" s="1186"/>
      <c r="K1122" s="1186"/>
      <c r="L1122" s="1186"/>
      <c r="M1122" s="1186"/>
      <c r="N1122" s="1186"/>
      <c r="O1122" s="1186"/>
      <c r="P1122" s="1186"/>
      <c r="Q1122" s="1186"/>
      <c r="R1122" s="1186"/>
      <c r="S1122" s="1186"/>
      <c r="T1122" s="1186"/>
      <c r="U1122" s="1186"/>
      <c r="V1122" s="1186"/>
      <c r="W1122" s="1186">
        <v>5.9</v>
      </c>
      <c r="X1122" s="1186">
        <v>4.5999999999999996</v>
      </c>
      <c r="Y1122" s="1186">
        <v>5.0999999999999996</v>
      </c>
      <c r="Z1122" s="1186">
        <v>2.7</v>
      </c>
      <c r="AA1122" s="1186">
        <v>8</v>
      </c>
      <c r="AB1122" s="1186">
        <v>5.8</v>
      </c>
      <c r="AC1122" s="1186">
        <v>6.9</v>
      </c>
      <c r="AD1122" s="1187">
        <v>3.3</v>
      </c>
    </row>
    <row r="1123" spans="1:30" x14ac:dyDescent="0.2">
      <c r="A1123">
        <f t="shared" si="51"/>
        <v>28</v>
      </c>
      <c r="B1123">
        <v>1114</v>
      </c>
      <c r="C1123" s="1078">
        <v>4</v>
      </c>
      <c r="D1123" s="1077" t="s">
        <v>4551</v>
      </c>
      <c r="E1123" s="1077" t="s">
        <v>5119</v>
      </c>
      <c r="F1123" s="1185">
        <v>4</v>
      </c>
      <c r="G1123" s="1186"/>
      <c r="H1123" s="1186"/>
      <c r="I1123" s="1186"/>
      <c r="J1123" s="1186"/>
      <c r="K1123" s="1186"/>
      <c r="L1123" s="1186"/>
      <c r="M1123" s="1186"/>
      <c r="N1123" s="1186"/>
      <c r="O1123" s="1186"/>
      <c r="P1123" s="1186"/>
      <c r="Q1123" s="1186"/>
      <c r="R1123" s="1186"/>
      <c r="S1123" s="1186"/>
      <c r="T1123" s="1186"/>
      <c r="U1123" s="1186"/>
      <c r="V1123" s="1186"/>
      <c r="W1123" s="1186">
        <v>5.9</v>
      </c>
      <c r="X1123" s="1186">
        <v>4.5999999999999996</v>
      </c>
      <c r="Y1123" s="1186">
        <v>5.0999999999999996</v>
      </c>
      <c r="Z1123" s="1186">
        <v>2.7</v>
      </c>
      <c r="AA1123" s="1186">
        <v>8</v>
      </c>
      <c r="AB1123" s="1186">
        <v>5.8</v>
      </c>
      <c r="AC1123" s="1186">
        <v>6.9</v>
      </c>
      <c r="AD1123" s="1187">
        <v>3.3</v>
      </c>
    </row>
    <row r="1124" spans="1:30" x14ac:dyDescent="0.2">
      <c r="A1124">
        <f t="shared" si="51"/>
        <v>28</v>
      </c>
      <c r="B1124">
        <v>1115</v>
      </c>
      <c r="C1124" s="1078">
        <v>4</v>
      </c>
      <c r="D1124" s="1077" t="s">
        <v>4551</v>
      </c>
      <c r="E1124" s="1077" t="s">
        <v>5120</v>
      </c>
      <c r="F1124" s="1185">
        <v>4</v>
      </c>
      <c r="G1124" s="1186"/>
      <c r="H1124" s="1186"/>
      <c r="I1124" s="1186"/>
      <c r="J1124" s="1186"/>
      <c r="K1124" s="1186"/>
      <c r="L1124" s="1186"/>
      <c r="M1124" s="1186"/>
      <c r="N1124" s="1186"/>
      <c r="O1124" s="1186"/>
      <c r="P1124" s="1186"/>
      <c r="Q1124" s="1186"/>
      <c r="R1124" s="1186"/>
      <c r="S1124" s="1186"/>
      <c r="T1124" s="1186"/>
      <c r="U1124" s="1186"/>
      <c r="V1124" s="1186"/>
      <c r="W1124" s="1186">
        <v>7.6</v>
      </c>
      <c r="X1124" s="1186">
        <v>4.5999999999999996</v>
      </c>
      <c r="Y1124" s="1186">
        <v>6.8</v>
      </c>
      <c r="Z1124" s="1186">
        <v>2.6</v>
      </c>
      <c r="AA1124" s="1186">
        <v>10.199999999999999</v>
      </c>
      <c r="AB1124" s="1186">
        <v>5.0999999999999996</v>
      </c>
      <c r="AC1124" s="1186">
        <v>9.1999999999999993</v>
      </c>
      <c r="AD1124" s="1187">
        <v>3.1</v>
      </c>
    </row>
    <row r="1125" spans="1:30" x14ac:dyDescent="0.2">
      <c r="A1125">
        <f t="shared" si="51"/>
        <v>28</v>
      </c>
      <c r="B1125">
        <v>1116</v>
      </c>
      <c r="C1125" s="1078">
        <v>4</v>
      </c>
      <c r="D1125" s="1077" t="s">
        <v>4551</v>
      </c>
      <c r="E1125" s="1077" t="s">
        <v>5121</v>
      </c>
      <c r="F1125" s="1185">
        <v>4</v>
      </c>
      <c r="G1125" s="1186"/>
      <c r="H1125" s="1186"/>
      <c r="I1125" s="1186"/>
      <c r="J1125" s="1186"/>
      <c r="K1125" s="1186"/>
      <c r="L1125" s="1186"/>
      <c r="M1125" s="1186"/>
      <c r="N1125" s="1186"/>
      <c r="O1125" s="1186"/>
      <c r="P1125" s="1186"/>
      <c r="Q1125" s="1186"/>
      <c r="R1125" s="1186"/>
      <c r="S1125" s="1186"/>
      <c r="T1125" s="1186"/>
      <c r="U1125" s="1186"/>
      <c r="V1125" s="1186"/>
      <c r="W1125" s="1186">
        <v>7.6</v>
      </c>
      <c r="X1125" s="1186">
        <v>4.5999999999999996</v>
      </c>
      <c r="Y1125" s="1186">
        <v>6.8</v>
      </c>
      <c r="Z1125" s="1186">
        <v>2.6</v>
      </c>
      <c r="AA1125" s="1186">
        <v>10.199999999999999</v>
      </c>
      <c r="AB1125" s="1186">
        <v>5.0999999999999996</v>
      </c>
      <c r="AC1125" s="1186">
        <v>9.1999999999999993</v>
      </c>
      <c r="AD1125" s="1187">
        <v>3.1</v>
      </c>
    </row>
    <row r="1126" spans="1:30" x14ac:dyDescent="0.2">
      <c r="A1126">
        <f t="shared" si="51"/>
        <v>29</v>
      </c>
      <c r="B1126">
        <v>1117</v>
      </c>
      <c r="C1126" s="1078">
        <v>2</v>
      </c>
      <c r="D1126" s="1077" t="s">
        <v>3340</v>
      </c>
      <c r="E1126" s="1077" t="s">
        <v>4200</v>
      </c>
      <c r="F1126" s="1185"/>
      <c r="G1126" s="1186"/>
      <c r="H1126" s="1186"/>
      <c r="I1126" s="1186">
        <v>4.2</v>
      </c>
      <c r="J1126" s="1186">
        <v>3.1</v>
      </c>
      <c r="K1126" s="1186">
        <v>4.8</v>
      </c>
      <c r="L1126" s="1186">
        <v>3.7</v>
      </c>
      <c r="M1126" s="1186">
        <v>6.5</v>
      </c>
      <c r="N1126" s="1186">
        <v>4.5</v>
      </c>
      <c r="O1126" s="1186"/>
      <c r="P1126" s="1186"/>
      <c r="Q1126" s="1186">
        <v>3.8</v>
      </c>
      <c r="R1126" s="1186">
        <v>1.9</v>
      </c>
      <c r="S1126" s="1186">
        <v>6.3</v>
      </c>
      <c r="T1126" s="1186">
        <v>2.9</v>
      </c>
      <c r="U1126" s="1186"/>
      <c r="V1126" s="1186"/>
      <c r="W1126" s="1186"/>
      <c r="X1126" s="1186"/>
      <c r="Y1126" s="1186"/>
      <c r="Z1126" s="1186"/>
      <c r="AA1126" s="1186"/>
      <c r="AB1126" s="1186"/>
      <c r="AC1126" s="1186"/>
      <c r="AD1126" s="1187">
        <v>4</v>
      </c>
    </row>
    <row r="1127" spans="1:30" x14ac:dyDescent="0.2">
      <c r="A1127">
        <f t="shared" si="51"/>
        <v>29</v>
      </c>
      <c r="B1127">
        <v>1118</v>
      </c>
      <c r="C1127" s="1078">
        <v>2</v>
      </c>
      <c r="D1127" s="1077" t="s">
        <v>3340</v>
      </c>
      <c r="E1127" s="1077" t="s">
        <v>4201</v>
      </c>
      <c r="F1127" s="1185"/>
      <c r="G1127" s="1186"/>
      <c r="H1127" s="1186"/>
      <c r="I1127" s="1186">
        <v>4.8</v>
      </c>
      <c r="J1127" s="1186">
        <v>3.4</v>
      </c>
      <c r="K1127" s="1186">
        <v>5.9</v>
      </c>
      <c r="L1127" s="1186">
        <v>4.0999999999999996</v>
      </c>
      <c r="M1127" s="1186">
        <v>6.3</v>
      </c>
      <c r="N1127" s="1186">
        <v>4.8</v>
      </c>
      <c r="O1127" s="1186"/>
      <c r="P1127" s="1186"/>
      <c r="Q1127" s="1186">
        <v>5.0999999999999996</v>
      </c>
      <c r="R1127" s="1186">
        <v>2.2999999999999998</v>
      </c>
      <c r="S1127" s="1186">
        <v>7.6</v>
      </c>
      <c r="T1127" s="1186">
        <v>3.4</v>
      </c>
      <c r="U1127" s="1186"/>
      <c r="V1127" s="1186"/>
      <c r="W1127" s="1186"/>
      <c r="X1127" s="1186"/>
      <c r="Y1127" s="1186"/>
      <c r="Z1127" s="1186"/>
      <c r="AA1127" s="1186"/>
      <c r="AB1127" s="1186"/>
      <c r="AC1127" s="1186"/>
      <c r="AD1127" s="1187">
        <v>4</v>
      </c>
    </row>
    <row r="1128" spans="1:30" x14ac:dyDescent="0.2">
      <c r="A1128">
        <f t="shared" si="51"/>
        <v>29</v>
      </c>
      <c r="B1128">
        <v>1119</v>
      </c>
      <c r="C1128" s="1078">
        <v>2</v>
      </c>
      <c r="D1128" s="1077" t="s">
        <v>3340</v>
      </c>
      <c r="E1128" s="1077" t="s">
        <v>4202</v>
      </c>
      <c r="F1128" s="1185"/>
      <c r="G1128" s="1186"/>
      <c r="H1128" s="1186"/>
      <c r="I1128" s="1186">
        <v>5.9</v>
      </c>
      <c r="J1128" s="1186">
        <v>2.8</v>
      </c>
      <c r="K1128" s="1186">
        <v>6</v>
      </c>
      <c r="L1128" s="1186">
        <v>3.8</v>
      </c>
      <c r="M1128" s="1186">
        <v>3.9</v>
      </c>
      <c r="N1128" s="1186">
        <v>4.5999999999999996</v>
      </c>
      <c r="O1128" s="1186"/>
      <c r="P1128" s="1186"/>
      <c r="Q1128" s="1186">
        <v>4.5999999999999996</v>
      </c>
      <c r="R1128" s="1186">
        <v>1.9</v>
      </c>
      <c r="S1128" s="1186">
        <v>3.5</v>
      </c>
      <c r="T1128" s="1186">
        <v>3.1</v>
      </c>
      <c r="U1128" s="1186"/>
      <c r="V1128" s="1186"/>
      <c r="W1128" s="1186"/>
      <c r="X1128" s="1186"/>
      <c r="Y1128" s="1186"/>
      <c r="Z1128" s="1186"/>
      <c r="AA1128" s="1186"/>
      <c r="AB1128" s="1186"/>
      <c r="AC1128" s="1186"/>
      <c r="AD1128" s="1187">
        <v>3.9</v>
      </c>
    </row>
    <row r="1129" spans="1:30" x14ac:dyDescent="0.2">
      <c r="A1129">
        <f t="shared" si="51"/>
        <v>29</v>
      </c>
      <c r="B1129">
        <v>1120</v>
      </c>
      <c r="C1129" s="1078">
        <v>2</v>
      </c>
      <c r="D1129" s="1077" t="s">
        <v>3340</v>
      </c>
      <c r="E1129" s="1077" t="s">
        <v>4203</v>
      </c>
      <c r="F1129" s="1185"/>
      <c r="G1129" s="1186"/>
      <c r="H1129" s="1186"/>
      <c r="I1129" s="1186">
        <v>9.1</v>
      </c>
      <c r="J1129" s="1186">
        <v>2.8</v>
      </c>
      <c r="K1129" s="1186">
        <v>7.1</v>
      </c>
      <c r="L1129" s="1186">
        <v>3.8</v>
      </c>
      <c r="M1129" s="1186">
        <v>5.2</v>
      </c>
      <c r="N1129" s="1186">
        <v>4.8</v>
      </c>
      <c r="O1129" s="1186"/>
      <c r="P1129" s="1186"/>
      <c r="Q1129" s="1186">
        <v>6</v>
      </c>
      <c r="R1129" s="1186">
        <v>2</v>
      </c>
      <c r="S1129" s="1186">
        <v>4.7</v>
      </c>
      <c r="T1129" s="1186">
        <v>3.1</v>
      </c>
      <c r="U1129" s="1186"/>
      <c r="V1129" s="1186"/>
      <c r="W1129" s="1186"/>
      <c r="X1129" s="1186"/>
      <c r="Y1129" s="1186"/>
      <c r="Z1129" s="1186"/>
      <c r="AA1129" s="1186"/>
      <c r="AB1129" s="1186"/>
      <c r="AC1129" s="1186"/>
      <c r="AD1129" s="1187">
        <v>3.9</v>
      </c>
    </row>
    <row r="1130" spans="1:30" x14ac:dyDescent="0.2">
      <c r="A1130">
        <f t="shared" si="51"/>
        <v>29</v>
      </c>
      <c r="B1130">
        <v>1121</v>
      </c>
      <c r="C1130" s="1078">
        <v>2</v>
      </c>
      <c r="D1130" s="1077" t="s">
        <v>3340</v>
      </c>
      <c r="E1130" s="1077" t="s">
        <v>4204</v>
      </c>
      <c r="F1130" s="1185"/>
      <c r="G1130" s="1186"/>
      <c r="H1130" s="1186"/>
      <c r="I1130" s="1186">
        <v>6.2</v>
      </c>
      <c r="J1130" s="1186">
        <v>3.1</v>
      </c>
      <c r="K1130" s="1186">
        <v>7.2</v>
      </c>
      <c r="L1130" s="1186">
        <v>3.7</v>
      </c>
      <c r="M1130" s="1186">
        <v>9.3000000000000007</v>
      </c>
      <c r="N1130" s="1186">
        <v>4.4000000000000004</v>
      </c>
      <c r="O1130" s="1186"/>
      <c r="P1130" s="1186"/>
      <c r="Q1130" s="1186">
        <v>4.9000000000000004</v>
      </c>
      <c r="R1130" s="1186">
        <v>1.8</v>
      </c>
      <c r="S1130" s="1186">
        <v>8.4</v>
      </c>
      <c r="T1130" s="1186">
        <v>2.8</v>
      </c>
      <c r="U1130" s="1186"/>
      <c r="V1130" s="1186"/>
      <c r="W1130" s="1186"/>
      <c r="X1130" s="1186"/>
      <c r="Y1130" s="1186"/>
      <c r="Z1130" s="1186"/>
      <c r="AA1130" s="1186"/>
      <c r="AB1130" s="1186"/>
      <c r="AC1130" s="1186"/>
      <c r="AD1130" s="1187">
        <v>3.8</v>
      </c>
    </row>
    <row r="1131" spans="1:30" x14ac:dyDescent="0.2">
      <c r="A1131">
        <f t="shared" si="51"/>
        <v>29</v>
      </c>
      <c r="B1131">
        <v>1122</v>
      </c>
      <c r="C1131" s="1078">
        <v>2</v>
      </c>
      <c r="D1131" s="1077" t="s">
        <v>3340</v>
      </c>
      <c r="E1131" s="1077" t="s">
        <v>4205</v>
      </c>
      <c r="F1131" s="1185"/>
      <c r="G1131" s="1186"/>
      <c r="H1131" s="1186"/>
      <c r="I1131" s="1186">
        <v>6.5</v>
      </c>
      <c r="J1131" s="1186">
        <v>3.3</v>
      </c>
      <c r="K1131" s="1186">
        <v>7.8</v>
      </c>
      <c r="L1131" s="1186">
        <v>3.9</v>
      </c>
      <c r="M1131" s="1186">
        <v>8.1</v>
      </c>
      <c r="N1131" s="1186">
        <v>4.5999999999999996</v>
      </c>
      <c r="O1131" s="1186"/>
      <c r="P1131" s="1186"/>
      <c r="Q1131" s="1186">
        <v>7.3</v>
      </c>
      <c r="R1131" s="1186">
        <v>2.2000000000000002</v>
      </c>
      <c r="S1131" s="1186">
        <v>10.3</v>
      </c>
      <c r="T1131" s="1186">
        <v>3.4</v>
      </c>
      <c r="U1131" s="1186"/>
      <c r="V1131" s="1186"/>
      <c r="W1131" s="1186"/>
      <c r="X1131" s="1186"/>
      <c r="Y1131" s="1186"/>
      <c r="Z1131" s="1186"/>
      <c r="AA1131" s="1186"/>
      <c r="AB1131" s="1186"/>
      <c r="AC1131" s="1186"/>
      <c r="AD1131" s="1187">
        <v>3.8</v>
      </c>
    </row>
    <row r="1132" spans="1:30" x14ac:dyDescent="0.2">
      <c r="A1132">
        <f t="shared" si="51"/>
        <v>29</v>
      </c>
      <c r="B1132">
        <v>1123</v>
      </c>
      <c r="C1132" s="1078">
        <v>2</v>
      </c>
      <c r="D1132" s="1077" t="s">
        <v>3340</v>
      </c>
      <c r="E1132" s="1077" t="s">
        <v>4206</v>
      </c>
      <c r="F1132" s="1185"/>
      <c r="G1132" s="1186"/>
      <c r="H1132" s="1186"/>
      <c r="I1132" s="1186">
        <v>7.4</v>
      </c>
      <c r="J1132" s="1186">
        <v>3.4</v>
      </c>
      <c r="K1132" s="1186">
        <v>8.9</v>
      </c>
      <c r="L1132" s="1186">
        <v>4.0999999999999996</v>
      </c>
      <c r="M1132" s="1186">
        <v>10.7</v>
      </c>
      <c r="N1132" s="1186">
        <v>4.7</v>
      </c>
      <c r="O1132" s="1186"/>
      <c r="P1132" s="1186"/>
      <c r="Q1132" s="1186">
        <v>6.7</v>
      </c>
      <c r="R1132" s="1186">
        <v>2.4</v>
      </c>
      <c r="S1132" s="1186">
        <v>9.8000000000000007</v>
      </c>
      <c r="T1132" s="1186">
        <v>3</v>
      </c>
      <c r="U1132" s="1186"/>
      <c r="V1132" s="1186"/>
      <c r="W1132" s="1186"/>
      <c r="X1132" s="1186"/>
      <c r="Y1132" s="1186"/>
      <c r="Z1132" s="1186"/>
      <c r="AA1132" s="1186"/>
      <c r="AB1132" s="1186"/>
      <c r="AC1132" s="1186"/>
      <c r="AD1132" s="1187">
        <v>3.7</v>
      </c>
    </row>
    <row r="1133" spans="1:30" x14ac:dyDescent="0.2">
      <c r="A1133">
        <f t="shared" si="51"/>
        <v>29</v>
      </c>
      <c r="B1133">
        <v>1124</v>
      </c>
      <c r="C1133" s="1078">
        <v>2</v>
      </c>
      <c r="D1133" s="1077" t="s">
        <v>3340</v>
      </c>
      <c r="E1133" s="1077" t="s">
        <v>4207</v>
      </c>
      <c r="F1133" s="1185"/>
      <c r="G1133" s="1186"/>
      <c r="H1133" s="1186"/>
      <c r="I1133" s="1186">
        <v>7.6</v>
      </c>
      <c r="J1133" s="1186">
        <v>3.5</v>
      </c>
      <c r="K1133" s="1186">
        <v>9.3000000000000007</v>
      </c>
      <c r="L1133" s="1186">
        <v>4.2</v>
      </c>
      <c r="M1133" s="1186">
        <v>10.5</v>
      </c>
      <c r="N1133" s="1186">
        <v>4.5999999999999996</v>
      </c>
      <c r="O1133" s="1186"/>
      <c r="P1133" s="1186"/>
      <c r="Q1133" s="1186">
        <v>8.1</v>
      </c>
      <c r="R1133" s="1186">
        <v>2.6</v>
      </c>
      <c r="S1133" s="1186">
        <v>10.7</v>
      </c>
      <c r="T1133" s="1186">
        <v>3.1</v>
      </c>
      <c r="U1133" s="1186"/>
      <c r="V1133" s="1186"/>
      <c r="W1133" s="1186"/>
      <c r="X1133" s="1186"/>
      <c r="Y1133" s="1186"/>
      <c r="Z1133" s="1186"/>
      <c r="AA1133" s="1186"/>
      <c r="AB1133" s="1186"/>
      <c r="AC1133" s="1186"/>
      <c r="AD1133" s="1187">
        <v>3.5</v>
      </c>
    </row>
    <row r="1134" spans="1:30" x14ac:dyDescent="0.2">
      <c r="A1134">
        <f t="shared" si="51"/>
        <v>29</v>
      </c>
      <c r="B1134">
        <v>1125</v>
      </c>
      <c r="C1134" s="1078">
        <v>2</v>
      </c>
      <c r="D1134" s="1077" t="s">
        <v>3340</v>
      </c>
      <c r="E1134" s="1077" t="s">
        <v>4208</v>
      </c>
      <c r="F1134" s="1185"/>
      <c r="G1134" s="1186"/>
      <c r="H1134" s="1186"/>
      <c r="I1134" s="1186">
        <v>10.8</v>
      </c>
      <c r="J1134" s="1186">
        <v>2.9</v>
      </c>
      <c r="K1134" s="1186">
        <v>9.6</v>
      </c>
      <c r="L1134" s="1186">
        <v>3.8</v>
      </c>
      <c r="M1134" s="1186">
        <v>7.2</v>
      </c>
      <c r="N1134" s="1186">
        <v>4.7</v>
      </c>
      <c r="O1134" s="1186"/>
      <c r="P1134" s="1186"/>
      <c r="Q1134" s="1186">
        <v>8.1</v>
      </c>
      <c r="R1134" s="1186">
        <v>2</v>
      </c>
      <c r="S1134" s="1186">
        <v>6</v>
      </c>
      <c r="T1134" s="1186">
        <v>2.9</v>
      </c>
      <c r="U1134" s="1186"/>
      <c r="V1134" s="1186"/>
      <c r="W1134" s="1186"/>
      <c r="X1134" s="1186"/>
      <c r="Y1134" s="1186"/>
      <c r="Z1134" s="1186"/>
      <c r="AA1134" s="1186"/>
      <c r="AB1134" s="1186"/>
      <c r="AC1134" s="1186"/>
      <c r="AD1134" s="1187"/>
    </row>
    <row r="1135" spans="1:30" x14ac:dyDescent="0.2">
      <c r="A1135">
        <f t="shared" si="51"/>
        <v>29</v>
      </c>
      <c r="B1135">
        <v>1126</v>
      </c>
      <c r="C1135" s="1078">
        <v>2</v>
      </c>
      <c r="D1135" s="1077" t="s">
        <v>3340</v>
      </c>
      <c r="E1135" s="1077" t="s">
        <v>4209</v>
      </c>
      <c r="F1135" s="1185"/>
      <c r="G1135" s="1186"/>
      <c r="H1135" s="1186"/>
      <c r="I1135" s="1186">
        <v>8.1</v>
      </c>
      <c r="J1135" s="1186">
        <v>3.2</v>
      </c>
      <c r="K1135" s="1186">
        <v>9.9</v>
      </c>
      <c r="L1135" s="1186">
        <v>3.9</v>
      </c>
      <c r="M1135" s="1186">
        <v>11.9</v>
      </c>
      <c r="N1135" s="1186">
        <v>4.5</v>
      </c>
      <c r="O1135" s="1186"/>
      <c r="P1135" s="1186"/>
      <c r="Q1135" s="1186">
        <v>7.6</v>
      </c>
      <c r="R1135" s="1186">
        <v>2.2999999999999998</v>
      </c>
      <c r="S1135" s="1186">
        <v>11.1</v>
      </c>
      <c r="T1135" s="1186">
        <v>2.9</v>
      </c>
      <c r="U1135" s="1186"/>
      <c r="V1135" s="1186"/>
      <c r="W1135" s="1186"/>
      <c r="X1135" s="1186"/>
      <c r="Y1135" s="1186"/>
      <c r="Z1135" s="1186"/>
      <c r="AA1135" s="1186"/>
      <c r="AB1135" s="1186"/>
      <c r="AC1135" s="1186"/>
      <c r="AD1135" s="1187"/>
    </row>
    <row r="1136" spans="1:30" x14ac:dyDescent="0.2">
      <c r="A1136">
        <f t="shared" si="51"/>
        <v>29</v>
      </c>
      <c r="B1136">
        <v>1127</v>
      </c>
      <c r="C1136" s="1078">
        <v>2</v>
      </c>
      <c r="D1136" s="1077" t="s">
        <v>3340</v>
      </c>
      <c r="E1136" s="1077" t="s">
        <v>4210</v>
      </c>
      <c r="F1136" s="1185"/>
      <c r="G1136" s="1186"/>
      <c r="H1136" s="1186"/>
      <c r="I1136" s="1186">
        <v>8.1</v>
      </c>
      <c r="J1136" s="1186">
        <v>3</v>
      </c>
      <c r="K1136" s="1186">
        <v>10.1</v>
      </c>
      <c r="L1136" s="1186">
        <v>3.7</v>
      </c>
      <c r="M1136" s="1186">
        <v>12</v>
      </c>
      <c r="N1136" s="1186">
        <v>4.4000000000000004</v>
      </c>
      <c r="O1136" s="1186"/>
      <c r="P1136" s="1186"/>
      <c r="Q1136" s="1186">
        <v>6.3</v>
      </c>
      <c r="R1136" s="1186">
        <v>1.8</v>
      </c>
      <c r="S1136" s="1186">
        <v>10.3</v>
      </c>
      <c r="T1136" s="1186">
        <v>2.7</v>
      </c>
      <c r="U1136" s="1186"/>
      <c r="V1136" s="1186"/>
      <c r="W1136" s="1186"/>
      <c r="X1136" s="1186"/>
      <c r="Y1136" s="1186"/>
      <c r="Z1136" s="1186"/>
      <c r="AA1136" s="1186"/>
      <c r="AB1136" s="1186"/>
      <c r="AC1136" s="1186"/>
      <c r="AD1136" s="1187"/>
    </row>
    <row r="1137" spans="1:30" x14ac:dyDescent="0.2">
      <c r="A1137">
        <f t="shared" si="51"/>
        <v>29</v>
      </c>
      <c r="B1137">
        <v>1128</v>
      </c>
      <c r="C1137" s="1078">
        <v>2</v>
      </c>
      <c r="D1137" s="1077" t="s">
        <v>3340</v>
      </c>
      <c r="E1137" s="1077" t="s">
        <v>4211</v>
      </c>
      <c r="F1137" s="1185"/>
      <c r="G1137" s="1186"/>
      <c r="H1137" s="1186"/>
      <c r="I1137" s="1186">
        <v>9.1999999999999993</v>
      </c>
      <c r="J1137" s="1186">
        <v>3</v>
      </c>
      <c r="K1137" s="1186">
        <v>11.5</v>
      </c>
      <c r="L1137" s="1186">
        <v>3.8</v>
      </c>
      <c r="M1137" s="1186">
        <v>13.7</v>
      </c>
      <c r="N1137" s="1186">
        <v>4.3</v>
      </c>
      <c r="O1137" s="1186"/>
      <c r="P1137" s="1186"/>
      <c r="Q1137" s="1186">
        <v>9.1</v>
      </c>
      <c r="R1137" s="1186">
        <v>2.4</v>
      </c>
      <c r="S1137" s="1186">
        <v>13.2</v>
      </c>
      <c r="T1137" s="1186">
        <v>2.8</v>
      </c>
      <c r="U1137" s="1186"/>
      <c r="V1137" s="1186"/>
      <c r="W1137" s="1186"/>
      <c r="X1137" s="1186"/>
      <c r="Y1137" s="1186"/>
      <c r="Z1137" s="1186"/>
      <c r="AA1137" s="1186"/>
      <c r="AB1137" s="1186"/>
      <c r="AC1137" s="1186"/>
      <c r="AD1137" s="1187"/>
    </row>
    <row r="1138" spans="1:30" x14ac:dyDescent="0.2">
      <c r="A1138">
        <f t="shared" si="51"/>
        <v>29</v>
      </c>
      <c r="B1138">
        <v>1129</v>
      </c>
      <c r="C1138" s="1078">
        <v>2</v>
      </c>
      <c r="D1138" s="1077" t="s">
        <v>3340</v>
      </c>
      <c r="E1138" s="1077" t="s">
        <v>4212</v>
      </c>
      <c r="F1138" s="1185"/>
      <c r="G1138" s="1186"/>
      <c r="H1138" s="1186"/>
      <c r="I1138" s="1186">
        <v>9.4</v>
      </c>
      <c r="J1138" s="1186">
        <v>3.1</v>
      </c>
      <c r="K1138" s="1186">
        <v>11.8</v>
      </c>
      <c r="L1138" s="1186">
        <v>3.8</v>
      </c>
      <c r="M1138" s="1186">
        <v>13.8</v>
      </c>
      <c r="N1138" s="1186">
        <v>4.4000000000000004</v>
      </c>
      <c r="O1138" s="1186"/>
      <c r="P1138" s="1186"/>
      <c r="Q1138" s="1186">
        <v>11</v>
      </c>
      <c r="R1138" s="1186">
        <v>2.6</v>
      </c>
      <c r="S1138" s="1186">
        <v>15.2</v>
      </c>
      <c r="T1138" s="1186">
        <v>3.2</v>
      </c>
      <c r="U1138" s="1186"/>
      <c r="V1138" s="1186"/>
      <c r="W1138" s="1186"/>
      <c r="X1138" s="1186"/>
      <c r="Y1138" s="1186"/>
      <c r="Z1138" s="1186"/>
      <c r="AA1138" s="1186"/>
      <c r="AB1138" s="1186"/>
      <c r="AC1138" s="1186"/>
      <c r="AD1138" s="1187"/>
    </row>
    <row r="1139" spans="1:30" x14ac:dyDescent="0.2">
      <c r="A1139">
        <f t="shared" si="51"/>
        <v>29</v>
      </c>
      <c r="B1139">
        <v>1130</v>
      </c>
      <c r="C1139" s="1078">
        <v>2</v>
      </c>
      <c r="D1139" s="1077" t="s">
        <v>3340</v>
      </c>
      <c r="E1139" s="1077" t="s">
        <v>4213</v>
      </c>
      <c r="F1139" s="1185"/>
      <c r="G1139" s="1186"/>
      <c r="H1139" s="1186"/>
      <c r="I1139" s="1186">
        <v>11.2</v>
      </c>
      <c r="J1139" s="1186">
        <v>3.6</v>
      </c>
      <c r="K1139" s="1186">
        <v>14</v>
      </c>
      <c r="L1139" s="1186">
        <v>4.4000000000000004</v>
      </c>
      <c r="M1139" s="1186">
        <v>15.5</v>
      </c>
      <c r="N1139" s="1186">
        <v>5</v>
      </c>
      <c r="O1139" s="1186"/>
      <c r="P1139" s="1186"/>
      <c r="Q1139" s="1186">
        <v>11.8</v>
      </c>
      <c r="R1139" s="1186">
        <v>2.6</v>
      </c>
      <c r="S1139" s="1186">
        <v>15.2</v>
      </c>
      <c r="T1139" s="1186">
        <v>3.4</v>
      </c>
      <c r="U1139" s="1186"/>
      <c r="V1139" s="1186"/>
      <c r="W1139" s="1186"/>
      <c r="X1139" s="1186"/>
      <c r="Y1139" s="1186"/>
      <c r="Z1139" s="1186"/>
      <c r="AA1139" s="1186"/>
      <c r="AB1139" s="1186"/>
      <c r="AC1139" s="1186"/>
      <c r="AD1139" s="1187"/>
    </row>
    <row r="1140" spans="1:30" x14ac:dyDescent="0.2">
      <c r="A1140">
        <f t="shared" si="51"/>
        <v>29</v>
      </c>
      <c r="B1140">
        <v>1131</v>
      </c>
      <c r="C1140" s="1078">
        <v>2</v>
      </c>
      <c r="D1140" s="1077" t="s">
        <v>3340</v>
      </c>
      <c r="E1140" s="1077" t="s">
        <v>4214</v>
      </c>
      <c r="F1140" s="1185"/>
      <c r="G1140" s="1186"/>
      <c r="H1140" s="1186"/>
      <c r="I1140" s="1186">
        <v>12.8</v>
      </c>
      <c r="J1140" s="1186">
        <v>3</v>
      </c>
      <c r="K1140" s="1186">
        <v>15.4</v>
      </c>
      <c r="L1140" s="1186">
        <v>3.5</v>
      </c>
      <c r="M1140" s="1186">
        <v>17.7</v>
      </c>
      <c r="N1140" s="1186">
        <v>4</v>
      </c>
      <c r="O1140" s="1186"/>
      <c r="P1140" s="1186"/>
      <c r="Q1140" s="1186">
        <v>15.2</v>
      </c>
      <c r="R1140" s="1186">
        <v>2.5</v>
      </c>
      <c r="S1140" s="1186">
        <v>19</v>
      </c>
      <c r="T1140" s="1186">
        <v>2.9</v>
      </c>
      <c r="U1140" s="1186"/>
      <c r="V1140" s="1186"/>
      <c r="W1140" s="1186"/>
      <c r="X1140" s="1186"/>
      <c r="Y1140" s="1186"/>
      <c r="Z1140" s="1186"/>
      <c r="AA1140" s="1186"/>
      <c r="AB1140" s="1186"/>
      <c r="AC1140" s="1186"/>
      <c r="AD1140" s="1187"/>
    </row>
    <row r="1141" spans="1:30" x14ac:dyDescent="0.2">
      <c r="A1141">
        <f t="shared" si="51"/>
        <v>29</v>
      </c>
      <c r="B1141">
        <v>1132</v>
      </c>
      <c r="C1141" s="1078">
        <v>2</v>
      </c>
      <c r="D1141" s="1077" t="s">
        <v>3340</v>
      </c>
      <c r="E1141" s="1077" t="s">
        <v>4215</v>
      </c>
      <c r="F1141" s="1185"/>
      <c r="G1141" s="1186"/>
      <c r="H1141" s="1186"/>
      <c r="I1141" s="1186">
        <v>12.7</v>
      </c>
      <c r="J1141" s="1186">
        <v>3.1</v>
      </c>
      <c r="K1141" s="1186">
        <v>16.3</v>
      </c>
      <c r="L1141" s="1186">
        <v>3.8</v>
      </c>
      <c r="M1141" s="1186">
        <v>18.600000000000001</v>
      </c>
      <c r="N1141" s="1186">
        <v>4.3</v>
      </c>
      <c r="O1141" s="1186"/>
      <c r="P1141" s="1186"/>
      <c r="Q1141" s="1186">
        <v>11.6</v>
      </c>
      <c r="R1141" s="1186">
        <v>2.2999999999999998</v>
      </c>
      <c r="S1141" s="1186">
        <v>16.600000000000001</v>
      </c>
      <c r="T1141" s="1186">
        <v>2.7</v>
      </c>
      <c r="U1141" s="1186"/>
      <c r="V1141" s="1186"/>
      <c r="W1141" s="1186"/>
      <c r="X1141" s="1186"/>
      <c r="Y1141" s="1186"/>
      <c r="Z1141" s="1186"/>
      <c r="AA1141" s="1186"/>
      <c r="AB1141" s="1186"/>
      <c r="AC1141" s="1186"/>
      <c r="AD1141" s="1187"/>
    </row>
    <row r="1142" spans="1:30" x14ac:dyDescent="0.2">
      <c r="A1142">
        <f t="shared" si="51"/>
        <v>29</v>
      </c>
      <c r="B1142">
        <v>1133</v>
      </c>
      <c r="C1142" s="1078">
        <v>2</v>
      </c>
      <c r="D1142" s="1077" t="s">
        <v>3340</v>
      </c>
      <c r="E1142" s="1077" t="s">
        <v>4216</v>
      </c>
      <c r="F1142" s="1185"/>
      <c r="G1142" s="1186"/>
      <c r="H1142" s="1186"/>
      <c r="I1142" s="1186">
        <v>14.2</v>
      </c>
      <c r="J1142" s="1186">
        <v>3.1</v>
      </c>
      <c r="K1142" s="1186">
        <v>18.600000000000001</v>
      </c>
      <c r="L1142" s="1186">
        <v>3.8</v>
      </c>
      <c r="M1142" s="1186">
        <v>21.9</v>
      </c>
      <c r="N1142" s="1186">
        <v>4.3</v>
      </c>
      <c r="O1142" s="1186"/>
      <c r="P1142" s="1186"/>
      <c r="Q1142" s="1186">
        <v>14</v>
      </c>
      <c r="R1142" s="1186">
        <v>2.2999999999999998</v>
      </c>
      <c r="S1142" s="1186">
        <v>20.8</v>
      </c>
      <c r="T1142" s="1186">
        <v>2.8</v>
      </c>
      <c r="U1142" s="1186"/>
      <c r="V1142" s="1186"/>
      <c r="W1142" s="1186"/>
      <c r="X1142" s="1186"/>
      <c r="Y1142" s="1186"/>
      <c r="Z1142" s="1186"/>
      <c r="AA1142" s="1186"/>
      <c r="AB1142" s="1186"/>
      <c r="AC1142" s="1186"/>
      <c r="AD1142" s="1187"/>
    </row>
    <row r="1143" spans="1:30" x14ac:dyDescent="0.2">
      <c r="A1143">
        <f t="shared" si="51"/>
        <v>29</v>
      </c>
      <c r="B1143">
        <v>1134</v>
      </c>
      <c r="C1143" s="1078">
        <v>2</v>
      </c>
      <c r="D1143" s="1077" t="s">
        <v>3340</v>
      </c>
      <c r="E1143" s="1077" t="s">
        <v>4217</v>
      </c>
      <c r="F1143" s="1185"/>
      <c r="G1143" s="1186"/>
      <c r="H1143" s="1186"/>
      <c r="I1143" s="1186">
        <v>15.6</v>
      </c>
      <c r="J1143" s="1186">
        <v>3.5</v>
      </c>
      <c r="K1143" s="1186">
        <v>18.7</v>
      </c>
      <c r="L1143" s="1186">
        <v>4.2</v>
      </c>
      <c r="M1143" s="1186">
        <v>20.8</v>
      </c>
      <c r="N1143" s="1186">
        <v>4.5999999999999996</v>
      </c>
      <c r="O1143" s="1186"/>
      <c r="P1143" s="1186"/>
      <c r="Q1143" s="1186">
        <v>16.5</v>
      </c>
      <c r="R1143" s="1186">
        <v>2.5</v>
      </c>
      <c r="S1143" s="1186">
        <v>21.6</v>
      </c>
      <c r="T1143" s="1186">
        <v>3.2</v>
      </c>
      <c r="U1143" s="1186"/>
      <c r="V1143" s="1186"/>
      <c r="W1143" s="1186"/>
      <c r="X1143" s="1186"/>
      <c r="Y1143" s="1186"/>
      <c r="Z1143" s="1186"/>
      <c r="AA1143" s="1186"/>
      <c r="AB1143" s="1186"/>
      <c r="AC1143" s="1186"/>
      <c r="AD1143" s="1187"/>
    </row>
    <row r="1144" spans="1:30" x14ac:dyDescent="0.2">
      <c r="A1144">
        <f t="shared" si="51"/>
        <v>29</v>
      </c>
      <c r="B1144">
        <v>1135</v>
      </c>
      <c r="C1144" s="1078">
        <v>2</v>
      </c>
      <c r="D1144" s="1077" t="s">
        <v>3340</v>
      </c>
      <c r="E1144" s="1077" t="s">
        <v>4218</v>
      </c>
      <c r="F1144" s="1185"/>
      <c r="G1144" s="1186"/>
      <c r="H1144" s="1186"/>
      <c r="I1144" s="1186">
        <v>25.4</v>
      </c>
      <c r="J1144" s="1186">
        <v>3.1</v>
      </c>
      <c r="K1144" s="1186">
        <v>23.6</v>
      </c>
      <c r="L1144" s="1186">
        <v>3.8</v>
      </c>
      <c r="M1144" s="1186">
        <v>37.299999999999997</v>
      </c>
      <c r="N1144" s="1186">
        <v>4.3</v>
      </c>
      <c r="O1144" s="1186"/>
      <c r="P1144" s="1186"/>
      <c r="Q1144" s="1186">
        <v>23.2</v>
      </c>
      <c r="R1144" s="1186">
        <v>2.2999999999999998</v>
      </c>
      <c r="S1144" s="1186">
        <v>33.200000000000003</v>
      </c>
      <c r="T1144" s="1186">
        <v>2.7</v>
      </c>
      <c r="U1144" s="1186"/>
      <c r="V1144" s="1186"/>
      <c r="W1144" s="1186"/>
      <c r="X1144" s="1186"/>
      <c r="Y1144" s="1186"/>
      <c r="Z1144" s="1186"/>
      <c r="AA1144" s="1186"/>
      <c r="AB1144" s="1186"/>
      <c r="AC1144" s="1186"/>
      <c r="AD1144" s="1187"/>
    </row>
    <row r="1145" spans="1:30" x14ac:dyDescent="0.2">
      <c r="A1145">
        <f t="shared" si="51"/>
        <v>29</v>
      </c>
      <c r="B1145">
        <v>1136</v>
      </c>
      <c r="C1145" s="1078">
        <v>2</v>
      </c>
      <c r="D1145" s="1077" t="s">
        <v>3340</v>
      </c>
      <c r="E1145" s="1077" t="s">
        <v>4219</v>
      </c>
      <c r="F1145" s="1185"/>
      <c r="G1145" s="1186"/>
      <c r="H1145" s="1186"/>
      <c r="I1145" s="1186">
        <v>18.899999999999999</v>
      </c>
      <c r="J1145" s="1186">
        <v>3.1</v>
      </c>
      <c r="K1145" s="1186">
        <v>24.5</v>
      </c>
      <c r="L1145" s="1186">
        <v>3.7</v>
      </c>
      <c r="M1145" s="1186">
        <v>28.9</v>
      </c>
      <c r="N1145" s="1186">
        <v>4.2</v>
      </c>
      <c r="O1145" s="1186"/>
      <c r="P1145" s="1186"/>
      <c r="Q1145" s="1186">
        <v>17.600000000000001</v>
      </c>
      <c r="R1145" s="1186">
        <v>2.2999999999999998</v>
      </c>
      <c r="S1145" s="1186">
        <v>27.8</v>
      </c>
      <c r="T1145" s="1186">
        <v>2.9</v>
      </c>
      <c r="U1145" s="1186"/>
      <c r="V1145" s="1186"/>
      <c r="W1145" s="1186"/>
      <c r="X1145" s="1186"/>
      <c r="Y1145" s="1186"/>
      <c r="Z1145" s="1186"/>
      <c r="AA1145" s="1186"/>
      <c r="AB1145" s="1186"/>
      <c r="AC1145" s="1186"/>
      <c r="AD1145" s="1187"/>
    </row>
    <row r="1146" spans="1:30" x14ac:dyDescent="0.2">
      <c r="A1146">
        <f t="shared" si="51"/>
        <v>29</v>
      </c>
      <c r="B1146">
        <v>1137</v>
      </c>
      <c r="C1146" s="1078">
        <v>2</v>
      </c>
      <c r="D1146" s="1077" t="s">
        <v>3340</v>
      </c>
      <c r="E1146" s="1077" t="s">
        <v>4220</v>
      </c>
      <c r="F1146" s="1185"/>
      <c r="G1146" s="1186"/>
      <c r="H1146" s="1186"/>
      <c r="I1146" s="1186">
        <v>25.6</v>
      </c>
      <c r="J1146" s="1186">
        <v>3.5</v>
      </c>
      <c r="K1146" s="1186">
        <v>29.8</v>
      </c>
      <c r="L1146" s="1186">
        <v>4</v>
      </c>
      <c r="M1146" s="1186">
        <v>32.9</v>
      </c>
      <c r="N1146" s="1186">
        <v>4.4000000000000004</v>
      </c>
      <c r="O1146" s="1186"/>
      <c r="P1146" s="1186"/>
      <c r="Q1146" s="1186">
        <v>27.5</v>
      </c>
      <c r="R1146" s="1186">
        <v>2.5</v>
      </c>
      <c r="S1146" s="1186">
        <v>34.6</v>
      </c>
      <c r="T1146" s="1186">
        <v>3.2</v>
      </c>
      <c r="U1146" s="1186"/>
      <c r="V1146" s="1186"/>
      <c r="W1146" s="1186"/>
      <c r="X1146" s="1186"/>
      <c r="Y1146" s="1186"/>
      <c r="Z1146" s="1186"/>
      <c r="AA1146" s="1186"/>
      <c r="AB1146" s="1186"/>
      <c r="AC1146" s="1186"/>
      <c r="AD1146" s="1187"/>
    </row>
    <row r="1147" spans="1:30" x14ac:dyDescent="0.2">
      <c r="A1147">
        <f t="shared" si="51"/>
        <v>29</v>
      </c>
      <c r="B1147">
        <v>1138</v>
      </c>
      <c r="C1147" s="1078">
        <v>2</v>
      </c>
      <c r="D1147" s="1077" t="s">
        <v>3340</v>
      </c>
      <c r="E1147" s="1077" t="s">
        <v>4221</v>
      </c>
      <c r="F1147" s="1185"/>
      <c r="G1147" s="1186"/>
      <c r="H1147" s="1186"/>
      <c r="I1147" s="1186">
        <v>28.5</v>
      </c>
      <c r="J1147" s="1186">
        <v>3.1</v>
      </c>
      <c r="K1147" s="1186">
        <v>37.200000000000003</v>
      </c>
      <c r="L1147" s="1186">
        <v>3.8</v>
      </c>
      <c r="M1147" s="1186">
        <v>43.8</v>
      </c>
      <c r="N1147" s="1186">
        <v>4.3</v>
      </c>
      <c r="O1147" s="1186"/>
      <c r="P1147" s="1186"/>
      <c r="Q1147" s="1186">
        <v>28</v>
      </c>
      <c r="R1147" s="1186">
        <v>2.2999999999999998</v>
      </c>
      <c r="S1147" s="1186">
        <v>41.6</v>
      </c>
      <c r="T1147" s="1186">
        <v>2.8</v>
      </c>
      <c r="U1147" s="1186"/>
      <c r="V1147" s="1186"/>
      <c r="W1147" s="1186"/>
      <c r="X1147" s="1186"/>
      <c r="Y1147" s="1186"/>
      <c r="Z1147" s="1186"/>
      <c r="AA1147" s="1186"/>
      <c r="AB1147" s="1186"/>
      <c r="AC1147" s="1186"/>
      <c r="AD1147" s="1187"/>
    </row>
    <row r="1148" spans="1:30" x14ac:dyDescent="0.2">
      <c r="A1148">
        <f t="shared" si="51"/>
        <v>29</v>
      </c>
      <c r="B1148">
        <v>1139</v>
      </c>
      <c r="C1148" s="1078">
        <v>3</v>
      </c>
      <c r="D1148" s="1077" t="s">
        <v>3340</v>
      </c>
      <c r="E1148" s="1077" t="s">
        <v>4222</v>
      </c>
      <c r="F1148" s="1185">
        <v>4</v>
      </c>
      <c r="G1148" s="1186"/>
      <c r="H1148" s="1186"/>
      <c r="I1148" s="1186"/>
      <c r="J1148" s="1186"/>
      <c r="K1148" s="1186"/>
      <c r="L1148" s="1186"/>
      <c r="M1148" s="1186"/>
      <c r="N1148" s="1186"/>
      <c r="O1148" s="1186"/>
      <c r="P1148" s="1186"/>
      <c r="Q1148" s="1186"/>
      <c r="R1148" s="1186"/>
      <c r="S1148" s="1186"/>
      <c r="T1148" s="1186"/>
      <c r="U1148" s="1186"/>
      <c r="V1148" s="1186"/>
      <c r="W1148" s="1186">
        <v>3.3</v>
      </c>
      <c r="X1148" s="1186">
        <v>4.9000000000000004</v>
      </c>
      <c r="Y1148" s="1186">
        <v>3</v>
      </c>
      <c r="Z1148" s="1186">
        <v>3.1</v>
      </c>
      <c r="AA1148" s="1186">
        <v>4.5</v>
      </c>
      <c r="AB1148" s="1186">
        <v>6.6</v>
      </c>
      <c r="AC1148" s="1186">
        <v>4</v>
      </c>
      <c r="AD1148" s="1187"/>
    </row>
    <row r="1149" spans="1:30" x14ac:dyDescent="0.2">
      <c r="A1149">
        <f t="shared" si="51"/>
        <v>29</v>
      </c>
      <c r="B1149">
        <v>1140</v>
      </c>
      <c r="C1149" s="1078">
        <v>3</v>
      </c>
      <c r="D1149" s="1077" t="s">
        <v>3340</v>
      </c>
      <c r="E1149" s="1077" t="s">
        <v>4223</v>
      </c>
      <c r="F1149" s="1185">
        <v>4</v>
      </c>
      <c r="G1149" s="1186"/>
      <c r="H1149" s="1186"/>
      <c r="I1149" s="1186"/>
      <c r="J1149" s="1186"/>
      <c r="K1149" s="1186"/>
      <c r="L1149" s="1186"/>
      <c r="M1149" s="1186"/>
      <c r="N1149" s="1186"/>
      <c r="O1149" s="1186"/>
      <c r="P1149" s="1186"/>
      <c r="Q1149" s="1186"/>
      <c r="R1149" s="1186"/>
      <c r="S1149" s="1186"/>
      <c r="T1149" s="1186"/>
      <c r="U1149" s="1186"/>
      <c r="V1149" s="1186"/>
      <c r="W1149" s="1186">
        <v>3.3</v>
      </c>
      <c r="X1149" s="1186">
        <v>4.9000000000000004</v>
      </c>
      <c r="Y1149" s="1186">
        <v>3</v>
      </c>
      <c r="Z1149" s="1186">
        <v>3.1</v>
      </c>
      <c r="AA1149" s="1186">
        <v>4.5</v>
      </c>
      <c r="AB1149" s="1186">
        <v>6.6</v>
      </c>
      <c r="AC1149" s="1186">
        <v>4</v>
      </c>
      <c r="AD1149" s="1187"/>
    </row>
    <row r="1150" spans="1:30" x14ac:dyDescent="0.2">
      <c r="A1150">
        <f t="shared" si="51"/>
        <v>29</v>
      </c>
      <c r="B1150">
        <v>1141</v>
      </c>
      <c r="C1150" s="1078">
        <v>3</v>
      </c>
      <c r="D1150" s="1077" t="s">
        <v>3340</v>
      </c>
      <c r="E1150" s="1077" t="s">
        <v>4224</v>
      </c>
      <c r="F1150" s="1185">
        <v>1</v>
      </c>
      <c r="G1150" s="1186"/>
      <c r="H1150" s="1186"/>
      <c r="I1150" s="1186"/>
      <c r="J1150" s="1186"/>
      <c r="K1150" s="1186"/>
      <c r="L1150" s="1186"/>
      <c r="M1150" s="1186"/>
      <c r="N1150" s="1186"/>
      <c r="O1150" s="1186"/>
      <c r="P1150" s="1186"/>
      <c r="Q1150" s="1186"/>
      <c r="R1150" s="1186"/>
      <c r="S1150" s="1186"/>
      <c r="T1150" s="1186"/>
      <c r="U1150" s="1186"/>
      <c r="V1150" s="1186"/>
      <c r="W1150" s="1186">
        <v>4.7</v>
      </c>
      <c r="X1150" s="1186">
        <v>4.3</v>
      </c>
      <c r="Y1150" s="1186">
        <v>3.6</v>
      </c>
      <c r="Z1150" s="1186">
        <v>2.8</v>
      </c>
      <c r="AA1150" s="1186">
        <v>6.5</v>
      </c>
      <c r="AB1150" s="1186">
        <v>5.6</v>
      </c>
      <c r="AC1150" s="1186">
        <v>5.2</v>
      </c>
      <c r="AD1150" s="1187"/>
    </row>
    <row r="1151" spans="1:30" x14ac:dyDescent="0.2">
      <c r="A1151">
        <f t="shared" si="51"/>
        <v>29</v>
      </c>
      <c r="B1151">
        <v>1142</v>
      </c>
      <c r="C1151" s="1078">
        <v>3</v>
      </c>
      <c r="D1151" s="1077" t="s">
        <v>3340</v>
      </c>
      <c r="E1151" s="1077" t="s">
        <v>4225</v>
      </c>
      <c r="F1151" s="1185">
        <v>1</v>
      </c>
      <c r="G1151" s="1186"/>
      <c r="H1151" s="1186"/>
      <c r="I1151" s="1186"/>
      <c r="J1151" s="1186"/>
      <c r="K1151" s="1186"/>
      <c r="L1151" s="1186"/>
      <c r="M1151" s="1186"/>
      <c r="N1151" s="1186"/>
      <c r="O1151" s="1186"/>
      <c r="P1151" s="1186"/>
      <c r="Q1151" s="1186"/>
      <c r="R1151" s="1186"/>
      <c r="S1151" s="1186"/>
      <c r="T1151" s="1186"/>
      <c r="U1151" s="1186"/>
      <c r="V1151" s="1186"/>
      <c r="W1151" s="1186">
        <v>4.7</v>
      </c>
      <c r="X1151" s="1186">
        <v>4.3</v>
      </c>
      <c r="Y1151" s="1186">
        <v>3.6</v>
      </c>
      <c r="Z1151" s="1186">
        <v>2.8</v>
      </c>
      <c r="AA1151" s="1186">
        <v>6.5</v>
      </c>
      <c r="AB1151" s="1186">
        <v>5.6</v>
      </c>
      <c r="AC1151" s="1186">
        <v>5.2</v>
      </c>
      <c r="AD1151" s="1187"/>
    </row>
    <row r="1152" spans="1:30" x14ac:dyDescent="0.2">
      <c r="A1152">
        <f t="shared" si="51"/>
        <v>29</v>
      </c>
      <c r="B1152">
        <v>1143</v>
      </c>
      <c r="C1152" s="1078">
        <v>3</v>
      </c>
      <c r="D1152" s="1077" t="s">
        <v>3340</v>
      </c>
      <c r="E1152" s="1077" t="s">
        <v>4226</v>
      </c>
      <c r="F1152" s="1185">
        <v>1</v>
      </c>
      <c r="G1152" s="1186"/>
      <c r="H1152" s="1186"/>
      <c r="I1152" s="1186"/>
      <c r="J1152" s="1186"/>
      <c r="K1152" s="1186"/>
      <c r="L1152" s="1186"/>
      <c r="M1152" s="1186"/>
      <c r="N1152" s="1186"/>
      <c r="O1152" s="1186"/>
      <c r="P1152" s="1186"/>
      <c r="Q1152" s="1186"/>
      <c r="R1152" s="1186"/>
      <c r="S1152" s="1186"/>
      <c r="T1152" s="1186"/>
      <c r="U1152" s="1186"/>
      <c r="V1152" s="1186"/>
      <c r="W1152" s="1186">
        <v>6.1</v>
      </c>
      <c r="X1152" s="1186">
        <v>4.5999999999999996</v>
      </c>
      <c r="Y1152" s="1186">
        <v>4.8</v>
      </c>
      <c r="Z1152" s="1186">
        <v>3.1</v>
      </c>
      <c r="AA1152" s="1186">
        <v>7.7</v>
      </c>
      <c r="AB1152" s="1186">
        <v>5.6</v>
      </c>
      <c r="AC1152" s="1186">
        <v>6.9</v>
      </c>
      <c r="AD1152" s="1187"/>
    </row>
    <row r="1153" spans="1:30" x14ac:dyDescent="0.2">
      <c r="A1153">
        <f t="shared" si="51"/>
        <v>29</v>
      </c>
      <c r="B1153">
        <v>1144</v>
      </c>
      <c r="C1153" s="1078">
        <v>3</v>
      </c>
      <c r="D1153" s="1077" t="s">
        <v>3340</v>
      </c>
      <c r="E1153" s="1077" t="s">
        <v>4227</v>
      </c>
      <c r="F1153" s="1185">
        <v>1</v>
      </c>
      <c r="G1153" s="1186"/>
      <c r="H1153" s="1186"/>
      <c r="I1153" s="1186"/>
      <c r="J1153" s="1186"/>
      <c r="K1153" s="1186"/>
      <c r="L1153" s="1186"/>
      <c r="M1153" s="1186"/>
      <c r="N1153" s="1186"/>
      <c r="O1153" s="1186"/>
      <c r="P1153" s="1186"/>
      <c r="Q1153" s="1186"/>
      <c r="R1153" s="1186"/>
      <c r="S1153" s="1186"/>
      <c r="T1153" s="1186"/>
      <c r="U1153" s="1186"/>
      <c r="V1153" s="1186"/>
      <c r="W1153" s="1186">
        <v>6.1</v>
      </c>
      <c r="X1153" s="1186">
        <v>4.5999999999999996</v>
      </c>
      <c r="Y1153" s="1186">
        <v>4.8</v>
      </c>
      <c r="Z1153" s="1186">
        <v>3.1</v>
      </c>
      <c r="AA1153" s="1186">
        <v>7.7</v>
      </c>
      <c r="AB1153" s="1186">
        <v>5.5</v>
      </c>
      <c r="AC1153" s="1186">
        <v>6.9</v>
      </c>
      <c r="AD1153" s="1187"/>
    </row>
    <row r="1154" spans="1:30" x14ac:dyDescent="0.2">
      <c r="A1154">
        <f t="shared" si="51"/>
        <v>29</v>
      </c>
      <c r="B1154">
        <v>1145</v>
      </c>
      <c r="C1154" s="1078">
        <v>3</v>
      </c>
      <c r="D1154" s="1077" t="s">
        <v>3340</v>
      </c>
      <c r="E1154" s="1077" t="s">
        <v>4228</v>
      </c>
      <c r="F1154" s="1185">
        <v>1</v>
      </c>
      <c r="G1154" s="1186"/>
      <c r="H1154" s="1186"/>
      <c r="I1154" s="1186"/>
      <c r="J1154" s="1186"/>
      <c r="K1154" s="1186"/>
      <c r="L1154" s="1186"/>
      <c r="M1154" s="1186"/>
      <c r="N1154" s="1186"/>
      <c r="O1154" s="1186"/>
      <c r="P1154" s="1186"/>
      <c r="Q1154" s="1186"/>
      <c r="R1154" s="1186"/>
      <c r="S1154" s="1186"/>
      <c r="T1154" s="1186"/>
      <c r="U1154" s="1186"/>
      <c r="V1154" s="1186"/>
      <c r="W1154" s="1186">
        <v>8.1</v>
      </c>
      <c r="X1154" s="1186">
        <v>4.8</v>
      </c>
      <c r="Y1154" s="1186">
        <v>6.3</v>
      </c>
      <c r="Z1154" s="1186">
        <v>3.2</v>
      </c>
      <c r="AA1154" s="1186">
        <v>10.9</v>
      </c>
      <c r="AB1154" s="1186">
        <v>5.9</v>
      </c>
      <c r="AC1154" s="1186">
        <v>9.3000000000000007</v>
      </c>
      <c r="AD1154" s="1187"/>
    </row>
    <row r="1155" spans="1:30" x14ac:dyDescent="0.2">
      <c r="A1155">
        <f t="shared" si="51"/>
        <v>29</v>
      </c>
      <c r="B1155">
        <v>1146</v>
      </c>
      <c r="C1155" s="1078">
        <v>3</v>
      </c>
      <c r="D1155" s="1077" t="s">
        <v>3340</v>
      </c>
      <c r="E1155" s="1077" t="s">
        <v>4229</v>
      </c>
      <c r="F1155" s="1185">
        <v>1</v>
      </c>
      <c r="G1155" s="1186"/>
      <c r="H1155" s="1186"/>
      <c r="I1155" s="1186"/>
      <c r="J1155" s="1186"/>
      <c r="K1155" s="1186"/>
      <c r="L1155" s="1186"/>
      <c r="M1155" s="1186"/>
      <c r="N1155" s="1186"/>
      <c r="O1155" s="1186"/>
      <c r="P1155" s="1186"/>
      <c r="Q1155" s="1186"/>
      <c r="R1155" s="1186"/>
      <c r="S1155" s="1186"/>
      <c r="T1155" s="1186"/>
      <c r="U1155" s="1186"/>
      <c r="V1155" s="1186"/>
      <c r="W1155" s="1186">
        <v>8.1</v>
      </c>
      <c r="X1155" s="1186">
        <v>4.8</v>
      </c>
      <c r="Y1155" s="1186">
        <v>6.3</v>
      </c>
      <c r="Z1155" s="1186">
        <v>3.2</v>
      </c>
      <c r="AA1155" s="1186">
        <v>10.9</v>
      </c>
      <c r="AB1155" s="1186">
        <v>5.9</v>
      </c>
      <c r="AC1155" s="1186">
        <v>9.3000000000000007</v>
      </c>
      <c r="AD1155" s="1187"/>
    </row>
    <row r="1156" spans="1:30" x14ac:dyDescent="0.2">
      <c r="A1156">
        <f t="shared" si="51"/>
        <v>29</v>
      </c>
      <c r="B1156">
        <v>1147</v>
      </c>
      <c r="C1156" s="1078">
        <v>3</v>
      </c>
      <c r="D1156" s="1077" t="s">
        <v>3340</v>
      </c>
      <c r="E1156" s="1077" t="s">
        <v>4230</v>
      </c>
      <c r="F1156" s="1185">
        <v>4</v>
      </c>
      <c r="G1156" s="1186"/>
      <c r="H1156" s="1186"/>
      <c r="I1156" s="1186"/>
      <c r="J1156" s="1186"/>
      <c r="K1156" s="1186"/>
      <c r="L1156" s="1186"/>
      <c r="M1156" s="1186"/>
      <c r="N1156" s="1186"/>
      <c r="O1156" s="1186"/>
      <c r="P1156" s="1186"/>
      <c r="Q1156" s="1186"/>
      <c r="R1156" s="1186"/>
      <c r="S1156" s="1186"/>
      <c r="T1156" s="1186"/>
      <c r="U1156" s="1186"/>
      <c r="V1156" s="1186"/>
      <c r="W1156" s="1186">
        <v>9.4</v>
      </c>
      <c r="X1156" s="1186">
        <v>4.9000000000000004</v>
      </c>
      <c r="Y1156" s="1186">
        <v>9.1</v>
      </c>
      <c r="Z1156" s="1186">
        <v>3.2</v>
      </c>
      <c r="AA1156" s="1186">
        <v>12</v>
      </c>
      <c r="AB1156" s="1186">
        <v>6.4</v>
      </c>
      <c r="AC1156" s="1186">
        <v>11.6</v>
      </c>
      <c r="AD1156" s="1187"/>
    </row>
    <row r="1157" spans="1:30" x14ac:dyDescent="0.2">
      <c r="A1157">
        <f t="shared" si="51"/>
        <v>29</v>
      </c>
      <c r="B1157">
        <v>1148</v>
      </c>
      <c r="C1157" s="1078">
        <v>3</v>
      </c>
      <c r="D1157" s="1077" t="s">
        <v>3340</v>
      </c>
      <c r="E1157" s="1077" t="s">
        <v>4231</v>
      </c>
      <c r="F1157" s="1185">
        <v>4</v>
      </c>
      <c r="G1157" s="1186"/>
      <c r="H1157" s="1186"/>
      <c r="I1157" s="1186"/>
      <c r="J1157" s="1186"/>
      <c r="K1157" s="1186"/>
      <c r="L1157" s="1186"/>
      <c r="M1157" s="1186"/>
      <c r="N1157" s="1186"/>
      <c r="O1157" s="1186"/>
      <c r="P1157" s="1186"/>
      <c r="Q1157" s="1186"/>
      <c r="R1157" s="1186"/>
      <c r="S1157" s="1186"/>
      <c r="T1157" s="1186"/>
      <c r="U1157" s="1186"/>
      <c r="V1157" s="1186"/>
      <c r="W1157" s="1186">
        <v>9.4</v>
      </c>
      <c r="X1157" s="1186">
        <v>4.9000000000000004</v>
      </c>
      <c r="Y1157" s="1186">
        <v>9.1</v>
      </c>
      <c r="Z1157" s="1186">
        <v>3.2</v>
      </c>
      <c r="AA1157" s="1186">
        <v>12</v>
      </c>
      <c r="AB1157" s="1186">
        <v>6.4</v>
      </c>
      <c r="AC1157" s="1186">
        <v>11.6</v>
      </c>
      <c r="AD1157" s="1187"/>
    </row>
    <row r="1158" spans="1:30" x14ac:dyDescent="0.2">
      <c r="A1158">
        <f t="shared" si="51"/>
        <v>29</v>
      </c>
      <c r="B1158">
        <v>1149</v>
      </c>
      <c r="C1158" s="1078">
        <v>3</v>
      </c>
      <c r="D1158" s="1077" t="s">
        <v>3340</v>
      </c>
      <c r="E1158" s="1077" t="s">
        <v>4232</v>
      </c>
      <c r="F1158" s="1185">
        <v>1</v>
      </c>
      <c r="G1158" s="1186"/>
      <c r="H1158" s="1186"/>
      <c r="I1158" s="1186"/>
      <c r="J1158" s="1186"/>
      <c r="K1158" s="1186"/>
      <c r="L1158" s="1186"/>
      <c r="M1158" s="1186"/>
      <c r="N1158" s="1186"/>
      <c r="O1158" s="1186"/>
      <c r="P1158" s="1186"/>
      <c r="Q1158" s="1186"/>
      <c r="R1158" s="1186"/>
      <c r="S1158" s="1186"/>
      <c r="T1158" s="1186"/>
      <c r="U1158" s="1186"/>
      <c r="V1158" s="1186"/>
      <c r="W1158" s="1186">
        <v>9.6999999999999993</v>
      </c>
      <c r="X1158" s="1186">
        <v>4.8</v>
      </c>
      <c r="Y1158" s="1186">
        <v>8.1</v>
      </c>
      <c r="Z1158" s="1186">
        <v>3.3</v>
      </c>
      <c r="AA1158" s="1186">
        <v>12.8</v>
      </c>
      <c r="AB1158" s="1186">
        <v>5.9</v>
      </c>
      <c r="AC1158" s="1186">
        <v>10.9</v>
      </c>
      <c r="AD1158" s="1187"/>
    </row>
    <row r="1159" spans="1:30" x14ac:dyDescent="0.2">
      <c r="A1159">
        <f t="shared" si="51"/>
        <v>29</v>
      </c>
      <c r="B1159">
        <v>1150</v>
      </c>
      <c r="C1159" s="1078">
        <v>3</v>
      </c>
      <c r="D1159" s="1077" t="s">
        <v>3340</v>
      </c>
      <c r="E1159" s="1077" t="s">
        <v>4233</v>
      </c>
      <c r="F1159" s="1185">
        <v>1</v>
      </c>
      <c r="G1159" s="1186"/>
      <c r="H1159" s="1186"/>
      <c r="I1159" s="1186"/>
      <c r="J1159" s="1186"/>
      <c r="K1159" s="1186"/>
      <c r="L1159" s="1186"/>
      <c r="M1159" s="1186"/>
      <c r="N1159" s="1186"/>
      <c r="O1159" s="1186"/>
      <c r="P1159" s="1186"/>
      <c r="Q1159" s="1186"/>
      <c r="R1159" s="1186"/>
      <c r="S1159" s="1186"/>
      <c r="T1159" s="1186"/>
      <c r="U1159" s="1186"/>
      <c r="V1159" s="1186"/>
      <c r="W1159" s="1186">
        <v>9.6999999999999993</v>
      </c>
      <c r="X1159" s="1186">
        <v>4.8</v>
      </c>
      <c r="Y1159" s="1186">
        <v>8.1</v>
      </c>
      <c r="Z1159" s="1186">
        <v>3.3</v>
      </c>
      <c r="AA1159" s="1186">
        <v>12.8</v>
      </c>
      <c r="AB1159" s="1186">
        <v>5.9</v>
      </c>
      <c r="AC1159" s="1186">
        <v>10.9</v>
      </c>
      <c r="AD1159" s="1187"/>
    </row>
    <row r="1160" spans="1:30" x14ac:dyDescent="0.2">
      <c r="A1160">
        <f t="shared" si="51"/>
        <v>29</v>
      </c>
      <c r="B1160">
        <v>1151</v>
      </c>
      <c r="C1160" s="1078">
        <v>3</v>
      </c>
      <c r="D1160" s="1077" t="s">
        <v>3340</v>
      </c>
      <c r="E1160" s="1077" t="s">
        <v>4234</v>
      </c>
      <c r="F1160" s="1185">
        <v>1</v>
      </c>
      <c r="G1160" s="1186"/>
      <c r="H1160" s="1186"/>
      <c r="I1160" s="1186"/>
      <c r="J1160" s="1186"/>
      <c r="K1160" s="1186"/>
      <c r="L1160" s="1186"/>
      <c r="M1160" s="1186"/>
      <c r="N1160" s="1186"/>
      <c r="O1160" s="1186"/>
      <c r="P1160" s="1186"/>
      <c r="Q1160" s="1186"/>
      <c r="R1160" s="1186"/>
      <c r="S1160" s="1186"/>
      <c r="T1160" s="1186"/>
      <c r="U1160" s="1186"/>
      <c r="V1160" s="1186"/>
      <c r="W1160" s="1186">
        <v>11.8</v>
      </c>
      <c r="X1160" s="1186">
        <v>4.5999999999999996</v>
      </c>
      <c r="Y1160" s="1186">
        <v>10.9</v>
      </c>
      <c r="Z1160" s="1186">
        <v>3.1</v>
      </c>
      <c r="AA1160" s="1186">
        <v>15.5</v>
      </c>
      <c r="AB1160" s="1186">
        <v>5.6</v>
      </c>
      <c r="AC1160" s="1186">
        <v>14.8</v>
      </c>
      <c r="AD1160" s="1187"/>
    </row>
    <row r="1161" spans="1:30" x14ac:dyDescent="0.2">
      <c r="A1161">
        <f t="shared" si="51"/>
        <v>29</v>
      </c>
      <c r="B1161">
        <v>1152</v>
      </c>
      <c r="C1161" s="1078">
        <v>3</v>
      </c>
      <c r="D1161" s="1077" t="s">
        <v>3340</v>
      </c>
      <c r="E1161" s="1077" t="s">
        <v>4235</v>
      </c>
      <c r="F1161" s="1185">
        <v>1</v>
      </c>
      <c r="G1161" s="1186"/>
      <c r="H1161" s="1186"/>
      <c r="I1161" s="1186"/>
      <c r="J1161" s="1186"/>
      <c r="K1161" s="1186"/>
      <c r="L1161" s="1186"/>
      <c r="M1161" s="1186"/>
      <c r="N1161" s="1186"/>
      <c r="O1161" s="1186"/>
      <c r="P1161" s="1186"/>
      <c r="Q1161" s="1186"/>
      <c r="R1161" s="1186"/>
      <c r="S1161" s="1186"/>
      <c r="T1161" s="1186"/>
      <c r="U1161" s="1186"/>
      <c r="V1161" s="1186"/>
      <c r="W1161" s="1186">
        <v>11.8</v>
      </c>
      <c r="X1161" s="1186">
        <v>4.5999999999999996</v>
      </c>
      <c r="Y1161" s="1186">
        <v>10.9</v>
      </c>
      <c r="Z1161" s="1186">
        <v>3.1</v>
      </c>
      <c r="AA1161" s="1186">
        <v>15.5</v>
      </c>
      <c r="AB1161" s="1186">
        <v>5.6</v>
      </c>
      <c r="AC1161" s="1186">
        <v>14.8</v>
      </c>
      <c r="AD1161" s="1187"/>
    </row>
    <row r="1162" spans="1:30" x14ac:dyDescent="0.2">
      <c r="A1162">
        <f t="shared" si="51"/>
        <v>29</v>
      </c>
      <c r="B1162">
        <v>1153</v>
      </c>
      <c r="C1162" s="1078">
        <v>3</v>
      </c>
      <c r="D1162" s="1077" t="s">
        <v>3340</v>
      </c>
      <c r="E1162" s="1077" t="s">
        <v>4236</v>
      </c>
      <c r="F1162" s="1185">
        <v>1</v>
      </c>
      <c r="G1162" s="1186"/>
      <c r="H1162" s="1186"/>
      <c r="I1162" s="1186"/>
      <c r="J1162" s="1186"/>
      <c r="K1162" s="1186"/>
      <c r="L1162" s="1186"/>
      <c r="M1162" s="1186"/>
      <c r="N1162" s="1186"/>
      <c r="O1162" s="1186"/>
      <c r="P1162" s="1186"/>
      <c r="Q1162" s="1186"/>
      <c r="R1162" s="1186"/>
      <c r="S1162" s="1186"/>
      <c r="T1162" s="1186"/>
      <c r="U1162" s="1186"/>
      <c r="V1162" s="1186"/>
      <c r="W1162" s="1186">
        <v>15.7</v>
      </c>
      <c r="X1162" s="1186">
        <v>4.3</v>
      </c>
      <c r="Y1162" s="1186">
        <v>14.6</v>
      </c>
      <c r="Z1162" s="1186">
        <v>3</v>
      </c>
      <c r="AA1162" s="1186">
        <v>20.100000000000001</v>
      </c>
      <c r="AB1162" s="1186">
        <v>5.5</v>
      </c>
      <c r="AC1162" s="1186">
        <v>19.399999999999999</v>
      </c>
      <c r="AD1162" s="1187"/>
    </row>
    <row r="1163" spans="1:30" x14ac:dyDescent="0.2">
      <c r="A1163">
        <f t="shared" si="51"/>
        <v>29</v>
      </c>
      <c r="B1163">
        <v>1154</v>
      </c>
      <c r="C1163" s="1078">
        <v>3</v>
      </c>
      <c r="D1163" s="1077" t="s">
        <v>3340</v>
      </c>
      <c r="E1163" s="1077" t="s">
        <v>4237</v>
      </c>
      <c r="F1163" s="1185">
        <v>1</v>
      </c>
      <c r="G1163" s="1186"/>
      <c r="H1163" s="1186"/>
      <c r="I1163" s="1186"/>
      <c r="J1163" s="1186"/>
      <c r="K1163" s="1186"/>
      <c r="L1163" s="1186"/>
      <c r="M1163" s="1186"/>
      <c r="N1163" s="1186"/>
      <c r="O1163" s="1186"/>
      <c r="P1163" s="1186"/>
      <c r="Q1163" s="1186"/>
      <c r="R1163" s="1186"/>
      <c r="S1163" s="1186"/>
      <c r="T1163" s="1186"/>
      <c r="U1163" s="1186"/>
      <c r="V1163" s="1186"/>
      <c r="W1163" s="1186">
        <v>16.899999999999999</v>
      </c>
      <c r="X1163" s="1186">
        <v>4.3</v>
      </c>
      <c r="Y1163" s="1186">
        <v>16.3</v>
      </c>
      <c r="Z1163" s="1186">
        <v>3.2</v>
      </c>
      <c r="AA1163" s="1186">
        <v>21.9</v>
      </c>
      <c r="AB1163" s="1186">
        <v>4.5</v>
      </c>
      <c r="AC1163" s="1186">
        <v>20.8</v>
      </c>
      <c r="AD1163" s="1187"/>
    </row>
    <row r="1164" spans="1:30" x14ac:dyDescent="0.2">
      <c r="A1164">
        <f t="shared" ref="A1164:A1227" si="52">A1163+(D1164&lt;&gt;D1163)*1</f>
        <v>30</v>
      </c>
      <c r="B1164">
        <v>1155</v>
      </c>
      <c r="C1164" s="1078">
        <v>2</v>
      </c>
      <c r="D1164" s="1077" t="s">
        <v>5323</v>
      </c>
      <c r="E1164" s="1077" t="s">
        <v>5324</v>
      </c>
      <c r="F1164" s="1185">
        <v>4</v>
      </c>
      <c r="G1164" s="1186">
        <v>5.5</v>
      </c>
      <c r="H1164" s="1186">
        <v>2.5</v>
      </c>
      <c r="I1164" s="1186">
        <v>5.5</v>
      </c>
      <c r="J1164" s="1186">
        <v>3.2</v>
      </c>
      <c r="K1164" s="1186">
        <v>5.5</v>
      </c>
      <c r="L1164" s="1186">
        <v>4.2</v>
      </c>
      <c r="M1164" s="1186">
        <v>5.5</v>
      </c>
      <c r="N1164" s="1186">
        <v>4.7</v>
      </c>
      <c r="O1164" s="1186">
        <v>5.5</v>
      </c>
      <c r="P1164" s="1186">
        <v>6.43</v>
      </c>
      <c r="Q1164" s="1186">
        <v>5.5</v>
      </c>
      <c r="R1164" s="1186">
        <v>2.23</v>
      </c>
      <c r="S1164" s="1186">
        <v>5.5</v>
      </c>
      <c r="T1164" s="1186">
        <v>3.36</v>
      </c>
      <c r="U1164" s="1186">
        <v>5.5</v>
      </c>
      <c r="V1164" s="1186">
        <v>4.25</v>
      </c>
      <c r="W1164" s="1186"/>
      <c r="X1164" s="1186"/>
      <c r="Y1164" s="1186"/>
      <c r="Z1164" s="1186"/>
      <c r="AA1164" s="1186"/>
      <c r="AB1164" s="1186"/>
      <c r="AC1164" s="1186"/>
      <c r="AD1164" s="1187"/>
    </row>
    <row r="1165" spans="1:30" x14ac:dyDescent="0.2">
      <c r="A1165">
        <f t="shared" si="52"/>
        <v>30</v>
      </c>
      <c r="B1165">
        <v>1156</v>
      </c>
      <c r="C1165" s="1078">
        <v>2</v>
      </c>
      <c r="D1165" s="1077" t="s">
        <v>5323</v>
      </c>
      <c r="E1165" s="1077" t="s">
        <v>5325</v>
      </c>
      <c r="F1165" s="1185">
        <v>4</v>
      </c>
      <c r="G1165" s="1186">
        <v>7</v>
      </c>
      <c r="H1165" s="1186">
        <v>2.4500000000000002</v>
      </c>
      <c r="I1165" s="1186">
        <v>7</v>
      </c>
      <c r="J1165" s="1186">
        <v>3.15</v>
      </c>
      <c r="K1165" s="1186">
        <v>7</v>
      </c>
      <c r="L1165" s="1186">
        <v>4.1900000000000004</v>
      </c>
      <c r="M1165" s="1186">
        <v>7</v>
      </c>
      <c r="N1165" s="1186">
        <v>4.7</v>
      </c>
      <c r="O1165" s="1186">
        <v>7</v>
      </c>
      <c r="P1165" s="1186">
        <v>6.39</v>
      </c>
      <c r="Q1165" s="1186">
        <v>7</v>
      </c>
      <c r="R1165" s="1186">
        <v>2.19</v>
      </c>
      <c r="S1165" s="1186">
        <v>7</v>
      </c>
      <c r="T1165" s="1186">
        <v>3.32</v>
      </c>
      <c r="U1165" s="1186">
        <v>7</v>
      </c>
      <c r="V1165" s="1186">
        <v>4.21</v>
      </c>
      <c r="W1165" s="1186"/>
      <c r="X1165" s="1186"/>
      <c r="Y1165" s="1186"/>
      <c r="Z1165" s="1186"/>
      <c r="AA1165" s="1186"/>
      <c r="AB1165" s="1186"/>
      <c r="AC1165" s="1186"/>
      <c r="AD1165" s="1187"/>
    </row>
    <row r="1166" spans="1:30" x14ac:dyDescent="0.2">
      <c r="A1166">
        <f t="shared" si="52"/>
        <v>30</v>
      </c>
      <c r="B1166">
        <v>1157</v>
      </c>
      <c r="C1166" s="1078">
        <v>2</v>
      </c>
      <c r="D1166" s="1077" t="s">
        <v>5323</v>
      </c>
      <c r="E1166" s="1077" t="s">
        <v>5326</v>
      </c>
      <c r="F1166" s="1185">
        <v>4</v>
      </c>
      <c r="G1166" s="1186">
        <v>9</v>
      </c>
      <c r="H1166" s="1186">
        <v>2.4</v>
      </c>
      <c r="I1166" s="1186">
        <v>9</v>
      </c>
      <c r="J1166" s="1186">
        <v>3.1</v>
      </c>
      <c r="K1166" s="1186">
        <v>9</v>
      </c>
      <c r="L1166" s="1186">
        <v>4.0999999999999996</v>
      </c>
      <c r="M1166" s="1186">
        <v>9</v>
      </c>
      <c r="N1166" s="1186">
        <v>4.5999999999999996</v>
      </c>
      <c r="O1166" s="1186">
        <v>9</v>
      </c>
      <c r="P1166" s="1186">
        <v>6.27</v>
      </c>
      <c r="Q1166" s="1186">
        <v>9</v>
      </c>
      <c r="R1166" s="1186">
        <v>2.17</v>
      </c>
      <c r="S1166" s="1186">
        <v>9</v>
      </c>
      <c r="T1166" s="1186">
        <v>3.26</v>
      </c>
      <c r="U1166" s="1186">
        <v>9</v>
      </c>
      <c r="V1166" s="1186">
        <v>4.12</v>
      </c>
      <c r="W1166" s="1186"/>
      <c r="X1166" s="1186"/>
      <c r="Y1166" s="1186"/>
      <c r="Z1166" s="1186"/>
      <c r="AA1166" s="1186"/>
      <c r="AB1166" s="1186"/>
      <c r="AC1166" s="1186"/>
      <c r="AD1166" s="1187"/>
    </row>
    <row r="1167" spans="1:30" x14ac:dyDescent="0.2">
      <c r="A1167">
        <f t="shared" si="52"/>
        <v>30</v>
      </c>
      <c r="B1167">
        <v>1158</v>
      </c>
      <c r="C1167" s="1078">
        <v>2</v>
      </c>
      <c r="D1167" s="1077" t="s">
        <v>5323</v>
      </c>
      <c r="E1167" s="1077" t="s">
        <v>5327</v>
      </c>
      <c r="F1167" s="1185">
        <v>4</v>
      </c>
      <c r="G1167" s="1186">
        <v>9</v>
      </c>
      <c r="H1167" s="1186">
        <v>2.4</v>
      </c>
      <c r="I1167" s="1186">
        <v>9</v>
      </c>
      <c r="J1167" s="1186">
        <v>3.1</v>
      </c>
      <c r="K1167" s="1186">
        <v>9</v>
      </c>
      <c r="L1167" s="1186">
        <v>4.0999999999999996</v>
      </c>
      <c r="M1167" s="1186">
        <v>9</v>
      </c>
      <c r="N1167" s="1186">
        <v>4.5999999999999996</v>
      </c>
      <c r="O1167" s="1186">
        <v>9</v>
      </c>
      <c r="P1167" s="1186">
        <v>6.27</v>
      </c>
      <c r="Q1167" s="1186">
        <v>9</v>
      </c>
      <c r="R1167" s="1186">
        <v>2.17</v>
      </c>
      <c r="S1167" s="1186">
        <v>9</v>
      </c>
      <c r="T1167" s="1186">
        <v>3.26</v>
      </c>
      <c r="U1167" s="1186">
        <v>9</v>
      </c>
      <c r="V1167" s="1186">
        <v>4.12</v>
      </c>
      <c r="W1167" s="1186"/>
      <c r="X1167" s="1186"/>
      <c r="Y1167" s="1186"/>
      <c r="Z1167" s="1186"/>
      <c r="AA1167" s="1186"/>
      <c r="AB1167" s="1186"/>
      <c r="AC1167" s="1186"/>
      <c r="AD1167" s="1187"/>
    </row>
    <row r="1168" spans="1:30" x14ac:dyDescent="0.2">
      <c r="A1168">
        <f t="shared" si="52"/>
        <v>30</v>
      </c>
      <c r="B1168">
        <v>1159</v>
      </c>
      <c r="C1168" s="1078">
        <v>2</v>
      </c>
      <c r="D1168" s="1077" t="s">
        <v>5323</v>
      </c>
      <c r="E1168" s="1077" t="s">
        <v>5328</v>
      </c>
      <c r="F1168" s="1185">
        <v>4</v>
      </c>
      <c r="G1168" s="1186">
        <v>12</v>
      </c>
      <c r="H1168" s="1186">
        <v>2.5499999999999998</v>
      </c>
      <c r="I1168" s="1186">
        <v>12</v>
      </c>
      <c r="J1168" s="1186">
        <v>3.4</v>
      </c>
      <c r="K1168" s="1186">
        <v>12</v>
      </c>
      <c r="L1168" s="1186">
        <v>4.1900000000000004</v>
      </c>
      <c r="M1168" s="1186">
        <v>12</v>
      </c>
      <c r="N1168" s="1186">
        <v>4.9000000000000004</v>
      </c>
      <c r="O1168" s="1186">
        <v>12</v>
      </c>
      <c r="P1168" s="1186">
        <v>6.5</v>
      </c>
      <c r="Q1168" s="1186">
        <v>12</v>
      </c>
      <c r="R1168" s="1186">
        <v>2.5299999999999998</v>
      </c>
      <c r="S1168" s="1186">
        <v>12</v>
      </c>
      <c r="T1168" s="1186">
        <v>3.47</v>
      </c>
      <c r="U1168" s="1186">
        <v>12</v>
      </c>
      <c r="V1168" s="1186">
        <v>4.34</v>
      </c>
      <c r="W1168" s="1186"/>
      <c r="X1168" s="1186"/>
      <c r="Y1168" s="1186"/>
      <c r="Z1168" s="1186"/>
      <c r="AA1168" s="1186"/>
      <c r="AB1168" s="1186"/>
      <c r="AC1168" s="1186"/>
      <c r="AD1168" s="1187"/>
    </row>
    <row r="1169" spans="1:30" x14ac:dyDescent="0.2">
      <c r="A1169">
        <f t="shared" si="52"/>
        <v>30</v>
      </c>
      <c r="B1169">
        <v>1160</v>
      </c>
      <c r="C1169" s="1078">
        <v>2</v>
      </c>
      <c r="D1169" s="1077" t="s">
        <v>5323</v>
      </c>
      <c r="E1169" s="1077" t="s">
        <v>5329</v>
      </c>
      <c r="F1169" s="1185">
        <v>4</v>
      </c>
      <c r="G1169" s="1186">
        <v>14</v>
      </c>
      <c r="H1169" s="1186">
        <v>2.5</v>
      </c>
      <c r="I1169" s="1186">
        <v>14</v>
      </c>
      <c r="J1169" s="1186">
        <v>3.34</v>
      </c>
      <c r="K1169" s="1186">
        <v>14</v>
      </c>
      <c r="L1169" s="1186">
        <v>4.28</v>
      </c>
      <c r="M1169" s="1186">
        <v>14</v>
      </c>
      <c r="N1169" s="1186">
        <v>4.8</v>
      </c>
      <c r="O1169" s="1186">
        <v>14</v>
      </c>
      <c r="P1169" s="1186">
        <v>6.38</v>
      </c>
      <c r="Q1169" s="1186">
        <v>14</v>
      </c>
      <c r="R1169" s="1186">
        <v>2.4700000000000002</v>
      </c>
      <c r="S1169" s="1186">
        <v>14</v>
      </c>
      <c r="T1169" s="1186">
        <v>3.4</v>
      </c>
      <c r="U1169" s="1186">
        <v>14</v>
      </c>
      <c r="V1169" s="1186">
        <v>4.26</v>
      </c>
      <c r="W1169" s="1186"/>
      <c r="X1169" s="1186"/>
      <c r="Y1169" s="1186"/>
      <c r="Z1169" s="1186"/>
      <c r="AA1169" s="1186"/>
      <c r="AB1169" s="1186"/>
      <c r="AC1169" s="1186"/>
      <c r="AD1169" s="1187"/>
    </row>
    <row r="1170" spans="1:30" x14ac:dyDescent="0.2">
      <c r="A1170">
        <f t="shared" si="52"/>
        <v>30</v>
      </c>
      <c r="B1170">
        <v>1161</v>
      </c>
      <c r="C1170" s="1078">
        <v>2</v>
      </c>
      <c r="D1170" s="1077" t="s">
        <v>5323</v>
      </c>
      <c r="E1170" s="1077" t="s">
        <v>5330</v>
      </c>
      <c r="F1170" s="1185">
        <v>4</v>
      </c>
      <c r="G1170" s="1186">
        <v>14.4</v>
      </c>
      <c r="H1170" s="1186">
        <v>2.4500000000000002</v>
      </c>
      <c r="I1170" s="1186">
        <v>16</v>
      </c>
      <c r="J1170" s="1186">
        <v>3.27</v>
      </c>
      <c r="K1170" s="1186">
        <v>16</v>
      </c>
      <c r="L1170" s="1186">
        <v>4.1900000000000004</v>
      </c>
      <c r="M1170" s="1186">
        <v>16</v>
      </c>
      <c r="N1170" s="1186">
        <v>4.7</v>
      </c>
      <c r="O1170" s="1186">
        <v>16</v>
      </c>
      <c r="P1170" s="1186">
        <v>6.23</v>
      </c>
      <c r="Q1170" s="1186">
        <v>16</v>
      </c>
      <c r="R1170" s="1186">
        <v>2.41</v>
      </c>
      <c r="S1170" s="1186">
        <v>16</v>
      </c>
      <c r="T1170" s="1186">
        <v>3.31</v>
      </c>
      <c r="U1170" s="1186">
        <v>16</v>
      </c>
      <c r="V1170" s="1186">
        <v>4.18</v>
      </c>
      <c r="W1170" s="1186"/>
      <c r="X1170" s="1186"/>
      <c r="Y1170" s="1186"/>
      <c r="Z1170" s="1186"/>
      <c r="AA1170" s="1186"/>
      <c r="AB1170" s="1186"/>
      <c r="AC1170" s="1186"/>
      <c r="AD1170" s="1187"/>
    </row>
    <row r="1171" spans="1:30" x14ac:dyDescent="0.2">
      <c r="A1171">
        <f t="shared" si="52"/>
        <v>30</v>
      </c>
      <c r="B1171">
        <v>1162</v>
      </c>
      <c r="C1171" s="1078">
        <v>2</v>
      </c>
      <c r="D1171" s="1077" t="s">
        <v>5323</v>
      </c>
      <c r="E1171" s="1077" t="s">
        <v>5331</v>
      </c>
      <c r="F1171" s="1185">
        <v>4</v>
      </c>
      <c r="G1171" s="1186">
        <v>11.5</v>
      </c>
      <c r="H1171" s="1186">
        <v>2.4</v>
      </c>
      <c r="I1171" s="1186">
        <v>12</v>
      </c>
      <c r="J1171" s="1186">
        <v>3</v>
      </c>
      <c r="K1171" s="1186">
        <v>12</v>
      </c>
      <c r="L1171" s="1186">
        <v>3.86</v>
      </c>
      <c r="M1171" s="1186">
        <v>12</v>
      </c>
      <c r="N1171" s="1186">
        <v>5.04</v>
      </c>
      <c r="O1171" s="1186">
        <v>12</v>
      </c>
      <c r="P1171" s="1186">
        <v>6.56</v>
      </c>
      <c r="Q1171" s="1186">
        <v>12</v>
      </c>
      <c r="R1171" s="1186">
        <v>2.4</v>
      </c>
      <c r="S1171" s="1186">
        <v>12</v>
      </c>
      <c r="T1171" s="1186">
        <v>3.1</v>
      </c>
      <c r="U1171" s="1186">
        <v>12</v>
      </c>
      <c r="V1171" s="1186">
        <v>4.38</v>
      </c>
      <c r="W1171" s="1186"/>
      <c r="X1171" s="1186"/>
      <c r="Y1171" s="1186"/>
      <c r="Z1171" s="1186"/>
      <c r="AA1171" s="1186"/>
      <c r="AB1171" s="1186"/>
      <c r="AC1171" s="1186"/>
      <c r="AD1171" s="1187"/>
    </row>
    <row r="1172" spans="1:30" x14ac:dyDescent="0.2">
      <c r="A1172">
        <f t="shared" si="52"/>
        <v>30</v>
      </c>
      <c r="B1172">
        <v>1163</v>
      </c>
      <c r="C1172" s="1078">
        <v>2</v>
      </c>
      <c r="D1172" s="1077" t="s">
        <v>5323</v>
      </c>
      <c r="E1172" s="1077" t="s">
        <v>5332</v>
      </c>
      <c r="F1172" s="1185">
        <v>4</v>
      </c>
      <c r="G1172" s="1186">
        <v>12.9</v>
      </c>
      <c r="H1172" s="1186">
        <v>2.2999999999999998</v>
      </c>
      <c r="I1172" s="1186">
        <v>14</v>
      </c>
      <c r="J1172" s="1186">
        <v>2.95</v>
      </c>
      <c r="K1172" s="1186">
        <v>14</v>
      </c>
      <c r="L1172" s="1186">
        <v>3.72</v>
      </c>
      <c r="M1172" s="1186">
        <v>14</v>
      </c>
      <c r="N1172" s="1186">
        <v>4.8899999999999997</v>
      </c>
      <c r="O1172" s="1186">
        <v>14</v>
      </c>
      <c r="P1172" s="1186">
        <v>6.37</v>
      </c>
      <c r="Q1172" s="1186">
        <v>14</v>
      </c>
      <c r="R1172" s="1186">
        <v>2.2999999999999998</v>
      </c>
      <c r="S1172" s="1186">
        <v>14</v>
      </c>
      <c r="T1172" s="1186">
        <v>3.1</v>
      </c>
      <c r="U1172" s="1186">
        <v>14</v>
      </c>
      <c r="V1172" s="1186">
        <v>4.38</v>
      </c>
      <c r="W1172" s="1186"/>
      <c r="X1172" s="1186"/>
      <c r="Y1172" s="1186"/>
      <c r="Z1172" s="1186"/>
      <c r="AA1172" s="1186"/>
      <c r="AB1172" s="1186"/>
      <c r="AC1172" s="1186"/>
      <c r="AD1172" s="1187"/>
    </row>
    <row r="1173" spans="1:30" x14ac:dyDescent="0.2">
      <c r="A1173">
        <f t="shared" si="52"/>
        <v>30</v>
      </c>
      <c r="B1173">
        <v>1164</v>
      </c>
      <c r="C1173" s="1200">
        <v>2</v>
      </c>
      <c r="D1173" s="1201" t="s">
        <v>5323</v>
      </c>
      <c r="E1173" s="1201" t="s">
        <v>5333</v>
      </c>
      <c r="F1173" s="1185">
        <v>4</v>
      </c>
      <c r="G1173" s="1186">
        <v>14.39</v>
      </c>
      <c r="H1173" s="1186">
        <v>2.2599999999999998</v>
      </c>
      <c r="I1173" s="1186">
        <v>16</v>
      </c>
      <c r="J1173" s="1186">
        <v>2.8</v>
      </c>
      <c r="K1173" s="1186">
        <v>16</v>
      </c>
      <c r="L1173" s="1186">
        <v>3.41</v>
      </c>
      <c r="M1173" s="1186">
        <v>16</v>
      </c>
      <c r="N1173" s="1186">
        <v>4.8</v>
      </c>
      <c r="O1173" s="1186">
        <v>16</v>
      </c>
      <c r="P1173" s="1186">
        <v>6.87</v>
      </c>
      <c r="Q1173" s="1186">
        <v>16</v>
      </c>
      <c r="R1173" s="1186">
        <v>2.15</v>
      </c>
      <c r="S1173" s="1186">
        <v>16</v>
      </c>
      <c r="T1173" s="1186">
        <v>2.96</v>
      </c>
      <c r="U1173" s="1186">
        <v>16</v>
      </c>
      <c r="V1173" s="1186">
        <v>4.17</v>
      </c>
      <c r="W1173" s="1186"/>
      <c r="X1173" s="1186"/>
      <c r="Y1173" s="1186"/>
      <c r="Z1173" s="1186"/>
      <c r="AA1173" s="1186"/>
      <c r="AB1173" s="1186"/>
      <c r="AC1173" s="1186"/>
      <c r="AD1173" s="1187"/>
    </row>
    <row r="1174" spans="1:30" x14ac:dyDescent="0.2">
      <c r="A1174">
        <f t="shared" si="52"/>
        <v>30</v>
      </c>
      <c r="B1174">
        <v>1165</v>
      </c>
      <c r="C1174" s="1200">
        <v>2</v>
      </c>
      <c r="D1174" s="1201" t="s">
        <v>5323</v>
      </c>
      <c r="E1174" s="1201" t="s">
        <v>5515</v>
      </c>
      <c r="F1174" s="1185">
        <v>4</v>
      </c>
      <c r="G1174" s="1186">
        <v>9</v>
      </c>
      <c r="H1174" s="1186">
        <v>2.95</v>
      </c>
      <c r="I1174" s="1186">
        <v>9</v>
      </c>
      <c r="J1174" s="1186">
        <v>3.44</v>
      </c>
      <c r="K1174" s="1186">
        <v>9</v>
      </c>
      <c r="L1174" s="1186">
        <v>3.88</v>
      </c>
      <c r="M1174" s="1186">
        <v>9</v>
      </c>
      <c r="N1174" s="1186">
        <v>4.9000000000000004</v>
      </c>
      <c r="O1174" s="1186">
        <v>9</v>
      </c>
      <c r="P1174" s="1186">
        <v>6.54</v>
      </c>
      <c r="Q1174" s="1186">
        <v>9</v>
      </c>
      <c r="R1174" s="1186">
        <v>2.6</v>
      </c>
      <c r="S1174" s="1186">
        <v>9</v>
      </c>
      <c r="T1174" s="1186">
        <v>3.52</v>
      </c>
      <c r="U1174" s="1186">
        <v>9</v>
      </c>
      <c r="V1174" s="1186">
        <v>4.3600000000000003</v>
      </c>
      <c r="W1174" s="1186"/>
      <c r="X1174" s="1186"/>
      <c r="Y1174" s="1186"/>
      <c r="Z1174" s="1186"/>
      <c r="AA1174" s="1186"/>
      <c r="AB1174" s="1186"/>
      <c r="AC1174" s="1186"/>
      <c r="AD1174" s="1187"/>
    </row>
    <row r="1175" spans="1:30" x14ac:dyDescent="0.2">
      <c r="A1175">
        <f t="shared" si="52"/>
        <v>30</v>
      </c>
      <c r="B1175">
        <v>1166</v>
      </c>
      <c r="C1175" s="1200">
        <v>2</v>
      </c>
      <c r="D1175" s="1201" t="s">
        <v>5323</v>
      </c>
      <c r="E1175" s="1201" t="s">
        <v>5516</v>
      </c>
      <c r="F1175" s="1185">
        <v>4</v>
      </c>
      <c r="G1175" s="1186">
        <v>10.69</v>
      </c>
      <c r="H1175" s="1186">
        <v>2.88</v>
      </c>
      <c r="I1175" s="1186">
        <v>12</v>
      </c>
      <c r="J1175" s="1186">
        <v>3.3</v>
      </c>
      <c r="K1175" s="1186">
        <v>12</v>
      </c>
      <c r="L1175" s="1186">
        <v>3.72</v>
      </c>
      <c r="M1175" s="1186">
        <v>12</v>
      </c>
      <c r="N1175" s="1186">
        <v>4.7</v>
      </c>
      <c r="O1175" s="1186">
        <v>12</v>
      </c>
      <c r="P1175" s="1186">
        <v>6.26</v>
      </c>
      <c r="Q1175" s="1186">
        <v>12</v>
      </c>
      <c r="R1175" s="1186">
        <v>2.48</v>
      </c>
      <c r="S1175" s="1186">
        <v>12</v>
      </c>
      <c r="T1175" s="1186">
        <v>3.37</v>
      </c>
      <c r="U1175" s="1186">
        <v>12</v>
      </c>
      <c r="V1175" s="1186">
        <v>4.17</v>
      </c>
      <c r="W1175" s="1186"/>
      <c r="X1175" s="1186"/>
      <c r="Y1175" s="1186"/>
      <c r="Z1175" s="1186"/>
      <c r="AA1175" s="1186"/>
      <c r="AB1175" s="1186"/>
      <c r="AC1175" s="1186"/>
      <c r="AD1175" s="1187"/>
    </row>
    <row r="1176" spans="1:30" x14ac:dyDescent="0.2">
      <c r="A1176">
        <f t="shared" si="52"/>
        <v>30</v>
      </c>
      <c r="B1176">
        <v>1167</v>
      </c>
      <c r="C1176" s="1200">
        <v>2</v>
      </c>
      <c r="D1176" s="1201" t="s">
        <v>5323</v>
      </c>
      <c r="E1176" s="1201" t="s">
        <v>5517</v>
      </c>
      <c r="F1176" s="1185">
        <v>4</v>
      </c>
      <c r="G1176" s="1186">
        <v>11.99</v>
      </c>
      <c r="H1176" s="1186">
        <v>2.82</v>
      </c>
      <c r="I1176" s="1186">
        <v>14</v>
      </c>
      <c r="J1176" s="1186">
        <v>3.19</v>
      </c>
      <c r="K1176" s="1186">
        <v>14</v>
      </c>
      <c r="L1176" s="1186">
        <v>3.61</v>
      </c>
      <c r="M1176" s="1186">
        <v>14</v>
      </c>
      <c r="N1176" s="1186">
        <v>4.5</v>
      </c>
      <c r="O1176" s="1186">
        <v>14</v>
      </c>
      <c r="P1176" s="1186">
        <v>6.08</v>
      </c>
      <c r="Q1176" s="1186">
        <v>12.58</v>
      </c>
      <c r="R1176" s="1186">
        <v>2.4500000000000002</v>
      </c>
      <c r="S1176" s="1186">
        <v>14</v>
      </c>
      <c r="T1176" s="1186">
        <v>3.27</v>
      </c>
      <c r="U1176" s="1186">
        <v>14</v>
      </c>
      <c r="V1176" s="1186">
        <v>4.05</v>
      </c>
      <c r="W1176" s="1186"/>
      <c r="X1176" s="1186"/>
      <c r="Y1176" s="1186"/>
      <c r="Z1176" s="1186"/>
      <c r="AA1176" s="1186"/>
      <c r="AB1176" s="1186"/>
      <c r="AC1176" s="1186"/>
      <c r="AD1176" s="1187"/>
    </row>
    <row r="1177" spans="1:30" x14ac:dyDescent="0.2">
      <c r="A1177">
        <f t="shared" si="52"/>
        <v>30</v>
      </c>
      <c r="B1177">
        <v>1168</v>
      </c>
      <c r="C1177" s="1200">
        <v>2</v>
      </c>
      <c r="D1177" s="1201" t="s">
        <v>5323</v>
      </c>
      <c r="E1177" s="1201" t="s">
        <v>5518</v>
      </c>
      <c r="F1177" s="1185">
        <v>4</v>
      </c>
      <c r="G1177" s="1186">
        <v>13.28</v>
      </c>
      <c r="H1177" s="1186">
        <v>2.75</v>
      </c>
      <c r="I1177" s="1186">
        <v>16</v>
      </c>
      <c r="J1177" s="1186">
        <v>3.09</v>
      </c>
      <c r="K1177" s="1186">
        <v>16</v>
      </c>
      <c r="L1177" s="1186">
        <v>3.5</v>
      </c>
      <c r="M1177" s="1186">
        <v>16</v>
      </c>
      <c r="N1177" s="1186">
        <v>4.3</v>
      </c>
      <c r="O1177" s="1186">
        <v>16</v>
      </c>
      <c r="P1177" s="1186">
        <v>5.9</v>
      </c>
      <c r="Q1177" s="1186">
        <v>12.58</v>
      </c>
      <c r="R1177" s="1186">
        <v>2.4500000000000002</v>
      </c>
      <c r="S1177" s="1186">
        <v>16</v>
      </c>
      <c r="T1177" s="1186">
        <v>3.17</v>
      </c>
      <c r="U1177" s="1186">
        <v>16</v>
      </c>
      <c r="V1177" s="1186">
        <v>3.93</v>
      </c>
      <c r="W1177" s="1186"/>
      <c r="X1177" s="1186"/>
      <c r="Y1177" s="1186"/>
      <c r="Z1177" s="1186"/>
      <c r="AA1177" s="1186"/>
      <c r="AB1177" s="1186"/>
      <c r="AC1177" s="1186"/>
      <c r="AD1177" s="1187"/>
    </row>
    <row r="1178" spans="1:30" x14ac:dyDescent="0.2">
      <c r="A1178">
        <f t="shared" si="52"/>
        <v>31</v>
      </c>
      <c r="B1178">
        <v>1169</v>
      </c>
      <c r="C1178" s="1200">
        <v>2</v>
      </c>
      <c r="D1178" s="1201" t="s">
        <v>5388</v>
      </c>
      <c r="E1178" s="1201" t="s">
        <v>5389</v>
      </c>
      <c r="F1178" s="1185">
        <v>4</v>
      </c>
      <c r="G1178" s="1186">
        <v>6.9</v>
      </c>
      <c r="H1178" s="1186">
        <v>2.4</v>
      </c>
      <c r="I1178" s="1186">
        <v>8.5</v>
      </c>
      <c r="J1178" s="1186">
        <v>2.8</v>
      </c>
      <c r="K1178" s="1186">
        <v>10.6</v>
      </c>
      <c r="L1178" s="1186">
        <v>3.6</v>
      </c>
      <c r="M1178" s="1186">
        <v>12</v>
      </c>
      <c r="N1178" s="1186">
        <v>4</v>
      </c>
      <c r="O1178" s="1186">
        <v>15.9</v>
      </c>
      <c r="P1178" s="1186">
        <v>5.7</v>
      </c>
      <c r="Q1178" s="1186">
        <v>7.5</v>
      </c>
      <c r="R1178" s="1186">
        <v>1.8</v>
      </c>
      <c r="S1178" s="1186">
        <v>10.7</v>
      </c>
      <c r="T1178" s="1186">
        <v>2.5</v>
      </c>
      <c r="U1178" s="1186">
        <v>14.2</v>
      </c>
      <c r="V1178" s="1186">
        <v>3.3</v>
      </c>
      <c r="W1178" s="1186"/>
      <c r="X1178" s="1186"/>
      <c r="Y1178" s="1186"/>
      <c r="Z1178" s="1186"/>
      <c r="AA1178" s="1186"/>
      <c r="AB1178" s="1186"/>
      <c r="AC1178" s="1186"/>
      <c r="AD1178" s="1187"/>
    </row>
    <row r="1179" spans="1:30" x14ac:dyDescent="0.2">
      <c r="A1179">
        <f t="shared" si="52"/>
        <v>31</v>
      </c>
      <c r="B1179">
        <v>1170</v>
      </c>
      <c r="C1179" s="1200">
        <v>2</v>
      </c>
      <c r="D1179" s="1201" t="s">
        <v>5388</v>
      </c>
      <c r="E1179" s="1201" t="s">
        <v>5390</v>
      </c>
      <c r="F1179" s="1185">
        <v>4</v>
      </c>
      <c r="G1179" s="1186">
        <v>8.3000000000000007</v>
      </c>
      <c r="H1179" s="1186">
        <v>2.2999999999999998</v>
      </c>
      <c r="I1179" s="1186">
        <v>10.7</v>
      </c>
      <c r="J1179" s="1186">
        <v>2.7</v>
      </c>
      <c r="K1179" s="1186">
        <v>12.6</v>
      </c>
      <c r="L1179" s="1186">
        <v>3.4</v>
      </c>
      <c r="M1179" s="1186">
        <v>14.2</v>
      </c>
      <c r="N1179" s="1186">
        <v>3.8</v>
      </c>
      <c r="O1179" s="1186">
        <v>18.600000000000001</v>
      </c>
      <c r="P1179" s="1186">
        <v>5.2</v>
      </c>
      <c r="Q1179" s="1186">
        <v>9</v>
      </c>
      <c r="R1179" s="1186">
        <v>1.7</v>
      </c>
      <c r="S1179" s="1186">
        <v>12.7</v>
      </c>
      <c r="T1179" s="1186">
        <v>2.4</v>
      </c>
      <c r="U1179" s="1186">
        <v>16.8</v>
      </c>
      <c r="V1179" s="1186">
        <v>3.1</v>
      </c>
      <c r="W1179" s="1186"/>
      <c r="X1179" s="1186"/>
      <c r="Y1179" s="1186"/>
      <c r="Z1179" s="1186"/>
      <c r="AA1179" s="1186"/>
      <c r="AB1179" s="1186"/>
      <c r="AC1179" s="1186"/>
      <c r="AD1179" s="1187"/>
    </row>
    <row r="1180" spans="1:30" x14ac:dyDescent="0.2">
      <c r="A1180">
        <f t="shared" si="52"/>
        <v>31</v>
      </c>
      <c r="B1180">
        <v>1171</v>
      </c>
      <c r="C1180" s="1200">
        <v>2</v>
      </c>
      <c r="D1180" s="1201" t="s">
        <v>5388</v>
      </c>
      <c r="E1180" s="1201" t="s">
        <v>5391</v>
      </c>
      <c r="F1180" s="1185">
        <v>4</v>
      </c>
      <c r="G1180" s="1186">
        <v>10.8</v>
      </c>
      <c r="H1180" s="1186">
        <v>2.33</v>
      </c>
      <c r="I1180" s="1186">
        <v>13.2</v>
      </c>
      <c r="J1180" s="1186">
        <v>2.8</v>
      </c>
      <c r="K1180" s="1186">
        <v>16.5</v>
      </c>
      <c r="L1180" s="1186">
        <v>3.5</v>
      </c>
      <c r="M1180" s="1186">
        <v>18.600000000000001</v>
      </c>
      <c r="N1180" s="1186">
        <v>3.96</v>
      </c>
      <c r="O1180" s="1186">
        <v>24.6</v>
      </c>
      <c r="P1180" s="1186">
        <v>5.5</v>
      </c>
      <c r="Q1180" s="1186">
        <v>11.7</v>
      </c>
      <c r="R1180" s="1186">
        <v>1.8</v>
      </c>
      <c r="S1180" s="1186">
        <v>16.7</v>
      </c>
      <c r="T1180" s="1186">
        <v>2.48</v>
      </c>
      <c r="U1180" s="1186">
        <v>22</v>
      </c>
      <c r="V1180" s="1186">
        <v>3.3</v>
      </c>
      <c r="W1180" s="1186"/>
      <c r="X1180" s="1186"/>
      <c r="Y1180" s="1186"/>
      <c r="Z1180" s="1186"/>
      <c r="AA1180" s="1186"/>
      <c r="AB1180" s="1186"/>
      <c r="AC1180" s="1186"/>
      <c r="AD1180" s="1187"/>
    </row>
    <row r="1181" spans="1:30" x14ac:dyDescent="0.2">
      <c r="A1181">
        <f t="shared" si="52"/>
        <v>31</v>
      </c>
      <c r="B1181">
        <v>1172</v>
      </c>
      <c r="C1181" s="1200">
        <v>2</v>
      </c>
      <c r="D1181" s="1201" t="s">
        <v>5388</v>
      </c>
      <c r="E1181" s="1201" t="s">
        <v>5392</v>
      </c>
      <c r="F1181" s="1185">
        <v>4</v>
      </c>
      <c r="G1181" s="1186">
        <v>5.4</v>
      </c>
      <c r="H1181" s="1186">
        <v>2.73</v>
      </c>
      <c r="I1181" s="1186">
        <v>6.53</v>
      </c>
      <c r="J1181" s="1186">
        <v>3.27</v>
      </c>
      <c r="K1181" s="1186">
        <v>7.92</v>
      </c>
      <c r="L1181" s="1186">
        <v>3.96</v>
      </c>
      <c r="M1181" s="1186">
        <v>8.76</v>
      </c>
      <c r="N1181" s="1186">
        <v>4.4000000000000004</v>
      </c>
      <c r="O1181" s="1186">
        <v>11.1</v>
      </c>
      <c r="P1181" s="1186">
        <v>5.75</v>
      </c>
      <c r="Q1181" s="1186">
        <v>6.18</v>
      </c>
      <c r="R1181" s="1186">
        <v>2.29</v>
      </c>
      <c r="S1181" s="1186">
        <v>8.27</v>
      </c>
      <c r="T1181" s="1186">
        <v>2.96</v>
      </c>
      <c r="U1181" s="1186">
        <v>10.49</v>
      </c>
      <c r="V1181" s="1186">
        <v>3.7</v>
      </c>
      <c r="W1181" s="1186"/>
      <c r="X1181" s="1186"/>
      <c r="Y1181" s="1186"/>
      <c r="Z1181" s="1186"/>
      <c r="AA1181" s="1186"/>
      <c r="AB1181" s="1186"/>
      <c r="AC1181" s="1186"/>
      <c r="AD1181" s="1187"/>
    </row>
    <row r="1182" spans="1:30" x14ac:dyDescent="0.2">
      <c r="A1182">
        <f t="shared" si="52"/>
        <v>31</v>
      </c>
      <c r="B1182">
        <v>1173</v>
      </c>
      <c r="C1182" s="1200">
        <v>2</v>
      </c>
      <c r="D1182" s="1201" t="s">
        <v>5388</v>
      </c>
      <c r="E1182" s="1201" t="s">
        <v>5393</v>
      </c>
      <c r="F1182" s="1185">
        <v>4</v>
      </c>
      <c r="G1182" s="1186">
        <v>7.15</v>
      </c>
      <c r="H1182" s="1186">
        <v>2.84</v>
      </c>
      <c r="I1182" s="1186">
        <v>8.98</v>
      </c>
      <c r="J1182" s="1186">
        <v>3.53</v>
      </c>
      <c r="K1182" s="1186">
        <v>11.37</v>
      </c>
      <c r="L1182" s="1186">
        <v>4.54</v>
      </c>
      <c r="M1182" s="1186">
        <v>12.87</v>
      </c>
      <c r="N1182" s="1186">
        <v>5.25</v>
      </c>
      <c r="O1182" s="1186">
        <v>15.52</v>
      </c>
      <c r="P1182" s="1186">
        <v>6.53</v>
      </c>
      <c r="Q1182" s="1186">
        <v>8.14</v>
      </c>
      <c r="R1182" s="1186">
        <v>2.33</v>
      </c>
      <c r="S1182" s="1186">
        <v>11.49</v>
      </c>
      <c r="T1182" s="1186">
        <v>3.18</v>
      </c>
      <c r="U1182" s="1186">
        <v>14.53</v>
      </c>
      <c r="V1182" s="1186">
        <v>4.03</v>
      </c>
      <c r="W1182" s="1186"/>
      <c r="X1182" s="1186"/>
      <c r="Y1182" s="1186"/>
      <c r="Z1182" s="1186"/>
      <c r="AA1182" s="1186"/>
      <c r="AB1182" s="1186"/>
      <c r="AC1182" s="1186"/>
      <c r="AD1182" s="1187"/>
    </row>
    <row r="1183" spans="1:30" x14ac:dyDescent="0.2">
      <c r="A1183">
        <f t="shared" si="52"/>
        <v>31</v>
      </c>
      <c r="B1183">
        <v>1174</v>
      </c>
      <c r="C1183" s="1078">
        <v>2</v>
      </c>
      <c r="D1183" s="1077" t="s">
        <v>5388</v>
      </c>
      <c r="E1183" s="1077" t="s">
        <v>5394</v>
      </c>
      <c r="F1183" s="1185">
        <v>4</v>
      </c>
      <c r="G1183" s="1186">
        <v>10.84</v>
      </c>
      <c r="H1183" s="1186">
        <v>3.05</v>
      </c>
      <c r="I1183" s="1186">
        <v>13.52</v>
      </c>
      <c r="J1183" s="1186">
        <v>3.81</v>
      </c>
      <c r="K1183" s="1186">
        <v>17</v>
      </c>
      <c r="L1183" s="1186">
        <v>4.8499999999999996</v>
      </c>
      <c r="M1183" s="1186">
        <v>19.170000000000002</v>
      </c>
      <c r="N1183" s="1186">
        <v>5.55</v>
      </c>
      <c r="O1183" s="1186">
        <v>20.3</v>
      </c>
      <c r="P1183" s="1186">
        <v>6.31</v>
      </c>
      <c r="Q1183" s="1186">
        <v>12.58</v>
      </c>
      <c r="R1183" s="1186">
        <v>2.5</v>
      </c>
      <c r="S1183" s="1186">
        <v>17.62</v>
      </c>
      <c r="T1183" s="1186">
        <v>3.51</v>
      </c>
      <c r="U1183" s="1186">
        <v>18.989999999999998</v>
      </c>
      <c r="V1183" s="1186">
        <v>3.97</v>
      </c>
      <c r="W1183" s="1186"/>
      <c r="X1183" s="1186"/>
      <c r="Y1183" s="1186"/>
      <c r="Z1183" s="1186"/>
      <c r="AA1183" s="1186"/>
      <c r="AB1183" s="1186"/>
      <c r="AC1183" s="1186"/>
      <c r="AD1183" s="1187"/>
    </row>
    <row r="1184" spans="1:30" x14ac:dyDescent="0.2">
      <c r="A1184">
        <f t="shared" si="52"/>
        <v>31</v>
      </c>
      <c r="B1184">
        <v>1175</v>
      </c>
      <c r="C1184" s="1078">
        <v>2</v>
      </c>
      <c r="D1184" s="1077" t="s">
        <v>5388</v>
      </c>
      <c r="E1184" s="1077" t="s">
        <v>5395</v>
      </c>
      <c r="F1184" s="1185">
        <v>4</v>
      </c>
      <c r="G1184" s="1186">
        <v>16.989999999999998</v>
      </c>
      <c r="H1184" s="1186">
        <v>2.97</v>
      </c>
      <c r="I1184" s="1186">
        <v>20.3</v>
      </c>
      <c r="J1184" s="1186">
        <v>3.57</v>
      </c>
      <c r="K1184" s="1186">
        <v>24.37</v>
      </c>
      <c r="L1184" s="1186">
        <v>4.32</v>
      </c>
      <c r="M1184" s="1186">
        <v>26.81</v>
      </c>
      <c r="N1184" s="1186">
        <v>4.78</v>
      </c>
      <c r="O1184" s="1186">
        <v>33.75</v>
      </c>
      <c r="P1184" s="1186">
        <v>6.19</v>
      </c>
      <c r="Q1184" s="1186">
        <v>19.97</v>
      </c>
      <c r="R1184" s="1186">
        <v>2.4300000000000002</v>
      </c>
      <c r="S1184" s="1186">
        <v>26.19</v>
      </c>
      <c r="T1184" s="1186">
        <v>3.21</v>
      </c>
      <c r="U1184" s="1186">
        <v>32.81</v>
      </c>
      <c r="V1184" s="1186">
        <v>4.0599999999999996</v>
      </c>
      <c r="W1184" s="1186"/>
      <c r="X1184" s="1186"/>
      <c r="Y1184" s="1186"/>
      <c r="Z1184" s="1186"/>
      <c r="AA1184" s="1186"/>
      <c r="AB1184" s="1186"/>
      <c r="AC1184" s="1186"/>
      <c r="AD1184" s="1187"/>
    </row>
    <row r="1185" spans="1:30" x14ac:dyDescent="0.2">
      <c r="A1185">
        <f t="shared" si="52"/>
        <v>31</v>
      </c>
      <c r="B1185">
        <v>1176</v>
      </c>
      <c r="C1185" s="1078">
        <v>3</v>
      </c>
      <c r="D1185" s="1077" t="s">
        <v>5388</v>
      </c>
      <c r="E1185" s="1077" t="s">
        <v>5396</v>
      </c>
      <c r="F1185" s="1185">
        <v>4</v>
      </c>
      <c r="G1185" s="1186"/>
      <c r="H1185" s="1186"/>
      <c r="I1185" s="1186"/>
      <c r="J1185" s="1186"/>
      <c r="K1185" s="1186"/>
      <c r="L1185" s="1186"/>
      <c r="M1185" s="1186"/>
      <c r="N1185" s="1186"/>
      <c r="O1185" s="1186"/>
      <c r="P1185" s="1186"/>
      <c r="Q1185" s="1186"/>
      <c r="R1185" s="1186"/>
      <c r="S1185" s="1186"/>
      <c r="T1185" s="1186"/>
      <c r="U1185" s="1186"/>
      <c r="V1185" s="1186"/>
      <c r="W1185" s="1186">
        <v>9.9</v>
      </c>
      <c r="X1185" s="1186">
        <v>3.5</v>
      </c>
      <c r="Y1185" s="1186">
        <v>7.7</v>
      </c>
      <c r="Z1185" s="1186">
        <v>2.2999999999999998</v>
      </c>
      <c r="AA1185" s="1186"/>
      <c r="AB1185" s="1186"/>
      <c r="AC1185" s="1186"/>
      <c r="AD1185" s="1187"/>
    </row>
    <row r="1186" spans="1:30" x14ac:dyDescent="0.2">
      <c r="A1186">
        <f t="shared" si="52"/>
        <v>31</v>
      </c>
      <c r="B1186">
        <v>1177</v>
      </c>
      <c r="C1186" s="1078">
        <v>3</v>
      </c>
      <c r="D1186" s="1077" t="s">
        <v>5388</v>
      </c>
      <c r="E1186" s="1077" t="s">
        <v>5397</v>
      </c>
      <c r="F1186" s="1185">
        <v>4</v>
      </c>
      <c r="G1186" s="1186"/>
      <c r="H1186" s="1186"/>
      <c r="I1186" s="1186"/>
      <c r="J1186" s="1186"/>
      <c r="K1186" s="1186"/>
      <c r="L1186" s="1186"/>
      <c r="M1186" s="1186"/>
      <c r="N1186" s="1186"/>
      <c r="O1186" s="1186"/>
      <c r="P1186" s="1186"/>
      <c r="Q1186" s="1186"/>
      <c r="R1186" s="1186"/>
      <c r="S1186" s="1186"/>
      <c r="T1186" s="1186"/>
      <c r="U1186" s="1186"/>
      <c r="V1186" s="1186"/>
      <c r="W1186" s="1186">
        <v>18.2</v>
      </c>
      <c r="X1186" s="1186">
        <v>3.5</v>
      </c>
      <c r="Y1186" s="1186">
        <v>11.4</v>
      </c>
      <c r="Z1186" s="1186">
        <v>2.5</v>
      </c>
      <c r="AA1186" s="1186"/>
      <c r="AB1186" s="1186"/>
      <c r="AC1186" s="1186"/>
      <c r="AD1186" s="1187"/>
    </row>
    <row r="1187" spans="1:30" x14ac:dyDescent="0.2">
      <c r="A1187">
        <f t="shared" si="52"/>
        <v>32</v>
      </c>
      <c r="B1187">
        <v>1178</v>
      </c>
      <c r="C1187" s="1078">
        <v>2</v>
      </c>
      <c r="D1187" s="1077" t="s">
        <v>4530</v>
      </c>
      <c r="E1187" s="1077" t="s">
        <v>5096</v>
      </c>
      <c r="F1187" s="1185">
        <v>4</v>
      </c>
      <c r="G1187" s="1186">
        <v>8.7200000000000006</v>
      </c>
      <c r="H1187" s="1186">
        <v>2.38</v>
      </c>
      <c r="I1187" s="1186">
        <v>10.73</v>
      </c>
      <c r="J1187" s="1186">
        <v>2.74</v>
      </c>
      <c r="K1187" s="1186">
        <v>11.79</v>
      </c>
      <c r="L1187" s="1186">
        <v>3.04</v>
      </c>
      <c r="M1187" s="1186">
        <v>16.89</v>
      </c>
      <c r="N1187" s="1186">
        <v>3.59</v>
      </c>
      <c r="O1187" s="1186">
        <v>19.170000000000002</v>
      </c>
      <c r="P1187" s="1186">
        <v>4.0599999999999996</v>
      </c>
      <c r="Q1187" s="1186">
        <v>9.3800000000000008</v>
      </c>
      <c r="R1187" s="1186">
        <v>2</v>
      </c>
      <c r="S1187" s="1186">
        <v>14.77</v>
      </c>
      <c r="T1187" s="1186">
        <v>2.63</v>
      </c>
      <c r="U1187" s="1186">
        <v>16.77</v>
      </c>
      <c r="V1187" s="1186">
        <v>2.97</v>
      </c>
      <c r="W1187" s="1186"/>
      <c r="X1187" s="1186"/>
      <c r="Y1187" s="1186"/>
      <c r="Z1187" s="1186"/>
      <c r="AA1187" s="1186"/>
      <c r="AB1187" s="1186"/>
      <c r="AC1187" s="1186"/>
      <c r="AD1187" s="1187"/>
    </row>
    <row r="1188" spans="1:30" x14ac:dyDescent="0.2">
      <c r="A1188">
        <f t="shared" si="52"/>
        <v>32</v>
      </c>
      <c r="B1188">
        <v>1179</v>
      </c>
      <c r="C1188" s="1078">
        <v>2</v>
      </c>
      <c r="D1188" s="1077" t="s">
        <v>4530</v>
      </c>
      <c r="E1188" s="1077" t="s">
        <v>5097</v>
      </c>
      <c r="F1188" s="1185">
        <v>4</v>
      </c>
      <c r="G1188" s="1186">
        <v>8.7200000000000006</v>
      </c>
      <c r="H1188" s="1186">
        <v>2.38</v>
      </c>
      <c r="I1188" s="1186">
        <v>10.73</v>
      </c>
      <c r="J1188" s="1186">
        <v>2.74</v>
      </c>
      <c r="K1188" s="1186">
        <v>11.79</v>
      </c>
      <c r="L1188" s="1186">
        <v>3.04</v>
      </c>
      <c r="M1188" s="1186">
        <v>16.89</v>
      </c>
      <c r="N1188" s="1186">
        <v>3.59</v>
      </c>
      <c r="O1188" s="1186">
        <v>19.170000000000002</v>
      </c>
      <c r="P1188" s="1186">
        <v>4.0599999999999996</v>
      </c>
      <c r="Q1188" s="1186">
        <v>9.3800000000000008</v>
      </c>
      <c r="R1188" s="1186">
        <v>2</v>
      </c>
      <c r="S1188" s="1186">
        <v>14.77</v>
      </c>
      <c r="T1188" s="1186">
        <v>2.63</v>
      </c>
      <c r="U1188" s="1186">
        <v>16.77</v>
      </c>
      <c r="V1188" s="1186">
        <v>2.97</v>
      </c>
      <c r="W1188" s="1186"/>
      <c r="X1188" s="1186"/>
      <c r="Y1188" s="1186"/>
      <c r="Z1188" s="1186"/>
      <c r="AA1188" s="1186"/>
      <c r="AB1188" s="1186"/>
      <c r="AC1188" s="1186"/>
      <c r="AD1188" s="1187"/>
    </row>
    <row r="1189" spans="1:30" x14ac:dyDescent="0.2">
      <c r="A1189">
        <f t="shared" si="52"/>
        <v>32</v>
      </c>
      <c r="B1189">
        <v>1180</v>
      </c>
      <c r="C1189" s="1078">
        <v>2</v>
      </c>
      <c r="D1189" s="1077" t="s">
        <v>4530</v>
      </c>
      <c r="E1189" s="1077" t="s">
        <v>5098</v>
      </c>
      <c r="F1189" s="1185">
        <v>4</v>
      </c>
      <c r="G1189" s="1186">
        <v>10.63</v>
      </c>
      <c r="H1189" s="1186">
        <v>2.2999999999999998</v>
      </c>
      <c r="I1189" s="1186">
        <v>13.02</v>
      </c>
      <c r="J1189" s="1186">
        <v>2.5499999999999998</v>
      </c>
      <c r="K1189" s="1186">
        <v>14.59</v>
      </c>
      <c r="L1189" s="1186">
        <v>2.85</v>
      </c>
      <c r="M1189" s="1186">
        <v>19.850000000000001</v>
      </c>
      <c r="N1189" s="1186">
        <v>3.4</v>
      </c>
      <c r="O1189" s="1186">
        <v>22.36</v>
      </c>
      <c r="P1189" s="1186">
        <v>4.28</v>
      </c>
      <c r="Q1189" s="1186">
        <v>10.45</v>
      </c>
      <c r="R1189" s="1186">
        <v>1.92</v>
      </c>
      <c r="S1189" s="1186">
        <v>15.93</v>
      </c>
      <c r="T1189" s="1186">
        <v>2.5499999999999998</v>
      </c>
      <c r="U1189" s="1186">
        <v>17.93</v>
      </c>
      <c r="V1189" s="1186">
        <v>3.22</v>
      </c>
      <c r="W1189" s="1186"/>
      <c r="X1189" s="1186"/>
      <c r="Y1189" s="1186"/>
      <c r="Z1189" s="1186"/>
      <c r="AA1189" s="1186"/>
      <c r="AB1189" s="1186"/>
      <c r="AC1189" s="1186"/>
      <c r="AD1189" s="1187"/>
    </row>
    <row r="1190" spans="1:30" x14ac:dyDescent="0.2">
      <c r="A1190">
        <f t="shared" si="52"/>
        <v>32</v>
      </c>
      <c r="B1190">
        <v>1181</v>
      </c>
      <c r="C1190" s="1078">
        <v>2</v>
      </c>
      <c r="D1190" s="1077" t="s">
        <v>4530</v>
      </c>
      <c r="E1190" s="1077" t="s">
        <v>5099</v>
      </c>
      <c r="F1190" s="1185">
        <v>4</v>
      </c>
      <c r="G1190" s="1186">
        <v>10.63</v>
      </c>
      <c r="H1190" s="1186">
        <v>2.2999999999999998</v>
      </c>
      <c r="I1190" s="1186">
        <v>13.02</v>
      </c>
      <c r="J1190" s="1186">
        <v>2.5499999999999998</v>
      </c>
      <c r="K1190" s="1186">
        <v>14.59</v>
      </c>
      <c r="L1190" s="1186">
        <v>2.85</v>
      </c>
      <c r="M1190" s="1186">
        <v>19.850000000000001</v>
      </c>
      <c r="N1190" s="1186">
        <v>3.4</v>
      </c>
      <c r="O1190" s="1186">
        <v>22.36</v>
      </c>
      <c r="P1190" s="1186">
        <v>4.28</v>
      </c>
      <c r="Q1190" s="1186">
        <v>10.45</v>
      </c>
      <c r="R1190" s="1186">
        <v>1.92</v>
      </c>
      <c r="S1190" s="1186">
        <v>15.93</v>
      </c>
      <c r="T1190" s="1186">
        <v>2.5499999999999998</v>
      </c>
      <c r="U1190" s="1186">
        <v>17.93</v>
      </c>
      <c r="V1190" s="1186">
        <v>3.22</v>
      </c>
      <c r="W1190" s="1186"/>
      <c r="X1190" s="1186"/>
      <c r="Y1190" s="1186"/>
      <c r="Z1190" s="1186"/>
      <c r="AA1190" s="1186"/>
      <c r="AB1190" s="1186"/>
      <c r="AC1190" s="1186"/>
      <c r="AD1190" s="1187"/>
    </row>
    <row r="1191" spans="1:30" x14ac:dyDescent="0.2">
      <c r="A1191">
        <f t="shared" si="52"/>
        <v>32</v>
      </c>
      <c r="B1191">
        <v>1182</v>
      </c>
      <c r="C1191" s="1078">
        <v>2</v>
      </c>
      <c r="D1191" s="1077" t="s">
        <v>4530</v>
      </c>
      <c r="E1191" s="1077" t="s">
        <v>5100</v>
      </c>
      <c r="F1191" s="1185">
        <v>4</v>
      </c>
      <c r="G1191" s="1186">
        <v>4.75</v>
      </c>
      <c r="H1191" s="1186">
        <v>2.46</v>
      </c>
      <c r="I1191" s="1186">
        <v>5.93</v>
      </c>
      <c r="J1191" s="1186">
        <v>2.79</v>
      </c>
      <c r="K1191" s="1186">
        <v>6.26</v>
      </c>
      <c r="L1191" s="1186">
        <v>3.06</v>
      </c>
      <c r="M1191" s="1186">
        <v>8.36</v>
      </c>
      <c r="N1191" s="1186">
        <v>3.41</v>
      </c>
      <c r="O1191" s="1186">
        <v>9.74</v>
      </c>
      <c r="P1191" s="1186">
        <v>3.77</v>
      </c>
      <c r="Q1191" s="1186">
        <v>5.3</v>
      </c>
      <c r="R1191" s="1186">
        <v>1.94</v>
      </c>
      <c r="S1191" s="1186">
        <v>7.47</v>
      </c>
      <c r="T1191" s="1186">
        <v>2.38</v>
      </c>
      <c r="U1191" s="1186">
        <v>8.4</v>
      </c>
      <c r="V1191" s="1186">
        <v>2.63</v>
      </c>
      <c r="W1191" s="1186"/>
      <c r="X1191" s="1186"/>
      <c r="Y1191" s="1186"/>
      <c r="Z1191" s="1186"/>
      <c r="AA1191" s="1186"/>
      <c r="AB1191" s="1186"/>
      <c r="AC1191" s="1186"/>
      <c r="AD1191" s="1187"/>
    </row>
    <row r="1192" spans="1:30" x14ac:dyDescent="0.2">
      <c r="A1192">
        <f t="shared" si="52"/>
        <v>32</v>
      </c>
      <c r="B1192">
        <v>1183</v>
      </c>
      <c r="C1192" s="1078">
        <v>2</v>
      </c>
      <c r="D1192" s="1077" t="s">
        <v>4530</v>
      </c>
      <c r="E1192" s="1077" t="s">
        <v>5101</v>
      </c>
      <c r="F1192" s="1185">
        <v>4</v>
      </c>
      <c r="G1192" s="1186">
        <v>4.75</v>
      </c>
      <c r="H1192" s="1186">
        <v>2.46</v>
      </c>
      <c r="I1192" s="1186">
        <v>5.93</v>
      </c>
      <c r="J1192" s="1186">
        <v>2.79</v>
      </c>
      <c r="K1192" s="1186">
        <v>6.26</v>
      </c>
      <c r="L1192" s="1186">
        <v>3.06</v>
      </c>
      <c r="M1192" s="1186">
        <v>8.36</v>
      </c>
      <c r="N1192" s="1186">
        <v>3.41</v>
      </c>
      <c r="O1192" s="1186">
        <v>9.74</v>
      </c>
      <c r="P1192" s="1186">
        <v>3.77</v>
      </c>
      <c r="Q1192" s="1186">
        <v>5.3</v>
      </c>
      <c r="R1192" s="1186">
        <v>1.94</v>
      </c>
      <c r="S1192" s="1186">
        <v>7.47</v>
      </c>
      <c r="T1192" s="1186">
        <v>2.38</v>
      </c>
      <c r="U1192" s="1186">
        <v>8.4</v>
      </c>
      <c r="V1192" s="1186">
        <v>2.63</v>
      </c>
      <c r="W1192" s="1186"/>
      <c r="X1192" s="1186"/>
      <c r="Y1192" s="1186"/>
      <c r="Z1192" s="1186"/>
      <c r="AA1192" s="1186"/>
      <c r="AB1192" s="1186"/>
      <c r="AC1192" s="1186"/>
      <c r="AD1192" s="1187"/>
    </row>
    <row r="1193" spans="1:30" x14ac:dyDescent="0.2">
      <c r="A1193">
        <f t="shared" si="52"/>
        <v>32</v>
      </c>
      <c r="B1193">
        <v>1184</v>
      </c>
      <c r="C1193" s="1078">
        <v>2</v>
      </c>
      <c r="D1193" s="1077" t="s">
        <v>4530</v>
      </c>
      <c r="E1193" s="1077" t="s">
        <v>5102</v>
      </c>
      <c r="F1193" s="1185">
        <v>4</v>
      </c>
      <c r="G1193" s="1186">
        <v>6.74</v>
      </c>
      <c r="H1193" s="1186">
        <v>2.52</v>
      </c>
      <c r="I1193" s="1186">
        <v>8.25</v>
      </c>
      <c r="J1193" s="1186">
        <v>2.79</v>
      </c>
      <c r="K1193" s="1186">
        <v>8.9499999999999993</v>
      </c>
      <c r="L1193" s="1186">
        <v>2.96</v>
      </c>
      <c r="M1193" s="1186">
        <v>10.84</v>
      </c>
      <c r="N1193" s="1186">
        <v>3.21</v>
      </c>
      <c r="O1193" s="1186">
        <v>12.12</v>
      </c>
      <c r="P1193" s="1186">
        <v>3.46</v>
      </c>
      <c r="Q1193" s="1186">
        <v>6.9</v>
      </c>
      <c r="R1193" s="1186">
        <v>2.09</v>
      </c>
      <c r="S1193" s="1186">
        <v>8.41</v>
      </c>
      <c r="T1193" s="1186">
        <v>2.4</v>
      </c>
      <c r="U1193" s="1186">
        <v>9.08</v>
      </c>
      <c r="V1193" s="1186">
        <v>2.59</v>
      </c>
      <c r="W1193" s="1186"/>
      <c r="X1193" s="1186"/>
      <c r="Y1193" s="1186"/>
      <c r="Z1193" s="1186"/>
      <c r="AA1193" s="1186"/>
      <c r="AB1193" s="1186"/>
      <c r="AC1193" s="1186"/>
      <c r="AD1193" s="1187"/>
    </row>
    <row r="1194" spans="1:30" x14ac:dyDescent="0.2">
      <c r="A1194">
        <f t="shared" si="52"/>
        <v>32</v>
      </c>
      <c r="B1194">
        <v>1185</v>
      </c>
      <c r="C1194" s="1078">
        <v>2</v>
      </c>
      <c r="D1194" s="1077" t="s">
        <v>4530</v>
      </c>
      <c r="E1194" s="1077" t="s">
        <v>5103</v>
      </c>
      <c r="F1194" s="1185">
        <v>4</v>
      </c>
      <c r="G1194" s="1186">
        <v>6.74</v>
      </c>
      <c r="H1194" s="1186">
        <v>2.52</v>
      </c>
      <c r="I1194" s="1186">
        <v>8.25</v>
      </c>
      <c r="J1194" s="1186">
        <v>2.79</v>
      </c>
      <c r="K1194" s="1186">
        <v>8.9499999999999993</v>
      </c>
      <c r="L1194" s="1186">
        <v>2.96</v>
      </c>
      <c r="M1194" s="1186">
        <v>10.84</v>
      </c>
      <c r="N1194" s="1186">
        <v>3.21</v>
      </c>
      <c r="O1194" s="1186">
        <v>12.12</v>
      </c>
      <c r="P1194" s="1186">
        <v>3.46</v>
      </c>
      <c r="Q1194" s="1186">
        <v>6.9</v>
      </c>
      <c r="R1194" s="1186">
        <v>2.09</v>
      </c>
      <c r="S1194" s="1186">
        <v>8.41</v>
      </c>
      <c r="T1194" s="1186">
        <v>2.4</v>
      </c>
      <c r="U1194" s="1186">
        <v>9.08</v>
      </c>
      <c r="V1194" s="1186">
        <v>2.59</v>
      </c>
      <c r="W1194" s="1186"/>
      <c r="X1194" s="1186"/>
      <c r="Y1194" s="1186"/>
      <c r="Z1194" s="1186"/>
      <c r="AA1194" s="1186"/>
      <c r="AB1194" s="1186"/>
      <c r="AC1194" s="1186"/>
      <c r="AD1194" s="1187"/>
    </row>
    <row r="1195" spans="1:30" x14ac:dyDescent="0.2">
      <c r="A1195">
        <f t="shared" si="52"/>
        <v>32</v>
      </c>
      <c r="B1195">
        <v>1186</v>
      </c>
      <c r="C1195" s="1078">
        <v>2</v>
      </c>
      <c r="D1195" s="1077" t="s">
        <v>4530</v>
      </c>
      <c r="E1195" s="1077" t="s">
        <v>5104</v>
      </c>
      <c r="F1195" s="1185">
        <v>4</v>
      </c>
      <c r="G1195" s="1186">
        <v>8.7200000000000006</v>
      </c>
      <c r="H1195" s="1186">
        <v>2.38</v>
      </c>
      <c r="I1195" s="1186">
        <v>10.73</v>
      </c>
      <c r="J1195" s="1186">
        <v>2.74</v>
      </c>
      <c r="K1195" s="1186">
        <v>11.79</v>
      </c>
      <c r="L1195" s="1186">
        <v>3.04</v>
      </c>
      <c r="M1195" s="1186">
        <v>16.89</v>
      </c>
      <c r="N1195" s="1186">
        <v>3.59</v>
      </c>
      <c r="O1195" s="1186">
        <v>19.170000000000002</v>
      </c>
      <c r="P1195" s="1186">
        <v>4.0599999999999996</v>
      </c>
      <c r="Q1195" s="1186">
        <v>9.3800000000000008</v>
      </c>
      <c r="R1195" s="1186">
        <v>2</v>
      </c>
      <c r="S1195" s="1186">
        <v>14.77</v>
      </c>
      <c r="T1195" s="1186">
        <v>2.63</v>
      </c>
      <c r="U1195" s="1186">
        <v>16.77</v>
      </c>
      <c r="V1195" s="1186">
        <v>2.97</v>
      </c>
      <c r="W1195" s="1186"/>
      <c r="X1195" s="1186"/>
      <c r="Y1195" s="1186"/>
      <c r="Z1195" s="1186"/>
      <c r="AA1195" s="1186"/>
      <c r="AB1195" s="1186"/>
      <c r="AC1195" s="1186"/>
      <c r="AD1195" s="1187"/>
    </row>
    <row r="1196" spans="1:30" x14ac:dyDescent="0.2">
      <c r="A1196">
        <f t="shared" si="52"/>
        <v>32</v>
      </c>
      <c r="B1196">
        <v>1187</v>
      </c>
      <c r="C1196" s="1078">
        <v>2</v>
      </c>
      <c r="D1196" s="1077" t="s">
        <v>4530</v>
      </c>
      <c r="E1196" s="1077" t="s">
        <v>5105</v>
      </c>
      <c r="F1196" s="1185">
        <v>4</v>
      </c>
      <c r="G1196" s="1186">
        <v>8.7200000000000006</v>
      </c>
      <c r="H1196" s="1186">
        <v>2.38</v>
      </c>
      <c r="I1196" s="1186">
        <v>10.73</v>
      </c>
      <c r="J1196" s="1186">
        <v>2.74</v>
      </c>
      <c r="K1196" s="1186">
        <v>11.79</v>
      </c>
      <c r="L1196" s="1186">
        <v>3.04</v>
      </c>
      <c r="M1196" s="1186">
        <v>16.89</v>
      </c>
      <c r="N1196" s="1186">
        <v>3.59</v>
      </c>
      <c r="O1196" s="1186">
        <v>19.170000000000002</v>
      </c>
      <c r="P1196" s="1186">
        <v>4.0599999999999996</v>
      </c>
      <c r="Q1196" s="1186">
        <v>9.3800000000000008</v>
      </c>
      <c r="R1196" s="1186">
        <v>2</v>
      </c>
      <c r="S1196" s="1186">
        <v>14.77</v>
      </c>
      <c r="T1196" s="1186">
        <v>2.63</v>
      </c>
      <c r="U1196" s="1186">
        <v>16.77</v>
      </c>
      <c r="V1196" s="1186">
        <v>2.97</v>
      </c>
      <c r="W1196" s="1186"/>
      <c r="X1196" s="1186"/>
      <c r="Y1196" s="1186"/>
      <c r="Z1196" s="1186"/>
      <c r="AA1196" s="1186"/>
      <c r="AB1196" s="1186"/>
      <c r="AC1196" s="1186"/>
      <c r="AD1196" s="1187"/>
    </row>
    <row r="1197" spans="1:30" x14ac:dyDescent="0.2">
      <c r="A1197">
        <f t="shared" si="52"/>
        <v>32</v>
      </c>
      <c r="B1197">
        <v>1188</v>
      </c>
      <c r="C1197" s="1200">
        <v>2</v>
      </c>
      <c r="D1197" s="1201" t="s">
        <v>4530</v>
      </c>
      <c r="E1197" s="1201" t="s">
        <v>5106</v>
      </c>
      <c r="F1197" s="1185">
        <v>4</v>
      </c>
      <c r="G1197" s="1186">
        <v>10.63</v>
      </c>
      <c r="H1197" s="1186">
        <v>2.2999999999999998</v>
      </c>
      <c r="I1197" s="1186">
        <v>13.02</v>
      </c>
      <c r="J1197" s="1186">
        <v>2.5499999999999998</v>
      </c>
      <c r="K1197" s="1186">
        <v>14.59</v>
      </c>
      <c r="L1197" s="1186">
        <v>2.85</v>
      </c>
      <c r="M1197" s="1186">
        <v>19.850000000000001</v>
      </c>
      <c r="N1197" s="1186">
        <v>3.4</v>
      </c>
      <c r="O1197" s="1186">
        <v>22.36</v>
      </c>
      <c r="P1197" s="1186">
        <v>4.28</v>
      </c>
      <c r="Q1197" s="1186">
        <v>10.45</v>
      </c>
      <c r="R1197" s="1186">
        <v>1.92</v>
      </c>
      <c r="S1197" s="1186">
        <v>15.93</v>
      </c>
      <c r="T1197" s="1186">
        <v>2.5499999999999998</v>
      </c>
      <c r="U1197" s="1186">
        <v>17.93</v>
      </c>
      <c r="V1197" s="1186">
        <v>3.22</v>
      </c>
      <c r="W1197" s="1186"/>
      <c r="X1197" s="1186"/>
      <c r="Y1197" s="1186"/>
      <c r="Z1197" s="1186"/>
      <c r="AA1197" s="1186"/>
      <c r="AB1197" s="1186"/>
      <c r="AC1197" s="1186"/>
      <c r="AD1197" s="1187"/>
    </row>
    <row r="1198" spans="1:30" x14ac:dyDescent="0.2">
      <c r="A1198">
        <f t="shared" si="52"/>
        <v>32</v>
      </c>
      <c r="B1198">
        <v>1189</v>
      </c>
      <c r="C1198" s="1200">
        <v>2</v>
      </c>
      <c r="D1198" s="1201" t="s">
        <v>4530</v>
      </c>
      <c r="E1198" s="1201" t="s">
        <v>5107</v>
      </c>
      <c r="F1198" s="1185">
        <v>4</v>
      </c>
      <c r="G1198" s="1186">
        <v>10.63</v>
      </c>
      <c r="H1198" s="1186">
        <v>2.2999999999999998</v>
      </c>
      <c r="I1198" s="1186">
        <v>13.02</v>
      </c>
      <c r="J1198" s="1186">
        <v>2.5499999999999998</v>
      </c>
      <c r="K1198" s="1186">
        <v>14.59</v>
      </c>
      <c r="L1198" s="1186">
        <v>2.85</v>
      </c>
      <c r="M1198" s="1186">
        <v>19.850000000000001</v>
      </c>
      <c r="N1198" s="1186">
        <v>3.4</v>
      </c>
      <c r="O1198" s="1186">
        <v>22.36</v>
      </c>
      <c r="P1198" s="1186">
        <v>4.28</v>
      </c>
      <c r="Q1198" s="1186">
        <v>10.45</v>
      </c>
      <c r="R1198" s="1186">
        <v>1.92</v>
      </c>
      <c r="S1198" s="1186">
        <v>15.93</v>
      </c>
      <c r="T1198" s="1186">
        <v>2.5499999999999998</v>
      </c>
      <c r="U1198" s="1186">
        <v>17.93</v>
      </c>
      <c r="V1198" s="1186">
        <v>3.22</v>
      </c>
      <c r="W1198" s="1186"/>
      <c r="X1198" s="1186"/>
      <c r="Y1198" s="1186"/>
      <c r="Z1198" s="1186"/>
      <c r="AA1198" s="1186"/>
      <c r="AB1198" s="1186"/>
      <c r="AC1198" s="1186"/>
      <c r="AD1198" s="1187"/>
    </row>
    <row r="1199" spans="1:30" x14ac:dyDescent="0.2">
      <c r="A1199">
        <f t="shared" si="52"/>
        <v>32</v>
      </c>
      <c r="B1199">
        <v>1190</v>
      </c>
      <c r="C1199" s="1200">
        <v>2</v>
      </c>
      <c r="D1199" s="1201" t="s">
        <v>4530</v>
      </c>
      <c r="E1199" s="1201" t="s">
        <v>5108</v>
      </c>
      <c r="F1199" s="1185">
        <v>4</v>
      </c>
      <c r="G1199" s="1186">
        <v>6.74</v>
      </c>
      <c r="H1199" s="1186">
        <v>2.52</v>
      </c>
      <c r="I1199" s="1186">
        <v>8.25</v>
      </c>
      <c r="J1199" s="1186">
        <v>2.79</v>
      </c>
      <c r="K1199" s="1186">
        <v>8.9499999999999993</v>
      </c>
      <c r="L1199" s="1186">
        <v>2.96</v>
      </c>
      <c r="M1199" s="1186">
        <v>10.84</v>
      </c>
      <c r="N1199" s="1186">
        <v>3.21</v>
      </c>
      <c r="O1199" s="1186">
        <v>12.12</v>
      </c>
      <c r="P1199" s="1186">
        <v>3.46</v>
      </c>
      <c r="Q1199" s="1186">
        <v>6.9</v>
      </c>
      <c r="R1199" s="1186">
        <v>2.09</v>
      </c>
      <c r="S1199" s="1186">
        <v>8.41</v>
      </c>
      <c r="T1199" s="1186">
        <v>2.4</v>
      </c>
      <c r="U1199" s="1186">
        <v>9.08</v>
      </c>
      <c r="V1199" s="1186">
        <v>2.59</v>
      </c>
      <c r="W1199" s="1186"/>
      <c r="X1199" s="1186"/>
      <c r="Y1199" s="1186"/>
      <c r="Z1199" s="1186"/>
      <c r="AA1199" s="1186"/>
      <c r="AB1199" s="1186"/>
      <c r="AC1199" s="1186"/>
      <c r="AD1199" s="1187"/>
    </row>
    <row r="1200" spans="1:30" x14ac:dyDescent="0.2">
      <c r="A1200">
        <f t="shared" si="52"/>
        <v>32</v>
      </c>
      <c r="B1200">
        <v>1191</v>
      </c>
      <c r="C1200" s="1200">
        <v>2</v>
      </c>
      <c r="D1200" s="1201" t="s">
        <v>4530</v>
      </c>
      <c r="E1200" s="1201" t="s">
        <v>5109</v>
      </c>
      <c r="F1200" s="1185">
        <v>4</v>
      </c>
      <c r="G1200" s="1186">
        <v>6.74</v>
      </c>
      <c r="H1200" s="1186">
        <v>2.52</v>
      </c>
      <c r="I1200" s="1186">
        <v>8.25</v>
      </c>
      <c r="J1200" s="1186">
        <v>2.79</v>
      </c>
      <c r="K1200" s="1186">
        <v>8.9499999999999993</v>
      </c>
      <c r="L1200" s="1186">
        <v>2.96</v>
      </c>
      <c r="M1200" s="1186">
        <v>10.84</v>
      </c>
      <c r="N1200" s="1186">
        <v>3.21</v>
      </c>
      <c r="O1200" s="1186">
        <v>12.12</v>
      </c>
      <c r="P1200" s="1186">
        <v>3.46</v>
      </c>
      <c r="Q1200" s="1186">
        <v>6.9</v>
      </c>
      <c r="R1200" s="1186">
        <v>2.09</v>
      </c>
      <c r="S1200" s="1186">
        <v>8.41</v>
      </c>
      <c r="T1200" s="1186">
        <v>2.4</v>
      </c>
      <c r="U1200" s="1186">
        <v>9.08</v>
      </c>
      <c r="V1200" s="1186">
        <v>2.59</v>
      </c>
      <c r="W1200" s="1186"/>
      <c r="X1200" s="1186"/>
      <c r="Y1200" s="1186"/>
      <c r="Z1200" s="1186"/>
      <c r="AA1200" s="1186"/>
      <c r="AB1200" s="1186"/>
      <c r="AC1200" s="1186"/>
      <c r="AD1200" s="1187"/>
    </row>
    <row r="1201" spans="1:30" x14ac:dyDescent="0.2">
      <c r="A1201">
        <f t="shared" si="52"/>
        <v>32</v>
      </c>
      <c r="B1201">
        <v>1192</v>
      </c>
      <c r="C1201" s="1200">
        <v>2</v>
      </c>
      <c r="D1201" s="1201" t="s">
        <v>4530</v>
      </c>
      <c r="E1201" s="1201" t="s">
        <v>5110</v>
      </c>
      <c r="F1201" s="1185">
        <v>4</v>
      </c>
      <c r="G1201" s="1186">
        <v>4.0999999999999996</v>
      </c>
      <c r="H1201" s="1186">
        <v>2.4</v>
      </c>
      <c r="I1201" s="1186">
        <v>4.99</v>
      </c>
      <c r="J1201" s="1186">
        <v>2.76</v>
      </c>
      <c r="K1201" s="1186">
        <v>5.51</v>
      </c>
      <c r="L1201" s="1186">
        <v>3.06</v>
      </c>
      <c r="M1201" s="1186">
        <v>7.57</v>
      </c>
      <c r="N1201" s="1186">
        <v>3.82</v>
      </c>
      <c r="O1201" s="1186">
        <v>8.8000000000000007</v>
      </c>
      <c r="P1201" s="1186">
        <v>4.3600000000000003</v>
      </c>
      <c r="Q1201" s="1186">
        <v>4.66</v>
      </c>
      <c r="R1201" s="1186">
        <v>1.85</v>
      </c>
      <c r="S1201" s="1186">
        <v>7.08</v>
      </c>
      <c r="T1201" s="1186">
        <v>2.56</v>
      </c>
      <c r="U1201" s="1186">
        <v>8.23</v>
      </c>
      <c r="V1201" s="1186">
        <v>2.92</v>
      </c>
      <c r="W1201" s="1186"/>
      <c r="X1201" s="1186"/>
      <c r="Y1201" s="1186"/>
      <c r="Z1201" s="1186"/>
      <c r="AA1201" s="1186"/>
      <c r="AB1201" s="1186"/>
      <c r="AC1201" s="1186"/>
      <c r="AD1201" s="1187"/>
    </row>
    <row r="1202" spans="1:30" x14ac:dyDescent="0.2">
      <c r="A1202">
        <f t="shared" si="52"/>
        <v>32</v>
      </c>
      <c r="B1202">
        <v>1193</v>
      </c>
      <c r="C1202" s="1200">
        <v>2</v>
      </c>
      <c r="D1202" s="1201" t="s">
        <v>4530</v>
      </c>
      <c r="E1202" s="1201" t="s">
        <v>5111</v>
      </c>
      <c r="F1202" s="1185">
        <v>4</v>
      </c>
      <c r="G1202" s="1186">
        <v>4.0999999999999996</v>
      </c>
      <c r="H1202" s="1186">
        <v>2.4</v>
      </c>
      <c r="I1202" s="1186">
        <v>4.99</v>
      </c>
      <c r="J1202" s="1186">
        <v>2.76</v>
      </c>
      <c r="K1202" s="1186">
        <v>5.51</v>
      </c>
      <c r="L1202" s="1186">
        <v>3.06</v>
      </c>
      <c r="M1202" s="1186">
        <v>7.57</v>
      </c>
      <c r="N1202" s="1186">
        <v>3.82</v>
      </c>
      <c r="O1202" s="1186">
        <v>8.8000000000000007</v>
      </c>
      <c r="P1202" s="1186">
        <v>4.3600000000000003</v>
      </c>
      <c r="Q1202" s="1186">
        <v>4.66</v>
      </c>
      <c r="R1202" s="1186">
        <v>1.85</v>
      </c>
      <c r="S1202" s="1186">
        <v>7.08</v>
      </c>
      <c r="T1202" s="1186">
        <v>2.56</v>
      </c>
      <c r="U1202" s="1186">
        <v>8.23</v>
      </c>
      <c r="V1202" s="1186">
        <v>2.92</v>
      </c>
      <c r="W1202" s="1186"/>
      <c r="X1202" s="1186"/>
      <c r="Y1202" s="1186"/>
      <c r="Z1202" s="1186"/>
      <c r="AA1202" s="1186"/>
      <c r="AB1202" s="1186"/>
      <c r="AC1202" s="1186"/>
      <c r="AD1202" s="1187"/>
    </row>
    <row r="1203" spans="1:30" x14ac:dyDescent="0.2">
      <c r="A1203">
        <f t="shared" si="52"/>
        <v>32</v>
      </c>
      <c r="B1203">
        <v>1194</v>
      </c>
      <c r="C1203" s="1200">
        <v>2</v>
      </c>
      <c r="D1203" s="1201" t="s">
        <v>4530</v>
      </c>
      <c r="E1203" s="1201" t="s">
        <v>5112</v>
      </c>
      <c r="F1203" s="1185">
        <v>4</v>
      </c>
      <c r="G1203" s="1186">
        <v>5.35</v>
      </c>
      <c r="H1203" s="1186">
        <v>2.5099999999999998</v>
      </c>
      <c r="I1203" s="1186">
        <v>6.79</v>
      </c>
      <c r="J1203" s="1186">
        <v>2.9</v>
      </c>
      <c r="K1203" s="1186">
        <v>7.34</v>
      </c>
      <c r="L1203" s="1186">
        <v>3.11</v>
      </c>
      <c r="M1203" s="1186">
        <v>7.91</v>
      </c>
      <c r="N1203" s="1186">
        <v>3.59</v>
      </c>
      <c r="O1203" s="1186">
        <v>8.89</v>
      </c>
      <c r="P1203" s="1186">
        <v>4</v>
      </c>
      <c r="Q1203" s="1186">
        <v>6.06</v>
      </c>
      <c r="R1203" s="1186">
        <v>1.95</v>
      </c>
      <c r="S1203" s="1186">
        <v>7.07</v>
      </c>
      <c r="T1203" s="1186">
        <v>2.41</v>
      </c>
      <c r="U1203" s="1186">
        <v>7.95</v>
      </c>
      <c r="V1203" s="1186">
        <v>2.68</v>
      </c>
      <c r="W1203" s="1186"/>
      <c r="X1203" s="1186"/>
      <c r="Y1203" s="1186"/>
      <c r="Z1203" s="1186"/>
      <c r="AA1203" s="1186"/>
      <c r="AB1203" s="1186"/>
      <c r="AC1203" s="1186"/>
      <c r="AD1203" s="1187"/>
    </row>
    <row r="1204" spans="1:30" x14ac:dyDescent="0.2">
      <c r="A1204">
        <f t="shared" si="52"/>
        <v>32</v>
      </c>
      <c r="B1204">
        <v>1195</v>
      </c>
      <c r="C1204" s="1200">
        <v>2</v>
      </c>
      <c r="D1204" s="1201" t="s">
        <v>4530</v>
      </c>
      <c r="E1204" s="1201" t="s">
        <v>5113</v>
      </c>
      <c r="F1204" s="1185">
        <v>4</v>
      </c>
      <c r="G1204" s="1186">
        <v>5.35</v>
      </c>
      <c r="H1204" s="1186">
        <v>2.5099999999999998</v>
      </c>
      <c r="I1204" s="1186">
        <v>6.79</v>
      </c>
      <c r="J1204" s="1186">
        <v>2.9</v>
      </c>
      <c r="K1204" s="1186">
        <v>7.34</v>
      </c>
      <c r="L1204" s="1186">
        <v>3.11</v>
      </c>
      <c r="M1204" s="1186">
        <v>7.91</v>
      </c>
      <c r="N1204" s="1186">
        <v>3.59</v>
      </c>
      <c r="O1204" s="1186">
        <v>8.89</v>
      </c>
      <c r="P1204" s="1186">
        <v>4</v>
      </c>
      <c r="Q1204" s="1186">
        <v>6.06</v>
      </c>
      <c r="R1204" s="1186">
        <v>1.95</v>
      </c>
      <c r="S1204" s="1186">
        <v>7.07</v>
      </c>
      <c r="T1204" s="1186">
        <v>2.41</v>
      </c>
      <c r="U1204" s="1186">
        <v>7.95</v>
      </c>
      <c r="V1204" s="1186">
        <v>2.68</v>
      </c>
      <c r="W1204" s="1186"/>
      <c r="X1204" s="1186"/>
      <c r="Y1204" s="1186"/>
      <c r="Z1204" s="1186"/>
      <c r="AA1204" s="1186"/>
      <c r="AB1204" s="1186"/>
      <c r="AC1204" s="1186"/>
      <c r="AD1204" s="1187"/>
    </row>
    <row r="1205" spans="1:30" x14ac:dyDescent="0.2">
      <c r="A1205">
        <f t="shared" si="52"/>
        <v>32</v>
      </c>
      <c r="B1205">
        <v>1196</v>
      </c>
      <c r="C1205" s="1078">
        <v>3</v>
      </c>
      <c r="D1205" s="1077" t="s">
        <v>4530</v>
      </c>
      <c r="E1205" s="1077" t="s">
        <v>5114</v>
      </c>
      <c r="F1205" s="1185">
        <v>4</v>
      </c>
      <c r="G1205" s="1186"/>
      <c r="H1205" s="1186"/>
      <c r="I1205" s="1186"/>
      <c r="J1205" s="1186"/>
      <c r="K1205" s="1186"/>
      <c r="L1205" s="1186"/>
      <c r="M1205" s="1186"/>
      <c r="N1205" s="1186"/>
      <c r="O1205" s="1186"/>
      <c r="P1205" s="1186"/>
      <c r="Q1205" s="1186"/>
      <c r="R1205" s="1186"/>
      <c r="S1205" s="1186"/>
      <c r="T1205" s="1186"/>
      <c r="U1205" s="1186"/>
      <c r="V1205" s="1186"/>
      <c r="W1205" s="1186">
        <v>12.5</v>
      </c>
      <c r="X1205" s="1186">
        <v>4.7</v>
      </c>
      <c r="Y1205" s="1186">
        <v>11.2</v>
      </c>
      <c r="Z1205" s="1186">
        <v>2.6</v>
      </c>
      <c r="AA1205" s="1186">
        <v>16</v>
      </c>
      <c r="AB1205" s="1186">
        <v>4.9000000000000004</v>
      </c>
      <c r="AC1205" s="1186">
        <v>14.1</v>
      </c>
      <c r="AD1205" s="1187">
        <v>3.2</v>
      </c>
    </row>
    <row r="1206" spans="1:30" x14ac:dyDescent="0.2">
      <c r="A1206">
        <f t="shared" si="52"/>
        <v>32</v>
      </c>
      <c r="B1206">
        <v>1197</v>
      </c>
      <c r="C1206" s="1078">
        <v>3</v>
      </c>
      <c r="D1206" s="1077" t="s">
        <v>4530</v>
      </c>
      <c r="E1206" s="1077" t="s">
        <v>5115</v>
      </c>
      <c r="F1206" s="1185">
        <v>4</v>
      </c>
      <c r="G1206" s="1186"/>
      <c r="H1206" s="1186"/>
      <c r="I1206" s="1186"/>
      <c r="J1206" s="1186"/>
      <c r="K1206" s="1186"/>
      <c r="L1206" s="1186"/>
      <c r="M1206" s="1186"/>
      <c r="N1206" s="1186"/>
      <c r="O1206" s="1186"/>
      <c r="P1206" s="1186"/>
      <c r="Q1206" s="1186"/>
      <c r="R1206" s="1186"/>
      <c r="S1206" s="1186"/>
      <c r="T1206" s="1186"/>
      <c r="U1206" s="1186"/>
      <c r="V1206" s="1186"/>
      <c r="W1206" s="1186">
        <v>12.5</v>
      </c>
      <c r="X1206" s="1186">
        <v>4.7</v>
      </c>
      <c r="Y1206" s="1186">
        <v>11.2</v>
      </c>
      <c r="Z1206" s="1186">
        <v>2.6</v>
      </c>
      <c r="AA1206" s="1186">
        <v>16</v>
      </c>
      <c r="AB1206" s="1186">
        <v>4.9000000000000004</v>
      </c>
      <c r="AC1206" s="1186">
        <v>14.1</v>
      </c>
      <c r="AD1206" s="1187">
        <v>3.2</v>
      </c>
    </row>
    <row r="1207" spans="1:30" x14ac:dyDescent="0.2">
      <c r="A1207">
        <f t="shared" si="52"/>
        <v>32</v>
      </c>
      <c r="B1207">
        <v>1198</v>
      </c>
      <c r="C1207" s="1078">
        <v>3</v>
      </c>
      <c r="D1207" s="1077" t="s">
        <v>4530</v>
      </c>
      <c r="E1207" s="1077" t="s">
        <v>5116</v>
      </c>
      <c r="F1207" s="1185">
        <v>4</v>
      </c>
      <c r="G1207" s="1186"/>
      <c r="H1207" s="1186"/>
      <c r="I1207" s="1186"/>
      <c r="J1207" s="1186"/>
      <c r="K1207" s="1186"/>
      <c r="L1207" s="1186"/>
      <c r="M1207" s="1186"/>
      <c r="N1207" s="1186"/>
      <c r="O1207" s="1186"/>
      <c r="P1207" s="1186"/>
      <c r="Q1207" s="1186"/>
      <c r="R1207" s="1186"/>
      <c r="S1207" s="1186"/>
      <c r="T1207" s="1186"/>
      <c r="U1207" s="1186"/>
      <c r="V1207" s="1186"/>
      <c r="W1207" s="1186">
        <v>15.5</v>
      </c>
      <c r="X1207" s="1186">
        <v>4.8</v>
      </c>
      <c r="Y1207" s="1186">
        <v>14.1</v>
      </c>
      <c r="Z1207" s="1186">
        <v>2.5</v>
      </c>
      <c r="AA1207" s="1186">
        <v>20</v>
      </c>
      <c r="AB1207" s="1186">
        <v>5.8</v>
      </c>
      <c r="AC1207" s="1186">
        <v>17.899999999999999</v>
      </c>
      <c r="AD1207" s="1187">
        <v>3.2</v>
      </c>
    </row>
    <row r="1208" spans="1:30" x14ac:dyDescent="0.2">
      <c r="A1208">
        <f t="shared" si="52"/>
        <v>32</v>
      </c>
      <c r="B1208">
        <v>1199</v>
      </c>
      <c r="C1208" s="1078">
        <v>3</v>
      </c>
      <c r="D1208" s="1077" t="s">
        <v>4530</v>
      </c>
      <c r="E1208" s="1077" t="s">
        <v>5117</v>
      </c>
      <c r="F1208" s="1185">
        <v>4</v>
      </c>
      <c r="G1208" s="1186"/>
      <c r="H1208" s="1186"/>
      <c r="I1208" s="1186"/>
      <c r="J1208" s="1186"/>
      <c r="K1208" s="1186"/>
      <c r="L1208" s="1186"/>
      <c r="M1208" s="1186"/>
      <c r="N1208" s="1186"/>
      <c r="O1208" s="1186"/>
      <c r="P1208" s="1186"/>
      <c r="Q1208" s="1186"/>
      <c r="R1208" s="1186"/>
      <c r="S1208" s="1186"/>
      <c r="T1208" s="1186"/>
      <c r="U1208" s="1186"/>
      <c r="V1208" s="1186"/>
      <c r="W1208" s="1186">
        <v>15.5</v>
      </c>
      <c r="X1208" s="1186">
        <v>4.8</v>
      </c>
      <c r="Y1208" s="1186">
        <v>14.1</v>
      </c>
      <c r="Z1208" s="1186">
        <v>2.5</v>
      </c>
      <c r="AA1208" s="1186">
        <v>20</v>
      </c>
      <c r="AB1208" s="1186">
        <v>5.8</v>
      </c>
      <c r="AC1208" s="1186">
        <v>17.899999999999999</v>
      </c>
      <c r="AD1208" s="1187">
        <v>3.2</v>
      </c>
    </row>
    <row r="1209" spans="1:30" x14ac:dyDescent="0.2">
      <c r="A1209">
        <f t="shared" si="52"/>
        <v>32</v>
      </c>
      <c r="B1209">
        <v>1200</v>
      </c>
      <c r="C1209" s="1078">
        <v>3</v>
      </c>
      <c r="D1209" s="1077" t="s">
        <v>4530</v>
      </c>
      <c r="E1209" s="1077" t="s">
        <v>5118</v>
      </c>
      <c r="F1209" s="1185">
        <v>4</v>
      </c>
      <c r="G1209" s="1186"/>
      <c r="H1209" s="1186"/>
      <c r="I1209" s="1186"/>
      <c r="J1209" s="1186"/>
      <c r="K1209" s="1186"/>
      <c r="L1209" s="1186"/>
      <c r="M1209" s="1186"/>
      <c r="N1209" s="1186"/>
      <c r="O1209" s="1186"/>
      <c r="P1209" s="1186"/>
      <c r="Q1209" s="1186"/>
      <c r="R1209" s="1186"/>
      <c r="S1209" s="1186"/>
      <c r="T1209" s="1186"/>
      <c r="U1209" s="1186"/>
      <c r="V1209" s="1186"/>
      <c r="W1209" s="1186">
        <v>5.9</v>
      </c>
      <c r="X1209" s="1186">
        <v>4.5999999999999996</v>
      </c>
      <c r="Y1209" s="1186">
        <v>5.0999999999999996</v>
      </c>
      <c r="Z1209" s="1186">
        <v>2.7</v>
      </c>
      <c r="AA1209" s="1186">
        <v>8</v>
      </c>
      <c r="AB1209" s="1186">
        <v>5.8</v>
      </c>
      <c r="AC1209" s="1186">
        <v>6.9</v>
      </c>
      <c r="AD1209" s="1187">
        <v>3.3</v>
      </c>
    </row>
    <row r="1210" spans="1:30" x14ac:dyDescent="0.2">
      <c r="A1210">
        <f t="shared" si="52"/>
        <v>32</v>
      </c>
      <c r="B1210">
        <v>1201</v>
      </c>
      <c r="C1210" s="1078">
        <v>3</v>
      </c>
      <c r="D1210" s="1077" t="s">
        <v>4530</v>
      </c>
      <c r="E1210" s="1077" t="s">
        <v>5119</v>
      </c>
      <c r="F1210" s="1185">
        <v>4</v>
      </c>
      <c r="G1210" s="1186"/>
      <c r="H1210" s="1186"/>
      <c r="I1210" s="1186"/>
      <c r="J1210" s="1186"/>
      <c r="K1210" s="1186"/>
      <c r="L1210" s="1186"/>
      <c r="M1210" s="1186"/>
      <c r="N1210" s="1186"/>
      <c r="O1210" s="1186"/>
      <c r="P1210" s="1186"/>
      <c r="Q1210" s="1186"/>
      <c r="R1210" s="1186"/>
      <c r="S1210" s="1186"/>
      <c r="T1210" s="1186"/>
      <c r="U1210" s="1186"/>
      <c r="V1210" s="1186"/>
      <c r="W1210" s="1186">
        <v>5.9</v>
      </c>
      <c r="X1210" s="1186">
        <v>4.5999999999999996</v>
      </c>
      <c r="Y1210" s="1186">
        <v>5.0999999999999996</v>
      </c>
      <c r="Z1210" s="1186">
        <v>2.7</v>
      </c>
      <c r="AA1210" s="1186">
        <v>8</v>
      </c>
      <c r="AB1210" s="1186">
        <v>5.8</v>
      </c>
      <c r="AC1210" s="1186">
        <v>6.9</v>
      </c>
      <c r="AD1210" s="1187">
        <v>3.3</v>
      </c>
    </row>
    <row r="1211" spans="1:30" x14ac:dyDescent="0.2">
      <c r="A1211">
        <f t="shared" si="52"/>
        <v>32</v>
      </c>
      <c r="B1211">
        <v>1202</v>
      </c>
      <c r="C1211" s="1078">
        <v>3</v>
      </c>
      <c r="D1211" s="1077" t="s">
        <v>4530</v>
      </c>
      <c r="E1211" s="1077" t="s">
        <v>5120</v>
      </c>
      <c r="F1211" s="1185">
        <v>4</v>
      </c>
      <c r="G1211" s="1186"/>
      <c r="H1211" s="1186"/>
      <c r="I1211" s="1186"/>
      <c r="J1211" s="1186"/>
      <c r="K1211" s="1186"/>
      <c r="L1211" s="1186"/>
      <c r="M1211" s="1186"/>
      <c r="N1211" s="1186"/>
      <c r="O1211" s="1186"/>
      <c r="P1211" s="1186"/>
      <c r="Q1211" s="1186"/>
      <c r="R1211" s="1186"/>
      <c r="S1211" s="1186"/>
      <c r="T1211" s="1186"/>
      <c r="U1211" s="1186"/>
      <c r="V1211" s="1186"/>
      <c r="W1211" s="1186">
        <v>7.6</v>
      </c>
      <c r="X1211" s="1186">
        <v>4.5999999999999996</v>
      </c>
      <c r="Y1211" s="1186">
        <v>6.8</v>
      </c>
      <c r="Z1211" s="1186">
        <v>2.6</v>
      </c>
      <c r="AA1211" s="1186">
        <v>10.199999999999999</v>
      </c>
      <c r="AB1211" s="1186">
        <v>5.0999999999999996</v>
      </c>
      <c r="AC1211" s="1186">
        <v>9.1999999999999993</v>
      </c>
      <c r="AD1211" s="1187">
        <v>3.1</v>
      </c>
    </row>
    <row r="1212" spans="1:30" x14ac:dyDescent="0.2">
      <c r="A1212">
        <f t="shared" si="52"/>
        <v>32</v>
      </c>
      <c r="B1212">
        <v>1203</v>
      </c>
      <c r="C1212" s="1078">
        <v>3</v>
      </c>
      <c r="D1212" s="1077" t="s">
        <v>4530</v>
      </c>
      <c r="E1212" s="1077" t="s">
        <v>5121</v>
      </c>
      <c r="F1212" s="1185">
        <v>4</v>
      </c>
      <c r="G1212" s="1186"/>
      <c r="H1212" s="1186"/>
      <c r="I1212" s="1186"/>
      <c r="J1212" s="1186"/>
      <c r="K1212" s="1186"/>
      <c r="L1212" s="1186"/>
      <c r="M1212" s="1186"/>
      <c r="N1212" s="1186"/>
      <c r="O1212" s="1186"/>
      <c r="P1212" s="1186"/>
      <c r="Q1212" s="1186"/>
      <c r="R1212" s="1186"/>
      <c r="S1212" s="1186"/>
      <c r="T1212" s="1186"/>
      <c r="U1212" s="1186"/>
      <c r="V1212" s="1186"/>
      <c r="W1212" s="1186">
        <v>7.6</v>
      </c>
      <c r="X1212" s="1186">
        <v>4.5999999999999996</v>
      </c>
      <c r="Y1212" s="1186">
        <v>6.8</v>
      </c>
      <c r="Z1212" s="1186">
        <v>2.6</v>
      </c>
      <c r="AA1212" s="1186">
        <v>10.199999999999999</v>
      </c>
      <c r="AB1212" s="1186">
        <v>5.0999999999999996</v>
      </c>
      <c r="AC1212" s="1186">
        <v>9.1999999999999993</v>
      </c>
      <c r="AD1212" s="1187">
        <v>3.1</v>
      </c>
    </row>
    <row r="1213" spans="1:30" x14ac:dyDescent="0.2">
      <c r="A1213">
        <f t="shared" si="52"/>
        <v>32</v>
      </c>
      <c r="B1213">
        <v>1204</v>
      </c>
      <c r="C1213" s="1078">
        <v>2</v>
      </c>
      <c r="D1213" s="1077" t="s">
        <v>4530</v>
      </c>
      <c r="E1213" s="1077" t="s">
        <v>5548</v>
      </c>
      <c r="F1213" s="1185">
        <v>4</v>
      </c>
      <c r="G1213" s="1186">
        <v>4.6664820000000002</v>
      </c>
      <c r="H1213" s="1186">
        <v>2.3580000000000001</v>
      </c>
      <c r="I1213" s="1186">
        <v>5.4187576870835859</v>
      </c>
      <c r="J1213" s="1186">
        <v>2.5051428895352692</v>
      </c>
      <c r="K1213" s="1186">
        <v>2.3994827999999999</v>
      </c>
      <c r="L1213" s="1186">
        <v>3.8940000000000001</v>
      </c>
      <c r="M1213" s="1186">
        <v>2.8397779000000001</v>
      </c>
      <c r="N1213" s="1186">
        <v>4.8229999999999995</v>
      </c>
      <c r="O1213" s="1186">
        <v>2.7965339999999999</v>
      </c>
      <c r="P1213" s="1186">
        <v>6.63</v>
      </c>
      <c r="Q1213" s="1186">
        <v>4.7817440000000007</v>
      </c>
      <c r="R1213" s="1186">
        <v>1.798</v>
      </c>
      <c r="S1213" s="1186">
        <v>2.1887999999999996</v>
      </c>
      <c r="T1213" s="1186">
        <v>2.2799999999999998</v>
      </c>
      <c r="U1213" s="1186">
        <v>2.5984529999999997</v>
      </c>
      <c r="V1213" s="1186">
        <v>3.51</v>
      </c>
      <c r="W1213" s="1186"/>
      <c r="X1213" s="1186"/>
      <c r="Y1213" s="1186"/>
      <c r="Z1213" s="1186"/>
      <c r="AA1213" s="1186"/>
      <c r="AB1213" s="1186"/>
      <c r="AC1213" s="1186"/>
      <c r="AD1213" s="1187"/>
    </row>
    <row r="1214" spans="1:30" x14ac:dyDescent="0.2">
      <c r="A1214">
        <f t="shared" si="52"/>
        <v>32</v>
      </c>
      <c r="B1214">
        <v>1205</v>
      </c>
      <c r="C1214" s="1078">
        <v>2</v>
      </c>
      <c r="D1214" s="1077" t="s">
        <v>4530</v>
      </c>
      <c r="E1214" s="1077" t="s">
        <v>5549</v>
      </c>
      <c r="F1214" s="1185">
        <v>4</v>
      </c>
      <c r="G1214" s="1186">
        <v>5.8264080000000007</v>
      </c>
      <c r="H1214" s="1186">
        <v>2.2120000000000002</v>
      </c>
      <c r="I1214" s="1186">
        <v>6.7052413345894148</v>
      </c>
      <c r="J1214" s="1186">
        <v>2.351227036898357</v>
      </c>
      <c r="K1214" s="1186">
        <v>2.8608949158282502</v>
      </c>
      <c r="L1214" s="1186">
        <v>4.0401774078530952</v>
      </c>
      <c r="M1214" s="1186">
        <v>2.8397779000000001</v>
      </c>
      <c r="N1214" s="1186">
        <v>4.8229999999999995</v>
      </c>
      <c r="O1214" s="1186">
        <v>3.5017450000000001</v>
      </c>
      <c r="P1214" s="1186">
        <v>6.3380000000000001</v>
      </c>
      <c r="Q1214" s="1186">
        <v>5.0279520000000009</v>
      </c>
      <c r="R1214" s="1186">
        <v>1.841</v>
      </c>
      <c r="S1214" s="1186">
        <v>2.1887999999999996</v>
      </c>
      <c r="T1214" s="1186">
        <v>2.2799999999999998</v>
      </c>
      <c r="U1214" s="1186">
        <v>3.2836041000000002</v>
      </c>
      <c r="V1214" s="1186">
        <v>3.5070000000000001</v>
      </c>
      <c r="W1214" s="1186"/>
      <c r="X1214" s="1186"/>
      <c r="Y1214" s="1186"/>
      <c r="Z1214" s="1186"/>
      <c r="AA1214" s="1186"/>
      <c r="AB1214" s="1186"/>
      <c r="AC1214" s="1186"/>
      <c r="AD1214" s="1187"/>
    </row>
    <row r="1215" spans="1:30" x14ac:dyDescent="0.2">
      <c r="A1215">
        <f t="shared" si="52"/>
        <v>32</v>
      </c>
      <c r="B1215">
        <v>1206</v>
      </c>
      <c r="C1215" s="1078">
        <v>2</v>
      </c>
      <c r="D1215" s="1077" t="s">
        <v>4530</v>
      </c>
      <c r="E1215" s="1077" t="s">
        <v>5550</v>
      </c>
      <c r="F1215" s="1185">
        <v>4</v>
      </c>
      <c r="G1215" s="1186">
        <v>8.8000000000000007</v>
      </c>
      <c r="H1215" s="1186">
        <v>2.5</v>
      </c>
      <c r="I1215" s="1186">
        <v>9.8000000000000007</v>
      </c>
      <c r="J1215" s="1186">
        <v>2.6</v>
      </c>
      <c r="K1215" s="1186">
        <v>4.5999999999999996</v>
      </c>
      <c r="L1215" s="1186">
        <v>4.4000000000000004</v>
      </c>
      <c r="M1215" s="1186">
        <v>5.6</v>
      </c>
      <c r="N1215" s="1186">
        <v>4.8</v>
      </c>
      <c r="O1215" s="1186">
        <v>5.2</v>
      </c>
      <c r="P1215" s="1186">
        <v>6.7</v>
      </c>
      <c r="Q1215" s="1186">
        <v>9.5</v>
      </c>
      <c r="R1215" s="1186">
        <v>1.9</v>
      </c>
      <c r="S1215" s="1186">
        <v>4.4000000000000004</v>
      </c>
      <c r="T1215" s="1186">
        <v>2.9</v>
      </c>
      <c r="U1215" s="1186">
        <v>4.4000000000000004</v>
      </c>
      <c r="V1215" s="1186">
        <v>3.8</v>
      </c>
      <c r="W1215" s="1186"/>
      <c r="X1215" s="1186"/>
      <c r="Y1215" s="1186"/>
      <c r="Z1215" s="1186"/>
      <c r="AA1215" s="1186"/>
      <c r="AB1215" s="1186"/>
      <c r="AC1215" s="1186"/>
      <c r="AD1215" s="1187"/>
    </row>
    <row r="1216" spans="1:30" x14ac:dyDescent="0.2">
      <c r="A1216">
        <f t="shared" si="52"/>
        <v>32</v>
      </c>
      <c r="B1216">
        <v>1207</v>
      </c>
      <c r="C1216" s="1078">
        <v>2</v>
      </c>
      <c r="D1216" s="1077" t="s">
        <v>4530</v>
      </c>
      <c r="E1216" s="1077" t="s">
        <v>5551</v>
      </c>
      <c r="F1216" s="1185">
        <v>4</v>
      </c>
      <c r="G1216" s="1186">
        <v>10.6</v>
      </c>
      <c r="H1216" s="1186">
        <v>2.2999999999999998</v>
      </c>
      <c r="I1216" s="1186">
        <v>11.7</v>
      </c>
      <c r="J1216" s="1186">
        <v>2.4</v>
      </c>
      <c r="K1216" s="1186">
        <v>4.5999999999999996</v>
      </c>
      <c r="L1216" s="1186">
        <v>4.4000000000000004</v>
      </c>
      <c r="M1216" s="1186">
        <v>5.6</v>
      </c>
      <c r="N1216" s="1186">
        <v>4.8</v>
      </c>
      <c r="O1216" s="1186">
        <v>5.8</v>
      </c>
      <c r="P1216" s="1186">
        <v>6.5</v>
      </c>
      <c r="Q1216" s="1186">
        <v>11.4</v>
      </c>
      <c r="R1216" s="1186">
        <v>1.8</v>
      </c>
      <c r="S1216" s="1186">
        <v>4.4000000000000004</v>
      </c>
      <c r="T1216" s="1186">
        <v>2.9</v>
      </c>
      <c r="U1216" s="1186">
        <v>4.9000000000000004</v>
      </c>
      <c r="V1216" s="1186">
        <v>3.7</v>
      </c>
      <c r="W1216" s="1186"/>
      <c r="X1216" s="1186"/>
      <c r="Y1216" s="1186"/>
      <c r="Z1216" s="1186"/>
      <c r="AA1216" s="1186"/>
      <c r="AB1216" s="1186"/>
      <c r="AC1216" s="1186"/>
      <c r="AD1216" s="1187"/>
    </row>
    <row r="1217" spans="1:30" x14ac:dyDescent="0.2">
      <c r="A1217">
        <f t="shared" si="52"/>
        <v>32</v>
      </c>
      <c r="B1217">
        <v>1208</v>
      </c>
      <c r="C1217" s="1078">
        <v>2</v>
      </c>
      <c r="D1217" s="1077" t="s">
        <v>4530</v>
      </c>
      <c r="E1217" s="1077" t="s">
        <v>5552</v>
      </c>
      <c r="F1217" s="1185">
        <v>4</v>
      </c>
      <c r="G1217" s="1186">
        <v>4.6664820000000002</v>
      </c>
      <c r="H1217" s="1186">
        <v>2.3580000000000001</v>
      </c>
      <c r="I1217" s="1186">
        <v>5.4187576870835859</v>
      </c>
      <c r="J1217" s="1186">
        <v>2.5051428895352692</v>
      </c>
      <c r="K1217" s="1186">
        <v>2.3994827999999999</v>
      </c>
      <c r="L1217" s="1186">
        <v>3.8940000000000001</v>
      </c>
      <c r="M1217" s="1186">
        <v>2.8397779000000001</v>
      </c>
      <c r="N1217" s="1186">
        <v>4.8229999999999995</v>
      </c>
      <c r="O1217" s="1186">
        <v>2.7965339999999999</v>
      </c>
      <c r="P1217" s="1186">
        <v>6.63</v>
      </c>
      <c r="Q1217" s="1186">
        <v>4.7817440000000007</v>
      </c>
      <c r="R1217" s="1186">
        <v>1.798</v>
      </c>
      <c r="S1217" s="1186">
        <v>2.1887999999999996</v>
      </c>
      <c r="T1217" s="1186">
        <v>2.2799999999999998</v>
      </c>
      <c r="U1217" s="1186">
        <v>2.5984529999999997</v>
      </c>
      <c r="V1217" s="1186">
        <v>3.51</v>
      </c>
      <c r="W1217" s="1186"/>
      <c r="X1217" s="1186"/>
      <c r="Y1217" s="1186"/>
      <c r="Z1217" s="1186"/>
      <c r="AA1217" s="1186"/>
      <c r="AB1217" s="1186"/>
      <c r="AC1217" s="1186"/>
      <c r="AD1217" s="1187"/>
    </row>
    <row r="1218" spans="1:30" x14ac:dyDescent="0.2">
      <c r="A1218">
        <f t="shared" si="52"/>
        <v>32</v>
      </c>
      <c r="B1218">
        <v>1209</v>
      </c>
      <c r="C1218" s="1078">
        <v>2</v>
      </c>
      <c r="D1218" s="1077" t="s">
        <v>4530</v>
      </c>
      <c r="E1218" s="1077" t="s">
        <v>5314</v>
      </c>
      <c r="F1218" s="1185">
        <v>4</v>
      </c>
      <c r="G1218" s="1186">
        <v>5.8264080000000007</v>
      </c>
      <c r="H1218" s="1186">
        <v>2.2120000000000002</v>
      </c>
      <c r="I1218" s="1186">
        <v>6.7052413345894148</v>
      </c>
      <c r="J1218" s="1186">
        <v>2.351227036898357</v>
      </c>
      <c r="K1218" s="1186">
        <v>2.8608949158282502</v>
      </c>
      <c r="L1218" s="1186">
        <v>4.0401774078530952</v>
      </c>
      <c r="M1218" s="1186">
        <v>2.8397779000000001</v>
      </c>
      <c r="N1218" s="1186">
        <v>4.8229999999999995</v>
      </c>
      <c r="O1218" s="1186">
        <v>3.5017450000000001</v>
      </c>
      <c r="P1218" s="1186">
        <v>6.3380000000000001</v>
      </c>
      <c r="Q1218" s="1186">
        <v>5.0279520000000009</v>
      </c>
      <c r="R1218" s="1186">
        <v>1.841</v>
      </c>
      <c r="S1218" s="1186">
        <v>2.1887999999999996</v>
      </c>
      <c r="T1218" s="1186">
        <v>2.2799999999999998</v>
      </c>
      <c r="U1218" s="1186">
        <v>3.2836041000000002</v>
      </c>
      <c r="V1218" s="1186">
        <v>3.5070000000000001</v>
      </c>
      <c r="W1218" s="1186"/>
      <c r="X1218" s="1186"/>
      <c r="Y1218" s="1186"/>
      <c r="Z1218" s="1186"/>
      <c r="AA1218" s="1186"/>
      <c r="AB1218" s="1186"/>
      <c r="AC1218" s="1186"/>
      <c r="AD1218" s="1187"/>
    </row>
    <row r="1219" spans="1:30" x14ac:dyDescent="0.2">
      <c r="A1219">
        <f t="shared" si="52"/>
        <v>32</v>
      </c>
      <c r="B1219">
        <v>1210</v>
      </c>
      <c r="C1219" s="1078">
        <v>2</v>
      </c>
      <c r="D1219" s="1077" t="s">
        <v>4530</v>
      </c>
      <c r="E1219" s="1077" t="s">
        <v>5315</v>
      </c>
      <c r="F1219" s="1185">
        <v>4</v>
      </c>
      <c r="G1219" s="1186">
        <v>8.8000000000000007</v>
      </c>
      <c r="H1219" s="1186">
        <v>2.5</v>
      </c>
      <c r="I1219" s="1186">
        <v>9.8000000000000007</v>
      </c>
      <c r="J1219" s="1186">
        <v>2.6</v>
      </c>
      <c r="K1219" s="1186">
        <v>4.5999999999999996</v>
      </c>
      <c r="L1219" s="1186">
        <v>4.4000000000000004</v>
      </c>
      <c r="M1219" s="1186">
        <v>5.6</v>
      </c>
      <c r="N1219" s="1186">
        <v>4.8</v>
      </c>
      <c r="O1219" s="1186">
        <v>5.2</v>
      </c>
      <c r="P1219" s="1186">
        <v>6.7</v>
      </c>
      <c r="Q1219" s="1186">
        <v>9.5</v>
      </c>
      <c r="R1219" s="1186">
        <v>1.9</v>
      </c>
      <c r="S1219" s="1186">
        <v>4.4000000000000004</v>
      </c>
      <c r="T1219" s="1186">
        <v>2.9</v>
      </c>
      <c r="U1219" s="1186">
        <v>4.4000000000000004</v>
      </c>
      <c r="V1219" s="1186">
        <v>3.8</v>
      </c>
      <c r="W1219" s="1186"/>
      <c r="X1219" s="1186"/>
      <c r="Y1219" s="1186"/>
      <c r="Z1219" s="1186"/>
      <c r="AA1219" s="1186"/>
      <c r="AB1219" s="1186"/>
      <c r="AC1219" s="1186"/>
      <c r="AD1219" s="1187"/>
    </row>
    <row r="1220" spans="1:30" x14ac:dyDescent="0.2">
      <c r="A1220">
        <f t="shared" si="52"/>
        <v>32</v>
      </c>
      <c r="B1220">
        <v>1211</v>
      </c>
      <c r="C1220" s="1078">
        <v>2</v>
      </c>
      <c r="D1220" s="1077" t="s">
        <v>4530</v>
      </c>
      <c r="E1220" s="1077" t="s">
        <v>5316</v>
      </c>
      <c r="F1220" s="1185">
        <v>4</v>
      </c>
      <c r="G1220" s="1186">
        <v>10.6</v>
      </c>
      <c r="H1220" s="1186">
        <v>2.2999999999999998</v>
      </c>
      <c r="I1220" s="1186">
        <v>11.7</v>
      </c>
      <c r="J1220" s="1186">
        <v>2.4</v>
      </c>
      <c r="K1220" s="1186">
        <v>4.5999999999999996</v>
      </c>
      <c r="L1220" s="1186">
        <v>4.4000000000000004</v>
      </c>
      <c r="M1220" s="1186">
        <v>5.6</v>
      </c>
      <c r="N1220" s="1186">
        <v>4.8</v>
      </c>
      <c r="O1220" s="1186">
        <v>5.8</v>
      </c>
      <c r="P1220" s="1186">
        <v>6.5</v>
      </c>
      <c r="Q1220" s="1186">
        <v>11.4</v>
      </c>
      <c r="R1220" s="1186">
        <v>1.8</v>
      </c>
      <c r="S1220" s="1186">
        <v>4.4000000000000004</v>
      </c>
      <c r="T1220" s="1186">
        <v>2.9</v>
      </c>
      <c r="U1220" s="1186">
        <v>4.9000000000000004</v>
      </c>
      <c r="V1220" s="1186">
        <v>3.7</v>
      </c>
      <c r="W1220" s="1186"/>
      <c r="X1220" s="1186"/>
      <c r="Y1220" s="1186"/>
      <c r="Z1220" s="1186"/>
      <c r="AA1220" s="1186"/>
      <c r="AB1220" s="1186"/>
      <c r="AC1220" s="1186"/>
      <c r="AD1220" s="1187"/>
    </row>
    <row r="1221" spans="1:30" x14ac:dyDescent="0.2">
      <c r="A1221">
        <f t="shared" si="52"/>
        <v>32</v>
      </c>
      <c r="B1221">
        <v>1212</v>
      </c>
      <c r="C1221" s="1078">
        <v>2</v>
      </c>
      <c r="D1221" s="1077" t="s">
        <v>4530</v>
      </c>
      <c r="E1221" s="1077" t="s">
        <v>5122</v>
      </c>
      <c r="F1221" s="1185">
        <v>4</v>
      </c>
      <c r="G1221" s="1186">
        <v>10</v>
      </c>
      <c r="H1221" s="1186">
        <v>2.6</v>
      </c>
      <c r="I1221" s="1186">
        <v>10</v>
      </c>
      <c r="J1221" s="1186">
        <v>3.05</v>
      </c>
      <c r="K1221" s="1186">
        <v>10</v>
      </c>
      <c r="L1221" s="1186">
        <v>3.45</v>
      </c>
      <c r="M1221" s="1186">
        <v>8</v>
      </c>
      <c r="N1221" s="1186">
        <v>5</v>
      </c>
      <c r="O1221" s="1186">
        <v>8</v>
      </c>
      <c r="P1221" s="1186">
        <v>7.1</v>
      </c>
      <c r="Q1221" s="1186">
        <v>10</v>
      </c>
      <c r="R1221" s="1186">
        <v>2</v>
      </c>
      <c r="S1221" s="1186">
        <v>8</v>
      </c>
      <c r="T1221" s="1186">
        <v>2.6</v>
      </c>
      <c r="U1221" s="1186">
        <v>8</v>
      </c>
      <c r="V1221" s="1186">
        <v>3.85</v>
      </c>
      <c r="W1221" s="1186"/>
      <c r="X1221" s="1186"/>
      <c r="Y1221" s="1186"/>
      <c r="Z1221" s="1186"/>
      <c r="AA1221" s="1186"/>
      <c r="AB1221" s="1186"/>
      <c r="AC1221" s="1186"/>
      <c r="AD1221" s="1187"/>
    </row>
    <row r="1222" spans="1:30" x14ac:dyDescent="0.2">
      <c r="A1222">
        <f t="shared" si="52"/>
        <v>32</v>
      </c>
      <c r="B1222">
        <v>1213</v>
      </c>
      <c r="C1222" s="1078">
        <v>2</v>
      </c>
      <c r="D1222" s="1077" t="s">
        <v>4530</v>
      </c>
      <c r="E1222" s="1077" t="s">
        <v>5123</v>
      </c>
      <c r="F1222" s="1185">
        <v>4</v>
      </c>
      <c r="G1222" s="1186">
        <v>12</v>
      </c>
      <c r="H1222" s="1186">
        <v>2.4500000000000002</v>
      </c>
      <c r="I1222" s="1186">
        <v>12</v>
      </c>
      <c r="J1222" s="1186">
        <v>2.85</v>
      </c>
      <c r="K1222" s="1186">
        <v>12</v>
      </c>
      <c r="L1222" s="1186">
        <v>3.3</v>
      </c>
      <c r="M1222" s="1186">
        <v>10</v>
      </c>
      <c r="N1222" s="1186">
        <v>4.8</v>
      </c>
      <c r="O1222" s="1186">
        <v>10</v>
      </c>
      <c r="P1222" s="1186">
        <v>7</v>
      </c>
      <c r="Q1222" s="1186">
        <v>12</v>
      </c>
      <c r="R1222" s="1186">
        <v>2</v>
      </c>
      <c r="S1222" s="1186">
        <v>12</v>
      </c>
      <c r="T1222" s="1186">
        <v>2.65</v>
      </c>
      <c r="U1222" s="1186">
        <v>10</v>
      </c>
      <c r="V1222" s="1186">
        <v>3.8</v>
      </c>
      <c r="W1222" s="1186"/>
      <c r="X1222" s="1186"/>
      <c r="Y1222" s="1186"/>
      <c r="Z1222" s="1186"/>
      <c r="AA1222" s="1186"/>
      <c r="AB1222" s="1186"/>
      <c r="AC1222" s="1186"/>
      <c r="AD1222" s="1187"/>
    </row>
    <row r="1223" spans="1:30" x14ac:dyDescent="0.2">
      <c r="A1223">
        <f t="shared" si="52"/>
        <v>32</v>
      </c>
      <c r="B1223">
        <v>1214</v>
      </c>
      <c r="C1223" s="1078">
        <v>2</v>
      </c>
      <c r="D1223" s="1077" t="s">
        <v>4530</v>
      </c>
      <c r="E1223" s="1077" t="s">
        <v>5124</v>
      </c>
      <c r="F1223" s="1185">
        <v>4</v>
      </c>
      <c r="G1223" s="1186">
        <v>14</v>
      </c>
      <c r="H1223" s="1186">
        <v>2.15</v>
      </c>
      <c r="I1223" s="1186">
        <v>14</v>
      </c>
      <c r="J1223" s="1186">
        <v>2.7</v>
      </c>
      <c r="K1223" s="1186">
        <v>14</v>
      </c>
      <c r="L1223" s="1186">
        <v>3.05</v>
      </c>
      <c r="M1223" s="1186">
        <v>12</v>
      </c>
      <c r="N1223" s="1186">
        <v>4.7</v>
      </c>
      <c r="O1223" s="1186">
        <v>12</v>
      </c>
      <c r="P1223" s="1186">
        <v>6.7</v>
      </c>
      <c r="Q1223" s="1186">
        <v>14</v>
      </c>
      <c r="R1223" s="1186">
        <v>1.87</v>
      </c>
      <c r="S1223" s="1186">
        <v>12</v>
      </c>
      <c r="T1223" s="1186">
        <v>2.4500000000000002</v>
      </c>
      <c r="U1223" s="1186">
        <v>12</v>
      </c>
      <c r="V1223" s="1186">
        <v>3.7</v>
      </c>
      <c r="W1223" s="1186"/>
      <c r="X1223" s="1186"/>
      <c r="Y1223" s="1186"/>
      <c r="Z1223" s="1186"/>
      <c r="AA1223" s="1186"/>
      <c r="AB1223" s="1186"/>
      <c r="AC1223" s="1186"/>
      <c r="AD1223" s="1187"/>
    </row>
    <row r="1224" spans="1:30" x14ac:dyDescent="0.2">
      <c r="A1224">
        <f t="shared" si="52"/>
        <v>32</v>
      </c>
      <c r="B1224">
        <v>1215</v>
      </c>
      <c r="C1224" s="1078">
        <v>2</v>
      </c>
      <c r="D1224" s="1077" t="s">
        <v>4530</v>
      </c>
      <c r="E1224" s="1077" t="s">
        <v>5125</v>
      </c>
      <c r="F1224" s="1185">
        <v>4</v>
      </c>
      <c r="G1224" s="1186">
        <v>6</v>
      </c>
      <c r="H1224" s="1186">
        <v>2.66</v>
      </c>
      <c r="I1224" s="1186">
        <v>6</v>
      </c>
      <c r="J1224" s="1186">
        <v>3.15</v>
      </c>
      <c r="K1224" s="1186">
        <v>6</v>
      </c>
      <c r="L1224" s="1186">
        <v>3.8</v>
      </c>
      <c r="M1224" s="1186">
        <v>5</v>
      </c>
      <c r="N1224" s="1186">
        <v>4.3499999999999996</v>
      </c>
      <c r="O1224" s="1186">
        <v>5</v>
      </c>
      <c r="P1224" s="1186">
        <v>6.75</v>
      </c>
      <c r="Q1224" s="1186">
        <v>6</v>
      </c>
      <c r="R1224" s="1186">
        <v>2</v>
      </c>
      <c r="S1224" s="1186">
        <v>5</v>
      </c>
      <c r="T1224" s="1186">
        <v>2.65</v>
      </c>
      <c r="U1224" s="1186">
        <v>5</v>
      </c>
      <c r="V1224" s="1186">
        <v>3.75</v>
      </c>
      <c r="W1224" s="1186"/>
      <c r="X1224" s="1186"/>
      <c r="Y1224" s="1186"/>
      <c r="Z1224" s="1186"/>
      <c r="AA1224" s="1186"/>
      <c r="AB1224" s="1186"/>
      <c r="AC1224" s="1186"/>
      <c r="AD1224" s="1187"/>
    </row>
    <row r="1225" spans="1:30" x14ac:dyDescent="0.2">
      <c r="A1225">
        <f t="shared" si="52"/>
        <v>32</v>
      </c>
      <c r="B1225">
        <v>1216</v>
      </c>
      <c r="C1225" s="1078">
        <v>2</v>
      </c>
      <c r="D1225" s="1077" t="s">
        <v>4530</v>
      </c>
      <c r="E1225" s="1077" t="s">
        <v>5126</v>
      </c>
      <c r="F1225" s="1185">
        <v>4</v>
      </c>
      <c r="G1225" s="1186">
        <v>8</v>
      </c>
      <c r="H1225" s="1186">
        <v>2.66</v>
      </c>
      <c r="I1225" s="1186">
        <v>8</v>
      </c>
      <c r="J1225" s="1186">
        <v>2.8</v>
      </c>
      <c r="K1225" s="1186">
        <v>8</v>
      </c>
      <c r="L1225" s="1186">
        <v>3.3</v>
      </c>
      <c r="M1225" s="1186">
        <v>6</v>
      </c>
      <c r="N1225" s="1186">
        <v>4.3499999999999996</v>
      </c>
      <c r="O1225" s="1186">
        <v>6</v>
      </c>
      <c r="P1225" s="1186">
        <v>6.05</v>
      </c>
      <c r="Q1225" s="1186">
        <v>8</v>
      </c>
      <c r="R1225" s="1186">
        <v>2.0499999999999998</v>
      </c>
      <c r="S1225" s="1186">
        <v>6</v>
      </c>
      <c r="T1225" s="1186">
        <v>2.65</v>
      </c>
      <c r="U1225" s="1186">
        <v>6</v>
      </c>
      <c r="V1225" s="1186">
        <v>3.75</v>
      </c>
      <c r="W1225" s="1186"/>
      <c r="X1225" s="1186"/>
      <c r="Y1225" s="1186"/>
      <c r="Z1225" s="1186"/>
      <c r="AA1225" s="1186"/>
      <c r="AB1225" s="1186"/>
      <c r="AC1225" s="1186"/>
      <c r="AD1225" s="1187"/>
    </row>
    <row r="1226" spans="1:30" x14ac:dyDescent="0.2">
      <c r="A1226">
        <f t="shared" si="52"/>
        <v>32</v>
      </c>
      <c r="B1226">
        <v>1217</v>
      </c>
      <c r="C1226" s="1078">
        <v>2</v>
      </c>
      <c r="D1226" s="1077" t="s">
        <v>4530</v>
      </c>
      <c r="E1226" s="1077" t="s">
        <v>5127</v>
      </c>
      <c r="F1226" s="1185">
        <v>4</v>
      </c>
      <c r="G1226" s="1186">
        <v>8.4</v>
      </c>
      <c r="H1226" s="1186">
        <v>2.5499999999999998</v>
      </c>
      <c r="I1226" s="1186">
        <v>11.2</v>
      </c>
      <c r="J1226" s="1186">
        <v>3</v>
      </c>
      <c r="K1226" s="1186">
        <v>11.2</v>
      </c>
      <c r="L1226" s="1186">
        <v>3.44</v>
      </c>
      <c r="M1226" s="1186">
        <v>11.2</v>
      </c>
      <c r="N1226" s="1186">
        <v>4.7</v>
      </c>
      <c r="O1226" s="1186">
        <v>11.2</v>
      </c>
      <c r="P1226" s="1186">
        <v>8.65</v>
      </c>
      <c r="Q1226" s="1186">
        <v>10</v>
      </c>
      <c r="R1226" s="1186">
        <v>1.9</v>
      </c>
      <c r="S1226" s="1186">
        <v>10</v>
      </c>
      <c r="T1226" s="1186">
        <v>3</v>
      </c>
      <c r="U1226" s="1186">
        <v>10</v>
      </c>
      <c r="V1226" s="1186">
        <v>4.75</v>
      </c>
      <c r="W1226" s="1186"/>
      <c r="X1226" s="1186"/>
      <c r="Y1226" s="1186"/>
      <c r="Z1226" s="1186"/>
      <c r="AA1226" s="1186"/>
      <c r="AB1226" s="1186"/>
      <c r="AC1226" s="1186"/>
      <c r="AD1226" s="1187"/>
    </row>
    <row r="1227" spans="1:30" x14ac:dyDescent="0.2">
      <c r="A1227">
        <f t="shared" si="52"/>
        <v>32</v>
      </c>
      <c r="B1227">
        <v>1218</v>
      </c>
      <c r="C1227" s="1078">
        <v>2</v>
      </c>
      <c r="D1227" s="1077" t="s">
        <v>4530</v>
      </c>
      <c r="E1227" s="1077" t="s">
        <v>5128</v>
      </c>
      <c r="F1227" s="1185">
        <v>4</v>
      </c>
      <c r="G1227" s="1186">
        <v>5.3</v>
      </c>
      <c r="H1227" s="1186">
        <v>2.7</v>
      </c>
      <c r="I1227" s="1186">
        <v>6</v>
      </c>
      <c r="J1227" s="1186">
        <v>3.2</v>
      </c>
      <c r="K1227" s="1186">
        <v>6</v>
      </c>
      <c r="L1227" s="1186">
        <v>3.75</v>
      </c>
      <c r="M1227" s="1186">
        <v>6</v>
      </c>
      <c r="N1227" s="1186">
        <v>5.0599999999999996</v>
      </c>
      <c r="O1227" s="1186">
        <v>6</v>
      </c>
      <c r="P1227" s="1186">
        <v>7.85</v>
      </c>
      <c r="Q1227" s="1186">
        <v>6</v>
      </c>
      <c r="R1227" s="1186">
        <v>2.0499999999999998</v>
      </c>
      <c r="S1227" s="1186">
        <v>6</v>
      </c>
      <c r="T1227" s="1186">
        <v>3</v>
      </c>
      <c r="U1227" s="1186">
        <v>6</v>
      </c>
      <c r="V1227" s="1186">
        <v>4</v>
      </c>
      <c r="W1227" s="1186"/>
      <c r="X1227" s="1186"/>
      <c r="Y1227" s="1186"/>
      <c r="Z1227" s="1186"/>
      <c r="AA1227" s="1186"/>
      <c r="AB1227" s="1186"/>
      <c r="AC1227" s="1186"/>
      <c r="AD1227" s="1187"/>
    </row>
    <row r="1228" spans="1:30" x14ac:dyDescent="0.2">
      <c r="A1228">
        <f t="shared" ref="A1228:A1291" si="53">A1227+(D1228&lt;&gt;D1227)*1</f>
        <v>32</v>
      </c>
      <c r="B1228">
        <v>1219</v>
      </c>
      <c r="C1228" s="1078">
        <v>2</v>
      </c>
      <c r="D1228" s="1077" t="s">
        <v>4530</v>
      </c>
      <c r="E1228" s="1077" t="s">
        <v>5129</v>
      </c>
      <c r="F1228" s="1185">
        <v>4</v>
      </c>
      <c r="G1228" s="1186">
        <v>7.3</v>
      </c>
      <c r="H1228" s="1186">
        <v>2.15</v>
      </c>
      <c r="I1228" s="1186">
        <v>8.5</v>
      </c>
      <c r="J1228" s="1186">
        <v>2.6</v>
      </c>
      <c r="K1228" s="1186">
        <v>8.5</v>
      </c>
      <c r="L1228" s="1186">
        <v>3.51</v>
      </c>
      <c r="M1228" s="1186">
        <v>8.5</v>
      </c>
      <c r="N1228" s="1186">
        <v>4.8</v>
      </c>
      <c r="O1228" s="1186">
        <v>8</v>
      </c>
      <c r="P1228" s="1186">
        <v>7.45</v>
      </c>
      <c r="Q1228" s="1186">
        <v>8</v>
      </c>
      <c r="R1228" s="1186">
        <v>1.9</v>
      </c>
      <c r="S1228" s="1186">
        <v>8.5</v>
      </c>
      <c r="T1228" s="1186">
        <v>2.82</v>
      </c>
      <c r="U1228" s="1186">
        <v>8.5</v>
      </c>
      <c r="V1228" s="1186">
        <v>3.75</v>
      </c>
      <c r="W1228" s="1186"/>
      <c r="X1228" s="1186"/>
      <c r="Y1228" s="1186"/>
      <c r="Z1228" s="1186"/>
      <c r="AA1228" s="1186"/>
      <c r="AB1228" s="1186"/>
      <c r="AC1228" s="1186"/>
      <c r="AD1228" s="1187"/>
    </row>
    <row r="1229" spans="1:30" x14ac:dyDescent="0.2">
      <c r="A1229">
        <f t="shared" si="53"/>
        <v>32</v>
      </c>
      <c r="B1229">
        <v>1220</v>
      </c>
      <c r="C1229" s="1078">
        <v>2</v>
      </c>
      <c r="D1229" s="1077" t="s">
        <v>4530</v>
      </c>
      <c r="E1229" s="1077" t="s">
        <v>5553</v>
      </c>
      <c r="F1229" s="1185">
        <v>4</v>
      </c>
      <c r="G1229" s="1186">
        <v>6</v>
      </c>
      <c r="H1229" s="1186">
        <v>2.7</v>
      </c>
      <c r="I1229" s="1186">
        <v>6</v>
      </c>
      <c r="J1229" s="1186">
        <v>3.2</v>
      </c>
      <c r="K1229" s="1186">
        <v>6</v>
      </c>
      <c r="L1229" s="1186">
        <v>3.85</v>
      </c>
      <c r="M1229" s="1186">
        <v>6</v>
      </c>
      <c r="N1229" s="1186">
        <v>5.08</v>
      </c>
      <c r="O1229" s="1186">
        <v>5</v>
      </c>
      <c r="P1229" s="1186">
        <v>6.86</v>
      </c>
      <c r="Q1229" s="1186">
        <v>5.5</v>
      </c>
      <c r="R1229" s="1186">
        <v>1.98</v>
      </c>
      <c r="S1229" s="1186">
        <v>5</v>
      </c>
      <c r="T1229" s="1186">
        <v>2.4500000000000002</v>
      </c>
      <c r="U1229" s="1186">
        <v>5</v>
      </c>
      <c r="V1229" s="1186">
        <v>3.8</v>
      </c>
      <c r="W1229" s="1186"/>
      <c r="X1229" s="1186"/>
      <c r="Y1229" s="1186"/>
      <c r="Z1229" s="1186"/>
      <c r="AA1229" s="1186"/>
      <c r="AB1229" s="1186"/>
      <c r="AC1229" s="1186"/>
      <c r="AD1229" s="1187"/>
    </row>
    <row r="1230" spans="1:30" x14ac:dyDescent="0.2">
      <c r="A1230">
        <f t="shared" si="53"/>
        <v>32</v>
      </c>
      <c r="B1230">
        <v>1221</v>
      </c>
      <c r="C1230" s="1078">
        <v>2</v>
      </c>
      <c r="D1230" s="1077" t="s">
        <v>4530</v>
      </c>
      <c r="E1230" s="1077" t="s">
        <v>5554</v>
      </c>
      <c r="F1230" s="1185">
        <v>4</v>
      </c>
      <c r="G1230" s="1186">
        <v>8</v>
      </c>
      <c r="H1230" s="1186">
        <v>2.7</v>
      </c>
      <c r="I1230" s="1186">
        <v>8</v>
      </c>
      <c r="J1230" s="1186">
        <v>3.18</v>
      </c>
      <c r="K1230" s="1186">
        <v>8</v>
      </c>
      <c r="L1230" s="1186">
        <v>3.8</v>
      </c>
      <c r="M1230" s="1186">
        <v>8</v>
      </c>
      <c r="N1230" s="1186">
        <v>5.05</v>
      </c>
      <c r="O1230" s="1186">
        <v>6</v>
      </c>
      <c r="P1230" s="1186">
        <v>7</v>
      </c>
      <c r="Q1230" s="1186">
        <v>7.9</v>
      </c>
      <c r="R1230" s="1186">
        <v>1.99</v>
      </c>
      <c r="S1230" s="1186">
        <v>6</v>
      </c>
      <c r="T1230" s="1186">
        <v>2.5</v>
      </c>
      <c r="U1230" s="1186">
        <v>6</v>
      </c>
      <c r="V1230" s="1186">
        <v>3.8</v>
      </c>
      <c r="W1230" s="1186"/>
      <c r="X1230" s="1186"/>
      <c r="Y1230" s="1186"/>
      <c r="Z1230" s="1186"/>
      <c r="AA1230" s="1186"/>
      <c r="AB1230" s="1186"/>
      <c r="AC1230" s="1186"/>
      <c r="AD1230" s="1187"/>
    </row>
    <row r="1231" spans="1:30" x14ac:dyDescent="0.2">
      <c r="A1231">
        <f t="shared" si="53"/>
        <v>32</v>
      </c>
      <c r="B1231">
        <v>1222</v>
      </c>
      <c r="C1231" s="1078">
        <v>2</v>
      </c>
      <c r="D1231" s="1077" t="s">
        <v>4530</v>
      </c>
      <c r="E1231" s="1077" t="s">
        <v>5555</v>
      </c>
      <c r="F1231" s="1185">
        <v>4</v>
      </c>
      <c r="G1231" s="1186">
        <v>10</v>
      </c>
      <c r="H1231" s="1186">
        <v>2.64</v>
      </c>
      <c r="I1231" s="1186">
        <v>10</v>
      </c>
      <c r="J1231" s="1186">
        <v>3.07</v>
      </c>
      <c r="K1231" s="1186">
        <v>10</v>
      </c>
      <c r="L1231" s="1186">
        <v>3.55</v>
      </c>
      <c r="M1231" s="1186">
        <v>10</v>
      </c>
      <c r="N1231" s="1186">
        <v>5.05</v>
      </c>
      <c r="O1231" s="1186">
        <v>8</v>
      </c>
      <c r="P1231" s="1186">
        <v>8.2100000000000009</v>
      </c>
      <c r="Q1231" s="1186">
        <v>10</v>
      </c>
      <c r="R1231" s="1186">
        <v>2.0299999999999998</v>
      </c>
      <c r="S1231" s="1186">
        <v>8</v>
      </c>
      <c r="T1231" s="1186">
        <v>2.7</v>
      </c>
      <c r="U1231" s="1186">
        <v>8</v>
      </c>
      <c r="V1231" s="1186">
        <v>3.9</v>
      </c>
      <c r="W1231" s="1186"/>
      <c r="X1231" s="1186"/>
      <c r="Y1231" s="1186"/>
      <c r="Z1231" s="1186"/>
      <c r="AA1231" s="1186"/>
      <c r="AB1231" s="1186"/>
      <c r="AC1231" s="1186"/>
      <c r="AD1231" s="1187"/>
    </row>
    <row r="1232" spans="1:30" x14ac:dyDescent="0.2">
      <c r="A1232">
        <f t="shared" si="53"/>
        <v>32</v>
      </c>
      <c r="B1232">
        <v>1223</v>
      </c>
      <c r="C1232" s="1078">
        <v>2</v>
      </c>
      <c r="D1232" s="1077" t="s">
        <v>4530</v>
      </c>
      <c r="E1232" s="1077" t="s">
        <v>5556</v>
      </c>
      <c r="F1232" s="1185">
        <v>4</v>
      </c>
      <c r="G1232" s="1186">
        <v>12</v>
      </c>
      <c r="H1232" s="1186">
        <v>2.4500000000000002</v>
      </c>
      <c r="I1232" s="1186">
        <v>12</v>
      </c>
      <c r="J1232" s="1186">
        <v>2.9</v>
      </c>
      <c r="K1232" s="1186">
        <v>12</v>
      </c>
      <c r="L1232" s="1186">
        <v>3.35</v>
      </c>
      <c r="M1232" s="1186">
        <v>12</v>
      </c>
      <c r="N1232" s="1186">
        <v>4.9000000000000004</v>
      </c>
      <c r="O1232" s="1186">
        <v>10</v>
      </c>
      <c r="P1232" s="1186">
        <v>7.14</v>
      </c>
      <c r="Q1232" s="1186">
        <v>12</v>
      </c>
      <c r="R1232" s="1186">
        <v>1.94</v>
      </c>
      <c r="S1232" s="1186">
        <v>10</v>
      </c>
      <c r="T1232" s="1186">
        <v>2.7</v>
      </c>
      <c r="U1232" s="1186">
        <v>10</v>
      </c>
      <c r="V1232" s="1186">
        <v>3.85</v>
      </c>
      <c r="W1232" s="1186"/>
      <c r="X1232" s="1186"/>
      <c r="Y1232" s="1186"/>
      <c r="Z1232" s="1186"/>
      <c r="AA1232" s="1186"/>
      <c r="AB1232" s="1186"/>
      <c r="AC1232" s="1186"/>
      <c r="AD1232" s="1187"/>
    </row>
    <row r="1233" spans="1:30" x14ac:dyDescent="0.2">
      <c r="A1233">
        <f t="shared" si="53"/>
        <v>32</v>
      </c>
      <c r="B1233">
        <v>1224</v>
      </c>
      <c r="C1233" s="1078">
        <v>2</v>
      </c>
      <c r="D1233" s="1077" t="s">
        <v>4530</v>
      </c>
      <c r="E1233" s="1077" t="s">
        <v>5557</v>
      </c>
      <c r="F1233" s="1185">
        <v>4</v>
      </c>
      <c r="G1233" s="1186">
        <v>14</v>
      </c>
      <c r="H1233" s="1186">
        <v>2.19</v>
      </c>
      <c r="I1233" s="1186">
        <v>14</v>
      </c>
      <c r="J1233" s="1186">
        <v>2.77</v>
      </c>
      <c r="K1233" s="1186">
        <v>14</v>
      </c>
      <c r="L1233" s="1186">
        <v>3.3</v>
      </c>
      <c r="M1233" s="1186">
        <v>14</v>
      </c>
      <c r="N1233" s="1186">
        <v>4.8499999999999996</v>
      </c>
      <c r="O1233" s="1186">
        <v>12</v>
      </c>
      <c r="P1233" s="1186">
        <v>6.84</v>
      </c>
      <c r="Q1233" s="1186">
        <v>14</v>
      </c>
      <c r="R1233" s="1186">
        <v>1.92</v>
      </c>
      <c r="S1233" s="1186">
        <v>12</v>
      </c>
      <c r="T1233" s="1186">
        <v>2.7</v>
      </c>
      <c r="U1233" s="1186">
        <v>12</v>
      </c>
      <c r="V1233" s="1186">
        <v>3.75</v>
      </c>
      <c r="W1233" s="1186"/>
      <c r="X1233" s="1186"/>
      <c r="Y1233" s="1186"/>
      <c r="Z1233" s="1186"/>
      <c r="AA1233" s="1186"/>
      <c r="AB1233" s="1186"/>
      <c r="AC1233" s="1186"/>
      <c r="AD1233" s="1187"/>
    </row>
    <row r="1234" spans="1:30" x14ac:dyDescent="0.2">
      <c r="A1234">
        <f t="shared" si="53"/>
        <v>32</v>
      </c>
      <c r="B1234">
        <v>1225</v>
      </c>
      <c r="C1234" s="1078">
        <v>2</v>
      </c>
      <c r="D1234" s="1077" t="s">
        <v>4530</v>
      </c>
      <c r="E1234" s="1077" t="s">
        <v>5130</v>
      </c>
      <c r="F1234" s="1185">
        <v>1</v>
      </c>
      <c r="G1234" s="1186">
        <v>5.9</v>
      </c>
      <c r="H1234" s="1186">
        <v>2.2999999999999998</v>
      </c>
      <c r="I1234" s="1186">
        <v>7.3</v>
      </c>
      <c r="J1234" s="1186">
        <v>3.1</v>
      </c>
      <c r="K1234" s="1186">
        <v>9.5</v>
      </c>
      <c r="L1234" s="1186">
        <v>4</v>
      </c>
      <c r="M1234" s="1186">
        <v>11.3</v>
      </c>
      <c r="N1234" s="1186">
        <v>4.7</v>
      </c>
      <c r="O1234" s="1186">
        <v>13.6</v>
      </c>
      <c r="P1234" s="1186">
        <v>5.3</v>
      </c>
      <c r="Q1234" s="1186">
        <v>7.2</v>
      </c>
      <c r="R1234" s="1186">
        <v>1.9</v>
      </c>
      <c r="S1234" s="1186">
        <v>10</v>
      </c>
      <c r="T1234" s="1186">
        <v>3</v>
      </c>
      <c r="U1234" s="1186">
        <v>12.4</v>
      </c>
      <c r="V1234" s="1186">
        <v>3.3</v>
      </c>
      <c r="W1234" s="1186"/>
      <c r="X1234" s="1186"/>
      <c r="Y1234" s="1186"/>
      <c r="Z1234" s="1186"/>
      <c r="AA1234" s="1186"/>
      <c r="AB1234" s="1186"/>
      <c r="AC1234" s="1186"/>
      <c r="AD1234" s="1187"/>
    </row>
    <row r="1235" spans="1:30" x14ac:dyDescent="0.2">
      <c r="A1235">
        <f t="shared" si="53"/>
        <v>32</v>
      </c>
      <c r="B1235">
        <v>1226</v>
      </c>
      <c r="C1235" s="1078">
        <v>2</v>
      </c>
      <c r="D1235" s="1077" t="s">
        <v>4530</v>
      </c>
      <c r="E1235" s="1077" t="s">
        <v>5131</v>
      </c>
      <c r="F1235" s="1185">
        <v>2</v>
      </c>
      <c r="G1235" s="1186">
        <v>8.4</v>
      </c>
      <c r="H1235" s="1186">
        <v>2.1</v>
      </c>
      <c r="I1235" s="1186">
        <v>10.6</v>
      </c>
      <c r="J1235" s="1186">
        <v>3.2</v>
      </c>
      <c r="K1235" s="1186">
        <v>12.3</v>
      </c>
      <c r="L1235" s="1186">
        <v>3.8</v>
      </c>
      <c r="M1235" s="1186">
        <v>14.8</v>
      </c>
      <c r="N1235" s="1186">
        <v>4.8</v>
      </c>
      <c r="O1235" s="1186">
        <v>19.2</v>
      </c>
      <c r="P1235" s="1186">
        <v>6.4</v>
      </c>
      <c r="Q1235" s="1186">
        <v>10.5</v>
      </c>
      <c r="R1235" s="1186">
        <v>2.1</v>
      </c>
      <c r="S1235" s="1186">
        <v>14.5</v>
      </c>
      <c r="T1235" s="1186">
        <v>3</v>
      </c>
      <c r="U1235" s="1186">
        <v>18.399999999999999</v>
      </c>
      <c r="V1235" s="1186">
        <v>3.9</v>
      </c>
      <c r="W1235" s="1186"/>
      <c r="X1235" s="1186"/>
      <c r="Y1235" s="1186"/>
      <c r="Z1235" s="1186"/>
      <c r="AA1235" s="1186"/>
      <c r="AB1235" s="1186"/>
      <c r="AC1235" s="1186"/>
      <c r="AD1235" s="1187"/>
    </row>
    <row r="1236" spans="1:30" x14ac:dyDescent="0.2">
      <c r="A1236">
        <f t="shared" si="53"/>
        <v>32</v>
      </c>
      <c r="B1236">
        <v>1227</v>
      </c>
      <c r="C1236" s="1078">
        <v>2</v>
      </c>
      <c r="D1236" s="1077" t="s">
        <v>4530</v>
      </c>
      <c r="E1236" s="1077" t="s">
        <v>5132</v>
      </c>
      <c r="F1236" s="1185">
        <v>1</v>
      </c>
      <c r="G1236" s="1186">
        <v>4.3</v>
      </c>
      <c r="H1236" s="1186">
        <v>2.6</v>
      </c>
      <c r="I1236" s="1186">
        <v>5.5</v>
      </c>
      <c r="J1236" s="1186">
        <v>3.2</v>
      </c>
      <c r="K1236" s="1186">
        <v>7.2</v>
      </c>
      <c r="L1236" s="1186">
        <v>4.2</v>
      </c>
      <c r="M1236" s="1186">
        <v>8.4</v>
      </c>
      <c r="N1236" s="1186">
        <v>4.8</v>
      </c>
      <c r="O1236" s="1186">
        <v>11.3</v>
      </c>
      <c r="P1236" s="1186">
        <v>6.7</v>
      </c>
      <c r="Q1236" s="1186">
        <v>5.3</v>
      </c>
      <c r="R1236" s="1186">
        <v>2.1</v>
      </c>
      <c r="S1236" s="1186">
        <v>8</v>
      </c>
      <c r="T1236" s="1186">
        <v>3.1</v>
      </c>
      <c r="U1236" s="1186">
        <v>9.5</v>
      </c>
      <c r="V1236" s="1186">
        <v>3.7</v>
      </c>
      <c r="W1236" s="1186"/>
      <c r="X1236" s="1186"/>
      <c r="Y1236" s="1186"/>
      <c r="Z1236" s="1186"/>
      <c r="AA1236" s="1186"/>
      <c r="AB1236" s="1186"/>
      <c r="AC1236" s="1186"/>
      <c r="AD1236" s="1187"/>
    </row>
    <row r="1237" spans="1:30" x14ac:dyDescent="0.2">
      <c r="A1237">
        <f t="shared" si="53"/>
        <v>32</v>
      </c>
      <c r="B1237">
        <v>1228</v>
      </c>
      <c r="C1237" s="1078">
        <v>3</v>
      </c>
      <c r="D1237" s="1077" t="s">
        <v>4530</v>
      </c>
      <c r="E1237" s="1077" t="s">
        <v>5133</v>
      </c>
      <c r="F1237" s="1185">
        <v>4</v>
      </c>
      <c r="G1237" s="1186"/>
      <c r="H1237" s="1186"/>
      <c r="I1237" s="1186"/>
      <c r="J1237" s="1186"/>
      <c r="K1237" s="1186"/>
      <c r="L1237" s="1186"/>
      <c r="M1237" s="1186"/>
      <c r="N1237" s="1186"/>
      <c r="O1237" s="1186"/>
      <c r="P1237" s="1186"/>
      <c r="Q1237" s="1186"/>
      <c r="R1237" s="1186"/>
      <c r="S1237" s="1186"/>
      <c r="T1237" s="1186"/>
      <c r="U1237" s="1186"/>
      <c r="V1237" s="1186"/>
      <c r="W1237" s="1186">
        <v>44.6</v>
      </c>
      <c r="X1237" s="1186">
        <v>4.2</v>
      </c>
      <c r="Y1237" s="1186">
        <v>40.299999999999997</v>
      </c>
      <c r="Z1237" s="1186">
        <v>2.6</v>
      </c>
      <c r="AA1237" s="1186">
        <v>59.3</v>
      </c>
      <c r="AB1237" s="1186">
        <v>5.3</v>
      </c>
      <c r="AC1237" s="1186">
        <v>51.3</v>
      </c>
      <c r="AD1237" s="1187">
        <v>3.26</v>
      </c>
    </row>
    <row r="1238" spans="1:30" x14ac:dyDescent="0.2">
      <c r="A1238">
        <f t="shared" si="53"/>
        <v>32</v>
      </c>
      <c r="B1238">
        <v>1229</v>
      </c>
      <c r="C1238" s="1078">
        <v>3</v>
      </c>
      <c r="D1238" s="1077" t="s">
        <v>4530</v>
      </c>
      <c r="E1238" s="1077" t="s">
        <v>5134</v>
      </c>
      <c r="F1238" s="1185">
        <v>4</v>
      </c>
      <c r="G1238" s="1186"/>
      <c r="H1238" s="1186"/>
      <c r="I1238" s="1186"/>
      <c r="J1238" s="1186"/>
      <c r="K1238" s="1186"/>
      <c r="L1238" s="1186"/>
      <c r="M1238" s="1186"/>
      <c r="N1238" s="1186"/>
      <c r="O1238" s="1186"/>
      <c r="P1238" s="1186"/>
      <c r="Q1238" s="1186"/>
      <c r="R1238" s="1186"/>
      <c r="S1238" s="1186"/>
      <c r="T1238" s="1186"/>
      <c r="U1238" s="1186"/>
      <c r="V1238" s="1186"/>
      <c r="W1238" s="1186">
        <v>59.6</v>
      </c>
      <c r="X1238" s="1186">
        <v>4.2</v>
      </c>
      <c r="Y1238" s="1186">
        <v>54.2</v>
      </c>
      <c r="Z1238" s="1186">
        <v>2.63</v>
      </c>
      <c r="AA1238" s="1186">
        <v>79.599999999999994</v>
      </c>
      <c r="AB1238" s="1186">
        <v>5.42</v>
      </c>
      <c r="AC1238" s="1186">
        <v>69.400000000000006</v>
      </c>
      <c r="AD1238" s="1187">
        <v>3.34</v>
      </c>
    </row>
    <row r="1239" spans="1:30" x14ac:dyDescent="0.2">
      <c r="A1239">
        <f t="shared" si="53"/>
        <v>32</v>
      </c>
      <c r="B1239">
        <v>1230</v>
      </c>
      <c r="C1239" s="1078">
        <v>3</v>
      </c>
      <c r="D1239" s="1077" t="s">
        <v>4530</v>
      </c>
      <c r="E1239" s="1077" t="s">
        <v>5135</v>
      </c>
      <c r="F1239" s="1185">
        <v>4</v>
      </c>
      <c r="G1239" s="1186"/>
      <c r="H1239" s="1186"/>
      <c r="I1239" s="1186"/>
      <c r="J1239" s="1186"/>
      <c r="K1239" s="1186"/>
      <c r="L1239" s="1186"/>
      <c r="M1239" s="1186"/>
      <c r="N1239" s="1186"/>
      <c r="O1239" s="1186"/>
      <c r="P1239" s="1186"/>
      <c r="Q1239" s="1186"/>
      <c r="R1239" s="1186"/>
      <c r="S1239" s="1186"/>
      <c r="T1239" s="1186"/>
      <c r="U1239" s="1186"/>
      <c r="V1239" s="1186"/>
      <c r="W1239" s="1186">
        <v>10.9</v>
      </c>
      <c r="X1239" s="1186">
        <v>4.0999999999999996</v>
      </c>
      <c r="Y1239" s="1186">
        <v>10.199999999999999</v>
      </c>
      <c r="Z1239" s="1186">
        <v>2.65</v>
      </c>
      <c r="AA1239" s="1186">
        <v>11</v>
      </c>
      <c r="AB1239" s="1186">
        <v>5.4</v>
      </c>
      <c r="AC1239" s="1186">
        <v>10.8</v>
      </c>
      <c r="AD1239" s="1187">
        <v>3.27</v>
      </c>
    </row>
    <row r="1240" spans="1:30" x14ac:dyDescent="0.2">
      <c r="A1240">
        <f t="shared" si="53"/>
        <v>32</v>
      </c>
      <c r="B1240">
        <v>1231</v>
      </c>
      <c r="C1240" s="1078">
        <v>3</v>
      </c>
      <c r="D1240" s="1077" t="s">
        <v>4530</v>
      </c>
      <c r="E1240" s="1077" t="s">
        <v>5136</v>
      </c>
      <c r="F1240" s="1185">
        <v>4</v>
      </c>
      <c r="G1240" s="1186"/>
      <c r="H1240" s="1186"/>
      <c r="I1240" s="1186"/>
      <c r="J1240" s="1186"/>
      <c r="K1240" s="1186"/>
      <c r="L1240" s="1186"/>
      <c r="M1240" s="1186"/>
      <c r="N1240" s="1186"/>
      <c r="O1240" s="1186"/>
      <c r="P1240" s="1186"/>
      <c r="Q1240" s="1186"/>
      <c r="R1240" s="1186"/>
      <c r="S1240" s="1186"/>
      <c r="T1240" s="1186"/>
      <c r="U1240" s="1186"/>
      <c r="V1240" s="1186"/>
      <c r="W1240" s="1186">
        <v>86.7</v>
      </c>
      <c r="X1240" s="1186">
        <v>4.4000000000000004</v>
      </c>
      <c r="Y1240" s="1186">
        <v>80.2</v>
      </c>
      <c r="Z1240" s="1186">
        <v>2.7</v>
      </c>
      <c r="AA1240" s="1186">
        <v>117.8</v>
      </c>
      <c r="AB1240" s="1186">
        <v>5.5</v>
      </c>
      <c r="AC1240" s="1186">
        <v>102.1</v>
      </c>
      <c r="AD1240" s="1187">
        <v>3.42</v>
      </c>
    </row>
    <row r="1241" spans="1:30" x14ac:dyDescent="0.2">
      <c r="A1241">
        <f t="shared" si="53"/>
        <v>32</v>
      </c>
      <c r="B1241">
        <v>1232</v>
      </c>
      <c r="C1241" s="1078">
        <v>3</v>
      </c>
      <c r="D1241" s="1077" t="s">
        <v>4530</v>
      </c>
      <c r="E1241" s="1077" t="s">
        <v>5137</v>
      </c>
      <c r="F1241" s="1185">
        <v>4</v>
      </c>
      <c r="G1241" s="1186"/>
      <c r="H1241" s="1186"/>
      <c r="I1241" s="1186"/>
      <c r="J1241" s="1186"/>
      <c r="K1241" s="1186"/>
      <c r="L1241" s="1186"/>
      <c r="M1241" s="1186"/>
      <c r="N1241" s="1186"/>
      <c r="O1241" s="1186"/>
      <c r="P1241" s="1186"/>
      <c r="Q1241" s="1186"/>
      <c r="R1241" s="1186"/>
      <c r="S1241" s="1186"/>
      <c r="T1241" s="1186"/>
      <c r="U1241" s="1186"/>
      <c r="V1241" s="1186"/>
      <c r="W1241" s="1186">
        <v>16</v>
      </c>
      <c r="X1241" s="1186">
        <v>3.7</v>
      </c>
      <c r="Y1241" s="1186">
        <v>12.8</v>
      </c>
      <c r="Z1241" s="1186">
        <v>2.7</v>
      </c>
      <c r="AA1241" s="1186">
        <v>16</v>
      </c>
      <c r="AB1241" s="1186">
        <v>5.3</v>
      </c>
      <c r="AC1241" s="1186">
        <v>16</v>
      </c>
      <c r="AD1241" s="1187">
        <v>3.3</v>
      </c>
    </row>
    <row r="1242" spans="1:30" x14ac:dyDescent="0.2">
      <c r="A1242">
        <f t="shared" si="53"/>
        <v>32</v>
      </c>
      <c r="B1242">
        <v>1233</v>
      </c>
      <c r="C1242" s="1078">
        <v>3</v>
      </c>
      <c r="D1242" s="1077" t="s">
        <v>4530</v>
      </c>
      <c r="E1242" s="1077" t="s">
        <v>5138</v>
      </c>
      <c r="F1242" s="1185">
        <v>4</v>
      </c>
      <c r="G1242" s="1178"/>
      <c r="H1242" s="1178"/>
      <c r="I1242" s="1178"/>
      <c r="J1242" s="1178"/>
      <c r="K1242" s="1178"/>
      <c r="L1242" s="1178"/>
      <c r="M1242" s="1178"/>
      <c r="N1242" s="1178"/>
      <c r="O1242" s="1178"/>
      <c r="P1242" s="1178"/>
      <c r="Q1242" s="1178"/>
      <c r="R1242" s="1178"/>
      <c r="S1242" s="1178"/>
      <c r="T1242" s="1178"/>
      <c r="U1242" s="1178"/>
      <c r="V1242" s="1178"/>
      <c r="W1242" s="1178">
        <v>22.8</v>
      </c>
      <c r="X1242" s="1178">
        <v>3.6</v>
      </c>
      <c r="Y1242" s="1178">
        <v>17.399999999999999</v>
      </c>
      <c r="Z1242" s="1178">
        <v>2.74</v>
      </c>
      <c r="AA1242" s="1178">
        <v>24.2</v>
      </c>
      <c r="AB1242" s="1178">
        <v>4.8</v>
      </c>
      <c r="AC1242" s="1178">
        <v>21.1</v>
      </c>
      <c r="AD1242" s="1179">
        <v>3.22</v>
      </c>
    </row>
    <row r="1243" spans="1:30" x14ac:dyDescent="0.2">
      <c r="A1243">
        <f t="shared" si="53"/>
        <v>32</v>
      </c>
      <c r="B1243">
        <v>1234</v>
      </c>
      <c r="C1243" s="1078">
        <v>2</v>
      </c>
      <c r="D1243" s="1077" t="s">
        <v>4530</v>
      </c>
      <c r="E1243" s="1077" t="s">
        <v>5174</v>
      </c>
      <c r="F1243" s="1185">
        <v>4</v>
      </c>
      <c r="G1243" s="1178">
        <v>8.6999999999999993</v>
      </c>
      <c r="H1243" s="1178">
        <v>2.6</v>
      </c>
      <c r="I1243" s="1178">
        <v>10.7</v>
      </c>
      <c r="J1243" s="1178">
        <v>3.1</v>
      </c>
      <c r="K1243" s="1178">
        <v>6</v>
      </c>
      <c r="L1243" s="1178">
        <v>4.2</v>
      </c>
      <c r="M1243" s="1178">
        <v>7.1</v>
      </c>
      <c r="N1243" s="1178">
        <v>5.0999999999999996</v>
      </c>
      <c r="O1243" s="1178">
        <v>8.4</v>
      </c>
      <c r="P1243" s="1178">
        <v>6.1</v>
      </c>
      <c r="Q1243" s="1178">
        <v>9.4</v>
      </c>
      <c r="R1243" s="1178">
        <v>2</v>
      </c>
      <c r="S1243" s="1178">
        <v>7.1</v>
      </c>
      <c r="T1243" s="1178">
        <v>3.2</v>
      </c>
      <c r="U1243" s="1178">
        <v>13.2</v>
      </c>
      <c r="V1243" s="1178">
        <v>3.6</v>
      </c>
      <c r="W1243" s="1178"/>
      <c r="X1243" s="1178"/>
      <c r="Y1243" s="1178"/>
      <c r="Z1243" s="1178"/>
      <c r="AA1243" s="1178"/>
      <c r="AB1243" s="1178"/>
      <c r="AC1243" s="1178"/>
      <c r="AD1243" s="1179"/>
    </row>
    <row r="1244" spans="1:30" x14ac:dyDescent="0.2">
      <c r="A1244">
        <f t="shared" si="53"/>
        <v>32</v>
      </c>
      <c r="B1244">
        <v>1235</v>
      </c>
      <c r="C1244" s="1078">
        <v>2</v>
      </c>
      <c r="D1244" s="1077" t="s">
        <v>4530</v>
      </c>
      <c r="E1244" s="1077" t="s">
        <v>5173</v>
      </c>
      <c r="F1244" s="1185">
        <v>2</v>
      </c>
      <c r="G1244" s="1178">
        <v>16</v>
      </c>
      <c r="H1244" s="1178">
        <v>2.6</v>
      </c>
      <c r="I1244" s="1178">
        <v>19.899999999999999</v>
      </c>
      <c r="J1244" s="1178">
        <v>3.1</v>
      </c>
      <c r="K1244" s="1178">
        <v>13.3</v>
      </c>
      <c r="L1244" s="1178">
        <v>4</v>
      </c>
      <c r="M1244" s="1178">
        <v>16.2</v>
      </c>
      <c r="N1244" s="1178">
        <v>4.9000000000000004</v>
      </c>
      <c r="O1244" s="1178">
        <v>23.2</v>
      </c>
      <c r="P1244" s="1178">
        <v>6.8</v>
      </c>
      <c r="Q1244" s="1178">
        <v>19.7</v>
      </c>
      <c r="R1244" s="1178">
        <v>2.2999999999999998</v>
      </c>
      <c r="S1244" s="1178">
        <v>15.4</v>
      </c>
      <c r="T1244" s="1178">
        <v>3.4</v>
      </c>
      <c r="U1244" s="1178">
        <v>21.2</v>
      </c>
      <c r="V1244" s="1178">
        <v>4.7</v>
      </c>
      <c r="W1244" s="1178"/>
      <c r="X1244" s="1178"/>
      <c r="Y1244" s="1178"/>
      <c r="Z1244" s="1178"/>
      <c r="AA1244" s="1178"/>
      <c r="AB1244" s="1178"/>
      <c r="AC1244" s="1178"/>
      <c r="AD1244" s="1179"/>
    </row>
    <row r="1245" spans="1:30" x14ac:dyDescent="0.2">
      <c r="A1245">
        <f t="shared" si="53"/>
        <v>32</v>
      </c>
      <c r="B1245">
        <v>1236</v>
      </c>
      <c r="C1245" s="1078">
        <v>2</v>
      </c>
      <c r="D1245" s="1077" t="s">
        <v>4530</v>
      </c>
      <c r="E1245" s="1077" t="s">
        <v>5172</v>
      </c>
      <c r="F1245" s="1185">
        <v>2</v>
      </c>
      <c r="G1245" s="1178">
        <v>18.5</v>
      </c>
      <c r="H1245" s="1178">
        <v>2.78</v>
      </c>
      <c r="I1245" s="1178">
        <v>22.3</v>
      </c>
      <c r="J1245" s="1178">
        <v>3.1</v>
      </c>
      <c r="K1245" s="1178">
        <v>14.21</v>
      </c>
      <c r="L1245" s="1178">
        <v>3.59</v>
      </c>
      <c r="M1245" s="1178">
        <v>17.63</v>
      </c>
      <c r="N1245" s="1178">
        <v>4.33</v>
      </c>
      <c r="O1245" s="1178">
        <v>23.5</v>
      </c>
      <c r="P1245" s="1178">
        <v>5.35</v>
      </c>
      <c r="Q1245" s="1178">
        <v>21.8</v>
      </c>
      <c r="R1245" s="1178">
        <v>2.34</v>
      </c>
      <c r="S1245" s="1178">
        <v>17.37</v>
      </c>
      <c r="T1245" s="1178">
        <v>3.11</v>
      </c>
      <c r="U1245" s="1178">
        <v>21.73</v>
      </c>
      <c r="V1245" s="1178">
        <v>3.9</v>
      </c>
      <c r="W1245" s="1178"/>
      <c r="X1245" s="1178"/>
      <c r="Y1245" s="1178"/>
      <c r="Z1245" s="1178"/>
      <c r="AA1245" s="1178"/>
      <c r="AB1245" s="1178"/>
      <c r="AC1245" s="1178"/>
      <c r="AD1245" s="1179"/>
    </row>
    <row r="1246" spans="1:30" x14ac:dyDescent="0.2">
      <c r="A1246">
        <f t="shared" si="53"/>
        <v>32</v>
      </c>
      <c r="B1246">
        <v>1237</v>
      </c>
      <c r="C1246" s="1078">
        <v>2</v>
      </c>
      <c r="D1246" s="1077" t="s">
        <v>4530</v>
      </c>
      <c r="E1246" s="1077" t="s">
        <v>5171</v>
      </c>
      <c r="F1246" s="1185">
        <v>2</v>
      </c>
      <c r="G1246" s="1178">
        <v>31.7</v>
      </c>
      <c r="H1246" s="1178">
        <v>2.6</v>
      </c>
      <c r="I1246" s="1178">
        <v>38</v>
      </c>
      <c r="J1246" s="1178">
        <v>3</v>
      </c>
      <c r="K1246" s="1178">
        <v>26.6</v>
      </c>
      <c r="L1246" s="1178">
        <v>3.6</v>
      </c>
      <c r="M1246" s="1178">
        <v>35.299999999999997</v>
      </c>
      <c r="N1246" s="1178">
        <v>4.5</v>
      </c>
      <c r="O1246" s="1178">
        <v>44.4</v>
      </c>
      <c r="P1246" s="1178">
        <v>5.25</v>
      </c>
      <c r="Q1246" s="1178">
        <v>36.799999999999997</v>
      </c>
      <c r="R1246" s="1178">
        <v>2.2999999999999998</v>
      </c>
      <c r="S1246" s="1178">
        <v>31.7</v>
      </c>
      <c r="T1246" s="1178">
        <v>3.2</v>
      </c>
      <c r="U1246" s="1178">
        <v>40.5</v>
      </c>
      <c r="V1246" s="1178">
        <v>3.9</v>
      </c>
      <c r="W1246" s="1178"/>
      <c r="X1246" s="1178"/>
      <c r="Y1246" s="1178"/>
      <c r="Z1246" s="1178"/>
      <c r="AA1246" s="1178"/>
      <c r="AB1246" s="1178"/>
      <c r="AC1246" s="1178"/>
      <c r="AD1246" s="1179"/>
    </row>
    <row r="1247" spans="1:30" x14ac:dyDescent="0.2">
      <c r="A1247">
        <f t="shared" si="53"/>
        <v>32</v>
      </c>
      <c r="B1247">
        <v>1238</v>
      </c>
      <c r="C1247" s="1078">
        <v>2</v>
      </c>
      <c r="D1247" s="1077" t="s">
        <v>4530</v>
      </c>
      <c r="E1247" s="1077" t="s">
        <v>5170</v>
      </c>
      <c r="F1247" s="1185">
        <v>2</v>
      </c>
      <c r="G1247" s="1178">
        <v>31.7</v>
      </c>
      <c r="H1247" s="1178">
        <v>2.6</v>
      </c>
      <c r="I1247" s="1178">
        <v>38</v>
      </c>
      <c r="J1247" s="1178">
        <v>3</v>
      </c>
      <c r="K1247" s="1178">
        <v>26.6</v>
      </c>
      <c r="L1247" s="1178">
        <v>3.6</v>
      </c>
      <c r="M1247" s="1178">
        <v>35.299999999999997</v>
      </c>
      <c r="N1247" s="1178">
        <v>4.5</v>
      </c>
      <c r="O1247" s="1178">
        <v>44.4</v>
      </c>
      <c r="P1247" s="1178">
        <v>5.25</v>
      </c>
      <c r="Q1247" s="1178">
        <v>36.799999999999997</v>
      </c>
      <c r="R1247" s="1178">
        <v>2.2999999999999998</v>
      </c>
      <c r="S1247" s="1178">
        <v>31.7</v>
      </c>
      <c r="T1247" s="1178">
        <v>3.2</v>
      </c>
      <c r="U1247" s="1178">
        <v>40.5</v>
      </c>
      <c r="V1247" s="1178">
        <v>3.9</v>
      </c>
      <c r="W1247" s="1178"/>
      <c r="X1247" s="1178"/>
      <c r="Y1247" s="1178"/>
      <c r="Z1247" s="1178"/>
      <c r="AA1247" s="1178"/>
      <c r="AB1247" s="1178"/>
      <c r="AC1247" s="1178"/>
      <c r="AD1247" s="1179"/>
    </row>
    <row r="1248" spans="1:30" x14ac:dyDescent="0.2">
      <c r="A1248">
        <f t="shared" si="53"/>
        <v>32</v>
      </c>
      <c r="B1248">
        <v>1239</v>
      </c>
      <c r="C1248" s="1078">
        <v>2</v>
      </c>
      <c r="D1248" s="1077" t="s">
        <v>4530</v>
      </c>
      <c r="E1248" s="1077" t="s">
        <v>5169</v>
      </c>
      <c r="F1248" s="1185">
        <v>2</v>
      </c>
      <c r="G1248" s="1178">
        <v>34.6</v>
      </c>
      <c r="H1248" s="1178">
        <v>2.7</v>
      </c>
      <c r="I1248" s="1178">
        <v>42.1</v>
      </c>
      <c r="J1248" s="1178">
        <v>3.1</v>
      </c>
      <c r="K1248" s="1178">
        <v>25.7</v>
      </c>
      <c r="L1248" s="1178">
        <v>3.9</v>
      </c>
      <c r="M1248" s="1178">
        <v>33.299999999999997</v>
      </c>
      <c r="N1248" s="1178">
        <v>4.9000000000000004</v>
      </c>
      <c r="O1248" s="1178">
        <v>42.5</v>
      </c>
      <c r="P1248" s="1178">
        <v>6.4</v>
      </c>
      <c r="Q1248" s="1178">
        <v>41.5</v>
      </c>
      <c r="R1248" s="1178">
        <v>2.2999999999999998</v>
      </c>
      <c r="S1248" s="1178">
        <v>31.8</v>
      </c>
      <c r="T1248" s="1178">
        <v>3.4</v>
      </c>
      <c r="U1248" s="1178">
        <v>37.9</v>
      </c>
      <c r="V1248" s="1178">
        <v>4.2</v>
      </c>
      <c r="W1248" s="1178"/>
      <c r="X1248" s="1178"/>
      <c r="Y1248" s="1178"/>
      <c r="Z1248" s="1178"/>
      <c r="AA1248" s="1178"/>
      <c r="AB1248" s="1178"/>
      <c r="AC1248" s="1178"/>
      <c r="AD1248" s="1179"/>
    </row>
    <row r="1249" spans="1:30" x14ac:dyDescent="0.2">
      <c r="A1249">
        <f t="shared" si="53"/>
        <v>32</v>
      </c>
      <c r="B1249">
        <v>1240</v>
      </c>
      <c r="C1249" s="1078">
        <v>2</v>
      </c>
      <c r="D1249" s="1077" t="s">
        <v>4530</v>
      </c>
      <c r="E1249" s="1077" t="s">
        <v>5305</v>
      </c>
      <c r="F1249" s="1185">
        <v>4</v>
      </c>
      <c r="G1249" s="1178">
        <v>3.2</v>
      </c>
      <c r="H1249" s="1178">
        <v>2.5</v>
      </c>
      <c r="I1249" s="1178">
        <v>6</v>
      </c>
      <c r="J1249" s="1178">
        <v>3.03</v>
      </c>
      <c r="K1249" s="1178">
        <v>4.2</v>
      </c>
      <c r="L1249" s="1178">
        <v>4.16</v>
      </c>
      <c r="M1249" s="1178">
        <v>4.7</v>
      </c>
      <c r="N1249" s="1178">
        <v>4.76</v>
      </c>
      <c r="O1249" s="1178">
        <v>6.5</v>
      </c>
      <c r="P1249" s="1178">
        <v>6.4</v>
      </c>
      <c r="Q1249" s="1178">
        <v>5.66</v>
      </c>
      <c r="R1249" s="1178">
        <v>2</v>
      </c>
      <c r="S1249" s="1178">
        <v>5.4</v>
      </c>
      <c r="T1249" s="1178">
        <v>2.92</v>
      </c>
      <c r="U1249" s="1178">
        <v>6.88</v>
      </c>
      <c r="V1249" s="1178">
        <v>3.25</v>
      </c>
      <c r="W1249" s="1178"/>
      <c r="X1249" s="1178"/>
      <c r="Y1249" s="1178"/>
      <c r="Z1249" s="1178"/>
      <c r="AA1249" s="1178"/>
      <c r="AB1249" s="1178"/>
      <c r="AC1249" s="1178"/>
      <c r="AD1249" s="1179"/>
    </row>
    <row r="1250" spans="1:30" x14ac:dyDescent="0.2">
      <c r="A1250">
        <f t="shared" si="53"/>
        <v>32</v>
      </c>
      <c r="B1250">
        <v>1241</v>
      </c>
      <c r="C1250" s="1078">
        <v>2</v>
      </c>
      <c r="D1250" s="1077" t="s">
        <v>4530</v>
      </c>
      <c r="E1250" s="1077" t="s">
        <v>5306</v>
      </c>
      <c r="F1250" s="1185">
        <v>4</v>
      </c>
      <c r="G1250" s="1178">
        <v>7.6</v>
      </c>
      <c r="H1250" s="1178">
        <v>2.4</v>
      </c>
      <c r="I1250" s="1178">
        <v>9.4</v>
      </c>
      <c r="J1250" s="1178">
        <v>3.03</v>
      </c>
      <c r="K1250" s="1178">
        <v>6.5</v>
      </c>
      <c r="L1250" s="1178">
        <v>4.33</v>
      </c>
      <c r="M1250" s="1178">
        <v>6.9</v>
      </c>
      <c r="N1250" s="1178">
        <v>4.96</v>
      </c>
      <c r="O1250" s="1178">
        <v>8.3000000000000007</v>
      </c>
      <c r="P1250" s="1178">
        <v>6.2</v>
      </c>
      <c r="Q1250" s="1178">
        <v>8.81</v>
      </c>
      <c r="R1250" s="1178">
        <v>1.87</v>
      </c>
      <c r="S1250" s="1178">
        <v>6.94</v>
      </c>
      <c r="T1250" s="1178">
        <v>3.01</v>
      </c>
      <c r="U1250" s="1178">
        <v>13.83</v>
      </c>
      <c r="V1250" s="1178">
        <v>3.38</v>
      </c>
      <c r="W1250" s="1178"/>
      <c r="X1250" s="1178"/>
      <c r="Y1250" s="1178"/>
      <c r="Z1250" s="1178"/>
      <c r="AA1250" s="1178"/>
      <c r="AB1250" s="1178"/>
      <c r="AC1250" s="1178"/>
      <c r="AD1250" s="1179"/>
    </row>
    <row r="1251" spans="1:30" x14ac:dyDescent="0.2">
      <c r="A1251">
        <f t="shared" si="53"/>
        <v>32</v>
      </c>
      <c r="B1251">
        <v>1242</v>
      </c>
      <c r="C1251" s="1078">
        <v>2</v>
      </c>
      <c r="D1251" s="1077" t="s">
        <v>4530</v>
      </c>
      <c r="E1251" s="1077" t="s">
        <v>5139</v>
      </c>
      <c r="F1251" s="1185">
        <v>2</v>
      </c>
      <c r="G1251" s="1178">
        <v>12</v>
      </c>
      <c r="H1251" s="1178">
        <v>2.2000000000000002</v>
      </c>
      <c r="I1251" s="1178">
        <v>16.3</v>
      </c>
      <c r="J1251" s="1178">
        <v>3</v>
      </c>
      <c r="K1251" s="1178">
        <v>19.5</v>
      </c>
      <c r="L1251" s="1178">
        <v>3.7</v>
      </c>
      <c r="M1251" s="1178">
        <v>24.5</v>
      </c>
      <c r="N1251" s="1178">
        <v>4.3</v>
      </c>
      <c r="O1251" s="1178">
        <v>27.8</v>
      </c>
      <c r="P1251" s="1178">
        <v>4.7</v>
      </c>
      <c r="Q1251" s="1178">
        <v>15</v>
      </c>
      <c r="R1251" s="1178">
        <v>1.9</v>
      </c>
      <c r="S1251" s="1178">
        <v>22.1</v>
      </c>
      <c r="T1251" s="1178">
        <v>2.7</v>
      </c>
      <c r="U1251" s="1178">
        <v>26.1</v>
      </c>
      <c r="V1251" s="1178">
        <v>3.3</v>
      </c>
      <c r="W1251" s="1178"/>
      <c r="X1251" s="1178"/>
      <c r="Y1251" s="1178"/>
      <c r="Z1251" s="1178"/>
      <c r="AA1251" s="1178"/>
      <c r="AB1251" s="1178"/>
      <c r="AC1251" s="1178"/>
      <c r="AD1251" s="1179"/>
    </row>
    <row r="1252" spans="1:30" x14ac:dyDescent="0.2">
      <c r="A1252">
        <f t="shared" si="53"/>
        <v>32</v>
      </c>
      <c r="B1252">
        <v>1243</v>
      </c>
      <c r="C1252" s="1078">
        <v>2</v>
      </c>
      <c r="D1252" s="1077" t="s">
        <v>4530</v>
      </c>
      <c r="E1252" s="1077" t="s">
        <v>5140</v>
      </c>
      <c r="F1252" s="1185">
        <v>2</v>
      </c>
      <c r="G1252" s="1178">
        <v>18.600000000000001</v>
      </c>
      <c r="H1252" s="1178">
        <v>2.2999999999999998</v>
      </c>
      <c r="I1252" s="1178">
        <v>22.6</v>
      </c>
      <c r="J1252" s="1178">
        <v>2.9</v>
      </c>
      <c r="K1252" s="1178">
        <v>27.6</v>
      </c>
      <c r="L1252" s="1178">
        <v>3.6</v>
      </c>
      <c r="M1252" s="1178">
        <v>32.700000000000003</v>
      </c>
      <c r="N1252" s="1178">
        <v>4.0999999999999996</v>
      </c>
      <c r="O1252" s="1178">
        <v>43.5</v>
      </c>
      <c r="P1252" s="1178">
        <v>5</v>
      </c>
      <c r="Q1252" s="1178">
        <v>21.2</v>
      </c>
      <c r="R1252" s="1178">
        <v>1.7</v>
      </c>
      <c r="S1252" s="1178">
        <v>31.6</v>
      </c>
      <c r="T1252" s="1178">
        <v>2.7</v>
      </c>
      <c r="U1252" s="1178">
        <v>40.799999999999997</v>
      </c>
      <c r="V1252" s="1178">
        <v>3.3</v>
      </c>
      <c r="W1252" s="1178"/>
      <c r="X1252" s="1178"/>
      <c r="Y1252" s="1178"/>
      <c r="Z1252" s="1178"/>
      <c r="AA1252" s="1178"/>
      <c r="AB1252" s="1178"/>
      <c r="AC1252" s="1178"/>
      <c r="AD1252" s="1179"/>
    </row>
    <row r="1253" spans="1:30" x14ac:dyDescent="0.2">
      <c r="A1253">
        <f t="shared" si="53"/>
        <v>32</v>
      </c>
      <c r="B1253">
        <v>1244</v>
      </c>
      <c r="C1253" s="1078">
        <v>2</v>
      </c>
      <c r="D1253" s="1077" t="s">
        <v>4530</v>
      </c>
      <c r="E1253" s="1077" t="s">
        <v>5141</v>
      </c>
      <c r="F1253" s="1185">
        <v>2</v>
      </c>
      <c r="G1253" s="1178">
        <v>30</v>
      </c>
      <c r="H1253" s="1178">
        <v>2.4</v>
      </c>
      <c r="I1253" s="1178">
        <v>38.1</v>
      </c>
      <c r="J1253" s="1178">
        <v>2.9</v>
      </c>
      <c r="K1253" s="1178">
        <v>47.2</v>
      </c>
      <c r="L1253" s="1178">
        <v>3.6</v>
      </c>
      <c r="M1253" s="1178">
        <v>55.8</v>
      </c>
      <c r="N1253" s="1178">
        <v>4</v>
      </c>
      <c r="O1253" s="1178">
        <v>72.5</v>
      </c>
      <c r="P1253" s="1178">
        <v>4.9000000000000004</v>
      </c>
      <c r="Q1253" s="1178">
        <v>35</v>
      </c>
      <c r="R1253" s="1178">
        <v>2.2000000000000002</v>
      </c>
      <c r="S1253" s="1178">
        <v>56.4</v>
      </c>
      <c r="T1253" s="1178">
        <v>3</v>
      </c>
      <c r="U1253" s="1178">
        <v>68</v>
      </c>
      <c r="V1253" s="1178">
        <v>3.6</v>
      </c>
      <c r="W1253" s="1178"/>
      <c r="X1253" s="1178"/>
      <c r="Y1253" s="1178"/>
      <c r="Z1253" s="1178"/>
      <c r="AA1253" s="1178"/>
      <c r="AB1253" s="1178"/>
      <c r="AC1253" s="1178"/>
      <c r="AD1253" s="1179"/>
    </row>
    <row r="1254" spans="1:30" x14ac:dyDescent="0.2">
      <c r="A1254">
        <f t="shared" si="53"/>
        <v>32</v>
      </c>
      <c r="B1254">
        <v>1245</v>
      </c>
      <c r="C1254" s="1078">
        <v>2</v>
      </c>
      <c r="D1254" s="1077" t="s">
        <v>4530</v>
      </c>
      <c r="E1254" s="1077" t="s">
        <v>4379</v>
      </c>
      <c r="F1254" s="1185">
        <v>1</v>
      </c>
      <c r="G1254" s="1178">
        <v>5.7</v>
      </c>
      <c r="H1254" s="1178">
        <v>2.5</v>
      </c>
      <c r="I1254" s="1178">
        <v>7</v>
      </c>
      <c r="J1254" s="1178">
        <v>3</v>
      </c>
      <c r="K1254" s="1178">
        <v>8.3000000000000007</v>
      </c>
      <c r="L1254" s="1178">
        <v>3.6</v>
      </c>
      <c r="M1254" s="1178">
        <v>10.7</v>
      </c>
      <c r="N1254" s="1178">
        <v>4.2</v>
      </c>
      <c r="O1254" s="1178">
        <v>12.9</v>
      </c>
      <c r="P1254" s="1178">
        <v>5.4</v>
      </c>
      <c r="Q1254" s="1178">
        <v>6.6</v>
      </c>
      <c r="R1254" s="1178">
        <v>2</v>
      </c>
      <c r="S1254" s="1178">
        <v>10.1</v>
      </c>
      <c r="T1254" s="1178">
        <v>2.7</v>
      </c>
      <c r="U1254" s="1178">
        <v>12.2</v>
      </c>
      <c r="V1254" s="1178">
        <v>3.3</v>
      </c>
      <c r="W1254" s="1178"/>
      <c r="X1254" s="1178"/>
      <c r="Y1254" s="1178"/>
      <c r="Z1254" s="1178"/>
      <c r="AA1254" s="1178"/>
      <c r="AB1254" s="1178"/>
      <c r="AC1254" s="1178"/>
      <c r="AD1254" s="1179"/>
    </row>
    <row r="1255" spans="1:30" x14ac:dyDescent="0.2">
      <c r="A1255">
        <f t="shared" si="53"/>
        <v>32</v>
      </c>
      <c r="B1255">
        <v>1246</v>
      </c>
      <c r="C1255" s="1078">
        <v>2</v>
      </c>
      <c r="D1255" s="1077" t="s">
        <v>4530</v>
      </c>
      <c r="E1255" s="1077" t="s">
        <v>4380</v>
      </c>
      <c r="F1255" s="1185">
        <v>1</v>
      </c>
      <c r="G1255" s="1178">
        <v>5.7</v>
      </c>
      <c r="H1255" s="1178">
        <v>2.2000000000000002</v>
      </c>
      <c r="I1255" s="1178">
        <v>7.1</v>
      </c>
      <c r="J1255" s="1178">
        <v>3.1</v>
      </c>
      <c r="K1255" s="1178">
        <v>9.4</v>
      </c>
      <c r="L1255" s="1178">
        <v>4</v>
      </c>
      <c r="M1255" s="1178">
        <v>11.5</v>
      </c>
      <c r="N1255" s="1178">
        <v>4.8</v>
      </c>
      <c r="O1255" s="1178">
        <v>14.3</v>
      </c>
      <c r="P1255" s="1178">
        <v>6</v>
      </c>
      <c r="Q1255" s="1178">
        <v>6.5</v>
      </c>
      <c r="R1255" s="1178">
        <v>2</v>
      </c>
      <c r="S1255" s="1178">
        <v>10.3</v>
      </c>
      <c r="T1255" s="1178">
        <v>3.1</v>
      </c>
      <c r="U1255" s="1178">
        <v>12.9</v>
      </c>
      <c r="V1255" s="1178">
        <v>3.6</v>
      </c>
      <c r="W1255" s="1178"/>
      <c r="X1255" s="1178"/>
      <c r="Y1255" s="1178"/>
      <c r="Z1255" s="1178"/>
      <c r="AA1255" s="1178"/>
      <c r="AB1255" s="1178"/>
      <c r="AC1255" s="1178"/>
      <c r="AD1255" s="1179"/>
    </row>
    <row r="1256" spans="1:30" x14ac:dyDescent="0.2">
      <c r="A1256">
        <f t="shared" si="53"/>
        <v>32</v>
      </c>
      <c r="B1256">
        <v>1247</v>
      </c>
      <c r="C1256" s="1078">
        <v>2</v>
      </c>
      <c r="D1256" s="1077" t="s">
        <v>4530</v>
      </c>
      <c r="E1256" s="1077" t="s">
        <v>4381</v>
      </c>
      <c r="F1256" s="1185">
        <v>1</v>
      </c>
      <c r="G1256" s="1178">
        <v>8.6</v>
      </c>
      <c r="H1256" s="1178">
        <v>2.2000000000000002</v>
      </c>
      <c r="I1256" s="1178">
        <v>10.7</v>
      </c>
      <c r="J1256" s="1178">
        <v>2.7</v>
      </c>
      <c r="K1256" s="1178">
        <v>13.4</v>
      </c>
      <c r="L1256" s="1178">
        <v>3.3</v>
      </c>
      <c r="M1256" s="1178">
        <v>16.399999999999999</v>
      </c>
      <c r="N1256" s="1178">
        <v>4</v>
      </c>
      <c r="O1256" s="1178">
        <v>22.4</v>
      </c>
      <c r="P1256" s="1178">
        <v>5.2</v>
      </c>
      <c r="Q1256" s="1178">
        <v>9.1999999999999993</v>
      </c>
      <c r="R1256" s="1178">
        <v>1.6</v>
      </c>
      <c r="S1256" s="1178">
        <v>15.3</v>
      </c>
      <c r="T1256" s="1178">
        <v>2.5</v>
      </c>
      <c r="U1256" s="1178">
        <v>21.4</v>
      </c>
      <c r="V1256" s="1178">
        <v>3.5</v>
      </c>
      <c r="W1256" s="1178"/>
      <c r="X1256" s="1178"/>
      <c r="Y1256" s="1178"/>
      <c r="Z1256" s="1178"/>
      <c r="AA1256" s="1178"/>
      <c r="AB1256" s="1178"/>
      <c r="AC1256" s="1178"/>
      <c r="AD1256" s="1179"/>
    </row>
    <row r="1257" spans="1:30" x14ac:dyDescent="0.2">
      <c r="A1257">
        <f t="shared" si="53"/>
        <v>32</v>
      </c>
      <c r="B1257">
        <v>1248</v>
      </c>
      <c r="C1257" s="1078">
        <v>2</v>
      </c>
      <c r="D1257" s="1077" t="s">
        <v>4530</v>
      </c>
      <c r="E1257" s="1077" t="s">
        <v>4382</v>
      </c>
      <c r="F1257" s="1185">
        <v>2</v>
      </c>
      <c r="G1257" s="1178">
        <v>10.199999999999999</v>
      </c>
      <c r="H1257" s="1178">
        <v>2.6</v>
      </c>
      <c r="I1257" s="1178">
        <v>12.8</v>
      </c>
      <c r="J1257" s="1178">
        <v>2.9</v>
      </c>
      <c r="K1257" s="1178">
        <v>14.7</v>
      </c>
      <c r="L1257" s="1178">
        <v>3.3</v>
      </c>
      <c r="M1257" s="1178">
        <v>17.7</v>
      </c>
      <c r="N1257" s="1178">
        <v>4</v>
      </c>
      <c r="O1257" s="1178">
        <v>22.2</v>
      </c>
      <c r="P1257" s="1178">
        <v>5</v>
      </c>
      <c r="Q1257" s="1178">
        <v>12.2</v>
      </c>
      <c r="R1257" s="1178">
        <v>1.9</v>
      </c>
      <c r="S1257" s="1178">
        <v>17.399999999999999</v>
      </c>
      <c r="T1257" s="1178">
        <v>2.4</v>
      </c>
      <c r="U1257" s="1178">
        <v>24.2</v>
      </c>
      <c r="V1257" s="1178">
        <v>2.8</v>
      </c>
      <c r="W1257" s="1178"/>
      <c r="X1257" s="1178"/>
      <c r="Y1257" s="1178"/>
      <c r="Z1257" s="1178"/>
      <c r="AA1257" s="1178"/>
      <c r="AB1257" s="1178"/>
      <c r="AC1257" s="1178"/>
      <c r="AD1257" s="1179"/>
    </row>
    <row r="1258" spans="1:30" x14ac:dyDescent="0.2">
      <c r="A1258">
        <f t="shared" si="53"/>
        <v>32</v>
      </c>
      <c r="B1258">
        <v>1249</v>
      </c>
      <c r="C1258" s="1078">
        <v>2</v>
      </c>
      <c r="D1258" s="1077" t="s">
        <v>4530</v>
      </c>
      <c r="E1258" s="1077" t="s">
        <v>4383</v>
      </c>
      <c r="F1258" s="1185">
        <v>2</v>
      </c>
      <c r="G1258" s="1178">
        <v>12.5</v>
      </c>
      <c r="H1258" s="1178">
        <v>2.2999999999999998</v>
      </c>
      <c r="I1258" s="1178">
        <v>15.7</v>
      </c>
      <c r="J1258" s="1178">
        <v>2.7</v>
      </c>
      <c r="K1258" s="1178">
        <v>19.899999999999999</v>
      </c>
      <c r="L1258" s="1178">
        <v>3.4</v>
      </c>
      <c r="M1258" s="1178">
        <v>23.4</v>
      </c>
      <c r="N1258" s="1178">
        <v>3.9</v>
      </c>
      <c r="O1258" s="1178">
        <v>27.2</v>
      </c>
      <c r="P1258" s="1178">
        <v>4.5</v>
      </c>
      <c r="Q1258" s="1178">
        <v>15.7</v>
      </c>
      <c r="R1258" s="1178">
        <v>1.9</v>
      </c>
      <c r="S1258" s="1178">
        <v>22.3</v>
      </c>
      <c r="T1258" s="1178">
        <v>2.6</v>
      </c>
      <c r="U1258" s="1178">
        <v>26.3</v>
      </c>
      <c r="V1258" s="1178">
        <v>2.9</v>
      </c>
      <c r="W1258" s="1178"/>
      <c r="X1258" s="1178"/>
      <c r="Y1258" s="1178"/>
      <c r="Z1258" s="1178"/>
      <c r="AA1258" s="1178"/>
      <c r="AB1258" s="1178"/>
      <c r="AC1258" s="1178"/>
      <c r="AD1258" s="1179"/>
    </row>
    <row r="1259" spans="1:30" x14ac:dyDescent="0.2">
      <c r="A1259">
        <f t="shared" si="53"/>
        <v>32</v>
      </c>
      <c r="B1259">
        <v>1250</v>
      </c>
      <c r="C1259" s="1078">
        <v>2</v>
      </c>
      <c r="D1259" s="1077" t="s">
        <v>4530</v>
      </c>
      <c r="E1259" s="1077" t="s">
        <v>4384</v>
      </c>
      <c r="F1259" s="1185">
        <v>2</v>
      </c>
      <c r="G1259" s="1178">
        <v>18.2</v>
      </c>
      <c r="H1259" s="1178">
        <v>2.2999999999999998</v>
      </c>
      <c r="I1259" s="1178">
        <v>21.6</v>
      </c>
      <c r="J1259" s="1178">
        <v>2.8</v>
      </c>
      <c r="K1259" s="1178">
        <v>25.2</v>
      </c>
      <c r="L1259" s="1178">
        <v>3.3</v>
      </c>
      <c r="M1259" s="1178">
        <v>27.8</v>
      </c>
      <c r="N1259" s="1178">
        <v>3.5</v>
      </c>
      <c r="O1259" s="1178">
        <v>30.5</v>
      </c>
      <c r="P1259" s="1178">
        <v>4.0999999999999996</v>
      </c>
      <c r="Q1259" s="1178">
        <v>21.4</v>
      </c>
      <c r="R1259" s="1178">
        <v>1.9</v>
      </c>
      <c r="S1259" s="1178">
        <v>25.6</v>
      </c>
      <c r="T1259" s="1178">
        <v>2.4</v>
      </c>
      <c r="U1259" s="1178">
        <v>29.7</v>
      </c>
      <c r="V1259" s="1178">
        <v>2.7</v>
      </c>
      <c r="W1259" s="1178"/>
      <c r="X1259" s="1178"/>
      <c r="Y1259" s="1178"/>
      <c r="Z1259" s="1178"/>
      <c r="AA1259" s="1178"/>
      <c r="AB1259" s="1178"/>
      <c r="AC1259" s="1178"/>
      <c r="AD1259" s="1179"/>
    </row>
    <row r="1260" spans="1:30" x14ac:dyDescent="0.2">
      <c r="A1260">
        <f t="shared" si="53"/>
        <v>32</v>
      </c>
      <c r="B1260">
        <v>1251</v>
      </c>
      <c r="C1260" s="1078">
        <v>2</v>
      </c>
      <c r="D1260" s="1077" t="s">
        <v>4530</v>
      </c>
      <c r="E1260" s="1077" t="s">
        <v>4378</v>
      </c>
      <c r="F1260" s="1185">
        <v>1</v>
      </c>
      <c r="G1260" s="1178">
        <v>4.2</v>
      </c>
      <c r="H1260" s="1178">
        <v>2.4</v>
      </c>
      <c r="I1260" s="1178">
        <v>5.4</v>
      </c>
      <c r="J1260" s="1178">
        <v>3</v>
      </c>
      <c r="K1260" s="1178">
        <v>6.8</v>
      </c>
      <c r="L1260" s="1178">
        <v>3.9</v>
      </c>
      <c r="M1260" s="1178">
        <v>8.5</v>
      </c>
      <c r="N1260" s="1178">
        <v>4.7</v>
      </c>
      <c r="O1260" s="1178">
        <v>10.6</v>
      </c>
      <c r="P1260" s="1178">
        <v>6</v>
      </c>
      <c r="Q1260" s="1178">
        <v>5</v>
      </c>
      <c r="R1260" s="1178">
        <v>1.9</v>
      </c>
      <c r="S1260" s="1178">
        <v>7.5</v>
      </c>
      <c r="T1260" s="1178">
        <v>2.9</v>
      </c>
      <c r="U1260" s="1178">
        <v>9.6</v>
      </c>
      <c r="V1260" s="1178">
        <v>3.7</v>
      </c>
      <c r="W1260" s="1178"/>
      <c r="X1260" s="1178"/>
      <c r="Y1260" s="1178"/>
      <c r="Z1260" s="1178"/>
      <c r="AA1260" s="1178"/>
      <c r="AB1260" s="1178"/>
      <c r="AC1260" s="1178"/>
      <c r="AD1260" s="1179"/>
    </row>
    <row r="1261" spans="1:30" x14ac:dyDescent="0.2">
      <c r="A1261">
        <f t="shared" si="53"/>
        <v>32</v>
      </c>
      <c r="B1261">
        <v>1252</v>
      </c>
      <c r="C1261" s="1078">
        <v>2</v>
      </c>
      <c r="D1261" s="1077" t="s">
        <v>4530</v>
      </c>
      <c r="E1261" s="1077" t="s">
        <v>4377</v>
      </c>
      <c r="F1261" s="1185">
        <v>1</v>
      </c>
      <c r="G1261" s="1178">
        <v>4.3</v>
      </c>
      <c r="H1261" s="1178">
        <v>2.2999999999999998</v>
      </c>
      <c r="I1261" s="1178">
        <v>5.3</v>
      </c>
      <c r="J1261" s="1178">
        <v>2.8</v>
      </c>
      <c r="K1261" s="1178">
        <v>6.6</v>
      </c>
      <c r="L1261" s="1178">
        <v>3.5</v>
      </c>
      <c r="M1261" s="1178">
        <v>7.7</v>
      </c>
      <c r="N1261" s="1178">
        <v>4</v>
      </c>
      <c r="O1261" s="1178">
        <v>8.1999999999999993</v>
      </c>
      <c r="P1261" s="1178">
        <v>4.4000000000000004</v>
      </c>
      <c r="Q1261" s="1178">
        <v>4.9000000000000004</v>
      </c>
      <c r="R1261" s="1178">
        <v>1.8</v>
      </c>
      <c r="S1261" s="1178">
        <v>7.1</v>
      </c>
      <c r="T1261" s="1178">
        <v>2.5</v>
      </c>
      <c r="U1261" s="1178">
        <v>9</v>
      </c>
      <c r="V1261" s="1178">
        <v>3.2</v>
      </c>
      <c r="W1261" s="1178"/>
      <c r="X1261" s="1178"/>
      <c r="Y1261" s="1178"/>
      <c r="Z1261" s="1178"/>
      <c r="AA1261" s="1178"/>
      <c r="AB1261" s="1178"/>
      <c r="AC1261" s="1178"/>
      <c r="AD1261" s="1179"/>
    </row>
    <row r="1262" spans="1:30" x14ac:dyDescent="0.2">
      <c r="A1262">
        <f t="shared" si="53"/>
        <v>32</v>
      </c>
      <c r="B1262">
        <v>1253</v>
      </c>
      <c r="C1262" s="1078">
        <v>2</v>
      </c>
      <c r="D1262" s="1077" t="s">
        <v>4530</v>
      </c>
      <c r="E1262" s="1077" t="s">
        <v>4693</v>
      </c>
      <c r="F1262" s="1185">
        <v>1</v>
      </c>
      <c r="G1262" s="1178">
        <v>5.6</v>
      </c>
      <c r="H1262" s="1178">
        <v>2.7</v>
      </c>
      <c r="I1262" s="1178">
        <v>7.1</v>
      </c>
      <c r="J1262" s="1178">
        <v>3.3</v>
      </c>
      <c r="K1262" s="1178">
        <v>9.4</v>
      </c>
      <c r="L1262" s="1178">
        <v>4.2</v>
      </c>
      <c r="M1262" s="1178">
        <v>11.5</v>
      </c>
      <c r="N1262" s="1178">
        <v>5</v>
      </c>
      <c r="O1262" s="1178">
        <v>14.4</v>
      </c>
      <c r="P1262" s="1178">
        <v>6.4</v>
      </c>
      <c r="Q1262" s="1178">
        <v>7</v>
      </c>
      <c r="R1262" s="1178">
        <v>2.2000000000000002</v>
      </c>
      <c r="S1262" s="1178">
        <v>10.3</v>
      </c>
      <c r="T1262" s="1178">
        <v>3.2</v>
      </c>
      <c r="U1262" s="1178">
        <v>12.8</v>
      </c>
      <c r="V1262" s="1178">
        <v>3.7</v>
      </c>
      <c r="W1262" s="1178"/>
      <c r="X1262" s="1178"/>
      <c r="Y1262" s="1178"/>
      <c r="Z1262" s="1178"/>
      <c r="AA1262" s="1178"/>
      <c r="AB1262" s="1178"/>
      <c r="AC1262" s="1178"/>
      <c r="AD1262" s="1179"/>
    </row>
    <row r="1263" spans="1:30" x14ac:dyDescent="0.2">
      <c r="A1263">
        <f t="shared" si="53"/>
        <v>32</v>
      </c>
      <c r="B1263">
        <v>1254</v>
      </c>
      <c r="C1263" s="1078">
        <v>2</v>
      </c>
      <c r="D1263" s="1077" t="s">
        <v>4530</v>
      </c>
      <c r="E1263" s="1077" t="s">
        <v>5295</v>
      </c>
      <c r="F1263" s="1185">
        <v>2</v>
      </c>
      <c r="G1263" s="1178">
        <v>7.95</v>
      </c>
      <c r="H1263" s="1178">
        <v>2.52</v>
      </c>
      <c r="I1263" s="1178">
        <v>11.04</v>
      </c>
      <c r="J1263" s="1178">
        <v>3.28</v>
      </c>
      <c r="K1263" s="1178">
        <v>7.2549999999999999</v>
      </c>
      <c r="L1263" s="1178">
        <v>4.1900000000000004</v>
      </c>
      <c r="M1263" s="1178">
        <v>8.266</v>
      </c>
      <c r="N1263" s="1178">
        <v>4.8</v>
      </c>
      <c r="O1263" s="1178">
        <v>11.04</v>
      </c>
      <c r="P1263" s="1178">
        <v>6.56</v>
      </c>
      <c r="Q1263" s="1178">
        <v>10.76</v>
      </c>
      <c r="R1263" s="1178">
        <v>2.1800000000000002</v>
      </c>
      <c r="S1263" s="1178">
        <v>7.74</v>
      </c>
      <c r="T1263" s="1178">
        <v>3.11</v>
      </c>
      <c r="U1263" s="1178">
        <v>9.6999999999999993</v>
      </c>
      <c r="V1263" s="1178">
        <v>3.85</v>
      </c>
      <c r="W1263" s="1178"/>
      <c r="X1263" s="1178"/>
      <c r="Y1263" s="1178"/>
      <c r="Z1263" s="1178"/>
      <c r="AA1263" s="1178"/>
      <c r="AB1263" s="1178"/>
      <c r="AC1263" s="1178"/>
      <c r="AD1263" s="1179"/>
    </row>
    <row r="1264" spans="1:30" x14ac:dyDescent="0.2">
      <c r="A1264">
        <f t="shared" si="53"/>
        <v>32</v>
      </c>
      <c r="B1264">
        <v>1255</v>
      </c>
      <c r="C1264" s="1078">
        <v>2</v>
      </c>
      <c r="D1264" s="1077" t="s">
        <v>4530</v>
      </c>
      <c r="E1264" s="1077" t="s">
        <v>5296</v>
      </c>
      <c r="F1264" s="1185">
        <v>1</v>
      </c>
      <c r="G1264" s="1178">
        <v>5.6</v>
      </c>
      <c r="H1264" s="1178">
        <v>2.4</v>
      </c>
      <c r="I1264" s="1178">
        <v>7.3</v>
      </c>
      <c r="J1264" s="1178">
        <v>3.1</v>
      </c>
      <c r="K1264" s="1178">
        <v>9.5</v>
      </c>
      <c r="L1264" s="1178">
        <v>4</v>
      </c>
      <c r="M1264" s="1178">
        <v>11.26</v>
      </c>
      <c r="N1264" s="1178">
        <v>4.72</v>
      </c>
      <c r="O1264" s="1178">
        <v>14.68</v>
      </c>
      <c r="P1264" s="1178">
        <v>5.34</v>
      </c>
      <c r="Q1264" s="1178">
        <v>7.23</v>
      </c>
      <c r="R1264" s="1178">
        <v>2.1800000000000002</v>
      </c>
      <c r="S1264" s="1178">
        <v>9.9700000000000006</v>
      </c>
      <c r="T1264" s="1178">
        <v>2.96</v>
      </c>
      <c r="U1264" s="1178">
        <v>13.1</v>
      </c>
      <c r="V1264" s="1178">
        <v>3.93</v>
      </c>
      <c r="W1264" s="1178"/>
      <c r="X1264" s="1178"/>
      <c r="Y1264" s="1178"/>
      <c r="Z1264" s="1178"/>
      <c r="AA1264" s="1178"/>
      <c r="AB1264" s="1178"/>
      <c r="AC1264" s="1178"/>
      <c r="AD1264" s="1179"/>
    </row>
    <row r="1265" spans="1:30" x14ac:dyDescent="0.2">
      <c r="A1265">
        <f t="shared" si="53"/>
        <v>32</v>
      </c>
      <c r="B1265">
        <v>1256</v>
      </c>
      <c r="C1265" s="1078">
        <v>2</v>
      </c>
      <c r="D1265" s="1077" t="s">
        <v>4530</v>
      </c>
      <c r="E1265" s="1077" t="s">
        <v>5307</v>
      </c>
      <c r="F1265" s="1185">
        <v>2</v>
      </c>
      <c r="G1265" s="1178">
        <v>11.39</v>
      </c>
      <c r="H1265" s="1178">
        <v>2.67</v>
      </c>
      <c r="I1265" s="1178">
        <v>13.89</v>
      </c>
      <c r="J1265" s="1178">
        <v>3.11</v>
      </c>
      <c r="K1265" s="1178">
        <v>15.86</v>
      </c>
      <c r="L1265" s="1178">
        <v>3.7</v>
      </c>
      <c r="M1265" s="1178">
        <v>11.67</v>
      </c>
      <c r="N1265" s="1178">
        <v>5.04</v>
      </c>
      <c r="O1265" s="1178">
        <v>13.57</v>
      </c>
      <c r="P1265" s="1178">
        <v>5.93</v>
      </c>
      <c r="Q1265" s="1178">
        <v>13.19</v>
      </c>
      <c r="R1265" s="1178">
        <v>2.25</v>
      </c>
      <c r="S1265" s="1178">
        <v>10.79</v>
      </c>
      <c r="T1265" s="1178">
        <v>3.17</v>
      </c>
      <c r="U1265" s="1178">
        <v>12.23</v>
      </c>
      <c r="V1265" s="1178">
        <v>3.63</v>
      </c>
      <c r="W1265" s="1178"/>
      <c r="X1265" s="1178"/>
      <c r="Y1265" s="1178"/>
      <c r="Z1265" s="1178"/>
      <c r="AA1265" s="1178"/>
      <c r="AB1265" s="1178"/>
      <c r="AC1265" s="1178"/>
      <c r="AD1265" s="1179"/>
    </row>
    <row r="1266" spans="1:30" x14ac:dyDescent="0.2">
      <c r="A1266">
        <f t="shared" si="53"/>
        <v>32</v>
      </c>
      <c r="B1266">
        <v>1257</v>
      </c>
      <c r="C1266" s="1078">
        <v>2</v>
      </c>
      <c r="D1266" s="1077" t="s">
        <v>4530</v>
      </c>
      <c r="E1266" s="1077" t="s">
        <v>5308</v>
      </c>
      <c r="F1266" s="1185">
        <v>2</v>
      </c>
      <c r="G1266" s="1178">
        <v>13.74</v>
      </c>
      <c r="H1266" s="1178">
        <v>2.6</v>
      </c>
      <c r="I1266" s="1178">
        <v>18.350000000000001</v>
      </c>
      <c r="J1266" s="1178">
        <v>3.24</v>
      </c>
      <c r="K1266" s="1178">
        <v>18.63</v>
      </c>
      <c r="L1266" s="1178">
        <v>3.65</v>
      </c>
      <c r="M1266" s="1178">
        <v>14.17</v>
      </c>
      <c r="N1266" s="1178">
        <v>4.8099999999999996</v>
      </c>
      <c r="O1266" s="1178">
        <v>17.989999999999998</v>
      </c>
      <c r="P1266" s="1178">
        <v>6.2</v>
      </c>
      <c r="Q1266" s="1178">
        <v>18.190000000000001</v>
      </c>
      <c r="R1266" s="1178">
        <v>2.31</v>
      </c>
      <c r="S1266" s="1178">
        <v>13.05</v>
      </c>
      <c r="T1266" s="1178">
        <v>3.08</v>
      </c>
      <c r="U1266" s="1178">
        <v>16.38</v>
      </c>
      <c r="V1266" s="1178">
        <v>3.86</v>
      </c>
      <c r="W1266" s="1178"/>
      <c r="X1266" s="1178"/>
      <c r="Y1266" s="1178"/>
      <c r="Z1266" s="1178"/>
      <c r="AA1266" s="1178"/>
      <c r="AB1266" s="1178"/>
      <c r="AC1266" s="1178"/>
      <c r="AD1266" s="1179"/>
    </row>
    <row r="1267" spans="1:30" x14ac:dyDescent="0.2">
      <c r="A1267">
        <f t="shared" si="53"/>
        <v>32</v>
      </c>
      <c r="B1267">
        <v>1258</v>
      </c>
      <c r="C1267" s="1078">
        <v>2</v>
      </c>
      <c r="D1267" s="1077" t="s">
        <v>4530</v>
      </c>
      <c r="E1267" s="1077" t="s">
        <v>5309</v>
      </c>
      <c r="F1267" s="1185">
        <v>4</v>
      </c>
      <c r="G1267" s="1178">
        <v>9.4</v>
      </c>
      <c r="H1267" s="1178">
        <v>2.4</v>
      </c>
      <c r="I1267" s="1178">
        <v>11.2</v>
      </c>
      <c r="J1267" s="1178">
        <v>2.9</v>
      </c>
      <c r="K1267" s="1178">
        <v>4.9000000000000004</v>
      </c>
      <c r="L1267" s="1178">
        <v>4.5</v>
      </c>
      <c r="M1267" s="1178">
        <v>4.6500000000000004</v>
      </c>
      <c r="N1267" s="1178">
        <v>5.6</v>
      </c>
      <c r="O1267" s="1178">
        <v>5.96</v>
      </c>
      <c r="P1267" s="1178">
        <v>7.86</v>
      </c>
      <c r="Q1267" s="1178">
        <v>10.14</v>
      </c>
      <c r="R1267" s="1178">
        <v>2.0299999999999998</v>
      </c>
      <c r="S1267" s="1178">
        <v>4</v>
      </c>
      <c r="T1267" s="1178">
        <v>3.2</v>
      </c>
      <c r="U1267" s="1178">
        <v>5.31</v>
      </c>
      <c r="V1267" s="1178">
        <v>4.32</v>
      </c>
      <c r="W1267" s="1178"/>
      <c r="X1267" s="1178"/>
      <c r="Y1267" s="1178"/>
      <c r="Z1267" s="1178"/>
      <c r="AA1267" s="1178"/>
      <c r="AB1267" s="1178"/>
      <c r="AC1267" s="1178"/>
      <c r="AD1267" s="1179"/>
    </row>
    <row r="1268" spans="1:30" x14ac:dyDescent="0.2">
      <c r="A1268">
        <f t="shared" si="53"/>
        <v>32</v>
      </c>
      <c r="B1268">
        <v>1259</v>
      </c>
      <c r="C1268" s="1078">
        <v>2</v>
      </c>
      <c r="D1268" s="1077" t="s">
        <v>4530</v>
      </c>
      <c r="E1268" s="1077" t="s">
        <v>5310</v>
      </c>
      <c r="F1268" s="1185">
        <v>2</v>
      </c>
      <c r="G1268" s="1178">
        <v>11.39</v>
      </c>
      <c r="H1268" s="1178">
        <v>2.67</v>
      </c>
      <c r="I1268" s="1178">
        <v>13.89</v>
      </c>
      <c r="J1268" s="1178">
        <v>3.11</v>
      </c>
      <c r="K1268" s="1178">
        <v>15.86</v>
      </c>
      <c r="L1268" s="1178">
        <v>3.7</v>
      </c>
      <c r="M1268" s="1178">
        <v>11.67</v>
      </c>
      <c r="N1268" s="1178">
        <v>5.04</v>
      </c>
      <c r="O1268" s="1178">
        <v>13.57</v>
      </c>
      <c r="P1268" s="1178">
        <v>5.93</v>
      </c>
      <c r="Q1268" s="1178">
        <v>13.19</v>
      </c>
      <c r="R1268" s="1178">
        <v>2.25</v>
      </c>
      <c r="S1268" s="1178">
        <v>10.79</v>
      </c>
      <c r="T1268" s="1178">
        <v>3.17</v>
      </c>
      <c r="U1268" s="1178">
        <v>12.23</v>
      </c>
      <c r="V1268" s="1178">
        <v>3.63</v>
      </c>
      <c r="W1268" s="1178"/>
      <c r="X1268" s="1178"/>
      <c r="Y1268" s="1178"/>
      <c r="Z1268" s="1178"/>
      <c r="AA1268" s="1178"/>
      <c r="AB1268" s="1178"/>
      <c r="AC1268" s="1178"/>
      <c r="AD1268" s="1179"/>
    </row>
    <row r="1269" spans="1:30" x14ac:dyDescent="0.2">
      <c r="A1269">
        <f t="shared" si="53"/>
        <v>32</v>
      </c>
      <c r="B1269">
        <v>1260</v>
      </c>
      <c r="C1269" s="1078">
        <v>2</v>
      </c>
      <c r="D1269" s="1077" t="s">
        <v>4530</v>
      </c>
      <c r="E1269" s="1077" t="s">
        <v>4694</v>
      </c>
      <c r="F1269" s="1185">
        <v>4</v>
      </c>
      <c r="G1269" s="1178">
        <v>8</v>
      </c>
      <c r="H1269" s="1178">
        <v>2.7</v>
      </c>
      <c r="I1269" s="1178">
        <v>8</v>
      </c>
      <c r="J1269" s="1178">
        <v>3.5</v>
      </c>
      <c r="K1269" s="1178">
        <v>8</v>
      </c>
      <c r="L1269" s="1178">
        <v>3.6</v>
      </c>
      <c r="M1269" s="1178">
        <v>8</v>
      </c>
      <c r="N1269" s="1178">
        <v>4.7</v>
      </c>
      <c r="O1269" s="1178">
        <v>8</v>
      </c>
      <c r="P1269" s="1178">
        <v>6.8</v>
      </c>
      <c r="Q1269" s="1178">
        <v>8</v>
      </c>
      <c r="R1269" s="1178">
        <v>2</v>
      </c>
      <c r="S1269" s="1178">
        <v>8</v>
      </c>
      <c r="T1269" s="1178">
        <v>2.6</v>
      </c>
      <c r="U1269" s="1178">
        <v>8</v>
      </c>
      <c r="V1269" s="1178">
        <v>3.7</v>
      </c>
      <c r="W1269" s="1178"/>
      <c r="X1269" s="1178"/>
      <c r="Y1269" s="1178"/>
      <c r="Z1269" s="1178"/>
      <c r="AA1269" s="1178"/>
      <c r="AB1269" s="1178"/>
      <c r="AC1269" s="1178"/>
      <c r="AD1269" s="1179"/>
    </row>
    <row r="1270" spans="1:30" x14ac:dyDescent="0.2">
      <c r="A1270">
        <f t="shared" si="53"/>
        <v>32</v>
      </c>
      <c r="B1270">
        <v>1261</v>
      </c>
      <c r="C1270" s="1078">
        <v>2</v>
      </c>
      <c r="D1270" s="1077" t="s">
        <v>4530</v>
      </c>
      <c r="E1270" s="1077" t="s">
        <v>4695</v>
      </c>
      <c r="F1270" s="1185">
        <v>4</v>
      </c>
      <c r="G1270" s="1178">
        <v>11.2</v>
      </c>
      <c r="H1270" s="1178">
        <v>2.4</v>
      </c>
      <c r="I1270" s="1178">
        <v>11.2</v>
      </c>
      <c r="J1270" s="1178">
        <v>3.5</v>
      </c>
      <c r="K1270" s="1178">
        <v>11.2</v>
      </c>
      <c r="L1270" s="1178">
        <v>3.2</v>
      </c>
      <c r="M1270" s="1178">
        <v>11.2</v>
      </c>
      <c r="N1270" s="1178">
        <v>4.5</v>
      </c>
      <c r="O1270" s="1178">
        <v>11.2</v>
      </c>
      <c r="P1270" s="1178">
        <v>7.1</v>
      </c>
      <c r="Q1270" s="1178">
        <v>11.2</v>
      </c>
      <c r="R1270" s="1178">
        <v>2</v>
      </c>
      <c r="S1270" s="1178">
        <v>11.2</v>
      </c>
      <c r="T1270" s="1178">
        <v>2.7</v>
      </c>
      <c r="U1270" s="1178">
        <v>11.2</v>
      </c>
      <c r="V1270" s="1178">
        <v>4.3</v>
      </c>
      <c r="W1270" s="1178"/>
      <c r="X1270" s="1178"/>
      <c r="Y1270" s="1178"/>
      <c r="Z1270" s="1178"/>
      <c r="AA1270" s="1178"/>
      <c r="AB1270" s="1178"/>
      <c r="AC1270" s="1178"/>
      <c r="AD1270" s="1179"/>
    </row>
    <row r="1271" spans="1:30" x14ac:dyDescent="0.2">
      <c r="A1271">
        <f t="shared" si="53"/>
        <v>32</v>
      </c>
      <c r="B1271">
        <v>1262</v>
      </c>
      <c r="C1271" s="1078">
        <v>2</v>
      </c>
      <c r="D1271" s="1077" t="s">
        <v>4530</v>
      </c>
      <c r="E1271" s="1077" t="s">
        <v>4696</v>
      </c>
      <c r="F1271" s="1185">
        <v>4</v>
      </c>
      <c r="G1271" s="1178">
        <v>14</v>
      </c>
      <c r="H1271" s="1178">
        <v>2.1</v>
      </c>
      <c r="I1271" s="1178">
        <v>14</v>
      </c>
      <c r="J1271" s="1178">
        <v>2.6</v>
      </c>
      <c r="K1271" s="1178">
        <v>14</v>
      </c>
      <c r="L1271" s="1178">
        <v>3.2</v>
      </c>
      <c r="M1271" s="1178">
        <v>14</v>
      </c>
      <c r="N1271" s="1178">
        <v>4.3</v>
      </c>
      <c r="O1271" s="1178">
        <v>14</v>
      </c>
      <c r="P1271" s="1178">
        <v>5.8</v>
      </c>
      <c r="Q1271" s="1178">
        <v>14</v>
      </c>
      <c r="R1271" s="1178">
        <v>1.7</v>
      </c>
      <c r="S1271" s="1178">
        <v>14</v>
      </c>
      <c r="T1271" s="1178">
        <v>2.6</v>
      </c>
      <c r="U1271" s="1178">
        <v>14</v>
      </c>
      <c r="V1271" s="1178">
        <v>3.1</v>
      </c>
      <c r="W1271" s="1178"/>
      <c r="X1271" s="1178"/>
      <c r="Y1271" s="1178"/>
      <c r="Z1271" s="1178"/>
      <c r="AA1271" s="1178"/>
      <c r="AB1271" s="1178"/>
      <c r="AC1271" s="1178"/>
      <c r="AD1271" s="1179"/>
    </row>
    <row r="1272" spans="1:30" x14ac:dyDescent="0.2">
      <c r="A1272">
        <f t="shared" si="53"/>
        <v>32</v>
      </c>
      <c r="B1272">
        <v>1263</v>
      </c>
      <c r="C1272" s="1078">
        <v>2</v>
      </c>
      <c r="D1272" s="1077" t="s">
        <v>4530</v>
      </c>
      <c r="E1272" s="1077" t="s">
        <v>4697</v>
      </c>
      <c r="F1272" s="1185">
        <v>4</v>
      </c>
      <c r="G1272" s="1178">
        <v>23</v>
      </c>
      <c r="H1272" s="1178">
        <v>2.2000000000000002</v>
      </c>
      <c r="I1272" s="1178">
        <v>23</v>
      </c>
      <c r="J1272" s="1178">
        <v>2.9</v>
      </c>
      <c r="K1272" s="1178">
        <v>23</v>
      </c>
      <c r="L1272" s="1178">
        <v>3.2</v>
      </c>
      <c r="M1272" s="1178">
        <v>23</v>
      </c>
      <c r="N1272" s="1178">
        <v>3.7</v>
      </c>
      <c r="O1272" s="1178">
        <v>23</v>
      </c>
      <c r="P1272" s="1178">
        <v>4.9000000000000004</v>
      </c>
      <c r="Q1272" s="1178">
        <v>23</v>
      </c>
      <c r="R1272" s="1178">
        <v>2</v>
      </c>
      <c r="S1272" s="1178">
        <v>23</v>
      </c>
      <c r="T1272" s="1178">
        <v>2.4</v>
      </c>
      <c r="U1272" s="1178">
        <v>23</v>
      </c>
      <c r="V1272" s="1178">
        <v>3.3</v>
      </c>
      <c r="W1272" s="1178"/>
      <c r="X1272" s="1178"/>
      <c r="Y1272" s="1178"/>
      <c r="Z1272" s="1178"/>
      <c r="AA1272" s="1178"/>
      <c r="AB1272" s="1178"/>
      <c r="AC1272" s="1178"/>
      <c r="AD1272" s="1179"/>
    </row>
    <row r="1273" spans="1:30" x14ac:dyDescent="0.2">
      <c r="A1273">
        <f t="shared" si="53"/>
        <v>32</v>
      </c>
      <c r="B1273">
        <v>1264</v>
      </c>
      <c r="C1273" s="1078">
        <v>3</v>
      </c>
      <c r="D1273" s="1077" t="s">
        <v>4530</v>
      </c>
      <c r="E1273" s="1077" t="s">
        <v>4390</v>
      </c>
      <c r="F1273" s="1185">
        <v>1</v>
      </c>
      <c r="G1273" s="1178"/>
      <c r="H1273" s="1178"/>
      <c r="I1273" s="1178"/>
      <c r="J1273" s="1178"/>
      <c r="K1273" s="1178"/>
      <c r="L1273" s="1178"/>
      <c r="M1273" s="1178"/>
      <c r="N1273" s="1178"/>
      <c r="O1273" s="1178"/>
      <c r="P1273" s="1178"/>
      <c r="Q1273" s="1178"/>
      <c r="R1273" s="1178"/>
      <c r="S1273" s="1178"/>
      <c r="T1273" s="1178"/>
      <c r="U1273" s="1178"/>
      <c r="V1273" s="1178"/>
      <c r="W1273" s="1178">
        <v>10.9</v>
      </c>
      <c r="X1273" s="1178">
        <v>4.8600000000000003</v>
      </c>
      <c r="Y1273" s="1178">
        <v>10</v>
      </c>
      <c r="Z1273" s="1178">
        <v>2.87</v>
      </c>
      <c r="AA1273" s="1178">
        <v>14.2</v>
      </c>
      <c r="AB1273" s="1178">
        <v>6.3</v>
      </c>
      <c r="AC1273" s="1178">
        <v>12.8</v>
      </c>
      <c r="AD1273" s="1179">
        <v>3.6</v>
      </c>
    </row>
    <row r="1274" spans="1:30" x14ac:dyDescent="0.2">
      <c r="A1274">
        <f t="shared" si="53"/>
        <v>32</v>
      </c>
      <c r="B1274">
        <v>1265</v>
      </c>
      <c r="C1274" s="1078">
        <v>3</v>
      </c>
      <c r="D1274" s="1077" t="s">
        <v>4530</v>
      </c>
      <c r="E1274" s="1077" t="s">
        <v>4700</v>
      </c>
      <c r="F1274" s="1185">
        <v>2</v>
      </c>
      <c r="G1274" s="1186"/>
      <c r="H1274" s="1186"/>
      <c r="I1274" s="1186"/>
      <c r="J1274" s="1186"/>
      <c r="K1274" s="1186"/>
      <c r="L1274" s="1186"/>
      <c r="M1274" s="1186"/>
      <c r="N1274" s="1186"/>
      <c r="O1274" s="1186"/>
      <c r="P1274" s="1186"/>
      <c r="Q1274" s="1186"/>
      <c r="R1274" s="1186"/>
      <c r="S1274" s="1186"/>
      <c r="T1274" s="1186"/>
      <c r="U1274" s="1186"/>
      <c r="V1274" s="1186"/>
      <c r="W1274" s="1186">
        <v>138.1</v>
      </c>
      <c r="X1274" s="1186">
        <v>4.5999999999999996</v>
      </c>
      <c r="Y1274" s="1186">
        <v>129.19999999999999</v>
      </c>
      <c r="Z1274" s="1186">
        <v>3.1</v>
      </c>
      <c r="AA1274" s="1186">
        <v>173.4</v>
      </c>
      <c r="AB1274" s="1186">
        <v>5.7</v>
      </c>
      <c r="AC1274" s="1186">
        <v>158.6</v>
      </c>
      <c r="AD1274" s="1187">
        <v>3.9</v>
      </c>
    </row>
    <row r="1275" spans="1:30" x14ac:dyDescent="0.2">
      <c r="A1275">
        <f t="shared" si="53"/>
        <v>32</v>
      </c>
      <c r="B1275">
        <v>1266</v>
      </c>
      <c r="C1275" s="1078">
        <v>3</v>
      </c>
      <c r="D1275" s="1077" t="s">
        <v>4530</v>
      </c>
      <c r="E1275" s="1077" t="s">
        <v>4392</v>
      </c>
      <c r="F1275" s="1185">
        <v>1</v>
      </c>
      <c r="G1275" s="1186"/>
      <c r="H1275" s="1186"/>
      <c r="I1275" s="1186"/>
      <c r="J1275" s="1186"/>
      <c r="K1275" s="1186"/>
      <c r="L1275" s="1186"/>
      <c r="M1275" s="1186"/>
      <c r="N1275" s="1186"/>
      <c r="O1275" s="1186"/>
      <c r="P1275" s="1186"/>
      <c r="Q1275" s="1186"/>
      <c r="R1275" s="1186"/>
      <c r="S1275" s="1186"/>
      <c r="T1275" s="1186"/>
      <c r="U1275" s="1186"/>
      <c r="V1275" s="1186"/>
      <c r="W1275" s="1186">
        <v>13.98</v>
      </c>
      <c r="X1275" s="1186">
        <v>4.9820000000000002</v>
      </c>
      <c r="Y1275" s="1186">
        <v>12.762</v>
      </c>
      <c r="Z1275" s="1186">
        <v>3.0259999999999998</v>
      </c>
      <c r="AA1275" s="1186">
        <v>18.2</v>
      </c>
      <c r="AB1275" s="1186">
        <v>6.5</v>
      </c>
      <c r="AC1275" s="1186">
        <v>16.5</v>
      </c>
      <c r="AD1275" s="1187">
        <v>3.7</v>
      </c>
    </row>
    <row r="1276" spans="1:30" x14ac:dyDescent="0.2">
      <c r="A1276">
        <f t="shared" si="53"/>
        <v>32</v>
      </c>
      <c r="B1276">
        <v>1267</v>
      </c>
      <c r="C1276" s="1078">
        <v>3</v>
      </c>
      <c r="D1276" s="1077" t="s">
        <v>4530</v>
      </c>
      <c r="E1276" s="1077" t="s">
        <v>4393</v>
      </c>
      <c r="F1276" s="1185">
        <v>1</v>
      </c>
      <c r="G1276" s="1186"/>
      <c r="H1276" s="1186"/>
      <c r="I1276" s="1186"/>
      <c r="J1276" s="1186"/>
      <c r="K1276" s="1186"/>
      <c r="L1276" s="1186"/>
      <c r="M1276" s="1186"/>
      <c r="N1276" s="1186"/>
      <c r="O1276" s="1186"/>
      <c r="P1276" s="1186"/>
      <c r="Q1276" s="1186"/>
      <c r="R1276" s="1186"/>
      <c r="S1276" s="1186"/>
      <c r="T1276" s="1186"/>
      <c r="U1276" s="1186"/>
      <c r="V1276" s="1186"/>
      <c r="W1276" s="1186">
        <v>17.5</v>
      </c>
      <c r="X1276" s="1186">
        <v>4.67</v>
      </c>
      <c r="Y1276" s="1186">
        <v>16.5</v>
      </c>
      <c r="Z1276" s="1186">
        <v>2.9</v>
      </c>
      <c r="AA1276" s="1186">
        <v>22.3</v>
      </c>
      <c r="AB1276" s="1186">
        <v>5.7</v>
      </c>
      <c r="AC1276" s="1186">
        <v>20.8</v>
      </c>
      <c r="AD1276" s="1187">
        <v>3.5</v>
      </c>
    </row>
    <row r="1277" spans="1:30" x14ac:dyDescent="0.2">
      <c r="A1277">
        <f t="shared" si="53"/>
        <v>32</v>
      </c>
      <c r="B1277">
        <v>1268</v>
      </c>
      <c r="C1277" s="1078">
        <v>3</v>
      </c>
      <c r="D1277" s="1077" t="s">
        <v>4530</v>
      </c>
      <c r="E1277" s="1077" t="s">
        <v>4395</v>
      </c>
      <c r="F1277" s="1185">
        <v>1</v>
      </c>
      <c r="G1277" s="1186"/>
      <c r="H1277" s="1186"/>
      <c r="I1277" s="1186"/>
      <c r="J1277" s="1186"/>
      <c r="K1277" s="1186"/>
      <c r="L1277" s="1186"/>
      <c r="M1277" s="1186"/>
      <c r="N1277" s="1186"/>
      <c r="O1277" s="1186"/>
      <c r="P1277" s="1186"/>
      <c r="Q1277" s="1186"/>
      <c r="R1277" s="1186"/>
      <c r="S1277" s="1186"/>
      <c r="T1277" s="1186"/>
      <c r="U1277" s="1186"/>
      <c r="V1277" s="1186"/>
      <c r="W1277" s="1186">
        <v>22.946000000000002</v>
      </c>
      <c r="X1277" s="1186">
        <v>4.3099999999999996</v>
      </c>
      <c r="Y1277" s="1186">
        <v>21.5</v>
      </c>
      <c r="Z1277" s="1186">
        <v>2.9</v>
      </c>
      <c r="AA1277" s="1186">
        <v>28.5</v>
      </c>
      <c r="AB1277" s="1186">
        <v>5.4</v>
      </c>
      <c r="AC1277" s="1186">
        <v>26.5</v>
      </c>
      <c r="AD1277" s="1187">
        <v>3.5</v>
      </c>
    </row>
    <row r="1278" spans="1:30" x14ac:dyDescent="0.2">
      <c r="A1278">
        <f t="shared" si="53"/>
        <v>32</v>
      </c>
      <c r="B1278">
        <v>1269</v>
      </c>
      <c r="C1278" s="1078">
        <v>3</v>
      </c>
      <c r="D1278" s="1077" t="s">
        <v>4530</v>
      </c>
      <c r="E1278" s="1077" t="s">
        <v>4396</v>
      </c>
      <c r="F1278" s="1185">
        <v>2</v>
      </c>
      <c r="G1278" s="1186"/>
      <c r="H1278" s="1186"/>
      <c r="I1278" s="1186"/>
      <c r="J1278" s="1186"/>
      <c r="K1278" s="1186"/>
      <c r="L1278" s="1186"/>
      <c r="M1278" s="1186"/>
      <c r="N1278" s="1186"/>
      <c r="O1278" s="1186"/>
      <c r="P1278" s="1186"/>
      <c r="Q1278" s="1186"/>
      <c r="R1278" s="1186"/>
      <c r="S1278" s="1186"/>
      <c r="T1278" s="1186"/>
      <c r="U1278" s="1186"/>
      <c r="V1278" s="1186"/>
      <c r="W1278" s="1186">
        <v>26.2</v>
      </c>
      <c r="X1278" s="1186">
        <v>4.7</v>
      </c>
      <c r="Y1278" s="1186">
        <v>24.8</v>
      </c>
      <c r="Z1278" s="1186">
        <v>3.07</v>
      </c>
      <c r="AA1278" s="1186">
        <v>34.799999999999997</v>
      </c>
      <c r="AB1278" s="1186">
        <v>6.2</v>
      </c>
      <c r="AC1278" s="1186">
        <v>31.8</v>
      </c>
      <c r="AD1278" s="1187">
        <v>3.7</v>
      </c>
    </row>
    <row r="1279" spans="1:30" x14ac:dyDescent="0.2">
      <c r="A1279">
        <f t="shared" si="53"/>
        <v>32</v>
      </c>
      <c r="B1279">
        <v>1270</v>
      </c>
      <c r="C1279" s="1078">
        <v>3</v>
      </c>
      <c r="D1279" s="1077" t="s">
        <v>4530</v>
      </c>
      <c r="E1279" s="1077" t="s">
        <v>4397</v>
      </c>
      <c r="F1279" s="1185">
        <v>2</v>
      </c>
      <c r="G1279" s="1186"/>
      <c r="H1279" s="1186"/>
      <c r="I1279" s="1186"/>
      <c r="J1279" s="1186"/>
      <c r="K1279" s="1186"/>
      <c r="L1279" s="1186"/>
      <c r="M1279" s="1186"/>
      <c r="N1279" s="1186"/>
      <c r="O1279" s="1186"/>
      <c r="P1279" s="1186"/>
      <c r="Q1279" s="1186"/>
      <c r="R1279" s="1186"/>
      <c r="S1279" s="1186"/>
      <c r="T1279" s="1186"/>
      <c r="U1279" s="1186"/>
      <c r="V1279" s="1186"/>
      <c r="W1279" s="1186">
        <v>34.799999999999997</v>
      </c>
      <c r="X1279" s="1186">
        <v>4.9000000000000004</v>
      </c>
      <c r="Y1279" s="1186">
        <v>32.1</v>
      </c>
      <c r="Z1279" s="1186">
        <v>3.01</v>
      </c>
      <c r="AA1279" s="1186">
        <v>46</v>
      </c>
      <c r="AB1279" s="1186">
        <v>6.2</v>
      </c>
      <c r="AC1279" s="1186">
        <v>41.8</v>
      </c>
      <c r="AD1279" s="1187">
        <v>3.7</v>
      </c>
    </row>
    <row r="1280" spans="1:30" x14ac:dyDescent="0.2">
      <c r="A1280">
        <f t="shared" si="53"/>
        <v>32</v>
      </c>
      <c r="B1280">
        <v>1271</v>
      </c>
      <c r="C1280" s="1078">
        <v>3</v>
      </c>
      <c r="D1280" s="1077" t="s">
        <v>4530</v>
      </c>
      <c r="E1280" s="1077" t="s">
        <v>4398</v>
      </c>
      <c r="F1280" s="1185">
        <v>2</v>
      </c>
      <c r="G1280" s="1186"/>
      <c r="H1280" s="1186"/>
      <c r="I1280" s="1186"/>
      <c r="J1280" s="1186"/>
      <c r="K1280" s="1186"/>
      <c r="L1280" s="1186"/>
      <c r="M1280" s="1186"/>
      <c r="N1280" s="1186"/>
      <c r="O1280" s="1186"/>
      <c r="P1280" s="1186"/>
      <c r="Q1280" s="1186"/>
      <c r="R1280" s="1186"/>
      <c r="S1280" s="1186"/>
      <c r="T1280" s="1186"/>
      <c r="U1280" s="1186"/>
      <c r="V1280" s="1186"/>
      <c r="W1280" s="1186">
        <v>52</v>
      </c>
      <c r="X1280" s="1186">
        <v>5</v>
      </c>
      <c r="Y1280" s="1186">
        <v>44.1</v>
      </c>
      <c r="Z1280" s="1186">
        <v>2.78</v>
      </c>
      <c r="AA1280" s="1186">
        <v>68.099999999999994</v>
      </c>
      <c r="AB1280" s="1186">
        <v>6.6</v>
      </c>
      <c r="AC1280" s="1186">
        <v>59.2</v>
      </c>
      <c r="AD1280" s="1187">
        <v>4.03</v>
      </c>
    </row>
    <row r="1281" spans="1:30" x14ac:dyDescent="0.2">
      <c r="A1281">
        <f t="shared" si="53"/>
        <v>32</v>
      </c>
      <c r="B1281">
        <v>1272</v>
      </c>
      <c r="C1281" s="1078">
        <v>3</v>
      </c>
      <c r="D1281" s="1077" t="s">
        <v>4530</v>
      </c>
      <c r="E1281" s="1077" t="s">
        <v>4386</v>
      </c>
      <c r="F1281" s="1185">
        <v>1</v>
      </c>
      <c r="G1281" s="1186"/>
      <c r="H1281" s="1186"/>
      <c r="I1281" s="1186"/>
      <c r="J1281" s="1186"/>
      <c r="K1281" s="1186"/>
      <c r="L1281" s="1186"/>
      <c r="M1281" s="1186"/>
      <c r="N1281" s="1186"/>
      <c r="O1281" s="1186"/>
      <c r="P1281" s="1186"/>
      <c r="Q1281" s="1186"/>
      <c r="R1281" s="1186"/>
      <c r="S1281" s="1186"/>
      <c r="T1281" s="1186"/>
      <c r="U1281" s="1186"/>
      <c r="V1281" s="1186"/>
      <c r="W1281" s="1186">
        <v>6.06</v>
      </c>
      <c r="X1281" s="1186">
        <v>4.66</v>
      </c>
      <c r="Y1281" s="1186">
        <v>5.53</v>
      </c>
      <c r="Z1281" s="1186">
        <v>2.81</v>
      </c>
      <c r="AA1281" s="1186">
        <v>7.9</v>
      </c>
      <c r="AB1281" s="1186">
        <v>5.9</v>
      </c>
      <c r="AC1281" s="1186">
        <v>7.2</v>
      </c>
      <c r="AD1281" s="1187">
        <v>3.5</v>
      </c>
    </row>
    <row r="1282" spans="1:30" x14ac:dyDescent="0.2">
      <c r="A1282">
        <f t="shared" si="53"/>
        <v>32</v>
      </c>
      <c r="B1282">
        <v>1273</v>
      </c>
      <c r="C1282" s="1078">
        <v>3</v>
      </c>
      <c r="D1282" s="1077" t="s">
        <v>4530</v>
      </c>
      <c r="E1282" s="1077" t="s">
        <v>4399</v>
      </c>
      <c r="F1282" s="1185">
        <v>2</v>
      </c>
      <c r="G1282" s="1186"/>
      <c r="H1282" s="1186"/>
      <c r="I1282" s="1186"/>
      <c r="J1282" s="1186"/>
      <c r="K1282" s="1186"/>
      <c r="L1282" s="1186"/>
      <c r="M1282" s="1186"/>
      <c r="N1282" s="1186"/>
      <c r="O1282" s="1186"/>
      <c r="P1282" s="1186"/>
      <c r="Q1282" s="1186"/>
      <c r="R1282" s="1186"/>
      <c r="S1282" s="1186"/>
      <c r="T1282" s="1186"/>
      <c r="U1282" s="1186"/>
      <c r="V1282" s="1186"/>
      <c r="W1282" s="1186">
        <v>73.55</v>
      </c>
      <c r="X1282" s="1186">
        <v>4.8</v>
      </c>
      <c r="Y1282" s="1186">
        <v>67.290000000000006</v>
      </c>
      <c r="Z1282" s="1186">
        <v>3</v>
      </c>
      <c r="AA1282" s="1186">
        <v>96.3</v>
      </c>
      <c r="AB1282" s="1186">
        <v>5.9</v>
      </c>
      <c r="AC1282" s="1186">
        <v>86.8</v>
      </c>
      <c r="AD1282" s="1187">
        <v>3.7</v>
      </c>
    </row>
    <row r="1283" spans="1:30" x14ac:dyDescent="0.2">
      <c r="A1283">
        <f t="shared" si="53"/>
        <v>32</v>
      </c>
      <c r="B1283">
        <v>1274</v>
      </c>
      <c r="C1283" s="1078">
        <v>3</v>
      </c>
      <c r="D1283" s="1077" t="s">
        <v>4530</v>
      </c>
      <c r="E1283" s="1077" t="s">
        <v>4388</v>
      </c>
      <c r="F1283" s="1185">
        <v>1</v>
      </c>
      <c r="G1283" s="1186"/>
      <c r="H1283" s="1186"/>
      <c r="I1283" s="1186"/>
      <c r="J1283" s="1186"/>
      <c r="K1283" s="1186"/>
      <c r="L1283" s="1186"/>
      <c r="M1283" s="1186"/>
      <c r="N1283" s="1186"/>
      <c r="O1283" s="1186"/>
      <c r="P1283" s="1186"/>
      <c r="Q1283" s="1186"/>
      <c r="R1283" s="1186"/>
      <c r="S1283" s="1186"/>
      <c r="T1283" s="1186"/>
      <c r="U1283" s="1186"/>
      <c r="V1283" s="1186"/>
      <c r="W1283" s="1186">
        <v>8.1189999999999998</v>
      </c>
      <c r="X1283" s="1186">
        <v>4.843</v>
      </c>
      <c r="Y1283" s="1186">
        <v>7.2030000000000003</v>
      </c>
      <c r="Z1283" s="1186">
        <v>2.8359999999999999</v>
      </c>
      <c r="AA1283" s="1186">
        <v>10.4</v>
      </c>
      <c r="AB1283" s="1186">
        <v>6.3</v>
      </c>
      <c r="AC1283" s="1186">
        <v>9.3000000000000007</v>
      </c>
      <c r="AD1283" s="1187">
        <v>3.5</v>
      </c>
    </row>
    <row r="1284" spans="1:30" x14ac:dyDescent="0.2">
      <c r="A1284">
        <f t="shared" si="53"/>
        <v>32</v>
      </c>
      <c r="B1284">
        <v>1275</v>
      </c>
      <c r="C1284" s="1078">
        <v>3</v>
      </c>
      <c r="D1284" s="1077" t="s">
        <v>4530</v>
      </c>
      <c r="E1284" s="1077" t="s">
        <v>4699</v>
      </c>
      <c r="F1284" s="1185">
        <v>2</v>
      </c>
      <c r="G1284" s="1186"/>
      <c r="H1284" s="1186"/>
      <c r="I1284" s="1186"/>
      <c r="J1284" s="1186"/>
      <c r="K1284" s="1186"/>
      <c r="L1284" s="1186"/>
      <c r="M1284" s="1186"/>
      <c r="N1284" s="1186"/>
      <c r="O1284" s="1186"/>
      <c r="P1284" s="1186"/>
      <c r="Q1284" s="1186"/>
      <c r="R1284" s="1186"/>
      <c r="S1284" s="1186"/>
      <c r="T1284" s="1186"/>
      <c r="U1284" s="1186"/>
      <c r="V1284" s="1186"/>
      <c r="W1284" s="1186">
        <v>86.2</v>
      </c>
      <c r="X1284" s="1186">
        <v>4.5999999999999996</v>
      </c>
      <c r="Y1284" s="1186">
        <v>78.8</v>
      </c>
      <c r="Z1284" s="1186">
        <v>3.01</v>
      </c>
      <c r="AA1284" s="1186">
        <v>114.1</v>
      </c>
      <c r="AB1284" s="1186">
        <v>5.8</v>
      </c>
      <c r="AC1284" s="1186">
        <v>103.8</v>
      </c>
      <c r="AD1284" s="1187">
        <v>3.9</v>
      </c>
    </row>
    <row r="1285" spans="1:30" x14ac:dyDescent="0.2">
      <c r="A1285">
        <f t="shared" si="53"/>
        <v>32</v>
      </c>
      <c r="B1285">
        <v>1276</v>
      </c>
      <c r="C1285" s="1078">
        <v>3</v>
      </c>
      <c r="D1285" s="1077" t="s">
        <v>4530</v>
      </c>
      <c r="E1285" s="1077" t="s">
        <v>4394</v>
      </c>
      <c r="F1285" s="1185">
        <v>2</v>
      </c>
      <c r="G1285" s="1186"/>
      <c r="H1285" s="1186"/>
      <c r="I1285" s="1186"/>
      <c r="J1285" s="1186"/>
      <c r="K1285" s="1186"/>
      <c r="L1285" s="1186"/>
      <c r="M1285" s="1186"/>
      <c r="N1285" s="1186"/>
      <c r="O1285" s="1186"/>
      <c r="P1285" s="1186"/>
      <c r="Q1285" s="1186"/>
      <c r="R1285" s="1186"/>
      <c r="S1285" s="1186"/>
      <c r="T1285" s="1186"/>
      <c r="U1285" s="1186"/>
      <c r="V1285" s="1186"/>
      <c r="W1285" s="1186">
        <v>21.332000000000001</v>
      </c>
      <c r="X1285" s="1186">
        <v>4.3499999999999996</v>
      </c>
      <c r="Y1285" s="1186">
        <v>20.434999999999999</v>
      </c>
      <c r="Z1285" s="1186">
        <v>2.75</v>
      </c>
      <c r="AA1285" s="1186">
        <v>28.3</v>
      </c>
      <c r="AB1285" s="1186">
        <v>6</v>
      </c>
      <c r="AC1285" s="1186">
        <v>27.7</v>
      </c>
      <c r="AD1285" s="1187">
        <v>3.1</v>
      </c>
    </row>
    <row r="1286" spans="1:30" x14ac:dyDescent="0.2">
      <c r="A1286">
        <f t="shared" si="53"/>
        <v>32</v>
      </c>
      <c r="B1286">
        <v>1277</v>
      </c>
      <c r="C1286" s="1078">
        <v>3</v>
      </c>
      <c r="D1286" s="1077" t="s">
        <v>4530</v>
      </c>
      <c r="E1286" s="1077" t="s">
        <v>4701</v>
      </c>
      <c r="F1286" s="1185">
        <v>2</v>
      </c>
      <c r="G1286" s="1186"/>
      <c r="H1286" s="1186"/>
      <c r="I1286" s="1186"/>
      <c r="J1286" s="1186"/>
      <c r="K1286" s="1186"/>
      <c r="L1286" s="1186"/>
      <c r="M1286" s="1186"/>
      <c r="N1286" s="1186"/>
      <c r="O1286" s="1186"/>
      <c r="P1286" s="1186"/>
      <c r="Q1286" s="1186"/>
      <c r="R1286" s="1186"/>
      <c r="S1286" s="1186"/>
      <c r="T1286" s="1186"/>
      <c r="U1286" s="1186"/>
      <c r="V1286" s="1186"/>
      <c r="W1286" s="1186">
        <v>88.6</v>
      </c>
      <c r="X1286" s="1186">
        <v>4.3</v>
      </c>
      <c r="Y1286" s="1186">
        <v>84.1</v>
      </c>
      <c r="Z1286" s="1186">
        <v>2.4</v>
      </c>
      <c r="AA1286" s="1186">
        <v>118.2</v>
      </c>
      <c r="AB1286" s="1186">
        <v>5.4</v>
      </c>
      <c r="AC1286" s="1186">
        <v>114.5</v>
      </c>
      <c r="AD1286" s="1187">
        <v>3.2</v>
      </c>
    </row>
    <row r="1287" spans="1:30" x14ac:dyDescent="0.2">
      <c r="A1287">
        <f t="shared" si="53"/>
        <v>32</v>
      </c>
      <c r="B1287">
        <v>1278</v>
      </c>
      <c r="C1287" s="1078">
        <v>3</v>
      </c>
      <c r="D1287" s="1077" t="s">
        <v>4530</v>
      </c>
      <c r="E1287" s="1077" t="s">
        <v>4389</v>
      </c>
      <c r="F1287" s="1185">
        <v>1</v>
      </c>
      <c r="G1287" s="1186"/>
      <c r="H1287" s="1186"/>
      <c r="I1287" s="1186"/>
      <c r="J1287" s="1186"/>
      <c r="K1287" s="1186"/>
      <c r="L1287" s="1186"/>
      <c r="M1287" s="1186"/>
      <c r="N1287" s="1186"/>
      <c r="O1287" s="1186"/>
      <c r="P1287" s="1186"/>
      <c r="Q1287" s="1186"/>
      <c r="R1287" s="1186"/>
      <c r="S1287" s="1186"/>
      <c r="T1287" s="1186"/>
      <c r="U1287" s="1186"/>
      <c r="V1287" s="1186"/>
      <c r="W1287" s="1186">
        <v>10.62</v>
      </c>
      <c r="X1287" s="1186">
        <v>4.99</v>
      </c>
      <c r="Y1287" s="1186">
        <v>9.82</v>
      </c>
      <c r="Z1287" s="1186">
        <v>3.06</v>
      </c>
      <c r="AA1287" s="1186">
        <v>13.8</v>
      </c>
      <c r="AB1287" s="1186">
        <v>6.6</v>
      </c>
      <c r="AC1287" s="1186">
        <v>12.6</v>
      </c>
      <c r="AD1287" s="1187">
        <v>3.8</v>
      </c>
    </row>
    <row r="1288" spans="1:30" x14ac:dyDescent="0.2">
      <c r="A1288">
        <f t="shared" si="53"/>
        <v>32</v>
      </c>
      <c r="B1288">
        <v>1279</v>
      </c>
      <c r="C1288" s="1078">
        <v>3</v>
      </c>
      <c r="D1288" s="1077" t="s">
        <v>4530</v>
      </c>
      <c r="E1288" s="1077" t="s">
        <v>4391</v>
      </c>
      <c r="F1288" s="1185">
        <v>1</v>
      </c>
      <c r="G1288" s="1186"/>
      <c r="H1288" s="1186"/>
      <c r="I1288" s="1186"/>
      <c r="J1288" s="1186"/>
      <c r="K1288" s="1186"/>
      <c r="L1288" s="1186"/>
      <c r="M1288" s="1186"/>
      <c r="N1288" s="1186"/>
      <c r="O1288" s="1186"/>
      <c r="P1288" s="1186"/>
      <c r="Q1288" s="1186"/>
      <c r="R1288" s="1186"/>
      <c r="S1288" s="1186"/>
      <c r="T1288" s="1186"/>
      <c r="U1288" s="1186"/>
      <c r="V1288" s="1186"/>
      <c r="W1288" s="1186">
        <v>13.07</v>
      </c>
      <c r="X1288" s="1186">
        <v>4.7</v>
      </c>
      <c r="Y1288" s="1186">
        <v>12.18</v>
      </c>
      <c r="Z1288" s="1186">
        <v>2.99</v>
      </c>
      <c r="AA1288" s="1186">
        <v>17.100000000000001</v>
      </c>
      <c r="AB1288" s="1186">
        <v>6.1</v>
      </c>
      <c r="AC1288" s="1186">
        <v>15.9</v>
      </c>
      <c r="AD1288" s="1187">
        <v>3.8</v>
      </c>
    </row>
    <row r="1289" spans="1:30" x14ac:dyDescent="0.2">
      <c r="A1289">
        <f t="shared" si="53"/>
        <v>32</v>
      </c>
      <c r="B1289">
        <v>1280</v>
      </c>
      <c r="C1289" s="1078">
        <v>3</v>
      </c>
      <c r="D1289" s="1077" t="s">
        <v>4530</v>
      </c>
      <c r="E1289" s="1077" t="s">
        <v>4385</v>
      </c>
      <c r="F1289" s="1185">
        <v>1</v>
      </c>
      <c r="G1289" s="1186"/>
      <c r="H1289" s="1186"/>
      <c r="I1289" s="1186"/>
      <c r="J1289" s="1186"/>
      <c r="K1289" s="1186"/>
      <c r="L1289" s="1186"/>
      <c r="M1289" s="1186"/>
      <c r="N1289" s="1186"/>
      <c r="O1289" s="1186"/>
      <c r="P1289" s="1186"/>
      <c r="Q1289" s="1186"/>
      <c r="R1289" s="1186"/>
      <c r="S1289" s="1186"/>
      <c r="T1289" s="1186"/>
      <c r="U1289" s="1186"/>
      <c r="V1289" s="1186"/>
      <c r="W1289" s="1186">
        <v>5.84</v>
      </c>
      <c r="X1289" s="1186">
        <v>4.6900000000000004</v>
      </c>
      <c r="Y1289" s="1186">
        <v>5.39</v>
      </c>
      <c r="Z1289" s="1186">
        <v>2.86</v>
      </c>
      <c r="AA1289" s="1186">
        <v>7.6</v>
      </c>
      <c r="AB1289" s="1186">
        <v>6.1</v>
      </c>
      <c r="AC1289" s="1186">
        <v>7.02</v>
      </c>
      <c r="AD1289" s="1187">
        <v>3.6</v>
      </c>
    </row>
    <row r="1290" spans="1:30" x14ac:dyDescent="0.2">
      <c r="A1290">
        <f t="shared" si="53"/>
        <v>32</v>
      </c>
      <c r="B1290">
        <v>1281</v>
      </c>
      <c r="C1290" s="1078">
        <v>3</v>
      </c>
      <c r="D1290" s="1077" t="s">
        <v>4530</v>
      </c>
      <c r="E1290" s="1077" t="s">
        <v>4387</v>
      </c>
      <c r="F1290" s="1185">
        <v>1</v>
      </c>
      <c r="G1290" s="1186"/>
      <c r="H1290" s="1186"/>
      <c r="I1290" s="1186"/>
      <c r="J1290" s="1186"/>
      <c r="K1290" s="1186"/>
      <c r="L1290" s="1186"/>
      <c r="M1290" s="1186"/>
      <c r="N1290" s="1186"/>
      <c r="O1290" s="1186"/>
      <c r="P1290" s="1186"/>
      <c r="Q1290" s="1186"/>
      <c r="R1290" s="1186"/>
      <c r="S1290" s="1186"/>
      <c r="T1290" s="1186"/>
      <c r="U1290" s="1186"/>
      <c r="V1290" s="1186"/>
      <c r="W1290" s="1186">
        <v>7.79</v>
      </c>
      <c r="X1290" s="1186">
        <v>4.84</v>
      </c>
      <c r="Y1290" s="1186">
        <v>7.07</v>
      </c>
      <c r="Z1290" s="1186">
        <v>2.89</v>
      </c>
      <c r="AA1290" s="1186">
        <v>10.039999999999999</v>
      </c>
      <c r="AB1290" s="1186">
        <v>6.3</v>
      </c>
      <c r="AC1290" s="1186">
        <v>9.1</v>
      </c>
      <c r="AD1290" s="1187">
        <v>3.7</v>
      </c>
    </row>
    <row r="1291" spans="1:30" x14ac:dyDescent="0.2">
      <c r="A1291">
        <f t="shared" si="53"/>
        <v>32</v>
      </c>
      <c r="B1291">
        <v>1282</v>
      </c>
      <c r="C1291" s="1078">
        <v>2</v>
      </c>
      <c r="D1291" s="1077" t="s">
        <v>4530</v>
      </c>
      <c r="E1291" s="1077" t="s">
        <v>5558</v>
      </c>
      <c r="F1291" s="1185">
        <v>4</v>
      </c>
      <c r="G1291" s="1186">
        <v>3.2</v>
      </c>
      <c r="H1291" s="1186">
        <v>2.5</v>
      </c>
      <c r="I1291" s="1186">
        <v>6</v>
      </c>
      <c r="J1291" s="1186">
        <v>3.03</v>
      </c>
      <c r="K1291" s="1186">
        <v>4.2</v>
      </c>
      <c r="L1291" s="1186">
        <v>4.16</v>
      </c>
      <c r="M1291" s="1186">
        <v>4.7</v>
      </c>
      <c r="N1291" s="1186">
        <v>4.76</v>
      </c>
      <c r="O1291" s="1186">
        <v>6.5</v>
      </c>
      <c r="P1291" s="1186">
        <v>6.4</v>
      </c>
      <c r="Q1291" s="1186">
        <v>5.66</v>
      </c>
      <c r="R1291" s="1186">
        <v>2</v>
      </c>
      <c r="S1291" s="1186">
        <v>5.4</v>
      </c>
      <c r="T1291" s="1186">
        <v>2.92</v>
      </c>
      <c r="U1291" s="1186">
        <v>6.88</v>
      </c>
      <c r="V1291" s="1186">
        <v>3.25</v>
      </c>
      <c r="W1291" s="1186"/>
      <c r="X1291" s="1186"/>
      <c r="Y1291" s="1186"/>
      <c r="Z1291" s="1186"/>
      <c r="AA1291" s="1186"/>
      <c r="AB1291" s="1186"/>
      <c r="AC1291" s="1186"/>
      <c r="AD1291" s="1187"/>
    </row>
    <row r="1292" spans="1:30" x14ac:dyDescent="0.2">
      <c r="A1292">
        <f t="shared" ref="A1292:A1355" si="54">A1291+(D1292&lt;&gt;D1291)*1</f>
        <v>32</v>
      </c>
      <c r="B1292">
        <v>1283</v>
      </c>
      <c r="C1292" s="1078">
        <v>2</v>
      </c>
      <c r="D1292" s="1077" t="s">
        <v>4530</v>
      </c>
      <c r="E1292" s="1077" t="s">
        <v>5559</v>
      </c>
      <c r="F1292" s="1185">
        <v>4</v>
      </c>
      <c r="G1292" s="1186">
        <v>7.6</v>
      </c>
      <c r="H1292" s="1186">
        <v>2.4</v>
      </c>
      <c r="I1292" s="1186">
        <v>9.4</v>
      </c>
      <c r="J1292" s="1186">
        <v>3.03</v>
      </c>
      <c r="K1292" s="1186">
        <v>6.5</v>
      </c>
      <c r="L1292" s="1186">
        <v>4.33</v>
      </c>
      <c r="M1292" s="1186">
        <v>6.9</v>
      </c>
      <c r="N1292" s="1186">
        <v>4.96</v>
      </c>
      <c r="O1292" s="1186">
        <v>8.3000000000000007</v>
      </c>
      <c r="P1292" s="1186">
        <v>6.2</v>
      </c>
      <c r="Q1292" s="1186">
        <v>8.81</v>
      </c>
      <c r="R1292" s="1186">
        <v>1.87</v>
      </c>
      <c r="S1292" s="1186">
        <v>6.94</v>
      </c>
      <c r="T1292" s="1186">
        <v>3.01</v>
      </c>
      <c r="U1292" s="1186">
        <v>13.83</v>
      </c>
      <c r="V1292" s="1186">
        <v>3.38</v>
      </c>
      <c r="W1292" s="1186"/>
      <c r="X1292" s="1186"/>
      <c r="Y1292" s="1186"/>
      <c r="Z1292" s="1186"/>
      <c r="AA1292" s="1186"/>
      <c r="AB1292" s="1186"/>
      <c r="AC1292" s="1186"/>
      <c r="AD1292" s="1187"/>
    </row>
    <row r="1293" spans="1:30" x14ac:dyDescent="0.2">
      <c r="A1293">
        <f t="shared" si="54"/>
        <v>32</v>
      </c>
      <c r="B1293">
        <v>1284</v>
      </c>
      <c r="C1293" s="1078">
        <v>2</v>
      </c>
      <c r="D1293" s="1077" t="s">
        <v>4530</v>
      </c>
      <c r="E1293" s="1077" t="s">
        <v>5560</v>
      </c>
      <c r="F1293" s="1185">
        <v>4</v>
      </c>
      <c r="G1293" s="1186">
        <v>8.6999999999999993</v>
      </c>
      <c r="H1293" s="1186">
        <v>2.6</v>
      </c>
      <c r="I1293" s="1186">
        <v>10.7</v>
      </c>
      <c r="J1293" s="1186">
        <v>3.1</v>
      </c>
      <c r="K1293" s="1186">
        <v>6</v>
      </c>
      <c r="L1293" s="1186">
        <v>4.2</v>
      </c>
      <c r="M1293" s="1186">
        <v>7.1</v>
      </c>
      <c r="N1293" s="1186">
        <v>5.0999999999999996</v>
      </c>
      <c r="O1293" s="1186">
        <v>8.4</v>
      </c>
      <c r="P1293" s="1186">
        <v>6.1</v>
      </c>
      <c r="Q1293" s="1186">
        <v>9.4</v>
      </c>
      <c r="R1293" s="1186">
        <v>2</v>
      </c>
      <c r="S1293" s="1186">
        <v>7.1</v>
      </c>
      <c r="T1293" s="1186">
        <v>3.2</v>
      </c>
      <c r="U1293" s="1186">
        <v>13.2</v>
      </c>
      <c r="V1293" s="1186">
        <v>3.6</v>
      </c>
      <c r="W1293" s="1186"/>
      <c r="X1293" s="1186"/>
      <c r="Y1293" s="1186"/>
      <c r="Z1293" s="1186"/>
      <c r="AA1293" s="1186"/>
      <c r="AB1293" s="1186"/>
      <c r="AC1293" s="1186"/>
      <c r="AD1293" s="1187"/>
    </row>
    <row r="1294" spans="1:30" x14ac:dyDescent="0.2">
      <c r="A1294">
        <f t="shared" si="54"/>
        <v>32</v>
      </c>
      <c r="B1294">
        <v>1285</v>
      </c>
      <c r="C1294" s="1078">
        <v>2</v>
      </c>
      <c r="D1294" s="1077" t="s">
        <v>4530</v>
      </c>
      <c r="E1294" s="1077" t="s">
        <v>5172</v>
      </c>
      <c r="F1294" s="1185">
        <v>2</v>
      </c>
      <c r="G1294" s="1186">
        <v>18.5</v>
      </c>
      <c r="H1294" s="1186">
        <v>2.78</v>
      </c>
      <c r="I1294" s="1186">
        <v>22.3</v>
      </c>
      <c r="J1294" s="1186">
        <v>3.1</v>
      </c>
      <c r="K1294" s="1186">
        <v>14.21</v>
      </c>
      <c r="L1294" s="1186">
        <v>3.59</v>
      </c>
      <c r="M1294" s="1186">
        <v>17.63</v>
      </c>
      <c r="N1294" s="1186">
        <v>4.33</v>
      </c>
      <c r="O1294" s="1186">
        <v>23.5</v>
      </c>
      <c r="P1294" s="1186">
        <v>5.35</v>
      </c>
      <c r="Q1294" s="1186">
        <v>21.8</v>
      </c>
      <c r="R1294" s="1186">
        <v>2.34</v>
      </c>
      <c r="S1294" s="1186">
        <v>17.37</v>
      </c>
      <c r="T1294" s="1186">
        <v>3.11</v>
      </c>
      <c r="U1294" s="1186">
        <v>21.73</v>
      </c>
      <c r="V1294" s="1186">
        <v>3.9</v>
      </c>
      <c r="W1294" s="1186"/>
      <c r="X1294" s="1186"/>
      <c r="Y1294" s="1186"/>
      <c r="Z1294" s="1186"/>
      <c r="AA1294" s="1186"/>
      <c r="AB1294" s="1186"/>
      <c r="AC1294" s="1186"/>
      <c r="AD1294" s="1187"/>
    </row>
    <row r="1295" spans="1:30" x14ac:dyDescent="0.2">
      <c r="A1295">
        <f t="shared" si="54"/>
        <v>32</v>
      </c>
      <c r="B1295">
        <v>1286</v>
      </c>
      <c r="C1295" s="1078">
        <v>2</v>
      </c>
      <c r="D1295" s="1077" t="s">
        <v>4530</v>
      </c>
      <c r="E1295" s="1077" t="s">
        <v>5170</v>
      </c>
      <c r="F1295" s="1185">
        <v>2</v>
      </c>
      <c r="G1295" s="1186">
        <v>31.7</v>
      </c>
      <c r="H1295" s="1186">
        <v>2.6</v>
      </c>
      <c r="I1295" s="1186">
        <v>38</v>
      </c>
      <c r="J1295" s="1186">
        <v>3</v>
      </c>
      <c r="K1295" s="1186">
        <v>26.6</v>
      </c>
      <c r="L1295" s="1186">
        <v>3.6</v>
      </c>
      <c r="M1295" s="1186">
        <v>35.299999999999997</v>
      </c>
      <c r="N1295" s="1186">
        <v>4.5</v>
      </c>
      <c r="O1295" s="1186">
        <v>44.4</v>
      </c>
      <c r="P1295" s="1186">
        <v>5.25</v>
      </c>
      <c r="Q1295" s="1186">
        <v>36.799999999999997</v>
      </c>
      <c r="R1295" s="1186">
        <v>2.2999999999999998</v>
      </c>
      <c r="S1295" s="1186">
        <v>31.7</v>
      </c>
      <c r="T1295" s="1186">
        <v>3.2</v>
      </c>
      <c r="U1295" s="1186">
        <v>40.5</v>
      </c>
      <c r="V1295" s="1186">
        <v>3.9</v>
      </c>
      <c r="W1295" s="1186"/>
      <c r="X1295" s="1186"/>
      <c r="Y1295" s="1186"/>
      <c r="Z1295" s="1186"/>
      <c r="AA1295" s="1186"/>
      <c r="AB1295" s="1186"/>
      <c r="AC1295" s="1186"/>
      <c r="AD1295" s="1187"/>
    </row>
    <row r="1296" spans="1:30" x14ac:dyDescent="0.2">
      <c r="A1296">
        <f t="shared" si="54"/>
        <v>32</v>
      </c>
      <c r="B1296">
        <v>1287</v>
      </c>
      <c r="C1296" s="1078">
        <v>2</v>
      </c>
      <c r="D1296" s="1077" t="s">
        <v>4530</v>
      </c>
      <c r="E1296" s="1077" t="s">
        <v>5173</v>
      </c>
      <c r="F1296" s="1185">
        <v>2</v>
      </c>
      <c r="G1296" s="1186">
        <v>16</v>
      </c>
      <c r="H1296" s="1186">
        <v>2.6</v>
      </c>
      <c r="I1296" s="1186">
        <v>19.899999999999999</v>
      </c>
      <c r="J1296" s="1186">
        <v>3.1</v>
      </c>
      <c r="K1296" s="1186">
        <v>13.3</v>
      </c>
      <c r="L1296" s="1186">
        <v>4</v>
      </c>
      <c r="M1296" s="1186">
        <v>16.2</v>
      </c>
      <c r="N1296" s="1186">
        <v>4.9000000000000004</v>
      </c>
      <c r="O1296" s="1186">
        <v>23.2</v>
      </c>
      <c r="P1296" s="1186">
        <v>6.8</v>
      </c>
      <c r="Q1296" s="1186">
        <v>19.7</v>
      </c>
      <c r="R1296" s="1186">
        <v>2.2999999999999998</v>
      </c>
      <c r="S1296" s="1186">
        <v>15.4</v>
      </c>
      <c r="T1296" s="1186">
        <v>3.4</v>
      </c>
      <c r="U1296" s="1186">
        <v>21.2</v>
      </c>
      <c r="V1296" s="1186">
        <v>4.7</v>
      </c>
      <c r="W1296" s="1186"/>
      <c r="X1296" s="1186"/>
      <c r="Y1296" s="1186"/>
      <c r="Z1296" s="1186"/>
      <c r="AA1296" s="1186"/>
      <c r="AB1296" s="1186"/>
      <c r="AC1296" s="1186"/>
      <c r="AD1296" s="1187"/>
    </row>
    <row r="1297" spans="1:30" x14ac:dyDescent="0.2">
      <c r="A1297">
        <f t="shared" si="54"/>
        <v>32</v>
      </c>
      <c r="B1297">
        <v>1288</v>
      </c>
      <c r="C1297" s="1078">
        <v>2</v>
      </c>
      <c r="D1297" s="1077" t="s">
        <v>4530</v>
      </c>
      <c r="E1297" s="1077" t="s">
        <v>5169</v>
      </c>
      <c r="F1297" s="1185">
        <v>2</v>
      </c>
      <c r="G1297" s="1186">
        <v>34.6</v>
      </c>
      <c r="H1297" s="1186">
        <v>2.7</v>
      </c>
      <c r="I1297" s="1186">
        <v>42.1</v>
      </c>
      <c r="J1297" s="1186">
        <v>3.1</v>
      </c>
      <c r="K1297" s="1186">
        <v>25.7</v>
      </c>
      <c r="L1297" s="1186">
        <v>3.9</v>
      </c>
      <c r="M1297" s="1186">
        <v>33.299999999999997</v>
      </c>
      <c r="N1297" s="1186">
        <v>4.9000000000000004</v>
      </c>
      <c r="O1297" s="1186">
        <v>42.5</v>
      </c>
      <c r="P1297" s="1186">
        <v>6.4</v>
      </c>
      <c r="Q1297" s="1186">
        <v>41.5</v>
      </c>
      <c r="R1297" s="1186">
        <v>2.2999999999999998</v>
      </c>
      <c r="S1297" s="1186">
        <v>31.8</v>
      </c>
      <c r="T1297" s="1186">
        <v>3.4</v>
      </c>
      <c r="U1297" s="1186">
        <v>37.9</v>
      </c>
      <c r="V1297" s="1186">
        <v>4.2</v>
      </c>
      <c r="W1297" s="1186"/>
      <c r="X1297" s="1186"/>
      <c r="Y1297" s="1186"/>
      <c r="Z1297" s="1186"/>
      <c r="AA1297" s="1186"/>
      <c r="AB1297" s="1186"/>
      <c r="AC1297" s="1186"/>
      <c r="AD1297" s="1187"/>
    </row>
    <row r="1298" spans="1:30" x14ac:dyDescent="0.2">
      <c r="A1298">
        <f t="shared" si="54"/>
        <v>32</v>
      </c>
      <c r="B1298">
        <v>1289</v>
      </c>
      <c r="C1298" s="1078">
        <v>2</v>
      </c>
      <c r="D1298" s="1077" t="s">
        <v>4530</v>
      </c>
      <c r="E1298" s="1077" t="s">
        <v>5295</v>
      </c>
      <c r="F1298" s="1185">
        <v>2</v>
      </c>
      <c r="G1298" s="1186">
        <v>7.95</v>
      </c>
      <c r="H1298" s="1186">
        <v>2.52</v>
      </c>
      <c r="I1298" s="1186">
        <v>11.04</v>
      </c>
      <c r="J1298" s="1186">
        <v>3.28</v>
      </c>
      <c r="K1298" s="1186">
        <v>7.2549999999999999</v>
      </c>
      <c r="L1298" s="1186">
        <v>4.1900000000000004</v>
      </c>
      <c r="M1298" s="1186">
        <v>8.266</v>
      </c>
      <c r="N1298" s="1186">
        <v>4.8</v>
      </c>
      <c r="O1298" s="1186">
        <v>11.04</v>
      </c>
      <c r="P1298" s="1186">
        <v>6.56</v>
      </c>
      <c r="Q1298" s="1186">
        <v>10.76</v>
      </c>
      <c r="R1298" s="1186">
        <v>2.1800000000000002</v>
      </c>
      <c r="S1298" s="1186">
        <v>7.74</v>
      </c>
      <c r="T1298" s="1186">
        <v>3.11</v>
      </c>
      <c r="U1298" s="1186">
        <v>9.6999999999999993</v>
      </c>
      <c r="V1298" s="1186">
        <v>3.85</v>
      </c>
      <c r="W1298" s="1186"/>
      <c r="X1298" s="1186"/>
      <c r="Y1298" s="1186"/>
      <c r="Z1298" s="1186"/>
      <c r="AA1298" s="1186"/>
      <c r="AB1298" s="1186"/>
      <c r="AC1298" s="1186"/>
      <c r="AD1298" s="1187"/>
    </row>
    <row r="1299" spans="1:30" x14ac:dyDescent="0.2">
      <c r="A1299">
        <f t="shared" si="54"/>
        <v>32</v>
      </c>
      <c r="B1299">
        <v>1290</v>
      </c>
      <c r="C1299" s="1078">
        <v>2</v>
      </c>
      <c r="D1299" s="1077" t="s">
        <v>4530</v>
      </c>
      <c r="E1299" s="1077" t="s">
        <v>5296</v>
      </c>
      <c r="F1299" s="1185">
        <v>1</v>
      </c>
      <c r="G1299" s="1186">
        <v>5.6</v>
      </c>
      <c r="H1299" s="1186">
        <v>2.4</v>
      </c>
      <c r="I1299" s="1186">
        <v>7.3</v>
      </c>
      <c r="J1299" s="1186">
        <v>3.1</v>
      </c>
      <c r="K1299" s="1186">
        <v>9.5</v>
      </c>
      <c r="L1299" s="1186">
        <v>4</v>
      </c>
      <c r="M1299" s="1186">
        <v>11.26</v>
      </c>
      <c r="N1299" s="1186">
        <v>4.72</v>
      </c>
      <c r="O1299" s="1186">
        <v>14.68</v>
      </c>
      <c r="P1299" s="1186">
        <v>5.34</v>
      </c>
      <c r="Q1299" s="1186">
        <v>7.23</v>
      </c>
      <c r="R1299" s="1186">
        <v>2.1800000000000002</v>
      </c>
      <c r="S1299" s="1186">
        <v>9.9700000000000006</v>
      </c>
      <c r="T1299" s="1186">
        <v>2.96</v>
      </c>
      <c r="U1299" s="1186">
        <v>13.1</v>
      </c>
      <c r="V1299" s="1186">
        <v>3.93</v>
      </c>
      <c r="W1299" s="1186"/>
      <c r="X1299" s="1186"/>
      <c r="Y1299" s="1186"/>
      <c r="Z1299" s="1186"/>
      <c r="AA1299" s="1186"/>
      <c r="AB1299" s="1186"/>
      <c r="AC1299" s="1186"/>
      <c r="AD1299" s="1187"/>
    </row>
    <row r="1300" spans="1:30" x14ac:dyDescent="0.2">
      <c r="A1300">
        <f t="shared" si="54"/>
        <v>32</v>
      </c>
      <c r="B1300">
        <v>1291</v>
      </c>
      <c r="C1300" s="1078">
        <v>2</v>
      </c>
      <c r="D1300" s="1077" t="s">
        <v>4530</v>
      </c>
      <c r="E1300" s="1077" t="s">
        <v>5307</v>
      </c>
      <c r="F1300" s="1185">
        <v>2</v>
      </c>
      <c r="G1300" s="1186">
        <v>11.39</v>
      </c>
      <c r="H1300" s="1186">
        <v>2.67</v>
      </c>
      <c r="I1300" s="1186">
        <v>13.89</v>
      </c>
      <c r="J1300" s="1186">
        <v>3.11</v>
      </c>
      <c r="K1300" s="1186">
        <v>15.86</v>
      </c>
      <c r="L1300" s="1186">
        <v>3.7</v>
      </c>
      <c r="M1300" s="1186">
        <v>11.67</v>
      </c>
      <c r="N1300" s="1186">
        <v>5.04</v>
      </c>
      <c r="O1300" s="1186">
        <v>13.57</v>
      </c>
      <c r="P1300" s="1186">
        <v>5.93</v>
      </c>
      <c r="Q1300" s="1186">
        <v>13.19</v>
      </c>
      <c r="R1300" s="1186">
        <v>2.25</v>
      </c>
      <c r="S1300" s="1186">
        <v>10.79</v>
      </c>
      <c r="T1300" s="1186">
        <v>3.17</v>
      </c>
      <c r="U1300" s="1186">
        <v>12.23</v>
      </c>
      <c r="V1300" s="1186">
        <v>3.63</v>
      </c>
      <c r="W1300" s="1186"/>
      <c r="X1300" s="1186"/>
      <c r="Y1300" s="1186"/>
      <c r="Z1300" s="1186"/>
      <c r="AA1300" s="1186"/>
      <c r="AB1300" s="1186"/>
      <c r="AC1300" s="1186"/>
      <c r="AD1300" s="1187"/>
    </row>
    <row r="1301" spans="1:30" x14ac:dyDescent="0.2">
      <c r="A1301">
        <f t="shared" si="54"/>
        <v>32</v>
      </c>
      <c r="B1301">
        <v>1292</v>
      </c>
      <c r="C1301" s="1078">
        <v>2</v>
      </c>
      <c r="D1301" s="1077" t="s">
        <v>4530</v>
      </c>
      <c r="E1301" s="1077" t="s">
        <v>5308</v>
      </c>
      <c r="F1301" s="1185">
        <v>2</v>
      </c>
      <c r="G1301" s="1186">
        <v>13.74</v>
      </c>
      <c r="H1301" s="1186">
        <v>2.6</v>
      </c>
      <c r="I1301" s="1186">
        <v>18.350000000000001</v>
      </c>
      <c r="J1301" s="1186">
        <v>3.24</v>
      </c>
      <c r="K1301" s="1186">
        <v>18.63</v>
      </c>
      <c r="L1301" s="1186">
        <v>3.65</v>
      </c>
      <c r="M1301" s="1186">
        <v>14.17</v>
      </c>
      <c r="N1301" s="1186">
        <v>4.8099999999999996</v>
      </c>
      <c r="O1301" s="1186">
        <v>17.989999999999998</v>
      </c>
      <c r="P1301" s="1186">
        <v>6.2</v>
      </c>
      <c r="Q1301" s="1186">
        <v>18.190000000000001</v>
      </c>
      <c r="R1301" s="1186">
        <v>2.31</v>
      </c>
      <c r="S1301" s="1186">
        <v>13.05</v>
      </c>
      <c r="T1301" s="1186">
        <v>3.08</v>
      </c>
      <c r="U1301" s="1186">
        <v>16.38</v>
      </c>
      <c r="V1301" s="1186">
        <v>3.86</v>
      </c>
      <c r="W1301" s="1186"/>
      <c r="X1301" s="1186"/>
      <c r="Y1301" s="1186"/>
      <c r="Z1301" s="1186"/>
      <c r="AA1301" s="1186"/>
      <c r="AB1301" s="1186"/>
      <c r="AC1301" s="1186"/>
      <c r="AD1301" s="1187"/>
    </row>
    <row r="1302" spans="1:30" x14ac:dyDescent="0.2">
      <c r="A1302">
        <f t="shared" si="54"/>
        <v>32</v>
      </c>
      <c r="B1302">
        <v>1293</v>
      </c>
      <c r="C1302" s="1078">
        <v>2</v>
      </c>
      <c r="D1302" s="1077" t="s">
        <v>4530</v>
      </c>
      <c r="E1302" s="1077" t="s">
        <v>5309</v>
      </c>
      <c r="F1302" s="1185">
        <v>4</v>
      </c>
      <c r="G1302" s="1186">
        <v>9.4</v>
      </c>
      <c r="H1302" s="1186">
        <v>2.4</v>
      </c>
      <c r="I1302" s="1186">
        <v>11.2</v>
      </c>
      <c r="J1302" s="1186">
        <v>2.9</v>
      </c>
      <c r="K1302" s="1186">
        <v>4.9000000000000004</v>
      </c>
      <c r="L1302" s="1186">
        <v>4.5</v>
      </c>
      <c r="M1302" s="1186">
        <v>4.6500000000000004</v>
      </c>
      <c r="N1302" s="1186">
        <v>5.6</v>
      </c>
      <c r="O1302" s="1186">
        <v>5.96</v>
      </c>
      <c r="P1302" s="1186">
        <v>7.86</v>
      </c>
      <c r="Q1302" s="1186">
        <v>10.14</v>
      </c>
      <c r="R1302" s="1186">
        <v>2.0299999999999998</v>
      </c>
      <c r="S1302" s="1186">
        <v>4</v>
      </c>
      <c r="T1302" s="1186">
        <v>3.2</v>
      </c>
      <c r="U1302" s="1186">
        <v>5.31</v>
      </c>
      <c r="V1302" s="1186">
        <v>4.32</v>
      </c>
      <c r="W1302" s="1186"/>
      <c r="X1302" s="1186"/>
      <c r="Y1302" s="1186"/>
      <c r="Z1302" s="1186"/>
      <c r="AA1302" s="1186"/>
      <c r="AB1302" s="1186"/>
      <c r="AC1302" s="1186"/>
      <c r="AD1302" s="1187"/>
    </row>
    <row r="1303" spans="1:30" x14ac:dyDescent="0.2">
      <c r="A1303">
        <f t="shared" si="54"/>
        <v>32</v>
      </c>
      <c r="B1303">
        <v>1294</v>
      </c>
      <c r="C1303" s="1078">
        <v>2</v>
      </c>
      <c r="D1303" s="1077" t="s">
        <v>4530</v>
      </c>
      <c r="E1303" s="1077" t="s">
        <v>5310</v>
      </c>
      <c r="F1303" s="1185">
        <v>2</v>
      </c>
      <c r="G1303" s="1186">
        <v>11.39</v>
      </c>
      <c r="H1303" s="1186">
        <v>2.67</v>
      </c>
      <c r="I1303" s="1186">
        <v>13.89</v>
      </c>
      <c r="J1303" s="1186">
        <v>3.11</v>
      </c>
      <c r="K1303" s="1186">
        <v>15.86</v>
      </c>
      <c r="L1303" s="1186">
        <v>3.7</v>
      </c>
      <c r="M1303" s="1186">
        <v>11.67</v>
      </c>
      <c r="N1303" s="1186">
        <v>5.04</v>
      </c>
      <c r="O1303" s="1186">
        <v>13.57</v>
      </c>
      <c r="P1303" s="1186">
        <v>5.93</v>
      </c>
      <c r="Q1303" s="1186">
        <v>13.19</v>
      </c>
      <c r="R1303" s="1186">
        <v>2.25</v>
      </c>
      <c r="S1303" s="1186">
        <v>10.79</v>
      </c>
      <c r="T1303" s="1186">
        <v>3.17</v>
      </c>
      <c r="U1303" s="1186">
        <v>12.23</v>
      </c>
      <c r="V1303" s="1186">
        <v>3.63</v>
      </c>
      <c r="W1303" s="1186"/>
      <c r="X1303" s="1186"/>
      <c r="Y1303" s="1186"/>
      <c r="Z1303" s="1186"/>
      <c r="AA1303" s="1186"/>
      <c r="AB1303" s="1186"/>
      <c r="AC1303" s="1186"/>
      <c r="AD1303" s="1187"/>
    </row>
    <row r="1304" spans="1:30" x14ac:dyDescent="0.2">
      <c r="A1304">
        <f t="shared" si="54"/>
        <v>32</v>
      </c>
      <c r="B1304">
        <v>1295</v>
      </c>
      <c r="C1304" s="1078">
        <v>3</v>
      </c>
      <c r="D1304" s="1077" t="s">
        <v>4530</v>
      </c>
      <c r="E1304" s="1077" t="s">
        <v>5574</v>
      </c>
      <c r="F1304" s="1079">
        <v>4</v>
      </c>
      <c r="G1304" s="1186"/>
      <c r="H1304" s="1186"/>
      <c r="I1304" s="1186"/>
      <c r="J1304" s="1186"/>
      <c r="K1304" s="1186"/>
      <c r="L1304" s="1186"/>
      <c r="M1304" s="1186"/>
      <c r="N1304" s="1186"/>
      <c r="O1304" s="1186"/>
      <c r="P1304" s="1186"/>
      <c r="Q1304" s="1186"/>
      <c r="R1304" s="1186"/>
      <c r="S1304" s="1186"/>
      <c r="T1304" s="1186"/>
      <c r="U1304" s="1186"/>
      <c r="V1304" s="1186"/>
      <c r="W1304" s="1186">
        <v>10.199999999999999</v>
      </c>
      <c r="X1304" s="1186">
        <v>4.5999999999999996</v>
      </c>
      <c r="Y1304" s="1186">
        <v>9.8000000000000007</v>
      </c>
      <c r="Z1304" s="1186">
        <v>2.65</v>
      </c>
      <c r="AA1304" s="1186"/>
      <c r="AB1304" s="1186"/>
      <c r="AC1304" s="1186"/>
      <c r="AD1304" s="1187"/>
    </row>
    <row r="1305" spans="1:30" x14ac:dyDescent="0.2">
      <c r="A1305">
        <f t="shared" si="54"/>
        <v>32</v>
      </c>
      <c r="B1305">
        <v>1296</v>
      </c>
      <c r="C1305" s="1078">
        <v>3</v>
      </c>
      <c r="D1305" s="1077" t="s">
        <v>4530</v>
      </c>
      <c r="E1305" s="1077" t="s">
        <v>5575</v>
      </c>
      <c r="F1305" s="1079">
        <v>4</v>
      </c>
      <c r="G1305" s="1186"/>
      <c r="H1305" s="1186"/>
      <c r="I1305" s="1186"/>
      <c r="J1305" s="1186"/>
      <c r="K1305" s="1186"/>
      <c r="L1305" s="1186"/>
      <c r="M1305" s="1186"/>
      <c r="N1305" s="1186"/>
      <c r="O1305" s="1186"/>
      <c r="P1305" s="1186"/>
      <c r="Q1305" s="1186"/>
      <c r="R1305" s="1186"/>
      <c r="S1305" s="1186"/>
      <c r="T1305" s="1186"/>
      <c r="U1305" s="1186"/>
      <c r="V1305" s="1186"/>
      <c r="W1305" s="1186">
        <v>16.100000000000001</v>
      </c>
      <c r="X1305" s="1186">
        <v>4.5999999999999996</v>
      </c>
      <c r="Y1305" s="1186">
        <v>14.2</v>
      </c>
      <c r="Z1305" s="1186">
        <v>3.7</v>
      </c>
      <c r="AA1305" s="1186"/>
      <c r="AB1305" s="1186"/>
      <c r="AC1305" s="1186"/>
      <c r="AD1305" s="1187"/>
    </row>
    <row r="1306" spans="1:30" x14ac:dyDescent="0.2">
      <c r="A1306">
        <f t="shared" si="54"/>
        <v>32</v>
      </c>
      <c r="B1306">
        <v>1297</v>
      </c>
      <c r="C1306" s="1078">
        <v>2</v>
      </c>
      <c r="D1306" s="1077" t="s">
        <v>4530</v>
      </c>
      <c r="E1306" s="1207" t="s">
        <v>4698</v>
      </c>
      <c r="F1306" s="1185">
        <v>4</v>
      </c>
      <c r="G1306" s="1186">
        <v>4.2</v>
      </c>
      <c r="H1306" s="1186">
        <v>2.17</v>
      </c>
      <c r="I1306" s="1186">
        <v>4.2</v>
      </c>
      <c r="J1306" s="1186">
        <v>2.59</v>
      </c>
      <c r="K1306" s="1186">
        <v>4.2</v>
      </c>
      <c r="L1306" s="1186">
        <v>3.11</v>
      </c>
      <c r="M1306" s="1186">
        <v>4.63</v>
      </c>
      <c r="N1306" s="1186">
        <v>4.63</v>
      </c>
      <c r="O1306" s="1186">
        <v>5</v>
      </c>
      <c r="P1306" s="1186">
        <v>5.63</v>
      </c>
      <c r="Q1306" s="1186">
        <v>3.55</v>
      </c>
      <c r="R1306" s="1186">
        <v>1.71</v>
      </c>
      <c r="S1306" s="1186">
        <v>5</v>
      </c>
      <c r="T1306" s="1186">
        <v>2.65</v>
      </c>
      <c r="U1306" s="1186">
        <v>5</v>
      </c>
      <c r="V1306" s="1186">
        <v>3.14</v>
      </c>
      <c r="W1306" s="1186"/>
      <c r="X1306" s="1186"/>
      <c r="Y1306" s="1186"/>
      <c r="Z1306" s="1186"/>
      <c r="AA1306" s="1186"/>
      <c r="AB1306" s="1186"/>
      <c r="AC1306" s="1186"/>
      <c r="AD1306" s="1187"/>
    </row>
    <row r="1307" spans="1:30" x14ac:dyDescent="0.2">
      <c r="A1307">
        <f t="shared" si="54"/>
        <v>32</v>
      </c>
      <c r="B1307">
        <v>1298</v>
      </c>
      <c r="C1307" s="1078">
        <v>2</v>
      </c>
      <c r="D1307" s="1077" t="s">
        <v>4530</v>
      </c>
      <c r="E1307" s="1077" t="s">
        <v>5576</v>
      </c>
      <c r="F1307" s="1079">
        <v>4</v>
      </c>
      <c r="G1307" s="1079">
        <v>7.3</v>
      </c>
      <c r="H1307" s="1079">
        <v>3</v>
      </c>
      <c r="I1307" s="1079">
        <v>9</v>
      </c>
      <c r="J1307" s="1079">
        <v>3.45</v>
      </c>
      <c r="K1307" s="1079">
        <v>9</v>
      </c>
      <c r="L1307" s="1079">
        <v>3.81</v>
      </c>
      <c r="M1307" s="1079">
        <v>9</v>
      </c>
      <c r="N1307" s="1079">
        <v>5.23</v>
      </c>
      <c r="O1307" s="1079">
        <v>9</v>
      </c>
      <c r="P1307" s="1079">
        <v>6.7</v>
      </c>
      <c r="Q1307" s="1079">
        <v>9</v>
      </c>
      <c r="R1307" s="1079">
        <v>2.35</v>
      </c>
      <c r="S1307" s="1079">
        <v>9</v>
      </c>
      <c r="T1307" s="1079">
        <v>3.24</v>
      </c>
      <c r="U1307" s="1079">
        <v>9</v>
      </c>
      <c r="V1307" s="1178">
        <v>4.1486346863468642</v>
      </c>
      <c r="W1307" s="1079"/>
      <c r="X1307" s="1079"/>
      <c r="Y1307" s="1079"/>
      <c r="Z1307" s="1079"/>
      <c r="AA1307" s="1079"/>
      <c r="AB1307" s="1079"/>
      <c r="AC1307" s="1079"/>
      <c r="AD1307" s="1080"/>
    </row>
    <row r="1308" spans="1:30" x14ac:dyDescent="0.2">
      <c r="A1308">
        <f t="shared" si="54"/>
        <v>32</v>
      </c>
      <c r="B1308">
        <v>1299</v>
      </c>
      <c r="C1308" s="1078">
        <v>2</v>
      </c>
      <c r="D1308" s="1077" t="s">
        <v>4530</v>
      </c>
      <c r="E1308" s="1077" t="s">
        <v>5577</v>
      </c>
      <c r="F1308" s="1079">
        <v>4</v>
      </c>
      <c r="G1308" s="1079">
        <v>9.8000000000000007</v>
      </c>
      <c r="H1308" s="1079">
        <v>2.98</v>
      </c>
      <c r="I1308" s="1079">
        <v>12</v>
      </c>
      <c r="J1308" s="1079">
        <v>3</v>
      </c>
      <c r="K1308" s="1079">
        <v>12</v>
      </c>
      <c r="L1308" s="1079">
        <v>3.54</v>
      </c>
      <c r="M1308" s="1079">
        <v>12</v>
      </c>
      <c r="N1308" s="1079">
        <v>5.0599999999999996</v>
      </c>
      <c r="O1308" s="1079">
        <v>12</v>
      </c>
      <c r="P1308" s="1079">
        <v>6.49</v>
      </c>
      <c r="Q1308" s="1079">
        <v>12</v>
      </c>
      <c r="R1308" s="1079">
        <v>2.17</v>
      </c>
      <c r="S1308" s="1079">
        <v>12</v>
      </c>
      <c r="T1308" s="1079">
        <v>3.23</v>
      </c>
      <c r="U1308" s="1079">
        <v>12</v>
      </c>
      <c r="V1308" s="1178">
        <v>4.1358302583025832</v>
      </c>
      <c r="W1308" s="1079"/>
      <c r="X1308" s="1079"/>
      <c r="Y1308" s="1079"/>
      <c r="Z1308" s="1079"/>
      <c r="AA1308" s="1079"/>
      <c r="AB1308" s="1079"/>
      <c r="AC1308" s="1079"/>
      <c r="AD1308" s="1080"/>
    </row>
    <row r="1309" spans="1:30" x14ac:dyDescent="0.2">
      <c r="A1309">
        <f t="shared" si="54"/>
        <v>32</v>
      </c>
      <c r="B1309">
        <v>1300</v>
      </c>
      <c r="C1309" s="1078">
        <v>2</v>
      </c>
      <c r="D1309" s="1077" t="s">
        <v>4530</v>
      </c>
      <c r="E1309" s="1077" t="s">
        <v>5578</v>
      </c>
      <c r="F1309" s="1079">
        <v>4</v>
      </c>
      <c r="G1309" s="1079">
        <v>13.1</v>
      </c>
      <c r="H1309" s="1079">
        <v>2.96</v>
      </c>
      <c r="I1309" s="1079">
        <v>16</v>
      </c>
      <c r="J1309" s="1079">
        <v>2.5299999999999998</v>
      </c>
      <c r="K1309" s="1079">
        <v>16</v>
      </c>
      <c r="L1309" s="1079">
        <v>3.3</v>
      </c>
      <c r="M1309" s="1079">
        <v>16</v>
      </c>
      <c r="N1309" s="1079">
        <v>4.8899999999999997</v>
      </c>
      <c r="O1309" s="1079">
        <v>16</v>
      </c>
      <c r="P1309" s="1079">
        <v>6.27</v>
      </c>
      <c r="Q1309" s="1079">
        <v>16</v>
      </c>
      <c r="R1309" s="1079">
        <v>1.97</v>
      </c>
      <c r="S1309" s="1079">
        <v>16</v>
      </c>
      <c r="T1309" s="1079">
        <v>3.2</v>
      </c>
      <c r="U1309" s="1079">
        <v>16</v>
      </c>
      <c r="V1309" s="1178">
        <v>4.0974169741697422</v>
      </c>
      <c r="W1309" s="1079"/>
      <c r="X1309" s="1079"/>
      <c r="Y1309" s="1079"/>
      <c r="Z1309" s="1079"/>
      <c r="AA1309" s="1079"/>
      <c r="AB1309" s="1079"/>
      <c r="AC1309" s="1079"/>
      <c r="AD1309" s="1080"/>
    </row>
    <row r="1310" spans="1:30" x14ac:dyDescent="0.2">
      <c r="A1310">
        <f t="shared" si="54"/>
        <v>32</v>
      </c>
      <c r="B1310">
        <v>1301</v>
      </c>
      <c r="C1310" s="1078">
        <v>2</v>
      </c>
      <c r="D1310" s="1077" t="s">
        <v>4530</v>
      </c>
      <c r="E1310" s="1077" t="s">
        <v>5579</v>
      </c>
      <c r="F1310" s="1079">
        <v>4</v>
      </c>
      <c r="G1310" s="1079">
        <v>16.3</v>
      </c>
      <c r="H1310" s="1079">
        <v>2.37</v>
      </c>
      <c r="I1310" s="1079">
        <v>20</v>
      </c>
      <c r="J1310" s="1079">
        <v>2.4500000000000002</v>
      </c>
      <c r="K1310" s="1079">
        <v>20</v>
      </c>
      <c r="L1310" s="1079">
        <v>3.39</v>
      </c>
      <c r="M1310" s="1079">
        <v>20</v>
      </c>
      <c r="N1310" s="1079">
        <v>4.8</v>
      </c>
      <c r="O1310" s="1079">
        <v>20</v>
      </c>
      <c r="P1310" s="1079">
        <v>6.15</v>
      </c>
      <c r="Q1310" s="1079">
        <v>20</v>
      </c>
      <c r="R1310" s="1079">
        <v>1.9</v>
      </c>
      <c r="S1310" s="1079">
        <v>20</v>
      </c>
      <c r="T1310" s="1079">
        <v>3.18</v>
      </c>
      <c r="U1310" s="1079">
        <v>20</v>
      </c>
      <c r="V1310" s="1178">
        <v>4.071808118081182</v>
      </c>
      <c r="W1310" s="1079"/>
      <c r="X1310" s="1079"/>
      <c r="Y1310" s="1079"/>
      <c r="Z1310" s="1079"/>
      <c r="AA1310" s="1079"/>
      <c r="AB1310" s="1079"/>
      <c r="AC1310" s="1079"/>
      <c r="AD1310" s="1080"/>
    </row>
    <row r="1311" spans="1:30" x14ac:dyDescent="0.2">
      <c r="A1311">
        <f t="shared" si="54"/>
        <v>32</v>
      </c>
      <c r="B1311">
        <v>1302</v>
      </c>
      <c r="C1311" s="1078">
        <v>2</v>
      </c>
      <c r="D1311" s="1077" t="s">
        <v>4530</v>
      </c>
      <c r="E1311" s="1077" t="s">
        <v>5580</v>
      </c>
      <c r="F1311" s="1079">
        <v>4</v>
      </c>
      <c r="G1311" s="1079">
        <v>20.3</v>
      </c>
      <c r="H1311" s="1079">
        <v>2.41</v>
      </c>
      <c r="I1311" s="1079">
        <v>25</v>
      </c>
      <c r="J1311" s="1079">
        <v>2.36</v>
      </c>
      <c r="K1311" s="1079">
        <v>25</v>
      </c>
      <c r="L1311" s="1079">
        <v>3.8</v>
      </c>
      <c r="M1311" s="1079">
        <v>25</v>
      </c>
      <c r="N1311" s="1079">
        <v>4.5</v>
      </c>
      <c r="O1311" s="1079">
        <v>25</v>
      </c>
      <c r="P1311" s="1079">
        <v>5.77</v>
      </c>
      <c r="Q1311" s="1079">
        <v>25</v>
      </c>
      <c r="R1311" s="1079">
        <v>1.8</v>
      </c>
      <c r="S1311" s="1079">
        <v>25</v>
      </c>
      <c r="T1311" s="1079">
        <v>3</v>
      </c>
      <c r="U1311" s="1079">
        <v>25</v>
      </c>
      <c r="V1311" s="1178">
        <v>3.8413284132841334</v>
      </c>
      <c r="W1311" s="1079"/>
      <c r="X1311" s="1079"/>
      <c r="Y1311" s="1079"/>
      <c r="Z1311" s="1079"/>
      <c r="AA1311" s="1079"/>
      <c r="AB1311" s="1079"/>
      <c r="AC1311" s="1079"/>
      <c r="AD1311" s="1080"/>
    </row>
    <row r="1312" spans="1:30" x14ac:dyDescent="0.2">
      <c r="A1312">
        <f t="shared" si="54"/>
        <v>32</v>
      </c>
      <c r="B1312">
        <v>1303</v>
      </c>
      <c r="C1312" s="1078">
        <v>2</v>
      </c>
      <c r="D1312" s="1077" t="s">
        <v>4530</v>
      </c>
      <c r="E1312" s="1077" t="s">
        <v>5581</v>
      </c>
      <c r="F1312" s="1079">
        <v>4</v>
      </c>
      <c r="G1312" s="1079">
        <v>30.4</v>
      </c>
      <c r="H1312" s="1079">
        <v>2.2999999999999998</v>
      </c>
      <c r="I1312" s="1079">
        <v>30</v>
      </c>
      <c r="J1312" s="1079">
        <v>2.33</v>
      </c>
      <c r="K1312" s="1079">
        <v>30</v>
      </c>
      <c r="L1312" s="1079">
        <v>2.5</v>
      </c>
      <c r="M1312" s="1079">
        <v>30</v>
      </c>
      <c r="N1312" s="1079">
        <v>4.4000000000000004</v>
      </c>
      <c r="O1312" s="1079">
        <v>30</v>
      </c>
      <c r="P1312" s="1079">
        <v>5.64</v>
      </c>
      <c r="Q1312" s="1079">
        <v>30</v>
      </c>
      <c r="R1312" s="1079">
        <v>1.49</v>
      </c>
      <c r="S1312" s="1079">
        <v>30</v>
      </c>
      <c r="T1312" s="1079">
        <v>3</v>
      </c>
      <c r="U1312" s="1079">
        <v>30</v>
      </c>
      <c r="V1312" s="1178">
        <v>3.8413284132841334</v>
      </c>
      <c r="W1312" s="1079"/>
      <c r="X1312" s="1079"/>
      <c r="Y1312" s="1079"/>
      <c r="Z1312" s="1079"/>
      <c r="AA1312" s="1079"/>
      <c r="AB1312" s="1079"/>
      <c r="AC1312" s="1079"/>
      <c r="AD1312" s="1080"/>
    </row>
    <row r="1313" spans="1:30" x14ac:dyDescent="0.2">
      <c r="A1313">
        <f t="shared" si="54"/>
        <v>32</v>
      </c>
      <c r="B1313">
        <v>1304</v>
      </c>
      <c r="C1313" s="1078">
        <v>3</v>
      </c>
      <c r="D1313" s="1077" t="s">
        <v>4530</v>
      </c>
      <c r="E1313" s="1207" t="s">
        <v>5582</v>
      </c>
      <c r="F1313" s="1079">
        <v>4</v>
      </c>
      <c r="G1313" s="1079"/>
      <c r="H1313" s="1079"/>
      <c r="I1313" s="1079"/>
      <c r="J1313" s="1079"/>
      <c r="K1313" s="1079"/>
      <c r="L1313" s="1079"/>
      <c r="M1313" s="1079"/>
      <c r="N1313" s="1079"/>
      <c r="O1313" s="1079"/>
      <c r="P1313" s="1079"/>
      <c r="Q1313" s="1079"/>
      <c r="R1313" s="1079"/>
      <c r="S1313" s="1079"/>
      <c r="T1313" s="1079"/>
      <c r="U1313" s="1079"/>
      <c r="V1313" s="1079"/>
      <c r="W1313" s="1079">
        <v>4.4000000000000004</v>
      </c>
      <c r="X1313" s="1079">
        <v>16.8</v>
      </c>
      <c r="Y1313" s="1079">
        <v>21.29</v>
      </c>
      <c r="Z1313" s="1079">
        <v>3.41</v>
      </c>
      <c r="AA1313" s="1079">
        <v>59.3</v>
      </c>
      <c r="AB1313" s="1079">
        <v>5.3</v>
      </c>
      <c r="AC1313" s="1079">
        <v>51.3</v>
      </c>
      <c r="AD1313" s="1080">
        <v>3.26</v>
      </c>
    </row>
    <row r="1314" spans="1:30" x14ac:dyDescent="0.2">
      <c r="A1314">
        <f t="shared" si="54"/>
        <v>32</v>
      </c>
      <c r="B1314">
        <v>1305</v>
      </c>
      <c r="C1314" s="1078">
        <v>3</v>
      </c>
      <c r="D1314" s="1077" t="s">
        <v>4530</v>
      </c>
      <c r="E1314" s="1077" t="s">
        <v>5583</v>
      </c>
      <c r="F1314" s="1079">
        <v>4</v>
      </c>
      <c r="G1314" s="1079"/>
      <c r="H1314" s="1079"/>
      <c r="I1314" s="1079"/>
      <c r="J1314" s="1079"/>
      <c r="K1314" s="1079"/>
      <c r="L1314" s="1079"/>
      <c r="M1314" s="1079"/>
      <c r="N1314" s="1079"/>
      <c r="O1314" s="1079"/>
      <c r="P1314" s="1079"/>
      <c r="Q1314" s="1079"/>
      <c r="R1314" s="1079"/>
      <c r="S1314" s="1079"/>
      <c r="T1314" s="1079"/>
      <c r="U1314" s="1079"/>
      <c r="V1314" s="1079"/>
      <c r="W1314" s="1079">
        <v>4.5</v>
      </c>
      <c r="X1314" s="1079">
        <v>22.4</v>
      </c>
      <c r="Y1314" s="1079">
        <v>30.12</v>
      </c>
      <c r="Z1314" s="1079">
        <v>3.52</v>
      </c>
      <c r="AA1314" s="1079">
        <v>79.599999999999994</v>
      </c>
      <c r="AB1314" s="1079">
        <v>5.42</v>
      </c>
      <c r="AC1314" s="1079">
        <v>69.400000000000006</v>
      </c>
      <c r="AD1314" s="1080">
        <v>3.34</v>
      </c>
    </row>
    <row r="1315" spans="1:30" x14ac:dyDescent="0.2">
      <c r="A1315">
        <f t="shared" si="54"/>
        <v>32</v>
      </c>
      <c r="B1315">
        <v>1306</v>
      </c>
      <c r="C1315" s="1078">
        <v>3</v>
      </c>
      <c r="D1315" s="1077" t="s">
        <v>4530</v>
      </c>
      <c r="E1315" s="1077" t="s">
        <v>5584</v>
      </c>
      <c r="F1315" s="1079">
        <v>4</v>
      </c>
      <c r="G1315" s="1079"/>
      <c r="H1315" s="1079"/>
      <c r="I1315" s="1079"/>
      <c r="J1315" s="1079"/>
      <c r="K1315" s="1079"/>
      <c r="L1315" s="1079"/>
      <c r="M1315" s="1079"/>
      <c r="N1315" s="1079"/>
      <c r="O1315" s="1079"/>
      <c r="P1315" s="1079"/>
      <c r="Q1315" s="1079"/>
      <c r="R1315" s="1079"/>
      <c r="S1315" s="1079"/>
      <c r="T1315" s="1079"/>
      <c r="U1315" s="1079"/>
      <c r="V1315" s="1079"/>
      <c r="W1315" s="1079">
        <v>4.5999999999999996</v>
      </c>
      <c r="X1315" s="1079">
        <v>33.9</v>
      </c>
      <c r="Y1315" s="1079">
        <v>48.94</v>
      </c>
      <c r="Z1315" s="1079">
        <v>3.49</v>
      </c>
      <c r="AA1315" s="1079">
        <v>117.8</v>
      </c>
      <c r="AB1315" s="1079">
        <v>5.5</v>
      </c>
      <c r="AC1315" s="1079">
        <v>102.1</v>
      </c>
      <c r="AD1315" s="1080">
        <v>3.42</v>
      </c>
    </row>
    <row r="1316" spans="1:30" x14ac:dyDescent="0.2">
      <c r="A1316">
        <f t="shared" si="54"/>
        <v>32</v>
      </c>
      <c r="B1316">
        <v>1307</v>
      </c>
      <c r="C1316" s="1078">
        <v>3</v>
      </c>
      <c r="D1316" s="1077" t="s">
        <v>4530</v>
      </c>
      <c r="E1316" s="1077" t="s">
        <v>5645</v>
      </c>
      <c r="F1316" s="1185">
        <v>4</v>
      </c>
      <c r="G1316" s="1186"/>
      <c r="H1316" s="1186"/>
      <c r="I1316" s="1186"/>
      <c r="J1316" s="1186"/>
      <c r="K1316" s="1186"/>
      <c r="L1316" s="1186"/>
      <c r="M1316" s="1186"/>
      <c r="N1316" s="1186"/>
      <c r="O1316" s="1186"/>
      <c r="P1316" s="1186"/>
      <c r="Q1316" s="1186"/>
      <c r="R1316" s="1186"/>
      <c r="S1316" s="1186"/>
      <c r="T1316" s="1186"/>
      <c r="U1316" s="1186"/>
      <c r="V1316" s="1186"/>
      <c r="W1316" s="1186">
        <v>6.67</v>
      </c>
      <c r="X1316" s="1186">
        <v>3.73</v>
      </c>
      <c r="Y1316" s="1186">
        <v>5.38</v>
      </c>
      <c r="Z1316" s="1186">
        <v>2.0699999999999998</v>
      </c>
      <c r="AA1316" s="1186">
        <v>8.0500000000000007</v>
      </c>
      <c r="AB1316" s="1186">
        <v>4.5199999999999996</v>
      </c>
      <c r="AC1316" s="1186">
        <v>7.51</v>
      </c>
      <c r="AD1316" s="1187">
        <v>3.3</v>
      </c>
    </row>
    <row r="1317" spans="1:30" x14ac:dyDescent="0.2">
      <c r="A1317">
        <f t="shared" si="54"/>
        <v>32</v>
      </c>
      <c r="B1317">
        <v>1308</v>
      </c>
      <c r="C1317" s="1078">
        <v>2</v>
      </c>
      <c r="D1317" s="1077" t="s">
        <v>4530</v>
      </c>
      <c r="E1317" s="1077" t="s">
        <v>5646</v>
      </c>
      <c r="F1317" s="1185">
        <v>4</v>
      </c>
      <c r="G1317" s="1186">
        <v>6.66</v>
      </c>
      <c r="H1317" s="1186">
        <v>2.2000000000000002</v>
      </c>
      <c r="I1317" s="1186">
        <v>8.32</v>
      </c>
      <c r="J1317" s="1186">
        <v>2.7</v>
      </c>
      <c r="K1317" s="1186">
        <v>3.52</v>
      </c>
      <c r="L1317" s="1186">
        <v>4.5999999999999996</v>
      </c>
      <c r="M1317" s="1186">
        <v>4.08</v>
      </c>
      <c r="N1317" s="1186">
        <v>5.44</v>
      </c>
      <c r="O1317" s="1186">
        <v>2.7</v>
      </c>
      <c r="P1317" s="1186">
        <v>6.74</v>
      </c>
      <c r="Q1317" s="1186">
        <v>7.68</v>
      </c>
      <c r="R1317" s="1186">
        <v>1.81</v>
      </c>
      <c r="S1317" s="1186">
        <v>7.95</v>
      </c>
      <c r="T1317" s="1186">
        <v>2.96</v>
      </c>
      <c r="U1317" s="1186">
        <v>8.4499999999999993</v>
      </c>
      <c r="V1317" s="1186">
        <v>3.55</v>
      </c>
      <c r="W1317" s="1186"/>
      <c r="X1317" s="1186"/>
      <c r="Y1317" s="1186"/>
      <c r="Z1317" s="1186"/>
      <c r="AA1317" s="1186"/>
      <c r="AB1317" s="1186"/>
      <c r="AC1317" s="1186"/>
      <c r="AD1317" s="1187"/>
    </row>
    <row r="1318" spans="1:30" x14ac:dyDescent="0.2">
      <c r="A1318">
        <f t="shared" si="54"/>
        <v>32</v>
      </c>
      <c r="B1318">
        <v>1309</v>
      </c>
      <c r="C1318" s="1078">
        <v>2</v>
      </c>
      <c r="D1318" s="1077" t="s">
        <v>4530</v>
      </c>
      <c r="E1318" s="1077" t="s">
        <v>5647</v>
      </c>
      <c r="F1318" s="1185">
        <v>4</v>
      </c>
      <c r="G1318" s="1186">
        <v>8.9700000000000006</v>
      </c>
      <c r="H1318" s="1186">
        <v>2.35</v>
      </c>
      <c r="I1318" s="1186">
        <v>10.3</v>
      </c>
      <c r="J1318" s="1186">
        <v>2.76</v>
      </c>
      <c r="K1318" s="1186">
        <v>5.31</v>
      </c>
      <c r="L1318" s="1186">
        <v>4.58</v>
      </c>
      <c r="M1318" s="1186">
        <v>5.87</v>
      </c>
      <c r="N1318" s="1186">
        <v>5.48</v>
      </c>
      <c r="O1318" s="1186">
        <v>3.98</v>
      </c>
      <c r="P1318" s="1186">
        <v>6.5</v>
      </c>
      <c r="Q1318" s="1186">
        <v>9.85</v>
      </c>
      <c r="R1318" s="1186">
        <v>2.25</v>
      </c>
      <c r="S1318" s="1186">
        <v>11.68</v>
      </c>
      <c r="T1318" s="1186">
        <v>2.85</v>
      </c>
      <c r="U1318" s="1186">
        <v>12.26</v>
      </c>
      <c r="V1318" s="1186">
        <v>3.58</v>
      </c>
      <c r="W1318" s="1186"/>
      <c r="X1318" s="1186"/>
      <c r="Y1318" s="1186"/>
      <c r="Z1318" s="1186"/>
      <c r="AA1318" s="1186"/>
      <c r="AB1318" s="1186"/>
      <c r="AC1318" s="1186"/>
      <c r="AD1318" s="1187"/>
    </row>
    <row r="1319" spans="1:30" x14ac:dyDescent="0.2">
      <c r="A1319">
        <f t="shared" si="54"/>
        <v>32</v>
      </c>
      <c r="B1319">
        <v>1310</v>
      </c>
      <c r="C1319" s="1078">
        <v>2</v>
      </c>
      <c r="D1319" s="1077" t="s">
        <v>4530</v>
      </c>
      <c r="E1319" s="1077" t="s">
        <v>5648</v>
      </c>
      <c r="F1319" s="1185">
        <v>4</v>
      </c>
      <c r="G1319" s="1186">
        <v>10.79</v>
      </c>
      <c r="H1319" s="1186">
        <v>2.3199999999999998</v>
      </c>
      <c r="I1319" s="1186">
        <v>13.3</v>
      </c>
      <c r="J1319" s="1186">
        <v>2.87</v>
      </c>
      <c r="K1319" s="1186">
        <v>8.69</v>
      </c>
      <c r="L1319" s="1186">
        <v>4.7</v>
      </c>
      <c r="M1319" s="1186">
        <v>9.82</v>
      </c>
      <c r="N1319" s="1186">
        <v>5.61</v>
      </c>
      <c r="O1319" s="1186">
        <v>6.3</v>
      </c>
      <c r="P1319" s="1186">
        <v>7.4</v>
      </c>
      <c r="Q1319" s="1186">
        <v>11.55</v>
      </c>
      <c r="R1319" s="1186">
        <v>2.14</v>
      </c>
      <c r="S1319" s="1186">
        <v>14.86</v>
      </c>
      <c r="T1319" s="1186">
        <v>3.02</v>
      </c>
      <c r="U1319" s="1186">
        <v>17.559999999999999</v>
      </c>
      <c r="V1319" s="1186">
        <v>3.56</v>
      </c>
      <c r="W1319" s="1186"/>
      <c r="X1319" s="1186"/>
      <c r="Y1319" s="1186"/>
      <c r="Z1319" s="1186"/>
      <c r="AA1319" s="1186"/>
      <c r="AB1319" s="1186"/>
      <c r="AC1319" s="1186"/>
      <c r="AD1319" s="1187"/>
    </row>
    <row r="1320" spans="1:30" x14ac:dyDescent="0.2">
      <c r="A1320">
        <f t="shared" si="54"/>
        <v>32</v>
      </c>
      <c r="B1320">
        <v>1311</v>
      </c>
      <c r="C1320" s="1078">
        <v>2</v>
      </c>
      <c r="D1320" s="1077" t="s">
        <v>4530</v>
      </c>
      <c r="E1320" s="1077" t="s">
        <v>5649</v>
      </c>
      <c r="F1320" s="1185">
        <v>4</v>
      </c>
      <c r="G1320" s="1186">
        <v>6.66</v>
      </c>
      <c r="H1320" s="1186">
        <v>2.2000000000000002</v>
      </c>
      <c r="I1320" s="1186">
        <v>8.32</v>
      </c>
      <c r="J1320" s="1186">
        <v>2.7</v>
      </c>
      <c r="K1320" s="1186">
        <v>3.52</v>
      </c>
      <c r="L1320" s="1186">
        <v>4.5999999999999996</v>
      </c>
      <c r="M1320" s="1186">
        <v>4.08</v>
      </c>
      <c r="N1320" s="1186">
        <v>5.44</v>
      </c>
      <c r="O1320" s="1186">
        <v>2.7</v>
      </c>
      <c r="P1320" s="1186">
        <v>6.74</v>
      </c>
      <c r="Q1320" s="1186">
        <v>7.68</v>
      </c>
      <c r="R1320" s="1186">
        <v>1.81</v>
      </c>
      <c r="S1320" s="1186">
        <v>7.95</v>
      </c>
      <c r="T1320" s="1186">
        <v>2.96</v>
      </c>
      <c r="U1320" s="1186">
        <v>8.4499999999999993</v>
      </c>
      <c r="V1320" s="1186">
        <v>3.55</v>
      </c>
      <c r="W1320" s="1186"/>
      <c r="X1320" s="1186"/>
      <c r="Y1320" s="1186"/>
      <c r="Z1320" s="1186"/>
      <c r="AA1320" s="1186"/>
      <c r="AB1320" s="1186"/>
      <c r="AC1320" s="1186"/>
      <c r="AD1320" s="1187"/>
    </row>
    <row r="1321" spans="1:30" x14ac:dyDescent="0.2">
      <c r="A1321">
        <f t="shared" si="54"/>
        <v>32</v>
      </c>
      <c r="B1321">
        <v>1312</v>
      </c>
      <c r="C1321" s="1078">
        <v>2</v>
      </c>
      <c r="D1321" s="1077" t="s">
        <v>4530</v>
      </c>
      <c r="E1321" s="1077" t="s">
        <v>5650</v>
      </c>
      <c r="F1321" s="1185">
        <v>4</v>
      </c>
      <c r="G1321" s="1186">
        <v>8.9700000000000006</v>
      </c>
      <c r="H1321" s="1186">
        <v>2.35</v>
      </c>
      <c r="I1321" s="1186">
        <v>10.3</v>
      </c>
      <c r="J1321" s="1186">
        <v>2.76</v>
      </c>
      <c r="K1321" s="1186">
        <v>5.31</v>
      </c>
      <c r="L1321" s="1186">
        <v>4.58</v>
      </c>
      <c r="M1321" s="1186">
        <v>5.87</v>
      </c>
      <c r="N1321" s="1186">
        <v>5.48</v>
      </c>
      <c r="O1321" s="1186">
        <v>3.98</v>
      </c>
      <c r="P1321" s="1186">
        <v>6.5</v>
      </c>
      <c r="Q1321" s="1186">
        <v>9.85</v>
      </c>
      <c r="R1321" s="1186">
        <v>2.25</v>
      </c>
      <c r="S1321" s="1186">
        <v>11.68</v>
      </c>
      <c r="T1321" s="1186">
        <v>2.85</v>
      </c>
      <c r="U1321" s="1186">
        <v>12.26</v>
      </c>
      <c r="V1321" s="1186">
        <v>3.58</v>
      </c>
      <c r="W1321" s="1186"/>
      <c r="X1321" s="1186"/>
      <c r="Y1321" s="1186"/>
      <c r="Z1321" s="1186"/>
      <c r="AA1321" s="1186"/>
      <c r="AB1321" s="1186"/>
      <c r="AC1321" s="1186"/>
      <c r="AD1321" s="1187"/>
    </row>
    <row r="1322" spans="1:30" x14ac:dyDescent="0.2">
      <c r="A1322">
        <f t="shared" si="54"/>
        <v>32</v>
      </c>
      <c r="B1322">
        <v>1313</v>
      </c>
      <c r="C1322" s="1078">
        <v>2</v>
      </c>
      <c r="D1322" s="1077" t="s">
        <v>4530</v>
      </c>
      <c r="E1322" s="1077" t="s">
        <v>5705</v>
      </c>
      <c r="F1322" s="1185">
        <v>4</v>
      </c>
      <c r="G1322" s="1186">
        <v>18.760000000000002</v>
      </c>
      <c r="H1322" s="1186">
        <v>2.21</v>
      </c>
      <c r="I1322" s="1186">
        <v>22.1</v>
      </c>
      <c r="J1322" s="1186">
        <v>2.85</v>
      </c>
      <c r="K1322" s="1186">
        <v>14.47</v>
      </c>
      <c r="L1322" s="1186">
        <v>4.8600000000000003</v>
      </c>
      <c r="M1322" s="1186">
        <v>16.649999999999999</v>
      </c>
      <c r="N1322" s="1186">
        <v>5.68</v>
      </c>
      <c r="O1322" s="1186">
        <v>10</v>
      </c>
      <c r="P1322" s="1186">
        <v>7.69</v>
      </c>
      <c r="Q1322" s="1186">
        <v>21.21</v>
      </c>
      <c r="R1322" s="1186">
        <v>2.2000000000000002</v>
      </c>
      <c r="S1322" s="1186">
        <v>25.12</v>
      </c>
      <c r="T1322" s="1186">
        <v>2.9</v>
      </c>
      <c r="U1322" s="1186">
        <v>30.2</v>
      </c>
      <c r="V1322" s="1186">
        <v>3.78</v>
      </c>
      <c r="W1322" s="1186"/>
      <c r="X1322" s="1186"/>
      <c r="Y1322" s="1186"/>
      <c r="Z1322" s="1186"/>
      <c r="AA1322" s="1186"/>
      <c r="AB1322" s="1186"/>
      <c r="AC1322" s="1186"/>
      <c r="AD1322" s="1187"/>
    </row>
    <row r="1323" spans="1:30" x14ac:dyDescent="0.2">
      <c r="A1323">
        <f t="shared" si="54"/>
        <v>32</v>
      </c>
      <c r="B1323">
        <v>1314</v>
      </c>
      <c r="C1323" s="1078">
        <v>2</v>
      </c>
      <c r="D1323" s="1077" t="s">
        <v>4530</v>
      </c>
      <c r="E1323" s="1077" t="s">
        <v>5706</v>
      </c>
      <c r="F1323" s="1185">
        <v>4</v>
      </c>
      <c r="G1323" s="1186">
        <v>37.520000000000003</v>
      </c>
      <c r="H1323" s="1186">
        <v>2.15</v>
      </c>
      <c r="I1323" s="1186">
        <v>45.8</v>
      </c>
      <c r="J1323" s="1186">
        <v>2.79</v>
      </c>
      <c r="K1323" s="1186">
        <v>28.19</v>
      </c>
      <c r="L1323" s="1186">
        <v>4.43</v>
      </c>
      <c r="M1323" s="1186">
        <v>33</v>
      </c>
      <c r="N1323" s="1186">
        <v>5.38</v>
      </c>
      <c r="O1323" s="1186">
        <v>10</v>
      </c>
      <c r="P1323" s="1186">
        <v>7.46</v>
      </c>
      <c r="Q1323" s="1186">
        <v>42.42</v>
      </c>
      <c r="R1323" s="1186">
        <v>2.13</v>
      </c>
      <c r="S1323" s="1186">
        <v>50.24</v>
      </c>
      <c r="T1323" s="1186" t="s">
        <v>5707</v>
      </c>
      <c r="U1323" s="1186" t="s">
        <v>5708</v>
      </c>
      <c r="V1323" s="1186">
        <v>3.66</v>
      </c>
      <c r="W1323" s="1186"/>
      <c r="X1323" s="1186"/>
      <c r="Y1323" s="1186"/>
      <c r="Z1323" s="1186"/>
      <c r="AA1323" s="1186"/>
      <c r="AB1323" s="1186"/>
      <c r="AC1323" s="1186"/>
      <c r="AD1323" s="1187"/>
    </row>
    <row r="1324" spans="1:30" x14ac:dyDescent="0.2">
      <c r="A1324">
        <f t="shared" si="54"/>
        <v>32</v>
      </c>
      <c r="B1324">
        <v>1315</v>
      </c>
      <c r="C1324" s="1078">
        <v>2</v>
      </c>
      <c r="D1324" s="1077" t="s">
        <v>4530</v>
      </c>
      <c r="E1324" s="1077" t="s">
        <v>5717</v>
      </c>
      <c r="F1324" s="1185">
        <v>4</v>
      </c>
      <c r="G1324" s="1186">
        <v>15.17</v>
      </c>
      <c r="H1324" s="1186">
        <v>2.56</v>
      </c>
      <c r="I1324" s="1186">
        <v>16.97</v>
      </c>
      <c r="J1324" s="1186">
        <v>3.15</v>
      </c>
      <c r="K1324" s="1186">
        <v>9.93</v>
      </c>
      <c r="L1324" s="1186">
        <v>4.7300000000000004</v>
      </c>
      <c r="M1324" s="1186">
        <v>11.68</v>
      </c>
      <c r="N1324" s="1186">
        <v>5.67</v>
      </c>
      <c r="O1324" s="1186">
        <v>8.85</v>
      </c>
      <c r="P1324" s="1186">
        <v>8.5500000000000007</v>
      </c>
      <c r="Q1324" s="1186">
        <v>15.55</v>
      </c>
      <c r="R1324" s="1186">
        <v>2.2799999999999998</v>
      </c>
      <c r="S1324" s="1186">
        <v>18.899999999999999</v>
      </c>
      <c r="T1324" s="1186">
        <v>3.38</v>
      </c>
      <c r="U1324" s="1186">
        <v>23.99</v>
      </c>
      <c r="V1324" s="1186">
        <v>4.08</v>
      </c>
      <c r="W1324" s="1186"/>
      <c r="X1324" s="1186"/>
      <c r="Y1324" s="1186"/>
      <c r="Z1324" s="1186"/>
      <c r="AA1324" s="1186"/>
      <c r="AB1324" s="1186"/>
      <c r="AC1324" s="1186"/>
      <c r="AD1324" s="1187"/>
    </row>
    <row r="1325" spans="1:30" x14ac:dyDescent="0.2">
      <c r="A1325">
        <f t="shared" si="54"/>
        <v>33</v>
      </c>
      <c r="B1325">
        <v>1316</v>
      </c>
      <c r="C1325" s="1078">
        <v>2</v>
      </c>
      <c r="D1325" s="1077" t="s">
        <v>5493</v>
      </c>
      <c r="E1325" s="1077" t="s">
        <v>4705</v>
      </c>
      <c r="F1325" s="1185">
        <v>4</v>
      </c>
      <c r="G1325" s="1186">
        <v>3.4</v>
      </c>
      <c r="H1325" s="1186">
        <v>2.42</v>
      </c>
      <c r="I1325" s="1186">
        <v>6.4</v>
      </c>
      <c r="J1325" s="1186">
        <v>3.17</v>
      </c>
      <c r="K1325" s="1186">
        <v>4.05</v>
      </c>
      <c r="L1325" s="1186">
        <v>4.13</v>
      </c>
      <c r="M1325" s="1186">
        <v>3.72</v>
      </c>
      <c r="N1325" s="1186">
        <v>5.16</v>
      </c>
      <c r="O1325" s="1186">
        <v>4.72</v>
      </c>
      <c r="P1325" s="1186">
        <v>4.32</v>
      </c>
      <c r="Q1325" s="1186">
        <v>4.93</v>
      </c>
      <c r="R1325" s="1186">
        <v>2.2000000000000002</v>
      </c>
      <c r="S1325" s="1186">
        <v>4.8499999999999996</v>
      </c>
      <c r="T1325" s="1186">
        <v>2.5299999999999998</v>
      </c>
      <c r="U1325" s="1186">
        <v>4.2699999999999996</v>
      </c>
      <c r="V1325" s="1186">
        <v>2.5</v>
      </c>
      <c r="W1325" s="1186"/>
      <c r="X1325" s="1186"/>
      <c r="Y1325" s="1186"/>
      <c r="Z1325" s="1186"/>
      <c r="AA1325" s="1186"/>
      <c r="AB1325" s="1186"/>
      <c r="AC1325" s="1186"/>
      <c r="AD1325" s="1187"/>
    </row>
    <row r="1326" spans="1:30" x14ac:dyDescent="0.2">
      <c r="A1326">
        <f t="shared" si="54"/>
        <v>33</v>
      </c>
      <c r="B1326">
        <v>1317</v>
      </c>
      <c r="C1326" s="1078">
        <v>2</v>
      </c>
      <c r="D1326" s="1077" t="s">
        <v>5493</v>
      </c>
      <c r="E1326" s="1077" t="s">
        <v>4706</v>
      </c>
      <c r="F1326" s="1185">
        <v>4</v>
      </c>
      <c r="G1326" s="1186">
        <v>4.2</v>
      </c>
      <c r="H1326" s="1186">
        <v>2</v>
      </c>
      <c r="I1326" s="1186">
        <v>8.5</v>
      </c>
      <c r="J1326" s="1186">
        <v>2.63</v>
      </c>
      <c r="K1326" s="1186">
        <v>7.36</v>
      </c>
      <c r="L1326" s="1186">
        <v>3.67</v>
      </c>
      <c r="M1326" s="1186">
        <v>4.88</v>
      </c>
      <c r="N1326" s="1186">
        <v>5.01</v>
      </c>
      <c r="O1326" s="1186">
        <v>8.4499999999999993</v>
      </c>
      <c r="P1326" s="1186">
        <v>4.33</v>
      </c>
      <c r="Q1326" s="1186">
        <v>8.4600000000000009</v>
      </c>
      <c r="R1326" s="1186">
        <v>2.0499999999999998</v>
      </c>
      <c r="S1326" s="1186">
        <v>7.39</v>
      </c>
      <c r="T1326" s="1186">
        <v>3.16</v>
      </c>
      <c r="U1326" s="1186">
        <v>7.8</v>
      </c>
      <c r="V1326" s="1186">
        <v>3.27</v>
      </c>
      <c r="W1326" s="1186"/>
      <c r="X1326" s="1186"/>
      <c r="Y1326" s="1186"/>
      <c r="Z1326" s="1186"/>
      <c r="AA1326" s="1186"/>
      <c r="AB1326" s="1186"/>
      <c r="AC1326" s="1186"/>
      <c r="AD1326" s="1187"/>
    </row>
    <row r="1327" spans="1:30" x14ac:dyDescent="0.2">
      <c r="A1327">
        <f t="shared" si="54"/>
        <v>33</v>
      </c>
      <c r="B1327">
        <v>1318</v>
      </c>
      <c r="C1327" s="1078">
        <v>2</v>
      </c>
      <c r="D1327" s="1077" t="s">
        <v>5493</v>
      </c>
      <c r="E1327" s="1077" t="s">
        <v>4707</v>
      </c>
      <c r="F1327" s="1185">
        <v>4</v>
      </c>
      <c r="G1327" s="1186">
        <v>3.4</v>
      </c>
      <c r="H1327" s="1186">
        <v>2.42</v>
      </c>
      <c r="I1327" s="1186">
        <v>6.4</v>
      </c>
      <c r="J1327" s="1186">
        <v>3.17</v>
      </c>
      <c r="K1327" s="1186">
        <v>4.05</v>
      </c>
      <c r="L1327" s="1186">
        <v>4.13</v>
      </c>
      <c r="M1327" s="1186">
        <v>3.72</v>
      </c>
      <c r="N1327" s="1186">
        <v>5.16</v>
      </c>
      <c r="O1327" s="1186">
        <v>4.72</v>
      </c>
      <c r="P1327" s="1186">
        <v>4.32</v>
      </c>
      <c r="Q1327" s="1186">
        <v>4.93</v>
      </c>
      <c r="R1327" s="1186">
        <v>2.2000000000000002</v>
      </c>
      <c r="S1327" s="1186">
        <v>4.8499999999999996</v>
      </c>
      <c r="T1327" s="1186">
        <v>2.5299999999999998</v>
      </c>
      <c r="U1327" s="1186">
        <v>4.2699999999999996</v>
      </c>
      <c r="V1327" s="1186">
        <v>2.5</v>
      </c>
      <c r="W1327" s="1186"/>
      <c r="X1327" s="1186"/>
      <c r="Y1327" s="1186"/>
      <c r="Z1327" s="1186"/>
      <c r="AA1327" s="1186"/>
      <c r="AB1327" s="1186"/>
      <c r="AC1327" s="1186"/>
      <c r="AD1327" s="1187"/>
    </row>
    <row r="1328" spans="1:30" x14ac:dyDescent="0.2">
      <c r="A1328">
        <f t="shared" si="54"/>
        <v>33</v>
      </c>
      <c r="B1328">
        <v>1319</v>
      </c>
      <c r="C1328" s="1078">
        <v>2</v>
      </c>
      <c r="D1328" s="1077" t="s">
        <v>5493</v>
      </c>
      <c r="E1328" s="1077" t="s">
        <v>4708</v>
      </c>
      <c r="F1328" s="1185">
        <v>4</v>
      </c>
      <c r="G1328" s="1186">
        <v>4.2</v>
      </c>
      <c r="H1328" s="1186">
        <v>2</v>
      </c>
      <c r="I1328" s="1186">
        <v>8.5</v>
      </c>
      <c r="J1328" s="1186">
        <v>2.63</v>
      </c>
      <c r="K1328" s="1186">
        <v>7.36</v>
      </c>
      <c r="L1328" s="1186">
        <v>3.67</v>
      </c>
      <c r="M1328" s="1186">
        <v>4.88</v>
      </c>
      <c r="N1328" s="1186">
        <v>5.01</v>
      </c>
      <c r="O1328" s="1186">
        <v>8.4499999999999993</v>
      </c>
      <c r="P1328" s="1186">
        <v>4.33</v>
      </c>
      <c r="Q1328" s="1186">
        <v>8.4600000000000009</v>
      </c>
      <c r="R1328" s="1186">
        <v>2.0499999999999998</v>
      </c>
      <c r="S1328" s="1186">
        <v>7.39</v>
      </c>
      <c r="T1328" s="1186">
        <v>3.16</v>
      </c>
      <c r="U1328" s="1186">
        <v>7.8</v>
      </c>
      <c r="V1328" s="1186">
        <v>3.27</v>
      </c>
      <c r="W1328" s="1186"/>
      <c r="X1328" s="1186"/>
      <c r="Y1328" s="1186"/>
      <c r="Z1328" s="1186"/>
      <c r="AA1328" s="1186"/>
      <c r="AB1328" s="1186"/>
      <c r="AC1328" s="1186"/>
      <c r="AD1328" s="1187"/>
    </row>
    <row r="1329" spans="1:30" x14ac:dyDescent="0.2">
      <c r="A1329">
        <f t="shared" si="54"/>
        <v>33</v>
      </c>
      <c r="B1329">
        <v>1320</v>
      </c>
      <c r="C1329" s="1078">
        <v>2</v>
      </c>
      <c r="D1329" s="1077" t="s">
        <v>5493</v>
      </c>
      <c r="E1329" s="1077" t="s">
        <v>5337</v>
      </c>
      <c r="F1329" s="1185">
        <v>4</v>
      </c>
      <c r="G1329" s="1186">
        <v>11</v>
      </c>
      <c r="H1329" s="1186">
        <v>2.6</v>
      </c>
      <c r="I1329" s="1186">
        <v>13.9</v>
      </c>
      <c r="J1329" s="1186">
        <v>3.21</v>
      </c>
      <c r="K1329" s="1186">
        <v>9.1068965517241374</v>
      </c>
      <c r="L1329" s="1186">
        <v>3.9</v>
      </c>
      <c r="M1329" s="1186">
        <v>6.7103448275862068</v>
      </c>
      <c r="N1329" s="1186">
        <v>4.1500000000000004</v>
      </c>
      <c r="O1329" s="1186">
        <v>6</v>
      </c>
      <c r="P1329" s="1186">
        <v>4.7</v>
      </c>
      <c r="Q1329" s="1186">
        <v>13.7</v>
      </c>
      <c r="R1329" s="1186">
        <v>2.41</v>
      </c>
      <c r="S1329" s="1186">
        <v>12</v>
      </c>
      <c r="T1329" s="1186">
        <v>3.31</v>
      </c>
      <c r="U1329" s="1186">
        <v>6.5</v>
      </c>
      <c r="V1329" s="1186">
        <v>3.4</v>
      </c>
      <c r="W1329" s="1186"/>
      <c r="X1329" s="1186"/>
      <c r="Y1329" s="1186"/>
      <c r="Z1329" s="1186"/>
      <c r="AA1329" s="1186"/>
      <c r="AB1329" s="1186"/>
      <c r="AC1329" s="1186"/>
      <c r="AD1329" s="1187"/>
    </row>
    <row r="1330" spans="1:30" x14ac:dyDescent="0.2">
      <c r="A1330">
        <f t="shared" si="54"/>
        <v>33</v>
      </c>
      <c r="B1330">
        <v>1321</v>
      </c>
      <c r="C1330" s="1078">
        <v>2</v>
      </c>
      <c r="D1330" s="1077" t="s">
        <v>5493</v>
      </c>
      <c r="E1330" s="1077" t="s">
        <v>4473</v>
      </c>
      <c r="F1330" s="1185">
        <v>1</v>
      </c>
      <c r="G1330" s="1186">
        <v>8.8000000000000007</v>
      </c>
      <c r="H1330" s="1186">
        <v>2.6</v>
      </c>
      <c r="I1330" s="1186">
        <v>10.8</v>
      </c>
      <c r="J1330" s="1186">
        <v>3</v>
      </c>
      <c r="K1330" s="1186">
        <v>13.8</v>
      </c>
      <c r="L1330" s="1186">
        <v>3.7</v>
      </c>
      <c r="M1330" s="1186">
        <v>14.4</v>
      </c>
      <c r="N1330" s="1186">
        <v>4.3</v>
      </c>
      <c r="O1330" s="1186">
        <v>22.1</v>
      </c>
      <c r="P1330" s="1186">
        <v>5.5</v>
      </c>
      <c r="Q1330" s="1186">
        <v>10.4</v>
      </c>
      <c r="R1330" s="1186">
        <v>2</v>
      </c>
      <c r="S1330" s="1186">
        <v>13.8</v>
      </c>
      <c r="T1330" s="1186">
        <v>2.6</v>
      </c>
      <c r="U1330" s="1186">
        <v>20.8</v>
      </c>
      <c r="V1330" s="1186">
        <v>3.4</v>
      </c>
      <c r="W1330" s="1186"/>
      <c r="X1330" s="1186"/>
      <c r="Y1330" s="1186"/>
      <c r="Z1330" s="1186"/>
      <c r="AA1330" s="1186"/>
      <c r="AB1330" s="1186"/>
      <c r="AC1330" s="1186"/>
      <c r="AD1330" s="1187"/>
    </row>
    <row r="1331" spans="1:30" x14ac:dyDescent="0.2">
      <c r="A1331">
        <f t="shared" si="54"/>
        <v>33</v>
      </c>
      <c r="B1331">
        <v>1322</v>
      </c>
      <c r="C1331" s="1078">
        <v>2</v>
      </c>
      <c r="D1331" s="1077" t="s">
        <v>5493</v>
      </c>
      <c r="E1331" s="1207" t="s">
        <v>4474</v>
      </c>
      <c r="F1331" s="1185">
        <v>2</v>
      </c>
      <c r="G1331" s="1186">
        <v>11</v>
      </c>
      <c r="H1331" s="1186">
        <v>2.2999999999999998</v>
      </c>
      <c r="I1331" s="1186">
        <v>14.1</v>
      </c>
      <c r="J1331" s="1186">
        <v>2.8</v>
      </c>
      <c r="K1331" s="1186">
        <v>9.5</v>
      </c>
      <c r="L1331" s="1186">
        <v>3.8</v>
      </c>
      <c r="M1331" s="1186">
        <v>10.1</v>
      </c>
      <c r="N1331" s="1186">
        <v>4.2</v>
      </c>
      <c r="O1331" s="1186">
        <v>16.600000000000001</v>
      </c>
      <c r="P1331" s="1186">
        <v>5.4</v>
      </c>
      <c r="Q1331" s="1186">
        <v>12.7</v>
      </c>
      <c r="R1331" s="1186">
        <v>1.8</v>
      </c>
      <c r="S1331" s="1186">
        <v>17.5</v>
      </c>
      <c r="T1331" s="1186">
        <v>2.5</v>
      </c>
      <c r="U1331" s="1186">
        <v>24.8</v>
      </c>
      <c r="V1331" s="1186">
        <v>3.6</v>
      </c>
      <c r="W1331" s="1186"/>
      <c r="X1331" s="1186"/>
      <c r="Y1331" s="1186"/>
      <c r="Z1331" s="1186"/>
      <c r="AA1331" s="1186"/>
      <c r="AB1331" s="1186"/>
      <c r="AC1331" s="1186"/>
      <c r="AD1331" s="1187"/>
    </row>
    <row r="1332" spans="1:30" x14ac:dyDescent="0.2">
      <c r="A1332">
        <f t="shared" si="54"/>
        <v>33</v>
      </c>
      <c r="B1332">
        <v>1323</v>
      </c>
      <c r="C1332" s="1078">
        <v>2</v>
      </c>
      <c r="D1332" s="1077" t="s">
        <v>5493</v>
      </c>
      <c r="E1332" s="1077" t="s">
        <v>5037</v>
      </c>
      <c r="F1332" s="1185">
        <v>2</v>
      </c>
      <c r="G1332" s="1186">
        <v>15.5</v>
      </c>
      <c r="H1332" s="1186">
        <v>2.5</v>
      </c>
      <c r="I1332" s="1186">
        <v>19.399999999999999</v>
      </c>
      <c r="J1332" s="1186">
        <v>2.8</v>
      </c>
      <c r="K1332" s="1186">
        <v>13.2</v>
      </c>
      <c r="L1332" s="1186">
        <v>3.8</v>
      </c>
      <c r="M1332" s="1186">
        <v>14.1</v>
      </c>
      <c r="N1332" s="1186">
        <v>4.2</v>
      </c>
      <c r="O1332" s="1186">
        <v>24.2</v>
      </c>
      <c r="P1332" s="1186">
        <v>6</v>
      </c>
      <c r="Q1332" s="1186">
        <v>18.5</v>
      </c>
      <c r="R1332" s="1186">
        <v>1.8</v>
      </c>
      <c r="S1332" s="1186">
        <v>26.5</v>
      </c>
      <c r="T1332" s="1186">
        <v>2.5</v>
      </c>
      <c r="U1332" s="1186">
        <v>39</v>
      </c>
      <c r="V1332" s="1186">
        <v>3.5</v>
      </c>
      <c r="W1332" s="1186"/>
      <c r="X1332" s="1186"/>
      <c r="Y1332" s="1186"/>
      <c r="Z1332" s="1186"/>
      <c r="AA1332" s="1186"/>
      <c r="AB1332" s="1186"/>
      <c r="AC1332" s="1186"/>
      <c r="AD1332" s="1187"/>
    </row>
    <row r="1333" spans="1:30" x14ac:dyDescent="0.2">
      <c r="A1333">
        <f t="shared" si="54"/>
        <v>33</v>
      </c>
      <c r="B1333">
        <v>1324</v>
      </c>
      <c r="C1333" s="1078">
        <v>2</v>
      </c>
      <c r="D1333" s="1077" t="s">
        <v>5493</v>
      </c>
      <c r="E1333" s="1077" t="s">
        <v>5038</v>
      </c>
      <c r="F1333" s="1185">
        <v>2</v>
      </c>
      <c r="G1333" s="1186">
        <v>19</v>
      </c>
      <c r="H1333" s="1186">
        <v>2.2999999999999998</v>
      </c>
      <c r="I1333" s="1186">
        <v>24.28</v>
      </c>
      <c r="J1333" s="1186">
        <v>2.77</v>
      </c>
      <c r="K1333" s="1186">
        <v>29.67</v>
      </c>
      <c r="L1333" s="1186">
        <v>3.41</v>
      </c>
      <c r="M1333" s="1186">
        <v>32.5</v>
      </c>
      <c r="N1333" s="1186">
        <v>3.8</v>
      </c>
      <c r="O1333" s="1186">
        <v>45</v>
      </c>
      <c r="P1333" s="1186">
        <v>4.8</v>
      </c>
      <c r="Q1333" s="1186">
        <v>24.28</v>
      </c>
      <c r="R1333" s="1186">
        <v>1.86</v>
      </c>
      <c r="S1333" s="1186">
        <v>34</v>
      </c>
      <c r="T1333" s="1186">
        <v>2.6</v>
      </c>
      <c r="U1333" s="1186">
        <v>44</v>
      </c>
      <c r="V1333" s="1186">
        <v>3.4</v>
      </c>
      <c r="W1333" s="1186"/>
      <c r="X1333" s="1186"/>
      <c r="Y1333" s="1186"/>
      <c r="Z1333" s="1186"/>
      <c r="AA1333" s="1186"/>
      <c r="AB1333" s="1186"/>
      <c r="AC1333" s="1186"/>
      <c r="AD1333" s="1187"/>
    </row>
    <row r="1334" spans="1:30" x14ac:dyDescent="0.2">
      <c r="A1334">
        <f t="shared" si="54"/>
        <v>33</v>
      </c>
      <c r="B1334">
        <v>1325</v>
      </c>
      <c r="C1334" s="1078">
        <v>2</v>
      </c>
      <c r="D1334" s="1077" t="s">
        <v>5493</v>
      </c>
      <c r="E1334" s="1077" t="s">
        <v>5039</v>
      </c>
      <c r="F1334" s="1185">
        <v>4</v>
      </c>
      <c r="G1334" s="1186">
        <v>3.4</v>
      </c>
      <c r="H1334" s="1186">
        <v>2.42</v>
      </c>
      <c r="I1334" s="1186">
        <v>6.4</v>
      </c>
      <c r="J1334" s="1186">
        <v>3.17</v>
      </c>
      <c r="K1334" s="1186">
        <v>4.05</v>
      </c>
      <c r="L1334" s="1186">
        <v>4.13</v>
      </c>
      <c r="M1334" s="1186">
        <v>3.72</v>
      </c>
      <c r="N1334" s="1186">
        <v>5.16</v>
      </c>
      <c r="O1334" s="1186">
        <v>4.72</v>
      </c>
      <c r="P1334" s="1186">
        <v>4.32</v>
      </c>
      <c r="Q1334" s="1186">
        <v>4.93</v>
      </c>
      <c r="R1334" s="1186">
        <v>2.2000000000000002</v>
      </c>
      <c r="S1334" s="1186">
        <v>4.8499999999999996</v>
      </c>
      <c r="T1334" s="1186">
        <v>2.5299999999999998</v>
      </c>
      <c r="U1334" s="1186">
        <v>4.2699999999999996</v>
      </c>
      <c r="V1334" s="1186">
        <v>2.5</v>
      </c>
      <c r="W1334" s="1186"/>
      <c r="X1334" s="1186"/>
      <c r="Y1334" s="1186"/>
      <c r="Z1334" s="1186"/>
      <c r="AA1334" s="1186"/>
      <c r="AB1334" s="1186"/>
      <c r="AC1334" s="1186"/>
      <c r="AD1334" s="1187"/>
    </row>
    <row r="1335" spans="1:30" x14ac:dyDescent="0.2">
      <c r="A1335">
        <f t="shared" si="54"/>
        <v>33</v>
      </c>
      <c r="B1335">
        <v>1326</v>
      </c>
      <c r="C1335" s="1078">
        <v>2</v>
      </c>
      <c r="D1335" s="1077" t="s">
        <v>5493</v>
      </c>
      <c r="E1335" s="1077" t="s">
        <v>5040</v>
      </c>
      <c r="F1335" s="1185">
        <v>4</v>
      </c>
      <c r="G1335" s="1186">
        <v>4.2</v>
      </c>
      <c r="H1335" s="1186">
        <v>2</v>
      </c>
      <c r="I1335" s="1186">
        <v>8.5</v>
      </c>
      <c r="J1335" s="1186">
        <v>2.63</v>
      </c>
      <c r="K1335" s="1186">
        <v>7.36</v>
      </c>
      <c r="L1335" s="1186">
        <v>3.67</v>
      </c>
      <c r="M1335" s="1186">
        <v>4.88</v>
      </c>
      <c r="N1335" s="1186">
        <v>5.01</v>
      </c>
      <c r="O1335" s="1186">
        <v>8.4499999999999993</v>
      </c>
      <c r="P1335" s="1186">
        <v>4.33</v>
      </c>
      <c r="Q1335" s="1186">
        <v>8.4600000000000009</v>
      </c>
      <c r="R1335" s="1186">
        <v>2.0499999999999998</v>
      </c>
      <c r="S1335" s="1186">
        <v>7.39</v>
      </c>
      <c r="T1335" s="1186">
        <v>3.16</v>
      </c>
      <c r="U1335" s="1186">
        <v>7.8</v>
      </c>
      <c r="V1335" s="1186">
        <v>3.27</v>
      </c>
      <c r="W1335" s="1186"/>
      <c r="X1335" s="1186"/>
      <c r="Y1335" s="1186"/>
      <c r="Z1335" s="1186"/>
      <c r="AA1335" s="1186"/>
      <c r="AB1335" s="1186"/>
      <c r="AC1335" s="1186"/>
      <c r="AD1335" s="1187"/>
    </row>
    <row r="1336" spans="1:30" x14ac:dyDescent="0.2">
      <c r="A1336">
        <f t="shared" si="54"/>
        <v>33</v>
      </c>
      <c r="B1336">
        <v>1327</v>
      </c>
      <c r="C1336" s="1078">
        <v>2</v>
      </c>
      <c r="D1336" s="1077" t="s">
        <v>5493</v>
      </c>
      <c r="E1336" s="1077" t="s">
        <v>5041</v>
      </c>
      <c r="F1336" s="1185">
        <v>4</v>
      </c>
      <c r="G1336" s="1186">
        <v>3.4</v>
      </c>
      <c r="H1336" s="1186">
        <v>2.42</v>
      </c>
      <c r="I1336" s="1186">
        <v>6.4</v>
      </c>
      <c r="J1336" s="1186">
        <v>3.17</v>
      </c>
      <c r="K1336" s="1186">
        <v>4.05</v>
      </c>
      <c r="L1336" s="1186">
        <v>4.13</v>
      </c>
      <c r="M1336" s="1186">
        <v>3.72</v>
      </c>
      <c r="N1336" s="1186">
        <v>5.16</v>
      </c>
      <c r="O1336" s="1186">
        <v>4.72</v>
      </c>
      <c r="P1336" s="1186">
        <v>4.32</v>
      </c>
      <c r="Q1336" s="1186">
        <v>4.93</v>
      </c>
      <c r="R1336" s="1186">
        <v>2.2000000000000002</v>
      </c>
      <c r="S1336" s="1186">
        <v>4.8499999999999996</v>
      </c>
      <c r="T1336" s="1186">
        <v>2.5299999999999998</v>
      </c>
      <c r="U1336" s="1186">
        <v>4.2699999999999996</v>
      </c>
      <c r="V1336" s="1186">
        <v>2.5</v>
      </c>
      <c r="W1336" s="1186"/>
      <c r="X1336" s="1186"/>
      <c r="Y1336" s="1186"/>
      <c r="Z1336" s="1186"/>
      <c r="AA1336" s="1186"/>
      <c r="AB1336" s="1186"/>
      <c r="AC1336" s="1186"/>
      <c r="AD1336" s="1187"/>
    </row>
    <row r="1337" spans="1:30" x14ac:dyDescent="0.2">
      <c r="A1337">
        <f t="shared" si="54"/>
        <v>33</v>
      </c>
      <c r="B1337">
        <v>1328</v>
      </c>
      <c r="C1337" s="1078">
        <v>2</v>
      </c>
      <c r="D1337" s="1077" t="s">
        <v>5493</v>
      </c>
      <c r="E1337" s="1077" t="s">
        <v>5042</v>
      </c>
      <c r="F1337" s="1185">
        <v>4</v>
      </c>
      <c r="G1337" s="1186">
        <v>4.2</v>
      </c>
      <c r="H1337" s="1186">
        <v>2</v>
      </c>
      <c r="I1337" s="1186">
        <v>8.5</v>
      </c>
      <c r="J1337" s="1186">
        <v>2.63</v>
      </c>
      <c r="K1337" s="1186">
        <v>7.36</v>
      </c>
      <c r="L1337" s="1186">
        <v>3.67</v>
      </c>
      <c r="M1337" s="1186">
        <v>4.88</v>
      </c>
      <c r="N1337" s="1186">
        <v>5.01</v>
      </c>
      <c r="O1337" s="1186">
        <v>8.4499999999999993</v>
      </c>
      <c r="P1337" s="1186">
        <v>4.33</v>
      </c>
      <c r="Q1337" s="1186">
        <v>8.4600000000000009</v>
      </c>
      <c r="R1337" s="1186">
        <v>2.0499999999999998</v>
      </c>
      <c r="S1337" s="1186">
        <v>7.39</v>
      </c>
      <c r="T1337" s="1186">
        <v>3.16</v>
      </c>
      <c r="U1337" s="1186">
        <v>7.8</v>
      </c>
      <c r="V1337" s="1186">
        <v>3.27</v>
      </c>
      <c r="W1337" s="1186"/>
      <c r="X1337" s="1186"/>
      <c r="Y1337" s="1186"/>
      <c r="Z1337" s="1186"/>
      <c r="AA1337" s="1186"/>
      <c r="AB1337" s="1186"/>
      <c r="AC1337" s="1186"/>
      <c r="AD1337" s="1187"/>
    </row>
    <row r="1338" spans="1:30" x14ac:dyDescent="0.2">
      <c r="A1338">
        <f t="shared" si="54"/>
        <v>33</v>
      </c>
      <c r="B1338">
        <v>1329</v>
      </c>
      <c r="C1338" s="1078">
        <v>2</v>
      </c>
      <c r="D1338" s="1077" t="s">
        <v>5493</v>
      </c>
      <c r="E1338" s="1077" t="s">
        <v>5043</v>
      </c>
      <c r="F1338" s="1185">
        <v>2</v>
      </c>
      <c r="G1338" s="1186">
        <v>19</v>
      </c>
      <c r="H1338" s="1186">
        <v>2.2999999999999998</v>
      </c>
      <c r="I1338" s="1186">
        <v>24.28</v>
      </c>
      <c r="J1338" s="1186">
        <v>2.77</v>
      </c>
      <c r="K1338" s="1186">
        <v>29.67</v>
      </c>
      <c r="L1338" s="1186">
        <v>3.41</v>
      </c>
      <c r="M1338" s="1186">
        <v>32.5</v>
      </c>
      <c r="N1338" s="1186">
        <v>3.8</v>
      </c>
      <c r="O1338" s="1186">
        <v>45</v>
      </c>
      <c r="P1338" s="1186">
        <v>4.8</v>
      </c>
      <c r="Q1338" s="1186">
        <v>24.28</v>
      </c>
      <c r="R1338" s="1186">
        <v>1.86</v>
      </c>
      <c r="S1338" s="1186">
        <v>34</v>
      </c>
      <c r="T1338" s="1186">
        <v>2.6</v>
      </c>
      <c r="U1338" s="1186">
        <v>44</v>
      </c>
      <c r="V1338" s="1186">
        <v>3.4</v>
      </c>
      <c r="W1338" s="1186"/>
      <c r="X1338" s="1186"/>
      <c r="Y1338" s="1186"/>
      <c r="Z1338" s="1186"/>
      <c r="AA1338" s="1186"/>
      <c r="AB1338" s="1186"/>
      <c r="AC1338" s="1186"/>
      <c r="AD1338" s="1187"/>
    </row>
    <row r="1339" spans="1:30" x14ac:dyDescent="0.2">
      <c r="A1339">
        <f t="shared" si="54"/>
        <v>33</v>
      </c>
      <c r="B1339">
        <v>1330</v>
      </c>
      <c r="C1339" s="1078">
        <v>2</v>
      </c>
      <c r="D1339" s="1077" t="s">
        <v>5493</v>
      </c>
      <c r="E1339" s="1077" t="s">
        <v>4469</v>
      </c>
      <c r="F1339" s="1185">
        <v>4</v>
      </c>
      <c r="G1339" s="1186">
        <v>4.2</v>
      </c>
      <c r="H1339" s="1186">
        <v>2.6</v>
      </c>
      <c r="I1339" s="1186">
        <v>5.2</v>
      </c>
      <c r="J1339" s="1186">
        <v>3</v>
      </c>
      <c r="K1339" s="1186">
        <v>4.03</v>
      </c>
      <c r="L1339" s="1186">
        <v>4.43</v>
      </c>
      <c r="M1339" s="1186">
        <v>5.31</v>
      </c>
      <c r="N1339" s="1186">
        <v>5.07</v>
      </c>
      <c r="O1339" s="1186">
        <v>5.0999999999999996</v>
      </c>
      <c r="P1339" s="1186">
        <v>6</v>
      </c>
      <c r="Q1339" s="1186">
        <v>5.55</v>
      </c>
      <c r="R1339" s="1186">
        <v>2.19</v>
      </c>
      <c r="S1339" s="1186">
        <v>6.32</v>
      </c>
      <c r="T1339" s="1186">
        <v>2.97</v>
      </c>
      <c r="U1339" s="1186">
        <v>4.68</v>
      </c>
      <c r="V1339" s="1186">
        <v>3.31</v>
      </c>
      <c r="W1339" s="1186"/>
      <c r="X1339" s="1186"/>
      <c r="Y1339" s="1186"/>
      <c r="Z1339" s="1186"/>
      <c r="AA1339" s="1186"/>
      <c r="AB1339" s="1186"/>
      <c r="AC1339" s="1186"/>
      <c r="AD1339" s="1187"/>
    </row>
    <row r="1340" spans="1:30" x14ac:dyDescent="0.2">
      <c r="A1340">
        <f t="shared" si="54"/>
        <v>33</v>
      </c>
      <c r="B1340">
        <v>1331</v>
      </c>
      <c r="C1340" s="1078">
        <v>2</v>
      </c>
      <c r="D1340" s="1077" t="s">
        <v>5493</v>
      </c>
      <c r="E1340" s="1077" t="s">
        <v>4470</v>
      </c>
      <c r="F1340" s="1185">
        <v>4</v>
      </c>
      <c r="G1340" s="1186">
        <v>6.5</v>
      </c>
      <c r="H1340" s="1186">
        <v>2.7</v>
      </c>
      <c r="I1340" s="1186">
        <v>7.4</v>
      </c>
      <c r="J1340" s="1186">
        <v>3.1</v>
      </c>
      <c r="K1340" s="1186">
        <v>5.21</v>
      </c>
      <c r="L1340" s="1186">
        <v>4.2699999999999996</v>
      </c>
      <c r="M1340" s="1186">
        <v>3.54</v>
      </c>
      <c r="N1340" s="1186">
        <v>5.12</v>
      </c>
      <c r="O1340" s="1186">
        <v>8.4</v>
      </c>
      <c r="P1340" s="1186">
        <v>6</v>
      </c>
      <c r="Q1340" s="1186">
        <v>7.66</v>
      </c>
      <c r="R1340" s="1186">
        <v>2.25</v>
      </c>
      <c r="S1340" s="1186">
        <v>10</v>
      </c>
      <c r="T1340" s="1186">
        <v>3.01</v>
      </c>
      <c r="U1340" s="1186">
        <v>7.65</v>
      </c>
      <c r="V1340" s="1186">
        <v>3.4</v>
      </c>
      <c r="W1340" s="1186"/>
      <c r="X1340" s="1186"/>
      <c r="Y1340" s="1186"/>
      <c r="Z1340" s="1186"/>
      <c r="AA1340" s="1186"/>
      <c r="AB1340" s="1186"/>
      <c r="AC1340" s="1186"/>
      <c r="AD1340" s="1187"/>
    </row>
    <row r="1341" spans="1:30" x14ac:dyDescent="0.2">
      <c r="A1341">
        <f t="shared" si="54"/>
        <v>33</v>
      </c>
      <c r="B1341">
        <v>1332</v>
      </c>
      <c r="C1341" s="1078">
        <v>2</v>
      </c>
      <c r="D1341" s="1077" t="s">
        <v>5493</v>
      </c>
      <c r="E1341" s="1077" t="s">
        <v>4471</v>
      </c>
      <c r="F1341" s="1185">
        <v>4</v>
      </c>
      <c r="G1341" s="1186">
        <v>9.1</v>
      </c>
      <c r="H1341" s="1186">
        <v>2.7</v>
      </c>
      <c r="I1341" s="1186">
        <v>10.199999999999999</v>
      </c>
      <c r="J1341" s="1186">
        <v>3.1</v>
      </c>
      <c r="K1341" s="1186">
        <v>7.8</v>
      </c>
      <c r="L1341" s="1186">
        <v>4.3600000000000003</v>
      </c>
      <c r="M1341" s="1186">
        <v>5.17</v>
      </c>
      <c r="N1341" s="1186">
        <v>5.1100000000000003</v>
      </c>
      <c r="O1341" s="1186">
        <v>10.6</v>
      </c>
      <c r="P1341" s="1186">
        <v>6</v>
      </c>
      <c r="Q1341" s="1186">
        <v>10.9</v>
      </c>
      <c r="R1341" s="1186">
        <v>2.35</v>
      </c>
      <c r="S1341" s="1186">
        <v>13.7</v>
      </c>
      <c r="T1341" s="1186">
        <v>3.11</v>
      </c>
      <c r="U1341" s="1186">
        <v>9.75</v>
      </c>
      <c r="V1341" s="1186">
        <v>3.35</v>
      </c>
      <c r="W1341" s="1186"/>
      <c r="X1341" s="1186"/>
      <c r="Y1341" s="1186"/>
      <c r="Z1341" s="1186"/>
      <c r="AA1341" s="1186"/>
      <c r="AB1341" s="1186"/>
      <c r="AC1341" s="1186"/>
      <c r="AD1341" s="1187"/>
    </row>
    <row r="1342" spans="1:30" x14ac:dyDescent="0.2">
      <c r="A1342">
        <f t="shared" si="54"/>
        <v>33</v>
      </c>
      <c r="B1342">
        <v>1333</v>
      </c>
      <c r="C1342" s="1078">
        <v>2</v>
      </c>
      <c r="D1342" s="1077" t="s">
        <v>5493</v>
      </c>
      <c r="E1342" s="1077" t="s">
        <v>4472</v>
      </c>
      <c r="F1342" s="1185">
        <v>4</v>
      </c>
      <c r="G1342" s="1186">
        <v>11.2</v>
      </c>
      <c r="H1342" s="1186">
        <v>2.6</v>
      </c>
      <c r="I1342" s="1186">
        <v>13.5</v>
      </c>
      <c r="J1342" s="1186">
        <v>2.9</v>
      </c>
      <c r="K1342" s="1186">
        <v>9.9499999999999993</v>
      </c>
      <c r="L1342" s="1186">
        <v>4.22</v>
      </c>
      <c r="M1342" s="1186">
        <v>5.17</v>
      </c>
      <c r="N1342" s="1186">
        <v>5.1100000000000003</v>
      </c>
      <c r="O1342" s="1186">
        <v>14.9</v>
      </c>
      <c r="P1342" s="1186">
        <v>5.6</v>
      </c>
      <c r="Q1342" s="1186">
        <v>14.2</v>
      </c>
      <c r="R1342" s="1186">
        <v>2.2000000000000002</v>
      </c>
      <c r="S1342" s="1186">
        <v>17</v>
      </c>
      <c r="T1342" s="1186">
        <v>2.93</v>
      </c>
      <c r="U1342" s="1186">
        <v>13.6</v>
      </c>
      <c r="V1342" s="1186">
        <v>3.24</v>
      </c>
      <c r="W1342" s="1186"/>
      <c r="X1342" s="1186"/>
      <c r="Y1342" s="1186"/>
      <c r="Z1342" s="1186"/>
      <c r="AA1342" s="1186"/>
      <c r="AB1342" s="1186"/>
      <c r="AC1342" s="1186"/>
      <c r="AD1342" s="1187"/>
    </row>
    <row r="1343" spans="1:30" x14ac:dyDescent="0.2">
      <c r="A1343">
        <f t="shared" si="54"/>
        <v>33</v>
      </c>
      <c r="B1343">
        <v>1334</v>
      </c>
      <c r="C1343" s="1078">
        <v>2</v>
      </c>
      <c r="D1343" s="1077" t="s">
        <v>5493</v>
      </c>
      <c r="E1343" s="1077" t="s">
        <v>5148</v>
      </c>
      <c r="F1343" s="1185">
        <v>4</v>
      </c>
      <c r="G1343" s="1186">
        <v>4</v>
      </c>
      <c r="H1343" s="1186">
        <v>2.8</v>
      </c>
      <c r="I1343" s="1186">
        <v>5.52</v>
      </c>
      <c r="J1343" s="1186">
        <v>3.21</v>
      </c>
      <c r="K1343" s="1186">
        <v>6.3</v>
      </c>
      <c r="L1343" s="1186">
        <v>4.0999999999999996</v>
      </c>
      <c r="M1343" s="1186">
        <v>6.8</v>
      </c>
      <c r="N1343" s="1186">
        <v>4.8</v>
      </c>
      <c r="O1343" s="1186">
        <v>6.5</v>
      </c>
      <c r="P1343" s="1186">
        <v>6</v>
      </c>
      <c r="Q1343" s="1186">
        <v>5.17</v>
      </c>
      <c r="R1343" s="1186">
        <v>2.29</v>
      </c>
      <c r="S1343" s="1186">
        <v>2.8</v>
      </c>
      <c r="T1343" s="1186">
        <v>2.6</v>
      </c>
      <c r="U1343" s="1186">
        <v>6.05</v>
      </c>
      <c r="V1343" s="1186">
        <v>4</v>
      </c>
      <c r="W1343" s="1186"/>
      <c r="X1343" s="1186"/>
      <c r="Y1343" s="1186"/>
      <c r="Z1343" s="1186"/>
      <c r="AA1343" s="1186"/>
      <c r="AB1343" s="1186"/>
      <c r="AC1343" s="1186"/>
      <c r="AD1343" s="1187"/>
    </row>
    <row r="1344" spans="1:30" x14ac:dyDescent="0.2">
      <c r="A1344">
        <f t="shared" si="54"/>
        <v>33</v>
      </c>
      <c r="B1344">
        <v>1335</v>
      </c>
      <c r="C1344" s="1078">
        <v>2</v>
      </c>
      <c r="D1344" s="1077" t="s">
        <v>5493</v>
      </c>
      <c r="E1344" s="1077" t="s">
        <v>5149</v>
      </c>
      <c r="F1344" s="1185">
        <v>4</v>
      </c>
      <c r="G1344" s="1186">
        <v>6.1</v>
      </c>
      <c r="H1344" s="1186">
        <v>2.5</v>
      </c>
      <c r="I1344" s="1186">
        <v>8.34</v>
      </c>
      <c r="J1344" s="1186">
        <v>2.88</v>
      </c>
      <c r="K1344" s="1186">
        <v>9.5</v>
      </c>
      <c r="L1344" s="1186">
        <v>3.9</v>
      </c>
      <c r="M1344" s="1186">
        <v>9.8000000000000007</v>
      </c>
      <c r="N1344" s="1186">
        <v>4.8</v>
      </c>
      <c r="O1344" s="1186">
        <v>9.8000000000000007</v>
      </c>
      <c r="P1344" s="1186">
        <v>6</v>
      </c>
      <c r="Q1344" s="1186">
        <v>8.18</v>
      </c>
      <c r="R1344" s="1186">
        <v>2.19</v>
      </c>
      <c r="S1344" s="1186">
        <v>3.05</v>
      </c>
      <c r="T1344" s="1186">
        <v>2.6</v>
      </c>
      <c r="U1344" s="1186">
        <v>9.1</v>
      </c>
      <c r="V1344" s="1186">
        <v>2.8</v>
      </c>
      <c r="W1344" s="1186"/>
      <c r="X1344" s="1186"/>
      <c r="Y1344" s="1186"/>
      <c r="Z1344" s="1186"/>
      <c r="AA1344" s="1186"/>
      <c r="AB1344" s="1186"/>
      <c r="AC1344" s="1186"/>
      <c r="AD1344" s="1187"/>
    </row>
    <row r="1345" spans="1:30" x14ac:dyDescent="0.2">
      <c r="A1345">
        <f t="shared" si="54"/>
        <v>33</v>
      </c>
      <c r="B1345">
        <v>1336</v>
      </c>
      <c r="C1345" s="1078">
        <v>2</v>
      </c>
      <c r="D1345" s="1077" t="s">
        <v>5493</v>
      </c>
      <c r="E1345" s="1077" t="s">
        <v>5636</v>
      </c>
      <c r="F1345" s="1185">
        <v>4</v>
      </c>
      <c r="G1345" s="1186">
        <v>9.34</v>
      </c>
      <c r="H1345" s="1186">
        <v>2.54</v>
      </c>
      <c r="I1345" s="1186">
        <v>11.42</v>
      </c>
      <c r="J1345" s="1186">
        <v>3.01</v>
      </c>
      <c r="K1345" s="1186">
        <v>9.1199999999999992</v>
      </c>
      <c r="L1345" s="1186">
        <v>3.97</v>
      </c>
      <c r="M1345" s="1186">
        <v>5.05</v>
      </c>
      <c r="N1345" s="1186">
        <v>5.49</v>
      </c>
      <c r="O1345" s="1186">
        <v>6.9</v>
      </c>
      <c r="P1345" s="1186">
        <v>8.74</v>
      </c>
      <c r="Q1345" s="1186">
        <v>11.31</v>
      </c>
      <c r="R1345" s="1186">
        <v>2.2799999999999998</v>
      </c>
      <c r="S1345" s="1186">
        <v>4.7699999999999996</v>
      </c>
      <c r="T1345" s="1186">
        <v>3.59</v>
      </c>
      <c r="U1345" s="1186">
        <v>6.51</v>
      </c>
      <c r="V1345" s="1186">
        <v>4.8899999999999997</v>
      </c>
      <c r="W1345" s="1186"/>
      <c r="X1345" s="1186"/>
      <c r="Y1345" s="1186"/>
      <c r="Z1345" s="1186"/>
      <c r="AA1345" s="1186"/>
      <c r="AB1345" s="1186"/>
      <c r="AC1345" s="1186"/>
      <c r="AD1345" s="1187"/>
    </row>
    <row r="1346" spans="1:30" x14ac:dyDescent="0.2">
      <c r="A1346">
        <f t="shared" si="54"/>
        <v>33</v>
      </c>
      <c r="B1346">
        <v>1337</v>
      </c>
      <c r="C1346" s="1078">
        <v>2</v>
      </c>
      <c r="D1346" s="1077" t="s">
        <v>5493</v>
      </c>
      <c r="E1346" s="1077" t="s">
        <v>5637</v>
      </c>
      <c r="F1346" s="1185">
        <v>4</v>
      </c>
      <c r="G1346" s="1186">
        <v>11.15</v>
      </c>
      <c r="H1346" s="1186">
        <v>2.4500000000000002</v>
      </c>
      <c r="I1346" s="1186">
        <v>13.64</v>
      </c>
      <c r="J1346" s="1186">
        <v>2.86</v>
      </c>
      <c r="K1346" s="1186">
        <v>9.1199999999999992</v>
      </c>
      <c r="L1346" s="1186">
        <v>3.97</v>
      </c>
      <c r="M1346" s="1186">
        <v>5.05</v>
      </c>
      <c r="N1346" s="1186">
        <v>5.49</v>
      </c>
      <c r="O1346" s="1186">
        <v>6.9</v>
      </c>
      <c r="P1346" s="1186">
        <v>8.74</v>
      </c>
      <c r="Q1346" s="1186">
        <v>13.45</v>
      </c>
      <c r="R1346" s="1186">
        <v>2.2000000000000002</v>
      </c>
      <c r="S1346" s="1186">
        <v>4.7699999999999996</v>
      </c>
      <c r="T1346" s="1186">
        <v>3.59</v>
      </c>
      <c r="U1346" s="1186">
        <v>6.51</v>
      </c>
      <c r="V1346" s="1186">
        <v>4.8899999999999997</v>
      </c>
      <c r="W1346" s="1186"/>
      <c r="X1346" s="1186"/>
      <c r="Y1346" s="1186"/>
      <c r="Z1346" s="1186"/>
      <c r="AA1346" s="1186"/>
      <c r="AB1346" s="1186"/>
      <c r="AC1346" s="1186"/>
      <c r="AD1346" s="1187"/>
    </row>
    <row r="1347" spans="1:30" x14ac:dyDescent="0.2">
      <c r="A1347">
        <f t="shared" si="54"/>
        <v>33</v>
      </c>
      <c r="B1347">
        <v>1338</v>
      </c>
      <c r="C1347" s="1078">
        <v>2</v>
      </c>
      <c r="D1347" s="1077" t="s">
        <v>5493</v>
      </c>
      <c r="E1347" s="1077" t="s">
        <v>5638</v>
      </c>
      <c r="F1347" s="1185">
        <v>4</v>
      </c>
      <c r="G1347" s="1186">
        <v>14.69</v>
      </c>
      <c r="H1347" s="1186">
        <v>2.5299999999999998</v>
      </c>
      <c r="I1347" s="1186">
        <v>18</v>
      </c>
      <c r="J1347" s="1186">
        <v>2.95</v>
      </c>
      <c r="K1347" s="1186">
        <v>11.35</v>
      </c>
      <c r="L1347" s="1186">
        <v>3.85</v>
      </c>
      <c r="M1347" s="1186">
        <v>9.6999999999999993</v>
      </c>
      <c r="N1347" s="1186">
        <v>4.99</v>
      </c>
      <c r="O1347" s="1186">
        <v>9.1199999999999992</v>
      </c>
      <c r="P1347" s="1186">
        <v>7.41</v>
      </c>
      <c r="Q1347" s="1186">
        <v>16.97</v>
      </c>
      <c r="R1347" s="1186">
        <v>2.17</v>
      </c>
      <c r="S1347" s="1186">
        <v>9.7100000000000009</v>
      </c>
      <c r="T1347" s="1186">
        <v>3.27</v>
      </c>
      <c r="U1347" s="1186">
        <v>8.39</v>
      </c>
      <c r="V1347" s="1186">
        <v>4.09</v>
      </c>
      <c r="W1347" s="1186"/>
      <c r="X1347" s="1186"/>
      <c r="Y1347" s="1186"/>
      <c r="Z1347" s="1186"/>
      <c r="AA1347" s="1186"/>
      <c r="AB1347" s="1186"/>
      <c r="AC1347" s="1186"/>
      <c r="AD1347" s="1187"/>
    </row>
    <row r="1348" spans="1:30" x14ac:dyDescent="0.2">
      <c r="A1348">
        <f t="shared" si="54"/>
        <v>33</v>
      </c>
      <c r="B1348">
        <v>1339</v>
      </c>
      <c r="C1348" s="1078">
        <v>2</v>
      </c>
      <c r="D1348" s="1077" t="s">
        <v>5493</v>
      </c>
      <c r="E1348" s="1077" t="s">
        <v>5669</v>
      </c>
      <c r="F1348" s="1185">
        <v>4</v>
      </c>
      <c r="G1348" s="1186">
        <v>3.59</v>
      </c>
      <c r="H1348" s="1186">
        <v>2.27</v>
      </c>
      <c r="I1348" s="1186">
        <v>4.29</v>
      </c>
      <c r="J1348" s="1186">
        <v>2.52</v>
      </c>
      <c r="K1348" s="1186">
        <v>3.26</v>
      </c>
      <c r="L1348" s="1186">
        <v>3.31</v>
      </c>
      <c r="M1348" s="1186">
        <v>2.4300000000000002</v>
      </c>
      <c r="N1348" s="1186">
        <v>4.25</v>
      </c>
      <c r="O1348" s="1186">
        <v>2.8</v>
      </c>
      <c r="P1348" s="1186">
        <v>6.56</v>
      </c>
      <c r="Q1348" s="1186">
        <v>4.62</v>
      </c>
      <c r="R1348" s="1186">
        <v>2.17</v>
      </c>
      <c r="S1348" s="1186">
        <v>1.97</v>
      </c>
      <c r="T1348" s="1186">
        <v>2.44</v>
      </c>
      <c r="U1348" s="1186">
        <v>2.35</v>
      </c>
      <c r="V1348" s="1186">
        <v>3.54</v>
      </c>
      <c r="W1348" s="1186"/>
      <c r="X1348" s="1186"/>
      <c r="Y1348" s="1186"/>
      <c r="Z1348" s="1186"/>
      <c r="AA1348" s="1186"/>
      <c r="AB1348" s="1186"/>
      <c r="AC1348" s="1186"/>
      <c r="AD1348" s="1187"/>
    </row>
    <row r="1349" spans="1:30" x14ac:dyDescent="0.2">
      <c r="A1349">
        <f t="shared" si="54"/>
        <v>33</v>
      </c>
      <c r="B1349">
        <v>1340</v>
      </c>
      <c r="C1349" s="1078">
        <v>2</v>
      </c>
      <c r="D1349" s="1077" t="s">
        <v>5493</v>
      </c>
      <c r="E1349" s="1077" t="s">
        <v>5670</v>
      </c>
      <c r="F1349" s="1185">
        <v>4</v>
      </c>
      <c r="G1349" s="1186">
        <v>6.55</v>
      </c>
      <c r="H1349" s="1186">
        <v>2.2599999999999998</v>
      </c>
      <c r="I1349" s="1186">
        <v>7.48</v>
      </c>
      <c r="J1349" s="1186">
        <v>2.57</v>
      </c>
      <c r="K1349" s="1186">
        <v>5.46</v>
      </c>
      <c r="L1349" s="1186">
        <v>3.26</v>
      </c>
      <c r="M1349" s="1186">
        <v>4.21</v>
      </c>
      <c r="N1349" s="1186">
        <v>4.17</v>
      </c>
      <c r="O1349" s="1186">
        <v>6.18</v>
      </c>
      <c r="P1349" s="1186">
        <v>4.74</v>
      </c>
      <c r="Q1349" s="1186">
        <v>6.7</v>
      </c>
      <c r="R1349" s="1186">
        <v>2.0699999999999998</v>
      </c>
      <c r="S1349" s="1186">
        <v>3.59</v>
      </c>
      <c r="T1349" s="1186">
        <v>2.71</v>
      </c>
      <c r="U1349" s="1186">
        <v>4.68</v>
      </c>
      <c r="V1349" s="1186">
        <v>3.79</v>
      </c>
      <c r="W1349" s="1186"/>
      <c r="X1349" s="1186"/>
      <c r="Y1349" s="1186"/>
      <c r="Z1349" s="1186"/>
      <c r="AA1349" s="1186"/>
      <c r="AB1349" s="1186"/>
      <c r="AC1349" s="1186"/>
      <c r="AD1349" s="1187"/>
    </row>
    <row r="1350" spans="1:30" x14ac:dyDescent="0.2">
      <c r="A1350">
        <f t="shared" si="54"/>
        <v>33</v>
      </c>
      <c r="B1350">
        <v>1341</v>
      </c>
      <c r="C1350" s="1078">
        <v>2</v>
      </c>
      <c r="D1350" s="1077" t="s">
        <v>5493</v>
      </c>
      <c r="E1350" s="1077" t="s">
        <v>5671</v>
      </c>
      <c r="F1350" s="1185">
        <v>4</v>
      </c>
      <c r="G1350" s="1186">
        <v>7.43</v>
      </c>
      <c r="H1350" s="1186">
        <v>2.41</v>
      </c>
      <c r="I1350" s="1186">
        <v>9.19</v>
      </c>
      <c r="J1350" s="1186">
        <v>2.85</v>
      </c>
      <c r="K1350" s="1186">
        <v>6.68</v>
      </c>
      <c r="L1350" s="1186">
        <v>3.51</v>
      </c>
      <c r="M1350" s="1186">
        <v>5.0999999999999996</v>
      </c>
      <c r="N1350" s="1186">
        <v>4.45</v>
      </c>
      <c r="O1350" s="1186">
        <v>5.4</v>
      </c>
      <c r="P1350" s="1186">
        <v>6.1</v>
      </c>
      <c r="Q1350" s="1186">
        <v>6.55</v>
      </c>
      <c r="R1350" s="1186">
        <v>1.79</v>
      </c>
      <c r="S1350" s="1186">
        <v>4.03</v>
      </c>
      <c r="T1350" s="1186">
        <v>2.59</v>
      </c>
      <c r="U1350" s="1186">
        <v>4.84</v>
      </c>
      <c r="V1350" s="1186">
        <v>3.53</v>
      </c>
      <c r="W1350" s="1186"/>
      <c r="X1350" s="1186"/>
      <c r="Y1350" s="1186"/>
      <c r="Z1350" s="1186"/>
      <c r="AA1350" s="1186"/>
      <c r="AB1350" s="1186"/>
      <c r="AC1350" s="1186"/>
      <c r="AD1350" s="1187"/>
    </row>
    <row r="1351" spans="1:30" x14ac:dyDescent="0.2">
      <c r="A1351">
        <f t="shared" si="54"/>
        <v>33</v>
      </c>
      <c r="B1351">
        <v>1342</v>
      </c>
      <c r="C1351" s="1078">
        <v>2</v>
      </c>
      <c r="D1351" s="1077" t="s">
        <v>5493</v>
      </c>
      <c r="E1351" s="1077" t="s">
        <v>5672</v>
      </c>
      <c r="F1351" s="1185">
        <v>4</v>
      </c>
      <c r="G1351" s="1186">
        <v>9.59</v>
      </c>
      <c r="H1351" s="1186">
        <v>2.38</v>
      </c>
      <c r="I1351" s="1186">
        <v>11.4</v>
      </c>
      <c r="J1351" s="1186">
        <v>2.72</v>
      </c>
      <c r="K1351" s="1186">
        <v>8.89</v>
      </c>
      <c r="L1351" s="1186">
        <v>3.47</v>
      </c>
      <c r="M1351" s="1186">
        <v>7.25</v>
      </c>
      <c r="N1351" s="1186">
        <v>4.5599999999999996</v>
      </c>
      <c r="O1351" s="1186">
        <v>7.78</v>
      </c>
      <c r="P1351" s="1186">
        <v>6.53</v>
      </c>
      <c r="Q1351" s="1186">
        <v>9.77</v>
      </c>
      <c r="R1351" s="1186">
        <v>1.97</v>
      </c>
      <c r="S1351" s="1186">
        <v>5.99</v>
      </c>
      <c r="T1351" s="1186">
        <v>2.68</v>
      </c>
      <c r="U1351" s="1186">
        <v>6.86</v>
      </c>
      <c r="V1351" s="1186">
        <v>3.89</v>
      </c>
      <c r="W1351" s="1186"/>
      <c r="X1351" s="1186"/>
      <c r="Y1351" s="1186"/>
      <c r="Z1351" s="1186"/>
      <c r="AA1351" s="1186"/>
      <c r="AB1351" s="1186"/>
      <c r="AC1351" s="1186"/>
      <c r="AD1351" s="1187"/>
    </row>
    <row r="1352" spans="1:30" x14ac:dyDescent="0.2">
      <c r="A1352">
        <f t="shared" si="54"/>
        <v>33</v>
      </c>
      <c r="B1352">
        <v>1343</v>
      </c>
      <c r="C1352" s="1078">
        <v>3</v>
      </c>
      <c r="D1352" s="1077" t="s">
        <v>5493</v>
      </c>
      <c r="E1352" s="1077" t="s">
        <v>4475</v>
      </c>
      <c r="F1352" s="1185">
        <v>1</v>
      </c>
      <c r="G1352" s="1186"/>
      <c r="H1352" s="1186"/>
      <c r="I1352" s="1186"/>
      <c r="J1352" s="1186"/>
      <c r="K1352" s="1186"/>
      <c r="L1352" s="1186"/>
      <c r="M1352" s="1186"/>
      <c r="N1352" s="1186"/>
      <c r="O1352" s="1186"/>
      <c r="P1352" s="1186"/>
      <c r="Q1352" s="1186"/>
      <c r="R1352" s="1186"/>
      <c r="S1352" s="1186"/>
      <c r="T1352" s="1186"/>
      <c r="U1352" s="1186"/>
      <c r="V1352" s="1186"/>
      <c r="W1352" s="1186">
        <v>6.07</v>
      </c>
      <c r="X1352" s="1186">
        <v>4.59</v>
      </c>
      <c r="Y1352" s="1186">
        <v>4.54</v>
      </c>
      <c r="Z1352" s="1186">
        <v>2.96</v>
      </c>
      <c r="AA1352" s="1186"/>
      <c r="AB1352" s="1186"/>
      <c r="AC1352" s="1186"/>
      <c r="AD1352" s="1187"/>
    </row>
    <row r="1353" spans="1:30" x14ac:dyDescent="0.2">
      <c r="A1353">
        <f t="shared" si="54"/>
        <v>33</v>
      </c>
      <c r="B1353">
        <v>1344</v>
      </c>
      <c r="C1353" s="1078">
        <v>3</v>
      </c>
      <c r="D1353" s="1077" t="s">
        <v>5493</v>
      </c>
      <c r="E1353" s="1077" t="s">
        <v>4476</v>
      </c>
      <c r="F1353" s="1185">
        <v>1</v>
      </c>
      <c r="G1353" s="1186"/>
      <c r="H1353" s="1186"/>
      <c r="I1353" s="1186"/>
      <c r="J1353" s="1186"/>
      <c r="K1353" s="1186"/>
      <c r="L1353" s="1186"/>
      <c r="M1353" s="1186"/>
      <c r="N1353" s="1186"/>
      <c r="O1353" s="1186"/>
      <c r="P1353" s="1186"/>
      <c r="Q1353" s="1186"/>
      <c r="R1353" s="1186"/>
      <c r="S1353" s="1186"/>
      <c r="T1353" s="1186"/>
      <c r="U1353" s="1186"/>
      <c r="V1353" s="1186"/>
      <c r="W1353" s="1186">
        <v>7.67</v>
      </c>
      <c r="X1353" s="1186">
        <v>4.68</v>
      </c>
      <c r="Y1353" s="1186">
        <v>5.93</v>
      </c>
      <c r="Z1353" s="1186">
        <v>3.06</v>
      </c>
      <c r="AA1353" s="1186"/>
      <c r="AB1353" s="1186"/>
      <c r="AC1353" s="1186"/>
      <c r="AD1353" s="1187"/>
    </row>
    <row r="1354" spans="1:30" x14ac:dyDescent="0.2">
      <c r="A1354">
        <f t="shared" si="54"/>
        <v>33</v>
      </c>
      <c r="B1354">
        <v>1345</v>
      </c>
      <c r="C1354" s="1078">
        <v>3</v>
      </c>
      <c r="D1354" s="1077" t="s">
        <v>5493</v>
      </c>
      <c r="E1354" s="1077" t="s">
        <v>4477</v>
      </c>
      <c r="F1354" s="1185">
        <v>1</v>
      </c>
      <c r="G1354" s="1186"/>
      <c r="H1354" s="1186"/>
      <c r="I1354" s="1186"/>
      <c r="J1354" s="1186"/>
      <c r="K1354" s="1186"/>
      <c r="L1354" s="1186"/>
      <c r="M1354" s="1186"/>
      <c r="N1354" s="1186"/>
      <c r="O1354" s="1186"/>
      <c r="P1354" s="1186"/>
      <c r="Q1354" s="1186"/>
      <c r="R1354" s="1186"/>
      <c r="S1354" s="1186"/>
      <c r="T1354" s="1186"/>
      <c r="U1354" s="1186"/>
      <c r="V1354" s="1186"/>
      <c r="W1354" s="1186">
        <v>9.66</v>
      </c>
      <c r="X1354" s="1186">
        <v>4.8099999999999996</v>
      </c>
      <c r="Y1354" s="1186">
        <v>7.58</v>
      </c>
      <c r="Z1354" s="1186">
        <v>3.19</v>
      </c>
      <c r="AA1354" s="1186"/>
      <c r="AB1354" s="1186"/>
      <c r="AC1354" s="1186"/>
      <c r="AD1354" s="1187"/>
    </row>
    <row r="1355" spans="1:30" x14ac:dyDescent="0.2">
      <c r="A1355">
        <f t="shared" si="54"/>
        <v>33</v>
      </c>
      <c r="B1355">
        <v>1346</v>
      </c>
      <c r="C1355" s="1078">
        <v>3</v>
      </c>
      <c r="D1355" s="1077" t="s">
        <v>5493</v>
      </c>
      <c r="E1355" s="1077" t="s">
        <v>4478</v>
      </c>
      <c r="F1355" s="1185">
        <v>1</v>
      </c>
      <c r="G1355" s="1186"/>
      <c r="H1355" s="1186"/>
      <c r="I1355" s="1186"/>
      <c r="J1355" s="1186"/>
      <c r="K1355" s="1186"/>
      <c r="L1355" s="1186"/>
      <c r="M1355" s="1186"/>
      <c r="N1355" s="1186"/>
      <c r="O1355" s="1186"/>
      <c r="P1355" s="1186"/>
      <c r="Q1355" s="1186"/>
      <c r="R1355" s="1186"/>
      <c r="S1355" s="1186"/>
      <c r="T1355" s="1186"/>
      <c r="U1355" s="1186"/>
      <c r="V1355" s="1186"/>
      <c r="W1355" s="1186">
        <v>11.48</v>
      </c>
      <c r="X1355" s="1186">
        <v>4.57</v>
      </c>
      <c r="Y1355" s="1186">
        <v>10.71</v>
      </c>
      <c r="Z1355" s="1186">
        <v>3.11</v>
      </c>
      <c r="AA1355" s="1186"/>
      <c r="AB1355" s="1186"/>
      <c r="AC1355" s="1186"/>
      <c r="AD1355" s="1187"/>
    </row>
    <row r="1356" spans="1:30" x14ac:dyDescent="0.2">
      <c r="A1356">
        <f t="shared" ref="A1356:A1419" si="55">A1355+(D1356&lt;&gt;D1355)*1</f>
        <v>33</v>
      </c>
      <c r="B1356">
        <v>1347</v>
      </c>
      <c r="C1356" s="1078">
        <v>3</v>
      </c>
      <c r="D1356" s="1077" t="s">
        <v>5493</v>
      </c>
      <c r="E1356" s="1077" t="s">
        <v>4479</v>
      </c>
      <c r="F1356" s="1185">
        <v>1</v>
      </c>
      <c r="G1356" s="1186"/>
      <c r="H1356" s="1186"/>
      <c r="I1356" s="1186"/>
      <c r="J1356" s="1186"/>
      <c r="K1356" s="1186"/>
      <c r="L1356" s="1186"/>
      <c r="M1356" s="1186"/>
      <c r="N1356" s="1186"/>
      <c r="O1356" s="1186"/>
      <c r="P1356" s="1186"/>
      <c r="Q1356" s="1186"/>
      <c r="R1356" s="1186"/>
      <c r="S1356" s="1186"/>
      <c r="T1356" s="1186"/>
      <c r="U1356" s="1186"/>
      <c r="V1356" s="1186"/>
      <c r="W1356" s="1186">
        <v>15.37</v>
      </c>
      <c r="X1356" s="1186">
        <v>4.42</v>
      </c>
      <c r="Y1356" s="1186">
        <v>14.59</v>
      </c>
      <c r="Z1356" s="1186">
        <v>2.94</v>
      </c>
      <c r="AA1356" s="1186"/>
      <c r="AB1356" s="1186"/>
      <c r="AC1356" s="1186"/>
      <c r="AD1356" s="1187"/>
    </row>
    <row r="1357" spans="1:30" x14ac:dyDescent="0.2">
      <c r="A1357">
        <f t="shared" si="55"/>
        <v>33</v>
      </c>
      <c r="B1357">
        <v>1348</v>
      </c>
      <c r="C1357" s="1078">
        <v>3</v>
      </c>
      <c r="D1357" s="1077" t="s">
        <v>5493</v>
      </c>
      <c r="E1357" s="1077" t="s">
        <v>4480</v>
      </c>
      <c r="F1357" s="1185">
        <v>1</v>
      </c>
      <c r="G1357" s="1186"/>
      <c r="H1357" s="1186"/>
      <c r="I1357" s="1186"/>
      <c r="J1357" s="1186"/>
      <c r="K1357" s="1186"/>
      <c r="L1357" s="1186"/>
      <c r="M1357" s="1186"/>
      <c r="N1357" s="1186"/>
      <c r="O1357" s="1186"/>
      <c r="P1357" s="1186"/>
      <c r="Q1357" s="1186"/>
      <c r="R1357" s="1186"/>
      <c r="S1357" s="1186"/>
      <c r="T1357" s="1186"/>
      <c r="U1357" s="1186"/>
      <c r="V1357" s="1186"/>
      <c r="W1357" s="1186">
        <v>16.89</v>
      </c>
      <c r="X1357" s="1186">
        <v>4.3</v>
      </c>
      <c r="Y1357" s="1186">
        <v>15.99</v>
      </c>
      <c r="Z1357" s="1186">
        <v>3.07</v>
      </c>
      <c r="AA1357" s="1186"/>
      <c r="AB1357" s="1186"/>
      <c r="AC1357" s="1186"/>
      <c r="AD1357" s="1187"/>
    </row>
    <row r="1358" spans="1:30" x14ac:dyDescent="0.2">
      <c r="A1358">
        <f t="shared" si="55"/>
        <v>33</v>
      </c>
      <c r="B1358">
        <v>1349</v>
      </c>
      <c r="C1358" s="1078">
        <v>3</v>
      </c>
      <c r="D1358" s="1077" t="s">
        <v>5493</v>
      </c>
      <c r="E1358" s="1077" t="s">
        <v>4481</v>
      </c>
      <c r="F1358" s="1185">
        <v>1</v>
      </c>
      <c r="G1358" s="1186"/>
      <c r="H1358" s="1186"/>
      <c r="I1358" s="1186"/>
      <c r="J1358" s="1186"/>
      <c r="K1358" s="1186"/>
      <c r="L1358" s="1186"/>
      <c r="M1358" s="1186"/>
      <c r="N1358" s="1186"/>
      <c r="O1358" s="1186"/>
      <c r="P1358" s="1186"/>
      <c r="Q1358" s="1186"/>
      <c r="R1358" s="1186"/>
      <c r="S1358" s="1186"/>
      <c r="T1358" s="1186"/>
      <c r="U1358" s="1186"/>
      <c r="V1358" s="1186"/>
      <c r="W1358" s="1186">
        <v>23</v>
      </c>
      <c r="X1358" s="1186">
        <v>4.6500000000000004</v>
      </c>
      <c r="Y1358" s="1186">
        <v>22</v>
      </c>
      <c r="Z1358" s="1186">
        <v>3.1</v>
      </c>
      <c r="AA1358" s="1186"/>
      <c r="AB1358" s="1186"/>
      <c r="AC1358" s="1186"/>
      <c r="AD1358" s="1187"/>
    </row>
    <row r="1359" spans="1:30" x14ac:dyDescent="0.2">
      <c r="A1359">
        <f t="shared" si="55"/>
        <v>33</v>
      </c>
      <c r="B1359">
        <v>1350</v>
      </c>
      <c r="C1359" s="1078">
        <v>3</v>
      </c>
      <c r="D1359" s="1077" t="s">
        <v>5493</v>
      </c>
      <c r="E1359" s="1077" t="s">
        <v>4482</v>
      </c>
      <c r="F1359" s="1185">
        <v>1</v>
      </c>
      <c r="G1359" s="1186"/>
      <c r="H1359" s="1186"/>
      <c r="I1359" s="1186"/>
      <c r="J1359" s="1186"/>
      <c r="K1359" s="1186"/>
      <c r="L1359" s="1186"/>
      <c r="M1359" s="1186"/>
      <c r="N1359" s="1186"/>
      <c r="O1359" s="1186"/>
      <c r="P1359" s="1186"/>
      <c r="Q1359" s="1186"/>
      <c r="R1359" s="1186"/>
      <c r="S1359" s="1186"/>
      <c r="T1359" s="1186"/>
      <c r="U1359" s="1186"/>
      <c r="V1359" s="1186"/>
      <c r="W1359" s="1186">
        <v>30.72</v>
      </c>
      <c r="X1359" s="1186">
        <v>4.4400000000000004</v>
      </c>
      <c r="Y1359" s="1186">
        <v>29.4</v>
      </c>
      <c r="Z1359" s="1186">
        <v>2.9</v>
      </c>
      <c r="AA1359" s="1186"/>
      <c r="AB1359" s="1186"/>
      <c r="AC1359" s="1186"/>
      <c r="AD1359" s="1187"/>
    </row>
    <row r="1360" spans="1:30" x14ac:dyDescent="0.2">
      <c r="A1360">
        <f t="shared" si="55"/>
        <v>33</v>
      </c>
      <c r="B1360">
        <v>1351</v>
      </c>
      <c r="C1360" s="1078">
        <v>3</v>
      </c>
      <c r="D1360" s="1077" t="s">
        <v>5493</v>
      </c>
      <c r="E1360" s="1077" t="s">
        <v>4483</v>
      </c>
      <c r="F1360" s="1185">
        <v>1</v>
      </c>
      <c r="G1360" s="1186"/>
      <c r="H1360" s="1186"/>
      <c r="I1360" s="1186"/>
      <c r="J1360" s="1186"/>
      <c r="K1360" s="1186"/>
      <c r="L1360" s="1186"/>
      <c r="M1360" s="1186"/>
      <c r="N1360" s="1186"/>
      <c r="O1360" s="1186"/>
      <c r="P1360" s="1186"/>
      <c r="Q1360" s="1186"/>
      <c r="R1360" s="1186"/>
      <c r="S1360" s="1186"/>
      <c r="T1360" s="1186"/>
      <c r="U1360" s="1186"/>
      <c r="V1360" s="1186"/>
      <c r="W1360" s="1186">
        <v>39.94</v>
      </c>
      <c r="X1360" s="1186">
        <v>4.49</v>
      </c>
      <c r="Y1360" s="1186">
        <v>37.799999999999997</v>
      </c>
      <c r="Z1360" s="1186">
        <v>3.1</v>
      </c>
      <c r="AA1360" s="1186"/>
      <c r="AB1360" s="1186"/>
      <c r="AC1360" s="1186"/>
      <c r="AD1360" s="1187"/>
    </row>
    <row r="1361" spans="1:30" x14ac:dyDescent="0.2">
      <c r="A1361">
        <f t="shared" si="55"/>
        <v>33</v>
      </c>
      <c r="B1361">
        <v>1352</v>
      </c>
      <c r="C1361" s="1078">
        <v>3</v>
      </c>
      <c r="D1361" s="1077" t="s">
        <v>5493</v>
      </c>
      <c r="E1361" s="1077" t="s">
        <v>4484</v>
      </c>
      <c r="F1361" s="1185">
        <v>1</v>
      </c>
      <c r="G1361" s="1186"/>
      <c r="H1361" s="1186"/>
      <c r="I1361" s="1186"/>
      <c r="J1361" s="1186"/>
      <c r="K1361" s="1186"/>
      <c r="L1361" s="1186"/>
      <c r="M1361" s="1186"/>
      <c r="N1361" s="1186"/>
      <c r="O1361" s="1186"/>
      <c r="P1361" s="1186"/>
      <c r="Q1361" s="1186"/>
      <c r="R1361" s="1186"/>
      <c r="S1361" s="1186"/>
      <c r="T1361" s="1186"/>
      <c r="U1361" s="1186"/>
      <c r="V1361" s="1186"/>
      <c r="W1361" s="1186">
        <v>59.22</v>
      </c>
      <c r="X1361" s="1186">
        <v>4.32</v>
      </c>
      <c r="Y1361" s="1186">
        <v>54.1</v>
      </c>
      <c r="Z1361" s="1186">
        <v>3</v>
      </c>
      <c r="AA1361" s="1186"/>
      <c r="AB1361" s="1186"/>
      <c r="AC1361" s="1186"/>
      <c r="AD1361" s="1187"/>
    </row>
    <row r="1362" spans="1:30" x14ac:dyDescent="0.2">
      <c r="A1362">
        <f t="shared" si="55"/>
        <v>33</v>
      </c>
      <c r="B1362">
        <v>1353</v>
      </c>
      <c r="C1362" s="1078">
        <v>3</v>
      </c>
      <c r="D1362" s="1077" t="s">
        <v>5493</v>
      </c>
      <c r="E1362" s="1077" t="s">
        <v>5711</v>
      </c>
      <c r="F1362" s="1185">
        <v>1</v>
      </c>
      <c r="G1362" s="1186"/>
      <c r="H1362" s="1186"/>
      <c r="I1362" s="1186"/>
      <c r="J1362" s="1186"/>
      <c r="K1362" s="1186"/>
      <c r="L1362" s="1186"/>
      <c r="M1362" s="1186"/>
      <c r="N1362" s="1186"/>
      <c r="O1362" s="1186"/>
      <c r="P1362" s="1186"/>
      <c r="Q1362" s="1186"/>
      <c r="R1362" s="1186"/>
      <c r="S1362" s="1186"/>
      <c r="T1362" s="1186"/>
      <c r="U1362" s="1186"/>
      <c r="V1362" s="1186"/>
      <c r="W1362" s="1186">
        <v>6</v>
      </c>
      <c r="X1362" s="1186">
        <v>3.66</v>
      </c>
      <c r="Y1362" s="1186">
        <v>5.27</v>
      </c>
      <c r="Z1362" s="1186">
        <v>2.76</v>
      </c>
      <c r="AA1362" s="1186"/>
      <c r="AB1362" s="1186"/>
      <c r="AC1362" s="1186"/>
      <c r="AD1362" s="1187"/>
    </row>
    <row r="1363" spans="1:30" x14ac:dyDescent="0.2">
      <c r="A1363">
        <f t="shared" si="55"/>
        <v>33</v>
      </c>
      <c r="B1363">
        <v>1354</v>
      </c>
      <c r="C1363" s="1078">
        <v>3</v>
      </c>
      <c r="D1363" s="1077" t="s">
        <v>5493</v>
      </c>
      <c r="E1363" s="1077" t="s">
        <v>5044</v>
      </c>
      <c r="F1363" s="1185">
        <v>1</v>
      </c>
      <c r="G1363" s="1186"/>
      <c r="H1363" s="1186"/>
      <c r="I1363" s="1186"/>
      <c r="J1363" s="1186"/>
      <c r="K1363" s="1186"/>
      <c r="L1363" s="1186"/>
      <c r="M1363" s="1186"/>
      <c r="N1363" s="1186"/>
      <c r="O1363" s="1186"/>
      <c r="P1363" s="1186"/>
      <c r="Q1363" s="1186"/>
      <c r="R1363" s="1186"/>
      <c r="S1363" s="1186"/>
      <c r="T1363" s="1186"/>
      <c r="U1363" s="1186"/>
      <c r="V1363" s="1186"/>
      <c r="W1363" s="1186">
        <v>6.09</v>
      </c>
      <c r="X1363" s="1186">
        <v>4.12</v>
      </c>
      <c r="Y1363" s="1186">
        <v>5.47</v>
      </c>
      <c r="Z1363" s="1186">
        <v>2.9</v>
      </c>
      <c r="AA1363" s="1186"/>
      <c r="AB1363" s="1186"/>
      <c r="AC1363" s="1186"/>
      <c r="AD1363" s="1187"/>
    </row>
    <row r="1364" spans="1:30" x14ac:dyDescent="0.2">
      <c r="A1364">
        <f t="shared" si="55"/>
        <v>33</v>
      </c>
      <c r="B1364">
        <v>1355</v>
      </c>
      <c r="C1364" s="1078">
        <v>3</v>
      </c>
      <c r="D1364" s="1077" t="s">
        <v>5493</v>
      </c>
      <c r="E1364" s="1077" t="s">
        <v>4709</v>
      </c>
      <c r="F1364" s="1185">
        <v>1</v>
      </c>
      <c r="G1364" s="1186"/>
      <c r="H1364" s="1186"/>
      <c r="I1364" s="1186"/>
      <c r="J1364" s="1186"/>
      <c r="K1364" s="1186"/>
      <c r="L1364" s="1186"/>
      <c r="M1364" s="1186"/>
      <c r="N1364" s="1186"/>
      <c r="O1364" s="1186"/>
      <c r="P1364" s="1186"/>
      <c r="Q1364" s="1186"/>
      <c r="R1364" s="1186"/>
      <c r="S1364" s="1186"/>
      <c r="T1364" s="1186"/>
      <c r="U1364" s="1186"/>
      <c r="V1364" s="1186"/>
      <c r="W1364" s="1186">
        <v>13.47</v>
      </c>
      <c r="X1364" s="1186">
        <v>3.98</v>
      </c>
      <c r="Y1364" s="1186">
        <v>12.43</v>
      </c>
      <c r="Z1364" s="1186">
        <v>2.91</v>
      </c>
      <c r="AA1364" s="1186"/>
      <c r="AB1364" s="1186"/>
      <c r="AC1364" s="1186"/>
      <c r="AD1364" s="1187"/>
    </row>
    <row r="1365" spans="1:30" x14ac:dyDescent="0.2">
      <c r="A1365">
        <f t="shared" si="55"/>
        <v>33</v>
      </c>
      <c r="B1365">
        <v>1356</v>
      </c>
      <c r="C1365" s="1078">
        <v>3</v>
      </c>
      <c r="D1365" s="1077" t="s">
        <v>5493</v>
      </c>
      <c r="E1365" s="1077" t="s">
        <v>4710</v>
      </c>
      <c r="F1365" s="1185">
        <v>1</v>
      </c>
      <c r="G1365" s="1186"/>
      <c r="H1365" s="1186"/>
      <c r="I1365" s="1186"/>
      <c r="J1365" s="1186"/>
      <c r="K1365" s="1186"/>
      <c r="L1365" s="1186"/>
      <c r="M1365" s="1186"/>
      <c r="N1365" s="1186"/>
      <c r="O1365" s="1186"/>
      <c r="P1365" s="1186"/>
      <c r="Q1365" s="1186"/>
      <c r="R1365" s="1186"/>
      <c r="S1365" s="1186"/>
      <c r="T1365" s="1186"/>
      <c r="U1365" s="1186"/>
      <c r="V1365" s="1186"/>
      <c r="W1365" s="1186">
        <v>16.93</v>
      </c>
      <c r="X1365" s="1186">
        <v>3.82</v>
      </c>
      <c r="Y1365" s="1186">
        <v>15.4</v>
      </c>
      <c r="Z1365" s="1186">
        <v>2.8</v>
      </c>
      <c r="AA1365" s="1186"/>
      <c r="AB1365" s="1186"/>
      <c r="AC1365" s="1186"/>
      <c r="AD1365" s="1187"/>
    </row>
    <row r="1366" spans="1:30" x14ac:dyDescent="0.2">
      <c r="A1366">
        <f t="shared" si="55"/>
        <v>33</v>
      </c>
      <c r="B1366">
        <v>1357</v>
      </c>
      <c r="C1366" s="1078">
        <v>3</v>
      </c>
      <c r="D1366" s="1077" t="s">
        <v>5493</v>
      </c>
      <c r="E1366" s="1077" t="s">
        <v>5045</v>
      </c>
      <c r="F1366" s="1185">
        <v>1</v>
      </c>
      <c r="G1366" s="1186"/>
      <c r="H1366" s="1186"/>
      <c r="I1366" s="1186"/>
      <c r="J1366" s="1186"/>
      <c r="K1366" s="1186"/>
      <c r="L1366" s="1186"/>
      <c r="M1366" s="1186"/>
      <c r="N1366" s="1186"/>
      <c r="O1366" s="1186"/>
      <c r="P1366" s="1186"/>
      <c r="Q1366" s="1186"/>
      <c r="R1366" s="1186"/>
      <c r="S1366" s="1186"/>
      <c r="T1366" s="1186"/>
      <c r="U1366" s="1186"/>
      <c r="V1366" s="1186"/>
      <c r="W1366" s="1186">
        <v>25.8</v>
      </c>
      <c r="X1366" s="1186">
        <v>4</v>
      </c>
      <c r="Y1366" s="1186">
        <v>23.9</v>
      </c>
      <c r="Z1366" s="1186">
        <v>2.8</v>
      </c>
      <c r="AA1366" s="1186"/>
      <c r="AB1366" s="1186"/>
      <c r="AC1366" s="1186"/>
      <c r="AD1366" s="1187"/>
    </row>
    <row r="1367" spans="1:30" x14ac:dyDescent="0.2">
      <c r="A1367">
        <f t="shared" si="55"/>
        <v>33</v>
      </c>
      <c r="B1367">
        <v>1358</v>
      </c>
      <c r="C1367" s="1078">
        <v>3</v>
      </c>
      <c r="D1367" s="1077" t="s">
        <v>5493</v>
      </c>
      <c r="E1367" s="1077" t="s">
        <v>5494</v>
      </c>
      <c r="F1367" s="1185">
        <v>1</v>
      </c>
      <c r="G1367" s="1186"/>
      <c r="H1367" s="1186"/>
      <c r="I1367" s="1186"/>
      <c r="J1367" s="1186"/>
      <c r="K1367" s="1186"/>
      <c r="L1367" s="1186"/>
      <c r="M1367" s="1186"/>
      <c r="N1367" s="1186"/>
      <c r="O1367" s="1186"/>
      <c r="P1367" s="1186"/>
      <c r="Q1367" s="1186"/>
      <c r="R1367" s="1186"/>
      <c r="S1367" s="1186"/>
      <c r="T1367" s="1186"/>
      <c r="U1367" s="1186"/>
      <c r="V1367" s="1186"/>
      <c r="W1367" s="1186">
        <v>8.39</v>
      </c>
      <c r="X1367" s="1186">
        <v>4.16</v>
      </c>
      <c r="Y1367" s="1186">
        <v>7.72</v>
      </c>
      <c r="Z1367" s="1186">
        <v>2.97</v>
      </c>
      <c r="AA1367" s="1186"/>
      <c r="AB1367" s="1186"/>
      <c r="AC1367" s="1186"/>
      <c r="AD1367" s="1187"/>
    </row>
    <row r="1368" spans="1:30" x14ac:dyDescent="0.2">
      <c r="A1368">
        <f t="shared" si="55"/>
        <v>33</v>
      </c>
      <c r="B1368">
        <v>1359</v>
      </c>
      <c r="C1368" s="1078">
        <v>3</v>
      </c>
      <c r="D1368" s="1077" t="s">
        <v>5493</v>
      </c>
      <c r="E1368" s="1077" t="s">
        <v>5495</v>
      </c>
      <c r="F1368" s="1185">
        <v>1</v>
      </c>
      <c r="G1368" s="1186"/>
      <c r="H1368" s="1186"/>
      <c r="I1368" s="1186"/>
      <c r="J1368" s="1186"/>
      <c r="K1368" s="1186"/>
      <c r="L1368" s="1186"/>
      <c r="M1368" s="1186"/>
      <c r="N1368" s="1186"/>
      <c r="O1368" s="1186"/>
      <c r="P1368" s="1186"/>
      <c r="Q1368" s="1186"/>
      <c r="R1368" s="1186"/>
      <c r="S1368" s="1186"/>
      <c r="T1368" s="1186"/>
      <c r="U1368" s="1186"/>
      <c r="V1368" s="1186"/>
      <c r="W1368" s="1186">
        <v>13.35</v>
      </c>
      <c r="X1368" s="1186">
        <v>4.4000000000000004</v>
      </c>
      <c r="Y1368" s="1186">
        <v>12.46</v>
      </c>
      <c r="Z1368" s="1186">
        <v>2.96</v>
      </c>
      <c r="AA1368" s="1186"/>
      <c r="AB1368" s="1186"/>
      <c r="AC1368" s="1186"/>
      <c r="AD1368" s="1187"/>
    </row>
    <row r="1369" spans="1:30" x14ac:dyDescent="0.2">
      <c r="A1369">
        <f t="shared" si="55"/>
        <v>33</v>
      </c>
      <c r="B1369">
        <v>1360</v>
      </c>
      <c r="C1369" s="1078">
        <v>3</v>
      </c>
      <c r="D1369" s="1077" t="s">
        <v>5493</v>
      </c>
      <c r="E1369" s="1077" t="s">
        <v>5496</v>
      </c>
      <c r="F1369" s="1185">
        <v>1</v>
      </c>
      <c r="G1369" s="1186"/>
      <c r="H1369" s="1186"/>
      <c r="I1369" s="1186"/>
      <c r="J1369" s="1186"/>
      <c r="K1369" s="1186"/>
      <c r="L1369" s="1186"/>
      <c r="M1369" s="1186"/>
      <c r="N1369" s="1186"/>
      <c r="O1369" s="1186"/>
      <c r="P1369" s="1186"/>
      <c r="Q1369" s="1186"/>
      <c r="R1369" s="1186"/>
      <c r="S1369" s="1186"/>
      <c r="T1369" s="1186"/>
      <c r="U1369" s="1186"/>
      <c r="V1369" s="1186"/>
      <c r="W1369" s="1186">
        <v>18.73</v>
      </c>
      <c r="X1369" s="1186">
        <v>4.43</v>
      </c>
      <c r="Y1369" s="1186">
        <v>17.579999999999998</v>
      </c>
      <c r="Z1369" s="1186">
        <v>3.03</v>
      </c>
      <c r="AA1369" s="1186"/>
      <c r="AB1369" s="1186"/>
      <c r="AC1369" s="1186"/>
      <c r="AD1369" s="1187"/>
    </row>
    <row r="1370" spans="1:30" x14ac:dyDescent="0.2">
      <c r="A1370">
        <f t="shared" si="55"/>
        <v>33</v>
      </c>
      <c r="B1370">
        <v>1361</v>
      </c>
      <c r="C1370" s="1078">
        <v>3</v>
      </c>
      <c r="D1370" s="1077" t="s">
        <v>5493</v>
      </c>
      <c r="E1370" s="1077" t="s">
        <v>5712</v>
      </c>
      <c r="F1370" s="1185">
        <v>1</v>
      </c>
      <c r="G1370" s="1186"/>
      <c r="H1370" s="1186"/>
      <c r="I1370" s="1186"/>
      <c r="J1370" s="1186"/>
      <c r="K1370" s="1186"/>
      <c r="L1370" s="1186"/>
      <c r="M1370" s="1186"/>
      <c r="N1370" s="1186"/>
      <c r="O1370" s="1186"/>
      <c r="P1370" s="1186"/>
      <c r="Q1370" s="1186"/>
      <c r="R1370" s="1186"/>
      <c r="S1370" s="1186"/>
      <c r="T1370" s="1186"/>
      <c r="U1370" s="1186"/>
      <c r="V1370" s="1186"/>
      <c r="W1370" s="1186">
        <v>6</v>
      </c>
      <c r="X1370" s="1186">
        <v>3.66</v>
      </c>
      <c r="Y1370" s="1186">
        <v>5.27</v>
      </c>
      <c r="Z1370" s="1186">
        <v>2.76</v>
      </c>
      <c r="AA1370" s="1186"/>
      <c r="AB1370" s="1186"/>
      <c r="AC1370" s="1186"/>
      <c r="AD1370" s="1187"/>
    </row>
    <row r="1371" spans="1:30" x14ac:dyDescent="0.2">
      <c r="A1371">
        <f t="shared" si="55"/>
        <v>33</v>
      </c>
      <c r="B1371">
        <v>1362</v>
      </c>
      <c r="C1371" s="1078">
        <v>3</v>
      </c>
      <c r="D1371" s="1077" t="s">
        <v>5493</v>
      </c>
      <c r="E1371" s="1077" t="s">
        <v>5046</v>
      </c>
      <c r="F1371" s="1185">
        <v>1</v>
      </c>
      <c r="G1371" s="1186"/>
      <c r="H1371" s="1186"/>
      <c r="I1371" s="1186"/>
      <c r="J1371" s="1186"/>
      <c r="K1371" s="1186"/>
      <c r="L1371" s="1186"/>
      <c r="M1371" s="1186"/>
      <c r="N1371" s="1186"/>
      <c r="O1371" s="1186"/>
      <c r="P1371" s="1186"/>
      <c r="Q1371" s="1186"/>
      <c r="R1371" s="1186"/>
      <c r="S1371" s="1186"/>
      <c r="T1371" s="1186"/>
      <c r="U1371" s="1186"/>
      <c r="V1371" s="1186"/>
      <c r="W1371" s="1186">
        <v>6.09</v>
      </c>
      <c r="X1371" s="1186">
        <v>4.12</v>
      </c>
      <c r="Y1371" s="1186">
        <v>5.47</v>
      </c>
      <c r="Z1371" s="1186">
        <v>2.9</v>
      </c>
      <c r="AA1371" s="1186"/>
      <c r="AB1371" s="1186"/>
      <c r="AC1371" s="1186"/>
      <c r="AD1371" s="1187"/>
    </row>
    <row r="1372" spans="1:30" x14ac:dyDescent="0.2">
      <c r="A1372">
        <f t="shared" si="55"/>
        <v>33</v>
      </c>
      <c r="B1372">
        <v>1363</v>
      </c>
      <c r="C1372" s="1078">
        <v>3</v>
      </c>
      <c r="D1372" s="1077" t="s">
        <v>5493</v>
      </c>
      <c r="E1372" s="1077" t="s">
        <v>4711</v>
      </c>
      <c r="F1372" s="1185">
        <v>1</v>
      </c>
      <c r="G1372" s="1186"/>
      <c r="H1372" s="1186"/>
      <c r="I1372" s="1186"/>
      <c r="J1372" s="1186"/>
      <c r="K1372" s="1186"/>
      <c r="L1372" s="1186"/>
      <c r="M1372" s="1186"/>
      <c r="N1372" s="1186"/>
      <c r="O1372" s="1186"/>
      <c r="P1372" s="1186"/>
      <c r="Q1372" s="1186"/>
      <c r="R1372" s="1186"/>
      <c r="S1372" s="1186"/>
      <c r="T1372" s="1186"/>
      <c r="U1372" s="1186"/>
      <c r="V1372" s="1186"/>
      <c r="W1372" s="1186">
        <v>13.47</v>
      </c>
      <c r="X1372" s="1186">
        <v>3.98</v>
      </c>
      <c r="Y1372" s="1186">
        <v>12.43</v>
      </c>
      <c r="Z1372" s="1186">
        <v>2.91</v>
      </c>
      <c r="AA1372" s="1186"/>
      <c r="AB1372" s="1186"/>
      <c r="AC1372" s="1186"/>
      <c r="AD1372" s="1187"/>
    </row>
    <row r="1373" spans="1:30" x14ac:dyDescent="0.2">
      <c r="A1373">
        <f t="shared" si="55"/>
        <v>33</v>
      </c>
      <c r="B1373">
        <v>1364</v>
      </c>
      <c r="C1373" s="1078">
        <v>3</v>
      </c>
      <c r="D1373" s="1077" t="s">
        <v>5493</v>
      </c>
      <c r="E1373" s="1077" t="s">
        <v>4712</v>
      </c>
      <c r="F1373" s="1185">
        <v>1</v>
      </c>
      <c r="G1373" s="1186"/>
      <c r="H1373" s="1186"/>
      <c r="I1373" s="1186"/>
      <c r="J1373" s="1186"/>
      <c r="K1373" s="1186"/>
      <c r="L1373" s="1186"/>
      <c r="M1373" s="1186"/>
      <c r="N1373" s="1186"/>
      <c r="O1373" s="1186"/>
      <c r="P1373" s="1186"/>
      <c r="Q1373" s="1186"/>
      <c r="R1373" s="1186"/>
      <c r="S1373" s="1186"/>
      <c r="T1373" s="1186"/>
      <c r="U1373" s="1186"/>
      <c r="V1373" s="1186"/>
      <c r="W1373" s="1186">
        <v>16.93</v>
      </c>
      <c r="X1373" s="1186">
        <v>3.82</v>
      </c>
      <c r="Y1373" s="1186">
        <v>15.4</v>
      </c>
      <c r="Z1373" s="1186">
        <v>2.8</v>
      </c>
      <c r="AA1373" s="1186"/>
      <c r="AB1373" s="1186"/>
      <c r="AC1373" s="1186"/>
      <c r="AD1373" s="1187"/>
    </row>
    <row r="1374" spans="1:30" x14ac:dyDescent="0.2">
      <c r="A1374">
        <f t="shared" si="55"/>
        <v>33</v>
      </c>
      <c r="B1374">
        <v>1365</v>
      </c>
      <c r="C1374" s="1078">
        <v>3</v>
      </c>
      <c r="D1374" s="1077" t="s">
        <v>5493</v>
      </c>
      <c r="E1374" s="1077" t="s">
        <v>5497</v>
      </c>
      <c r="F1374" s="1185">
        <v>1</v>
      </c>
      <c r="G1374" s="1186"/>
      <c r="H1374" s="1186"/>
      <c r="I1374" s="1186"/>
      <c r="J1374" s="1186"/>
      <c r="K1374" s="1186"/>
      <c r="L1374" s="1186"/>
      <c r="M1374" s="1186"/>
      <c r="N1374" s="1186"/>
      <c r="O1374" s="1186"/>
      <c r="P1374" s="1186"/>
      <c r="Q1374" s="1186"/>
      <c r="R1374" s="1186"/>
      <c r="S1374" s="1186"/>
      <c r="T1374" s="1186"/>
      <c r="U1374" s="1186"/>
      <c r="V1374" s="1186"/>
      <c r="W1374" s="1186">
        <v>8.39</v>
      </c>
      <c r="X1374" s="1186">
        <v>4.16</v>
      </c>
      <c r="Y1374" s="1186">
        <v>7.72</v>
      </c>
      <c r="Z1374" s="1186">
        <v>2.97</v>
      </c>
      <c r="AA1374" s="1186"/>
      <c r="AB1374" s="1186"/>
      <c r="AC1374" s="1186"/>
      <c r="AD1374" s="1187"/>
    </row>
    <row r="1375" spans="1:30" x14ac:dyDescent="0.2">
      <c r="A1375">
        <f t="shared" si="55"/>
        <v>33</v>
      </c>
      <c r="B1375">
        <v>1366</v>
      </c>
      <c r="C1375" s="1078">
        <v>3</v>
      </c>
      <c r="D1375" s="1077" t="s">
        <v>5493</v>
      </c>
      <c r="E1375" s="1077" t="s">
        <v>5498</v>
      </c>
      <c r="F1375" s="1185">
        <v>1</v>
      </c>
      <c r="G1375" s="1186"/>
      <c r="H1375" s="1186"/>
      <c r="I1375" s="1186"/>
      <c r="J1375" s="1186"/>
      <c r="K1375" s="1186"/>
      <c r="L1375" s="1186"/>
      <c r="M1375" s="1186"/>
      <c r="N1375" s="1186"/>
      <c r="O1375" s="1186"/>
      <c r="P1375" s="1186"/>
      <c r="Q1375" s="1186"/>
      <c r="R1375" s="1186"/>
      <c r="S1375" s="1186"/>
      <c r="T1375" s="1186"/>
      <c r="U1375" s="1186"/>
      <c r="V1375" s="1186"/>
      <c r="W1375" s="1186">
        <v>13.35</v>
      </c>
      <c r="X1375" s="1186">
        <v>4.4000000000000004</v>
      </c>
      <c r="Y1375" s="1186">
        <v>12.46</v>
      </c>
      <c r="Z1375" s="1186">
        <v>2.96</v>
      </c>
      <c r="AA1375" s="1186"/>
      <c r="AB1375" s="1186"/>
      <c r="AC1375" s="1186"/>
      <c r="AD1375" s="1187"/>
    </row>
    <row r="1376" spans="1:30" x14ac:dyDescent="0.2">
      <c r="A1376">
        <f t="shared" si="55"/>
        <v>33</v>
      </c>
      <c r="B1376">
        <v>1367</v>
      </c>
      <c r="C1376" s="1078">
        <v>3</v>
      </c>
      <c r="D1376" s="1077" t="s">
        <v>5493</v>
      </c>
      <c r="E1376" s="1077" t="s">
        <v>5499</v>
      </c>
      <c r="F1376" s="1185">
        <v>1</v>
      </c>
      <c r="G1376" s="1186"/>
      <c r="H1376" s="1186"/>
      <c r="I1376" s="1186"/>
      <c r="J1376" s="1186"/>
      <c r="K1376" s="1186"/>
      <c r="L1376" s="1186"/>
      <c r="M1376" s="1186"/>
      <c r="N1376" s="1186"/>
      <c r="O1376" s="1186"/>
      <c r="P1376" s="1186"/>
      <c r="Q1376" s="1186"/>
      <c r="R1376" s="1186"/>
      <c r="S1376" s="1186"/>
      <c r="T1376" s="1186"/>
      <c r="U1376" s="1186"/>
      <c r="V1376" s="1186"/>
      <c r="W1376" s="1186">
        <v>18.73</v>
      </c>
      <c r="X1376" s="1186">
        <v>4.43</v>
      </c>
      <c r="Y1376" s="1186">
        <v>17.579999999999998</v>
      </c>
      <c r="Z1376" s="1186">
        <v>3.03</v>
      </c>
      <c r="AA1376" s="1186"/>
      <c r="AB1376" s="1186"/>
      <c r="AC1376" s="1186"/>
      <c r="AD1376" s="1187"/>
    </row>
    <row r="1377" spans="1:30" x14ac:dyDescent="0.2">
      <c r="A1377">
        <f t="shared" si="55"/>
        <v>33</v>
      </c>
      <c r="B1377">
        <v>1368</v>
      </c>
      <c r="C1377" s="1078">
        <v>3</v>
      </c>
      <c r="D1377" s="1077" t="s">
        <v>5493</v>
      </c>
      <c r="E1377" s="1077" t="s">
        <v>4976</v>
      </c>
      <c r="F1377" s="1185">
        <v>2</v>
      </c>
      <c r="G1377" s="1186"/>
      <c r="H1377" s="1186"/>
      <c r="I1377" s="1186"/>
      <c r="J1377" s="1186"/>
      <c r="K1377" s="1186"/>
      <c r="L1377" s="1186"/>
      <c r="M1377" s="1186"/>
      <c r="N1377" s="1186"/>
      <c r="O1377" s="1186"/>
      <c r="P1377" s="1186"/>
      <c r="Q1377" s="1186"/>
      <c r="R1377" s="1186"/>
      <c r="S1377" s="1186"/>
      <c r="T1377" s="1186"/>
      <c r="U1377" s="1186"/>
      <c r="V1377" s="1186"/>
      <c r="W1377" s="1186">
        <v>28.3</v>
      </c>
      <c r="X1377" s="1186">
        <v>4.07</v>
      </c>
      <c r="Y1377" s="1186">
        <v>27.4</v>
      </c>
      <c r="Z1377" s="1186">
        <v>2.9</v>
      </c>
      <c r="AA1377" s="1186"/>
      <c r="AB1377" s="1186"/>
      <c r="AC1377" s="1186"/>
      <c r="AD1377" s="1187"/>
    </row>
    <row r="1378" spans="1:30" x14ac:dyDescent="0.2">
      <c r="A1378">
        <f t="shared" si="55"/>
        <v>33</v>
      </c>
      <c r="B1378">
        <v>1369</v>
      </c>
      <c r="C1378" s="1078">
        <v>3</v>
      </c>
      <c r="D1378" s="1077" t="s">
        <v>5493</v>
      </c>
      <c r="E1378" s="1077" t="s">
        <v>5047</v>
      </c>
      <c r="F1378" s="1185">
        <v>2</v>
      </c>
      <c r="G1378" s="1186"/>
      <c r="H1378" s="1186"/>
      <c r="I1378" s="1186"/>
      <c r="J1378" s="1186"/>
      <c r="K1378" s="1186"/>
      <c r="L1378" s="1186"/>
      <c r="M1378" s="1186"/>
      <c r="N1378" s="1186"/>
      <c r="O1378" s="1186"/>
      <c r="P1378" s="1186"/>
      <c r="Q1378" s="1186"/>
      <c r="R1378" s="1186"/>
      <c r="S1378" s="1186"/>
      <c r="T1378" s="1186"/>
      <c r="U1378" s="1186"/>
      <c r="V1378" s="1186"/>
      <c r="W1378" s="1186">
        <v>42.9</v>
      </c>
      <c r="X1378" s="1186">
        <v>4.0199999999999996</v>
      </c>
      <c r="Y1378" s="1186">
        <v>42.7</v>
      </c>
      <c r="Z1378" s="1186">
        <v>2.9</v>
      </c>
      <c r="AA1378" s="1186"/>
      <c r="AB1378" s="1186"/>
      <c r="AC1378" s="1186"/>
      <c r="AD1378" s="1187"/>
    </row>
    <row r="1379" spans="1:30" x14ac:dyDescent="0.2">
      <c r="A1379">
        <f t="shared" si="55"/>
        <v>33</v>
      </c>
      <c r="B1379">
        <v>1370</v>
      </c>
      <c r="C1379" s="1078">
        <v>4</v>
      </c>
      <c r="D1379" s="1077" t="s">
        <v>5493</v>
      </c>
      <c r="E1379" s="1077" t="s">
        <v>4485</v>
      </c>
      <c r="F1379" s="1185">
        <v>4</v>
      </c>
      <c r="G1379" s="1186"/>
      <c r="H1379" s="1186"/>
      <c r="I1379" s="1186"/>
      <c r="J1379" s="1186"/>
      <c r="K1379" s="1186"/>
      <c r="L1379" s="1186"/>
      <c r="M1379" s="1186"/>
      <c r="N1379" s="1186"/>
      <c r="O1379" s="1186"/>
      <c r="P1379" s="1186"/>
      <c r="Q1379" s="1186"/>
      <c r="R1379" s="1186"/>
      <c r="S1379" s="1186"/>
      <c r="T1379" s="1186"/>
      <c r="U1379" s="1186"/>
      <c r="V1379" s="1186"/>
      <c r="W1379" s="1186">
        <v>1.5</v>
      </c>
      <c r="X1379" s="1186">
        <v>4.75</v>
      </c>
      <c r="Y1379" s="1186">
        <v>5.3</v>
      </c>
      <c r="Z1379" s="1186">
        <v>2.1</v>
      </c>
      <c r="AA1379" s="1186"/>
      <c r="AB1379" s="1186"/>
      <c r="AC1379" s="1186"/>
      <c r="AD1379" s="1187"/>
    </row>
    <row r="1380" spans="1:30" x14ac:dyDescent="0.2">
      <c r="A1380">
        <f t="shared" si="55"/>
        <v>34</v>
      </c>
      <c r="B1380">
        <v>1371</v>
      </c>
      <c r="C1380" s="1078">
        <v>2</v>
      </c>
      <c r="D1380" s="1077" t="s">
        <v>5463</v>
      </c>
      <c r="E1380" s="1077" t="s">
        <v>5464</v>
      </c>
      <c r="F1380" s="1185">
        <v>1</v>
      </c>
      <c r="G1380" s="1186"/>
      <c r="H1380" s="1186"/>
      <c r="I1380" s="1186">
        <v>10.6</v>
      </c>
      <c r="J1380" s="1186">
        <v>3.6</v>
      </c>
      <c r="K1380" s="1186">
        <v>13.2</v>
      </c>
      <c r="L1380" s="1186">
        <v>4.4000000000000004</v>
      </c>
      <c r="M1380" s="1186">
        <v>15.1</v>
      </c>
      <c r="N1380" s="1186">
        <v>5</v>
      </c>
      <c r="O1380" s="1186"/>
      <c r="P1380" s="1186"/>
      <c r="Q1380" s="1186">
        <v>9.8000000000000007</v>
      </c>
      <c r="R1380" s="1186">
        <v>2.4</v>
      </c>
      <c r="S1380" s="1186">
        <v>14.8</v>
      </c>
      <c r="T1380" s="1186">
        <v>4.3</v>
      </c>
      <c r="U1380" s="1186"/>
      <c r="V1380" s="1186"/>
      <c r="W1380" s="1186"/>
      <c r="X1380" s="1186"/>
      <c r="Y1380" s="1186"/>
      <c r="Z1380" s="1186"/>
      <c r="AA1380" s="1186"/>
      <c r="AB1380" s="1186"/>
      <c r="AC1380" s="1186"/>
      <c r="AD1380" s="1187"/>
    </row>
    <row r="1381" spans="1:30" x14ac:dyDescent="0.2">
      <c r="A1381">
        <f t="shared" si="55"/>
        <v>34</v>
      </c>
      <c r="B1381">
        <v>1372</v>
      </c>
      <c r="C1381" s="1078">
        <v>2</v>
      </c>
      <c r="D1381" s="1077" t="s">
        <v>5463</v>
      </c>
      <c r="E1381" s="1077" t="s">
        <v>5465</v>
      </c>
      <c r="F1381" s="1185">
        <v>1</v>
      </c>
      <c r="G1381" s="1186"/>
      <c r="H1381" s="1186"/>
      <c r="I1381" s="1186">
        <v>13.7</v>
      </c>
      <c r="J1381" s="1186">
        <v>3.5</v>
      </c>
      <c r="K1381" s="1186">
        <v>17.2</v>
      </c>
      <c r="L1381" s="1186">
        <v>4.2</v>
      </c>
      <c r="M1381" s="1186">
        <v>20.7</v>
      </c>
      <c r="N1381" s="1186">
        <v>4.5999999999999996</v>
      </c>
      <c r="O1381" s="1186"/>
      <c r="P1381" s="1186"/>
      <c r="Q1381" s="1186">
        <v>13.2</v>
      </c>
      <c r="R1381" s="1186">
        <v>2.5</v>
      </c>
      <c r="S1381" s="1186">
        <v>20.5</v>
      </c>
      <c r="T1381" s="1186">
        <v>4.0999999999999996</v>
      </c>
      <c r="U1381" s="1186"/>
      <c r="V1381" s="1186"/>
      <c r="W1381" s="1186"/>
      <c r="X1381" s="1186"/>
      <c r="Y1381" s="1186"/>
      <c r="Z1381" s="1186"/>
      <c r="AA1381" s="1186"/>
      <c r="AB1381" s="1186"/>
      <c r="AC1381" s="1186"/>
      <c r="AD1381" s="1187"/>
    </row>
    <row r="1382" spans="1:30" x14ac:dyDescent="0.2">
      <c r="A1382">
        <f t="shared" si="55"/>
        <v>34</v>
      </c>
      <c r="B1382">
        <v>1373</v>
      </c>
      <c r="C1382" s="1078">
        <v>2</v>
      </c>
      <c r="D1382" s="1077" t="s">
        <v>5463</v>
      </c>
      <c r="E1382" s="1077" t="s">
        <v>5466</v>
      </c>
      <c r="F1382" s="1185">
        <v>1</v>
      </c>
      <c r="G1382" s="1186"/>
      <c r="H1382" s="1186"/>
      <c r="I1382" s="1186">
        <v>18.899999999999999</v>
      </c>
      <c r="J1382" s="1186">
        <v>3.3</v>
      </c>
      <c r="K1382" s="1186">
        <v>21.1</v>
      </c>
      <c r="L1382" s="1186">
        <v>3.6</v>
      </c>
      <c r="M1382" s="1186">
        <v>26.5</v>
      </c>
      <c r="N1382" s="1186">
        <v>4.2</v>
      </c>
      <c r="O1382" s="1186"/>
      <c r="P1382" s="1186"/>
      <c r="Q1382" s="1186">
        <v>18.8</v>
      </c>
      <c r="R1382" s="1186">
        <v>2.6</v>
      </c>
      <c r="S1382" s="1186">
        <v>27</v>
      </c>
      <c r="T1382" s="1186">
        <v>3.9</v>
      </c>
      <c r="U1382" s="1186"/>
      <c r="V1382" s="1186"/>
      <c r="W1382" s="1186"/>
      <c r="X1382" s="1186"/>
      <c r="Y1382" s="1186"/>
      <c r="Z1382" s="1186"/>
      <c r="AA1382" s="1186"/>
      <c r="AB1382" s="1186"/>
      <c r="AC1382" s="1186"/>
      <c r="AD1382" s="1187"/>
    </row>
    <row r="1383" spans="1:30" x14ac:dyDescent="0.2">
      <c r="A1383">
        <f t="shared" si="55"/>
        <v>34</v>
      </c>
      <c r="B1383">
        <v>1374</v>
      </c>
      <c r="C1383" s="1078">
        <v>2</v>
      </c>
      <c r="D1383" s="1077" t="s">
        <v>5463</v>
      </c>
      <c r="E1383" s="1077" t="s">
        <v>5467</v>
      </c>
      <c r="F1383" s="1185">
        <v>1</v>
      </c>
      <c r="G1383" s="1186"/>
      <c r="H1383" s="1186"/>
      <c r="I1383" s="1186">
        <v>26</v>
      </c>
      <c r="J1383" s="1186">
        <v>3.3</v>
      </c>
      <c r="K1383" s="1186">
        <v>28</v>
      </c>
      <c r="L1383" s="1186">
        <v>3.5</v>
      </c>
      <c r="M1383" s="1186">
        <v>37</v>
      </c>
      <c r="N1383" s="1186">
        <v>4.2</v>
      </c>
      <c r="O1383" s="1186"/>
      <c r="P1383" s="1186"/>
      <c r="Q1383" s="1186">
        <v>26</v>
      </c>
      <c r="R1383" s="1186">
        <v>2.6</v>
      </c>
      <c r="S1383" s="1186">
        <v>38</v>
      </c>
      <c r="T1383" s="1186">
        <v>4</v>
      </c>
      <c r="U1383" s="1186"/>
      <c r="V1383" s="1186"/>
      <c r="W1383" s="1186"/>
      <c r="X1383" s="1186"/>
      <c r="Y1383" s="1186"/>
      <c r="Z1383" s="1186"/>
      <c r="AA1383" s="1186"/>
      <c r="AB1383" s="1186"/>
      <c r="AC1383" s="1186"/>
      <c r="AD1383" s="1187"/>
    </row>
    <row r="1384" spans="1:30" x14ac:dyDescent="0.2">
      <c r="A1384">
        <f t="shared" si="55"/>
        <v>34</v>
      </c>
      <c r="B1384">
        <v>1375</v>
      </c>
      <c r="C1384" s="1078">
        <v>2</v>
      </c>
      <c r="D1384" s="1077" t="s">
        <v>5463</v>
      </c>
      <c r="E1384" s="1077" t="s">
        <v>5468</v>
      </c>
      <c r="F1384" s="1185">
        <v>1</v>
      </c>
      <c r="G1384" s="1186"/>
      <c r="H1384" s="1186"/>
      <c r="I1384" s="1186">
        <v>47.9</v>
      </c>
      <c r="J1384" s="1186">
        <v>3.6</v>
      </c>
      <c r="K1384" s="1186">
        <v>50.17</v>
      </c>
      <c r="L1384" s="1186">
        <v>3.87</v>
      </c>
      <c r="M1384" s="1186">
        <v>68.099999999999994</v>
      </c>
      <c r="N1384" s="1186">
        <v>4.87</v>
      </c>
      <c r="O1384" s="1186"/>
      <c r="P1384" s="1186"/>
      <c r="Q1384" s="1186">
        <v>49.2</v>
      </c>
      <c r="R1384" s="1186">
        <v>2.7</v>
      </c>
      <c r="S1384" s="1186">
        <v>67.2</v>
      </c>
      <c r="T1384" s="1186">
        <v>4.4000000000000004</v>
      </c>
      <c r="U1384" s="1186"/>
      <c r="V1384" s="1186"/>
      <c r="W1384" s="1186"/>
      <c r="X1384" s="1186"/>
      <c r="Y1384" s="1186"/>
      <c r="Z1384" s="1186"/>
      <c r="AA1384" s="1186"/>
      <c r="AB1384" s="1186"/>
      <c r="AC1384" s="1186"/>
      <c r="AD1384" s="1187"/>
    </row>
    <row r="1385" spans="1:30" x14ac:dyDescent="0.2">
      <c r="A1385">
        <f t="shared" si="55"/>
        <v>34</v>
      </c>
      <c r="B1385">
        <v>1376</v>
      </c>
      <c r="C1385" s="1078">
        <v>2</v>
      </c>
      <c r="D1385" s="1077" t="s">
        <v>5463</v>
      </c>
      <c r="E1385" s="1077" t="s">
        <v>5469</v>
      </c>
      <c r="F1385" s="1185">
        <v>4</v>
      </c>
      <c r="G1385" s="1186"/>
      <c r="H1385" s="1186"/>
      <c r="I1385" s="1186"/>
      <c r="J1385" s="1186"/>
      <c r="K1385" s="1186">
        <v>4.1900000000000004</v>
      </c>
      <c r="L1385" s="1186">
        <v>3.44</v>
      </c>
      <c r="M1385" s="1186">
        <v>5.36</v>
      </c>
      <c r="N1385" s="1186">
        <v>5.05</v>
      </c>
      <c r="O1385" s="1186"/>
      <c r="P1385" s="1186"/>
      <c r="Q1385" s="1186"/>
      <c r="R1385" s="1186"/>
      <c r="S1385" s="1186">
        <v>5.56</v>
      </c>
      <c r="T1385" s="1186">
        <v>2.99</v>
      </c>
      <c r="U1385" s="1186"/>
      <c r="V1385" s="1186"/>
      <c r="W1385" s="1186"/>
      <c r="X1385" s="1186"/>
      <c r="Y1385" s="1186"/>
      <c r="Z1385" s="1186"/>
      <c r="AA1385" s="1186"/>
      <c r="AB1385" s="1186"/>
      <c r="AC1385" s="1186"/>
      <c r="AD1385" s="1187"/>
    </row>
    <row r="1386" spans="1:30" x14ac:dyDescent="0.2">
      <c r="A1386">
        <f t="shared" si="55"/>
        <v>34</v>
      </c>
      <c r="B1386">
        <v>1377</v>
      </c>
      <c r="C1386" s="1078">
        <v>2</v>
      </c>
      <c r="D1386" s="1077" t="s">
        <v>5463</v>
      </c>
      <c r="E1386" s="1077" t="s">
        <v>5470</v>
      </c>
      <c r="F1386" s="1185">
        <v>4</v>
      </c>
      <c r="G1386" s="1186"/>
      <c r="H1386" s="1186"/>
      <c r="I1386" s="1186">
        <v>2.36</v>
      </c>
      <c r="J1386" s="1186">
        <v>3.62</v>
      </c>
      <c r="K1386" s="1186">
        <v>2.4900000000000002</v>
      </c>
      <c r="L1386" s="1186">
        <v>4.22</v>
      </c>
      <c r="M1386" s="1186">
        <v>2.5499999999999998</v>
      </c>
      <c r="N1386" s="1186">
        <v>5.04</v>
      </c>
      <c r="O1386" s="1186"/>
      <c r="P1386" s="1186"/>
      <c r="Q1386" s="1186">
        <v>2.86</v>
      </c>
      <c r="R1386" s="1186">
        <v>2.4700000000000002</v>
      </c>
      <c r="S1386" s="1186">
        <v>3.98</v>
      </c>
      <c r="T1386" s="1186">
        <v>3.1</v>
      </c>
      <c r="U1386" s="1186"/>
      <c r="V1386" s="1186"/>
      <c r="W1386" s="1186"/>
      <c r="X1386" s="1186"/>
      <c r="Y1386" s="1186"/>
      <c r="Z1386" s="1186"/>
      <c r="AA1386" s="1186"/>
      <c r="AB1386" s="1186"/>
      <c r="AC1386" s="1186"/>
      <c r="AD1386" s="1187"/>
    </row>
    <row r="1387" spans="1:30" x14ac:dyDescent="0.2">
      <c r="A1387">
        <f t="shared" si="55"/>
        <v>34</v>
      </c>
      <c r="B1387">
        <v>1378</v>
      </c>
      <c r="C1387" s="1078">
        <v>2</v>
      </c>
      <c r="D1387" s="1077" t="s">
        <v>5463</v>
      </c>
      <c r="E1387" s="1077" t="s">
        <v>5471</v>
      </c>
      <c r="F1387" s="1185">
        <v>4</v>
      </c>
      <c r="G1387" s="1186"/>
      <c r="H1387" s="1186"/>
      <c r="I1387" s="1186">
        <v>4.62</v>
      </c>
      <c r="J1387" s="1186">
        <v>3.6</v>
      </c>
      <c r="K1387" s="1186">
        <v>4.83</v>
      </c>
      <c r="L1387" s="1186">
        <v>3.87</v>
      </c>
      <c r="M1387" s="1186">
        <v>4.82</v>
      </c>
      <c r="N1387" s="1186">
        <v>4.82</v>
      </c>
      <c r="O1387" s="1186"/>
      <c r="P1387" s="1186"/>
      <c r="Q1387" s="1186">
        <v>5.71</v>
      </c>
      <c r="R1387" s="1186">
        <v>2.36</v>
      </c>
      <c r="S1387" s="1186">
        <v>5.91</v>
      </c>
      <c r="T1387" s="1186">
        <v>3.09</v>
      </c>
      <c r="U1387" s="1186"/>
      <c r="V1387" s="1186"/>
      <c r="W1387" s="1186"/>
      <c r="X1387" s="1186"/>
      <c r="Y1387" s="1186"/>
      <c r="Z1387" s="1186"/>
      <c r="AA1387" s="1186"/>
      <c r="AB1387" s="1186"/>
      <c r="AC1387" s="1186"/>
      <c r="AD1387" s="1187"/>
    </row>
    <row r="1388" spans="1:30" x14ac:dyDescent="0.2">
      <c r="A1388">
        <f t="shared" si="55"/>
        <v>34</v>
      </c>
      <c r="B1388">
        <v>1379</v>
      </c>
      <c r="C1388" s="1078">
        <v>2</v>
      </c>
      <c r="D1388" s="1077" t="s">
        <v>5463</v>
      </c>
      <c r="E1388" s="1077" t="s">
        <v>5472</v>
      </c>
      <c r="F1388" s="1185">
        <v>4</v>
      </c>
      <c r="G1388" s="1186"/>
      <c r="H1388" s="1186"/>
      <c r="I1388" s="1186">
        <v>14.28</v>
      </c>
      <c r="J1388" s="1186">
        <v>3.28</v>
      </c>
      <c r="K1388" s="1186">
        <v>6.73</v>
      </c>
      <c r="L1388" s="1186">
        <v>4.32</v>
      </c>
      <c r="M1388" s="1186">
        <v>9.25</v>
      </c>
      <c r="N1388" s="1186">
        <v>5.14</v>
      </c>
      <c r="O1388" s="1186"/>
      <c r="P1388" s="1186"/>
      <c r="Q1388" s="1186">
        <v>11.9</v>
      </c>
      <c r="R1388" s="1186">
        <v>2.13</v>
      </c>
      <c r="S1388" s="1186">
        <v>10.38</v>
      </c>
      <c r="T1388" s="1186">
        <v>3.1</v>
      </c>
      <c r="U1388" s="1186"/>
      <c r="V1388" s="1186"/>
      <c r="W1388" s="1186"/>
      <c r="X1388" s="1186"/>
      <c r="Y1388" s="1186"/>
      <c r="Z1388" s="1186"/>
      <c r="AA1388" s="1186"/>
      <c r="AB1388" s="1186"/>
      <c r="AC1388" s="1186"/>
      <c r="AD1388" s="1187"/>
    </row>
    <row r="1389" spans="1:30" x14ac:dyDescent="0.2">
      <c r="A1389">
        <f t="shared" si="55"/>
        <v>34</v>
      </c>
      <c r="B1389">
        <v>1380</v>
      </c>
      <c r="C1389" s="1078">
        <v>2</v>
      </c>
      <c r="D1389" s="1077" t="s">
        <v>5463</v>
      </c>
      <c r="E1389" s="1077" t="s">
        <v>5473</v>
      </c>
      <c r="F1389" s="1185">
        <v>4</v>
      </c>
      <c r="G1389" s="1186"/>
      <c r="H1389" s="1186"/>
      <c r="I1389" s="1186">
        <v>17.850000000000001</v>
      </c>
      <c r="J1389" s="1186">
        <v>3.84</v>
      </c>
      <c r="K1389" s="1186">
        <v>20.74</v>
      </c>
      <c r="L1389" s="1186">
        <v>4.01</v>
      </c>
      <c r="M1389" s="1186">
        <v>20.69</v>
      </c>
      <c r="N1389" s="1186">
        <v>5.24</v>
      </c>
      <c r="O1389" s="1186"/>
      <c r="P1389" s="1186"/>
      <c r="Q1389" s="1186">
        <v>14.97</v>
      </c>
      <c r="R1389" s="1186">
        <v>2.13</v>
      </c>
      <c r="S1389" s="1186">
        <v>19.670000000000002</v>
      </c>
      <c r="T1389" s="1186">
        <v>3.19</v>
      </c>
      <c r="U1389" s="1186"/>
      <c r="V1389" s="1186"/>
      <c r="W1389" s="1186"/>
      <c r="X1389" s="1186"/>
      <c r="Y1389" s="1186"/>
      <c r="Z1389" s="1186"/>
      <c r="AA1389" s="1186"/>
      <c r="AB1389" s="1186"/>
      <c r="AC1389" s="1186"/>
      <c r="AD1389" s="1187"/>
    </row>
    <row r="1390" spans="1:30" x14ac:dyDescent="0.2">
      <c r="A1390">
        <f t="shared" si="55"/>
        <v>34</v>
      </c>
      <c r="B1390">
        <v>1381</v>
      </c>
      <c r="C1390" s="1078">
        <v>3</v>
      </c>
      <c r="D1390" s="1077" t="s">
        <v>5463</v>
      </c>
      <c r="E1390" s="1077" t="s">
        <v>5474</v>
      </c>
      <c r="F1390" s="1185">
        <v>1</v>
      </c>
      <c r="G1390" s="1186"/>
      <c r="H1390" s="1186"/>
      <c r="I1390" s="1186"/>
      <c r="J1390" s="1186"/>
      <c r="K1390" s="1186"/>
      <c r="L1390" s="1186"/>
      <c r="M1390" s="1186"/>
      <c r="N1390" s="1186"/>
      <c r="O1390" s="1186"/>
      <c r="P1390" s="1186"/>
      <c r="Q1390" s="1186"/>
      <c r="R1390" s="1186"/>
      <c r="S1390" s="1186"/>
      <c r="T1390" s="1186"/>
      <c r="U1390" s="1186"/>
      <c r="V1390" s="1186"/>
      <c r="W1390" s="1186">
        <v>7.5</v>
      </c>
      <c r="X1390" s="1186">
        <v>4.84</v>
      </c>
      <c r="Y1390" s="1186">
        <v>6.9</v>
      </c>
      <c r="Z1390" s="1186">
        <v>2.94</v>
      </c>
      <c r="AA1390" s="1186"/>
      <c r="AB1390" s="1186"/>
      <c r="AC1390" s="1186"/>
      <c r="AD1390" s="1187"/>
    </row>
    <row r="1391" spans="1:30" x14ac:dyDescent="0.2">
      <c r="A1391">
        <f t="shared" si="55"/>
        <v>34</v>
      </c>
      <c r="B1391">
        <v>1382</v>
      </c>
      <c r="C1391" s="1078">
        <v>3</v>
      </c>
      <c r="D1391" s="1077" t="s">
        <v>5463</v>
      </c>
      <c r="E1391" s="1077" t="s">
        <v>5475</v>
      </c>
      <c r="F1391" s="1185">
        <v>1</v>
      </c>
      <c r="G1391" s="1186"/>
      <c r="H1391" s="1186"/>
      <c r="I1391" s="1186"/>
      <c r="J1391" s="1186"/>
      <c r="K1391" s="1186"/>
      <c r="L1391" s="1186"/>
      <c r="M1391" s="1186"/>
      <c r="N1391" s="1186"/>
      <c r="O1391" s="1186"/>
      <c r="P1391" s="1186"/>
      <c r="Q1391" s="1186"/>
      <c r="R1391" s="1186"/>
      <c r="S1391" s="1186"/>
      <c r="T1391" s="1186"/>
      <c r="U1391" s="1186"/>
      <c r="V1391" s="1186"/>
      <c r="W1391" s="1186">
        <v>10.3</v>
      </c>
      <c r="X1391" s="1186">
        <v>5.03</v>
      </c>
      <c r="Y1391" s="1186">
        <v>9.1</v>
      </c>
      <c r="Z1391" s="1186">
        <v>2.83</v>
      </c>
      <c r="AA1391" s="1186"/>
      <c r="AB1391" s="1186"/>
      <c r="AC1391" s="1186"/>
      <c r="AD1391" s="1187"/>
    </row>
    <row r="1392" spans="1:30" x14ac:dyDescent="0.2">
      <c r="A1392">
        <f t="shared" si="55"/>
        <v>34</v>
      </c>
      <c r="B1392">
        <v>1383</v>
      </c>
      <c r="C1392" s="1078">
        <v>3</v>
      </c>
      <c r="D1392" s="1077" t="s">
        <v>5463</v>
      </c>
      <c r="E1392" s="1077" t="s">
        <v>5476</v>
      </c>
      <c r="F1392" s="1185">
        <v>1</v>
      </c>
      <c r="G1392" s="1186"/>
      <c r="H1392" s="1186"/>
      <c r="I1392" s="1186"/>
      <c r="J1392" s="1186"/>
      <c r="K1392" s="1186"/>
      <c r="L1392" s="1186"/>
      <c r="M1392" s="1186"/>
      <c r="N1392" s="1186"/>
      <c r="O1392" s="1186"/>
      <c r="P1392" s="1186"/>
      <c r="Q1392" s="1186"/>
      <c r="R1392" s="1186"/>
      <c r="S1392" s="1186"/>
      <c r="T1392" s="1186"/>
      <c r="U1392" s="1186"/>
      <c r="V1392" s="1186"/>
      <c r="W1392" s="1186">
        <v>13.2</v>
      </c>
      <c r="X1392" s="1186">
        <v>4.82</v>
      </c>
      <c r="Y1392" s="1186">
        <v>12</v>
      </c>
      <c r="Z1392" s="1186">
        <v>3.05</v>
      </c>
      <c r="AA1392" s="1186"/>
      <c r="AB1392" s="1186"/>
      <c r="AC1392" s="1186"/>
      <c r="AD1392" s="1187"/>
    </row>
    <row r="1393" spans="1:30" x14ac:dyDescent="0.2">
      <c r="A1393">
        <f t="shared" si="55"/>
        <v>34</v>
      </c>
      <c r="B1393">
        <v>1384</v>
      </c>
      <c r="C1393" s="1078">
        <v>3</v>
      </c>
      <c r="D1393" s="1077" t="s">
        <v>5463</v>
      </c>
      <c r="E1393" s="1077" t="s">
        <v>5477</v>
      </c>
      <c r="F1393" s="1185">
        <v>1</v>
      </c>
      <c r="G1393" s="1186"/>
      <c r="H1393" s="1186"/>
      <c r="I1393" s="1186"/>
      <c r="J1393" s="1186"/>
      <c r="K1393" s="1186"/>
      <c r="L1393" s="1186"/>
      <c r="M1393" s="1186"/>
      <c r="N1393" s="1186"/>
      <c r="O1393" s="1186"/>
      <c r="P1393" s="1186"/>
      <c r="Q1393" s="1186"/>
      <c r="R1393" s="1186"/>
      <c r="S1393" s="1186"/>
      <c r="T1393" s="1186"/>
      <c r="U1393" s="1186"/>
      <c r="V1393" s="1186"/>
      <c r="W1393" s="1186">
        <v>17</v>
      </c>
      <c r="X1393" s="1186">
        <v>4.53</v>
      </c>
      <c r="Y1393" s="1186">
        <v>15.8</v>
      </c>
      <c r="Z1393" s="1186">
        <v>2.89</v>
      </c>
      <c r="AA1393" s="1186"/>
      <c r="AB1393" s="1186"/>
      <c r="AC1393" s="1186"/>
      <c r="AD1393" s="1187"/>
    </row>
    <row r="1394" spans="1:30" x14ac:dyDescent="0.2">
      <c r="A1394">
        <f t="shared" si="55"/>
        <v>34</v>
      </c>
      <c r="B1394">
        <v>1385</v>
      </c>
      <c r="C1394" s="1078">
        <v>3</v>
      </c>
      <c r="D1394" s="1077" t="s">
        <v>5463</v>
      </c>
      <c r="E1394" s="1077" t="s">
        <v>5478</v>
      </c>
      <c r="F1394" s="1185">
        <v>1</v>
      </c>
      <c r="G1394" s="1186"/>
      <c r="H1394" s="1186"/>
      <c r="I1394" s="1186"/>
      <c r="J1394" s="1186"/>
      <c r="K1394" s="1186"/>
      <c r="L1394" s="1186"/>
      <c r="M1394" s="1186"/>
      <c r="N1394" s="1186"/>
      <c r="O1394" s="1186"/>
      <c r="P1394" s="1186"/>
      <c r="Q1394" s="1186"/>
      <c r="R1394" s="1186"/>
      <c r="S1394" s="1186"/>
      <c r="T1394" s="1186"/>
      <c r="U1394" s="1186"/>
      <c r="V1394" s="1186"/>
      <c r="W1394" s="1186">
        <v>24.45</v>
      </c>
      <c r="X1394" s="1186">
        <v>4.4000000000000004</v>
      </c>
      <c r="Y1394" s="1186">
        <v>22.59</v>
      </c>
      <c r="Z1394" s="1186">
        <v>2.84</v>
      </c>
      <c r="AA1394" s="1186"/>
      <c r="AB1394" s="1186"/>
      <c r="AC1394" s="1186"/>
      <c r="AD1394" s="1187"/>
    </row>
    <row r="1395" spans="1:30" x14ac:dyDescent="0.2">
      <c r="A1395">
        <f t="shared" si="55"/>
        <v>34</v>
      </c>
      <c r="B1395">
        <v>1386</v>
      </c>
      <c r="C1395" s="1078">
        <v>3</v>
      </c>
      <c r="D1395" s="1077" t="s">
        <v>5463</v>
      </c>
      <c r="E1395" s="1077" t="s">
        <v>5479</v>
      </c>
      <c r="F1395" s="1185">
        <v>1</v>
      </c>
      <c r="G1395" s="1186"/>
      <c r="H1395" s="1186"/>
      <c r="I1395" s="1186"/>
      <c r="J1395" s="1186"/>
      <c r="K1395" s="1186"/>
      <c r="L1395" s="1186"/>
      <c r="M1395" s="1186"/>
      <c r="N1395" s="1186"/>
      <c r="O1395" s="1186"/>
      <c r="P1395" s="1186"/>
      <c r="Q1395" s="1186"/>
      <c r="R1395" s="1186"/>
      <c r="S1395" s="1186"/>
      <c r="T1395" s="1186"/>
      <c r="U1395" s="1186"/>
      <c r="V1395" s="1186"/>
      <c r="W1395" s="1186">
        <v>40.4</v>
      </c>
      <c r="X1395" s="1186">
        <v>4.7</v>
      </c>
      <c r="Y1395" s="1186">
        <v>36.5</v>
      </c>
      <c r="Z1395" s="1186">
        <v>3</v>
      </c>
      <c r="AA1395" s="1186"/>
      <c r="AB1395" s="1186"/>
      <c r="AC1395" s="1186"/>
      <c r="AD1395" s="1187"/>
    </row>
    <row r="1396" spans="1:30" x14ac:dyDescent="0.2">
      <c r="A1396">
        <f t="shared" si="55"/>
        <v>34</v>
      </c>
      <c r="B1396">
        <v>1387</v>
      </c>
      <c r="C1396" s="1078">
        <v>3</v>
      </c>
      <c r="D1396" s="1077" t="s">
        <v>5463</v>
      </c>
      <c r="E1396" s="1077" t="s">
        <v>5480</v>
      </c>
      <c r="F1396" s="1185">
        <v>1</v>
      </c>
      <c r="G1396" s="1186"/>
      <c r="H1396" s="1186"/>
      <c r="I1396" s="1186"/>
      <c r="J1396" s="1186"/>
      <c r="K1396" s="1186"/>
      <c r="L1396" s="1186"/>
      <c r="M1396" s="1186"/>
      <c r="N1396" s="1186"/>
      <c r="O1396" s="1186"/>
      <c r="P1396" s="1186"/>
      <c r="Q1396" s="1186"/>
      <c r="R1396" s="1186"/>
      <c r="S1396" s="1186"/>
      <c r="T1396" s="1186"/>
      <c r="U1396" s="1186"/>
      <c r="V1396" s="1186"/>
      <c r="W1396" s="1186">
        <v>77.5</v>
      </c>
      <c r="X1396" s="1186">
        <v>4.4000000000000004</v>
      </c>
      <c r="Y1396" s="1186">
        <v>67.2</v>
      </c>
      <c r="Z1396" s="1186">
        <v>2.8</v>
      </c>
      <c r="AA1396" s="1186"/>
      <c r="AB1396" s="1186"/>
      <c r="AC1396" s="1186"/>
      <c r="AD1396" s="1187"/>
    </row>
    <row r="1397" spans="1:30" x14ac:dyDescent="0.2">
      <c r="A1397">
        <f t="shared" si="55"/>
        <v>34</v>
      </c>
      <c r="B1397">
        <v>1388</v>
      </c>
      <c r="C1397" s="1078">
        <v>3</v>
      </c>
      <c r="D1397" s="1077" t="s">
        <v>5463</v>
      </c>
      <c r="E1397" s="1077" t="s">
        <v>5481</v>
      </c>
      <c r="F1397" s="1185">
        <v>4</v>
      </c>
      <c r="G1397" s="1186"/>
      <c r="H1397" s="1186"/>
      <c r="I1397" s="1186"/>
      <c r="J1397" s="1186"/>
      <c r="K1397" s="1186"/>
      <c r="L1397" s="1186"/>
      <c r="M1397" s="1186"/>
      <c r="N1397" s="1186"/>
      <c r="O1397" s="1186"/>
      <c r="P1397" s="1186"/>
      <c r="Q1397" s="1186"/>
      <c r="R1397" s="1186"/>
      <c r="S1397" s="1186"/>
      <c r="T1397" s="1186"/>
      <c r="U1397" s="1186"/>
      <c r="V1397" s="1186"/>
      <c r="W1397" s="1186">
        <v>4.9000000000000004</v>
      </c>
      <c r="X1397" s="1186">
        <v>4.5999999999999996</v>
      </c>
      <c r="Y1397" s="1186">
        <v>6.21</v>
      </c>
      <c r="Z1397" s="1186">
        <v>2.83</v>
      </c>
      <c r="AA1397" s="1186"/>
      <c r="AB1397" s="1186"/>
      <c r="AC1397" s="1186"/>
      <c r="AD1397" s="1187"/>
    </row>
    <row r="1398" spans="1:30" x14ac:dyDescent="0.2">
      <c r="A1398">
        <f t="shared" si="55"/>
        <v>34</v>
      </c>
      <c r="B1398">
        <v>1389</v>
      </c>
      <c r="C1398" s="1078">
        <v>3</v>
      </c>
      <c r="D1398" s="1077" t="s">
        <v>5463</v>
      </c>
      <c r="E1398" s="1077" t="s">
        <v>5482</v>
      </c>
      <c r="F1398" s="1185">
        <v>4</v>
      </c>
      <c r="G1398" s="1186"/>
      <c r="H1398" s="1186"/>
      <c r="I1398" s="1186"/>
      <c r="J1398" s="1186"/>
      <c r="K1398" s="1186"/>
      <c r="L1398" s="1186"/>
      <c r="M1398" s="1186"/>
      <c r="N1398" s="1186"/>
      <c r="O1398" s="1186"/>
      <c r="P1398" s="1186"/>
      <c r="Q1398" s="1186"/>
      <c r="R1398" s="1186"/>
      <c r="S1398" s="1186"/>
      <c r="T1398" s="1186"/>
      <c r="U1398" s="1186"/>
      <c r="V1398" s="1186"/>
      <c r="W1398" s="1186">
        <v>5.21</v>
      </c>
      <c r="X1398" s="1186">
        <v>4.78</v>
      </c>
      <c r="Y1398" s="1186">
        <v>8.42</v>
      </c>
      <c r="Z1398" s="1186">
        <v>2.96</v>
      </c>
      <c r="AA1398" s="1186"/>
      <c r="AB1398" s="1186"/>
      <c r="AC1398" s="1186"/>
      <c r="AD1398" s="1187"/>
    </row>
    <row r="1399" spans="1:30" x14ac:dyDescent="0.2">
      <c r="A1399">
        <f t="shared" si="55"/>
        <v>34</v>
      </c>
      <c r="B1399">
        <v>1390</v>
      </c>
      <c r="C1399" s="1078">
        <v>3</v>
      </c>
      <c r="D1399" s="1077" t="s">
        <v>5463</v>
      </c>
      <c r="E1399" s="1077" t="s">
        <v>5483</v>
      </c>
      <c r="F1399" s="1185">
        <v>4</v>
      </c>
      <c r="G1399" s="1186"/>
      <c r="H1399" s="1186"/>
      <c r="I1399" s="1186"/>
      <c r="J1399" s="1186"/>
      <c r="K1399" s="1186"/>
      <c r="L1399" s="1186"/>
      <c r="M1399" s="1186"/>
      <c r="N1399" s="1186"/>
      <c r="O1399" s="1186"/>
      <c r="P1399" s="1186"/>
      <c r="Q1399" s="1186"/>
      <c r="R1399" s="1186"/>
      <c r="S1399" s="1186"/>
      <c r="T1399" s="1186"/>
      <c r="U1399" s="1186"/>
      <c r="V1399" s="1186"/>
      <c r="W1399" s="1186">
        <v>10.42</v>
      </c>
      <c r="X1399" s="1186">
        <v>4.87</v>
      </c>
      <c r="Y1399" s="1186">
        <v>12.19</v>
      </c>
      <c r="Z1399" s="1186">
        <v>3.05</v>
      </c>
      <c r="AA1399" s="1186"/>
      <c r="AB1399" s="1186"/>
      <c r="AC1399" s="1186"/>
      <c r="AD1399" s="1187"/>
    </row>
    <row r="1400" spans="1:30" x14ac:dyDescent="0.2">
      <c r="A1400">
        <f t="shared" si="55"/>
        <v>34</v>
      </c>
      <c r="B1400">
        <v>1391</v>
      </c>
      <c r="C1400" s="1078">
        <v>4</v>
      </c>
      <c r="D1400" s="1077" t="s">
        <v>5463</v>
      </c>
      <c r="E1400" s="1077" t="s">
        <v>5484</v>
      </c>
      <c r="F1400" s="1185">
        <v>1</v>
      </c>
      <c r="G1400" s="1186"/>
      <c r="H1400" s="1186"/>
      <c r="I1400" s="1186"/>
      <c r="J1400" s="1186"/>
      <c r="K1400" s="1186"/>
      <c r="L1400" s="1186"/>
      <c r="M1400" s="1186"/>
      <c r="N1400" s="1186"/>
      <c r="O1400" s="1186"/>
      <c r="P1400" s="1186"/>
      <c r="Q1400" s="1186"/>
      <c r="R1400" s="1186"/>
      <c r="S1400" s="1186"/>
      <c r="T1400" s="1186"/>
      <c r="U1400" s="1186"/>
      <c r="V1400" s="1186"/>
      <c r="W1400" s="1186"/>
      <c r="X1400" s="1186"/>
      <c r="Y1400" s="1186"/>
      <c r="Z1400" s="1186"/>
      <c r="AA1400" s="1186">
        <v>10</v>
      </c>
      <c r="AB1400" s="1186">
        <v>5.7</v>
      </c>
      <c r="AC1400" s="1186">
        <v>8.1</v>
      </c>
      <c r="AD1400" s="1187">
        <v>3.1</v>
      </c>
    </row>
    <row r="1401" spans="1:30" x14ac:dyDescent="0.2">
      <c r="A1401">
        <f t="shared" si="55"/>
        <v>34</v>
      </c>
      <c r="B1401">
        <v>1392</v>
      </c>
      <c r="C1401" s="1078">
        <v>4</v>
      </c>
      <c r="D1401" s="1077" t="s">
        <v>5463</v>
      </c>
      <c r="E1401" s="1077" t="s">
        <v>5485</v>
      </c>
      <c r="F1401" s="1185">
        <v>1</v>
      </c>
      <c r="G1401" s="1186"/>
      <c r="H1401" s="1186"/>
      <c r="I1401" s="1186"/>
      <c r="J1401" s="1186"/>
      <c r="K1401" s="1186"/>
      <c r="L1401" s="1186"/>
      <c r="M1401" s="1186"/>
      <c r="N1401" s="1186"/>
      <c r="O1401" s="1186"/>
      <c r="P1401" s="1186"/>
      <c r="Q1401" s="1186"/>
      <c r="R1401" s="1186"/>
      <c r="S1401" s="1186"/>
      <c r="T1401" s="1186"/>
      <c r="U1401" s="1186"/>
      <c r="V1401" s="1186"/>
      <c r="W1401" s="1186"/>
      <c r="X1401" s="1186"/>
      <c r="Y1401" s="1186"/>
      <c r="Z1401" s="1186"/>
      <c r="AA1401" s="1186">
        <v>12.3</v>
      </c>
      <c r="AB1401" s="1186">
        <v>5.8</v>
      </c>
      <c r="AC1401" s="1186">
        <v>11.3</v>
      </c>
      <c r="AD1401" s="1187">
        <v>3.4</v>
      </c>
    </row>
    <row r="1402" spans="1:30" x14ac:dyDescent="0.2">
      <c r="A1402">
        <f t="shared" si="55"/>
        <v>34</v>
      </c>
      <c r="B1402">
        <v>1393</v>
      </c>
      <c r="C1402" s="1078">
        <v>4</v>
      </c>
      <c r="D1402" s="1077" t="s">
        <v>5463</v>
      </c>
      <c r="E1402" s="1077" t="s">
        <v>5486</v>
      </c>
      <c r="F1402" s="1185">
        <v>1</v>
      </c>
      <c r="G1402" s="1186"/>
      <c r="H1402" s="1186"/>
      <c r="I1402" s="1186"/>
      <c r="J1402" s="1186"/>
      <c r="K1402" s="1186"/>
      <c r="L1402" s="1186"/>
      <c r="M1402" s="1186"/>
      <c r="N1402" s="1186"/>
      <c r="O1402" s="1186"/>
      <c r="P1402" s="1186"/>
      <c r="Q1402" s="1186"/>
      <c r="R1402" s="1186"/>
      <c r="S1402" s="1186"/>
      <c r="T1402" s="1186"/>
      <c r="U1402" s="1186"/>
      <c r="V1402" s="1186"/>
      <c r="W1402" s="1186"/>
      <c r="X1402" s="1186"/>
      <c r="Y1402" s="1186"/>
      <c r="Z1402" s="1186"/>
      <c r="AA1402" s="1186">
        <v>16.600000000000001</v>
      </c>
      <c r="AB1402" s="1186">
        <v>5.9</v>
      </c>
      <c r="AC1402" s="1186">
        <v>14.3</v>
      </c>
      <c r="AD1402" s="1187">
        <v>3.3</v>
      </c>
    </row>
    <row r="1403" spans="1:30" x14ac:dyDescent="0.2">
      <c r="A1403">
        <f t="shared" si="55"/>
        <v>34</v>
      </c>
      <c r="B1403">
        <v>1394</v>
      </c>
      <c r="C1403" s="1078">
        <v>4</v>
      </c>
      <c r="D1403" s="1077" t="s">
        <v>5463</v>
      </c>
      <c r="E1403" s="1077" t="s">
        <v>5487</v>
      </c>
      <c r="F1403" s="1185">
        <v>1</v>
      </c>
      <c r="G1403" s="1186"/>
      <c r="H1403" s="1186"/>
      <c r="I1403" s="1186"/>
      <c r="J1403" s="1186"/>
      <c r="K1403" s="1186"/>
      <c r="L1403" s="1186"/>
      <c r="M1403" s="1186"/>
      <c r="N1403" s="1186"/>
      <c r="O1403" s="1186"/>
      <c r="P1403" s="1186"/>
      <c r="Q1403" s="1186"/>
      <c r="R1403" s="1186"/>
      <c r="S1403" s="1186"/>
      <c r="T1403" s="1186"/>
      <c r="U1403" s="1186"/>
      <c r="V1403" s="1186"/>
      <c r="W1403" s="1186"/>
      <c r="X1403" s="1186"/>
      <c r="Y1403" s="1186"/>
      <c r="Z1403" s="1186"/>
      <c r="AA1403" s="1186">
        <v>22.1</v>
      </c>
      <c r="AB1403" s="1186">
        <v>5.9</v>
      </c>
      <c r="AC1403" s="1186">
        <v>19.100000000000001</v>
      </c>
      <c r="AD1403" s="1187">
        <v>3.3</v>
      </c>
    </row>
    <row r="1404" spans="1:30" x14ac:dyDescent="0.2">
      <c r="A1404">
        <f t="shared" si="55"/>
        <v>34</v>
      </c>
      <c r="B1404">
        <v>1395</v>
      </c>
      <c r="C1404" s="1078">
        <v>4</v>
      </c>
      <c r="D1404" s="1077" t="s">
        <v>5463</v>
      </c>
      <c r="E1404" s="1077" t="s">
        <v>5488</v>
      </c>
      <c r="F1404" s="1185">
        <v>1</v>
      </c>
      <c r="G1404" s="1186"/>
      <c r="H1404" s="1186"/>
      <c r="I1404" s="1186"/>
      <c r="J1404" s="1186"/>
      <c r="K1404" s="1186"/>
      <c r="L1404" s="1186"/>
      <c r="M1404" s="1186"/>
      <c r="N1404" s="1186"/>
      <c r="O1404" s="1186"/>
      <c r="P1404" s="1186"/>
      <c r="Q1404" s="1186"/>
      <c r="R1404" s="1186"/>
      <c r="S1404" s="1186"/>
      <c r="T1404" s="1186"/>
      <c r="U1404" s="1186"/>
      <c r="V1404" s="1186"/>
      <c r="W1404" s="1186"/>
      <c r="X1404" s="1186"/>
      <c r="Y1404" s="1186"/>
      <c r="Z1404" s="1186"/>
      <c r="AA1404" s="1186">
        <v>35.299999999999997</v>
      </c>
      <c r="AB1404" s="1186">
        <v>5.7</v>
      </c>
      <c r="AC1404" s="1186">
        <v>30.3</v>
      </c>
      <c r="AD1404" s="1187">
        <v>3.4</v>
      </c>
    </row>
    <row r="1405" spans="1:30" x14ac:dyDescent="0.2">
      <c r="A1405">
        <f t="shared" si="55"/>
        <v>34</v>
      </c>
      <c r="B1405">
        <v>1396</v>
      </c>
      <c r="C1405" s="1078">
        <v>4</v>
      </c>
      <c r="D1405" s="1077" t="s">
        <v>5463</v>
      </c>
      <c r="E1405" s="1077" t="s">
        <v>5489</v>
      </c>
      <c r="F1405" s="1185">
        <v>1</v>
      </c>
      <c r="G1405" s="1186"/>
      <c r="H1405" s="1186"/>
      <c r="I1405" s="1186"/>
      <c r="J1405" s="1186"/>
      <c r="K1405" s="1186"/>
      <c r="L1405" s="1186"/>
      <c r="M1405" s="1186"/>
      <c r="N1405" s="1186"/>
      <c r="O1405" s="1186"/>
      <c r="P1405" s="1186"/>
      <c r="Q1405" s="1186"/>
      <c r="R1405" s="1186"/>
      <c r="S1405" s="1186"/>
      <c r="T1405" s="1186"/>
      <c r="U1405" s="1186"/>
      <c r="V1405" s="1186"/>
      <c r="W1405" s="1186"/>
      <c r="X1405" s="1186"/>
      <c r="Y1405" s="1186"/>
      <c r="Z1405" s="1186"/>
      <c r="AA1405" s="1186">
        <v>53.9</v>
      </c>
      <c r="AB1405" s="1186">
        <v>5.8</v>
      </c>
      <c r="AC1405" s="1186">
        <v>48.1</v>
      </c>
      <c r="AD1405" s="1187">
        <v>3.7</v>
      </c>
    </row>
    <row r="1406" spans="1:30" x14ac:dyDescent="0.2">
      <c r="A1406">
        <f t="shared" si="55"/>
        <v>34</v>
      </c>
      <c r="B1406">
        <v>1397</v>
      </c>
      <c r="C1406" s="1078">
        <v>4</v>
      </c>
      <c r="D1406" s="1077" t="s">
        <v>5463</v>
      </c>
      <c r="E1406" s="1077" t="s">
        <v>5490</v>
      </c>
      <c r="F1406" s="1185">
        <v>1</v>
      </c>
      <c r="G1406" s="1186"/>
      <c r="H1406" s="1186"/>
      <c r="I1406" s="1186"/>
      <c r="J1406" s="1186"/>
      <c r="K1406" s="1186"/>
      <c r="L1406" s="1186"/>
      <c r="M1406" s="1186"/>
      <c r="N1406" s="1186"/>
      <c r="O1406" s="1186"/>
      <c r="P1406" s="1186"/>
      <c r="Q1406" s="1186"/>
      <c r="R1406" s="1186"/>
      <c r="S1406" s="1186"/>
      <c r="T1406" s="1186"/>
      <c r="U1406" s="1186"/>
      <c r="V1406" s="1186"/>
      <c r="W1406" s="1186"/>
      <c r="X1406" s="1186"/>
      <c r="Y1406" s="1186"/>
      <c r="Z1406" s="1186"/>
      <c r="AA1406" s="1186">
        <v>98.8</v>
      </c>
      <c r="AB1406" s="1186">
        <v>5.2</v>
      </c>
      <c r="AC1406" s="1186">
        <v>86.6</v>
      </c>
      <c r="AD1406" s="1187">
        <v>3.6</v>
      </c>
    </row>
    <row r="1407" spans="1:30" x14ac:dyDescent="0.2">
      <c r="A1407">
        <f t="shared" si="55"/>
        <v>35</v>
      </c>
      <c r="B1407">
        <v>1398</v>
      </c>
      <c r="C1407" s="1078">
        <v>2</v>
      </c>
      <c r="D1407" s="1077" t="s">
        <v>3917</v>
      </c>
      <c r="E1407" s="1077" t="s">
        <v>4238</v>
      </c>
      <c r="F1407" s="1185"/>
      <c r="G1407" s="1186">
        <v>3.3</v>
      </c>
      <c r="H1407" s="1186">
        <v>2.2999999999999998</v>
      </c>
      <c r="I1407" s="1186">
        <v>3.2</v>
      </c>
      <c r="J1407" s="1186">
        <v>2.8</v>
      </c>
      <c r="K1407" s="1186">
        <v>3.3</v>
      </c>
      <c r="L1407" s="1186">
        <v>3.7</v>
      </c>
      <c r="M1407" s="1186">
        <v>3.2</v>
      </c>
      <c r="N1407" s="1186">
        <v>5</v>
      </c>
      <c r="O1407" s="1186"/>
      <c r="P1407" s="1186"/>
      <c r="Q1407" s="1186">
        <v>3.4</v>
      </c>
      <c r="R1407" s="1186">
        <v>1.8</v>
      </c>
      <c r="S1407" s="1186">
        <v>3.3</v>
      </c>
      <c r="T1407" s="1186">
        <v>2.8</v>
      </c>
      <c r="U1407" s="1186"/>
      <c r="V1407" s="1186"/>
      <c r="W1407" s="1186"/>
      <c r="X1407" s="1186"/>
      <c r="Y1407" s="1186"/>
      <c r="Z1407" s="1186"/>
      <c r="AA1407" s="1186"/>
      <c r="AB1407" s="1186"/>
      <c r="AC1407" s="1186"/>
      <c r="AD1407" s="1187"/>
    </row>
    <row r="1408" spans="1:30" x14ac:dyDescent="0.2">
      <c r="A1408">
        <f t="shared" si="55"/>
        <v>35</v>
      </c>
      <c r="B1408">
        <v>1399</v>
      </c>
      <c r="C1408" s="1078">
        <v>2</v>
      </c>
      <c r="D1408" s="1077" t="s">
        <v>3917</v>
      </c>
      <c r="E1408" s="1077" t="s">
        <v>4239</v>
      </c>
      <c r="F1408" s="1185"/>
      <c r="G1408" s="1186">
        <v>4.0999999999999996</v>
      </c>
      <c r="H1408" s="1186">
        <v>2.2000000000000002</v>
      </c>
      <c r="I1408" s="1186">
        <v>4.3</v>
      </c>
      <c r="J1408" s="1186">
        <v>2.7</v>
      </c>
      <c r="K1408" s="1186">
        <v>4.4000000000000004</v>
      </c>
      <c r="L1408" s="1186">
        <v>3.4</v>
      </c>
      <c r="M1408" s="1186">
        <v>4.9000000000000004</v>
      </c>
      <c r="N1408" s="1186">
        <v>4.5999999999999996</v>
      </c>
      <c r="O1408" s="1186"/>
      <c r="P1408" s="1186"/>
      <c r="Q1408" s="1186">
        <v>3.7</v>
      </c>
      <c r="R1408" s="1186">
        <v>1.8</v>
      </c>
      <c r="S1408" s="1186">
        <v>4.7</v>
      </c>
      <c r="T1408" s="1186">
        <v>2.6</v>
      </c>
      <c r="U1408" s="1186">
        <v>4.5999999999999996</v>
      </c>
      <c r="V1408" s="1186">
        <v>3.5</v>
      </c>
      <c r="W1408" s="1186"/>
      <c r="X1408" s="1186"/>
      <c r="Y1408" s="1186"/>
      <c r="Z1408" s="1186"/>
      <c r="AA1408" s="1186"/>
      <c r="AB1408" s="1186"/>
      <c r="AC1408" s="1186"/>
      <c r="AD1408" s="1187"/>
    </row>
    <row r="1409" spans="1:30" x14ac:dyDescent="0.2">
      <c r="A1409">
        <f t="shared" si="55"/>
        <v>35</v>
      </c>
      <c r="B1409">
        <v>1400</v>
      </c>
      <c r="C1409" s="1078">
        <v>2</v>
      </c>
      <c r="D1409" s="1077" t="s">
        <v>3917</v>
      </c>
      <c r="E1409" s="1077" t="s">
        <v>4240</v>
      </c>
      <c r="F1409" s="1185"/>
      <c r="G1409" s="1186">
        <v>4.9000000000000004</v>
      </c>
      <c r="H1409" s="1186">
        <v>2.5</v>
      </c>
      <c r="I1409" s="1186">
        <v>4.9000000000000004</v>
      </c>
      <c r="J1409" s="1186">
        <v>5.2</v>
      </c>
      <c r="K1409" s="1186">
        <v>4.8</v>
      </c>
      <c r="L1409" s="1186">
        <v>3.9</v>
      </c>
      <c r="M1409" s="1186">
        <v>4.9000000000000004</v>
      </c>
      <c r="N1409" s="1186">
        <v>5.2</v>
      </c>
      <c r="O1409" s="1186"/>
      <c r="P1409" s="1186"/>
      <c r="Q1409" s="1186">
        <v>4.2</v>
      </c>
      <c r="R1409" s="1186">
        <v>2</v>
      </c>
      <c r="S1409" s="1186">
        <v>4.7</v>
      </c>
      <c r="T1409" s="1186">
        <v>2.9</v>
      </c>
      <c r="U1409" s="1186"/>
      <c r="V1409" s="1186"/>
      <c r="W1409" s="1186"/>
      <c r="X1409" s="1186"/>
      <c r="Y1409" s="1186"/>
      <c r="Z1409" s="1186"/>
      <c r="AA1409" s="1186"/>
      <c r="AB1409" s="1186"/>
      <c r="AC1409" s="1186"/>
      <c r="AD1409" s="1187"/>
    </row>
    <row r="1410" spans="1:30" x14ac:dyDescent="0.2">
      <c r="A1410">
        <f t="shared" si="55"/>
        <v>35</v>
      </c>
      <c r="B1410">
        <v>1401</v>
      </c>
      <c r="C1410" s="1078">
        <v>2</v>
      </c>
      <c r="D1410" s="1077" t="s">
        <v>3917</v>
      </c>
      <c r="E1410" s="1077" t="s">
        <v>4241</v>
      </c>
      <c r="F1410" s="1185"/>
      <c r="G1410" s="1186">
        <v>4.3</v>
      </c>
      <c r="H1410" s="1186">
        <v>2.2999999999999998</v>
      </c>
      <c r="I1410" s="1186">
        <v>5.8</v>
      </c>
      <c r="J1410" s="1186">
        <v>2.9</v>
      </c>
      <c r="K1410" s="1186">
        <v>6.6</v>
      </c>
      <c r="L1410" s="1186">
        <v>3.4</v>
      </c>
      <c r="M1410" s="1186">
        <v>7</v>
      </c>
      <c r="N1410" s="1186">
        <v>4.5999999999999996</v>
      </c>
      <c r="O1410" s="1186"/>
      <c r="P1410" s="1186"/>
      <c r="Q1410" s="1186">
        <v>4.5</v>
      </c>
      <c r="R1410" s="1186">
        <v>1.8</v>
      </c>
      <c r="S1410" s="1186">
        <v>6.8</v>
      </c>
      <c r="T1410" s="1186">
        <v>2.6</v>
      </c>
      <c r="U1410" s="1186">
        <v>6</v>
      </c>
      <c r="V1410" s="1186">
        <v>3.5</v>
      </c>
      <c r="W1410" s="1186"/>
      <c r="X1410" s="1186"/>
      <c r="Y1410" s="1186"/>
      <c r="Z1410" s="1186"/>
      <c r="AA1410" s="1186"/>
      <c r="AB1410" s="1186"/>
      <c r="AC1410" s="1186"/>
      <c r="AD1410" s="1187"/>
    </row>
    <row r="1411" spans="1:30" x14ac:dyDescent="0.2">
      <c r="A1411">
        <f t="shared" si="55"/>
        <v>35</v>
      </c>
      <c r="B1411">
        <v>1402</v>
      </c>
      <c r="C1411" s="1078">
        <v>2</v>
      </c>
      <c r="D1411" s="1077" t="s">
        <v>3917</v>
      </c>
      <c r="E1411" s="1077" t="s">
        <v>4242</v>
      </c>
      <c r="F1411" s="1185"/>
      <c r="G1411" s="1186">
        <v>4.3</v>
      </c>
      <c r="H1411" s="1186">
        <v>2.2999999999999998</v>
      </c>
      <c r="I1411" s="1186">
        <v>5.8</v>
      </c>
      <c r="J1411" s="1186">
        <v>2.9</v>
      </c>
      <c r="K1411" s="1186">
        <v>6.6</v>
      </c>
      <c r="L1411" s="1186">
        <v>3.4</v>
      </c>
      <c r="M1411" s="1186">
        <v>6.9</v>
      </c>
      <c r="N1411" s="1186">
        <v>4.5999999999999996</v>
      </c>
      <c r="O1411" s="1186"/>
      <c r="P1411" s="1186"/>
      <c r="Q1411" s="1186">
        <v>4.5</v>
      </c>
      <c r="R1411" s="1186">
        <v>1.8</v>
      </c>
      <c r="S1411" s="1186">
        <v>6.8</v>
      </c>
      <c r="T1411" s="1186">
        <v>2.6</v>
      </c>
      <c r="U1411" s="1186">
        <v>6</v>
      </c>
      <c r="V1411" s="1186">
        <v>3.5</v>
      </c>
      <c r="W1411" s="1186"/>
      <c r="X1411" s="1186"/>
      <c r="Y1411" s="1186"/>
      <c r="Z1411" s="1186"/>
      <c r="AA1411" s="1186"/>
      <c r="AB1411" s="1186"/>
      <c r="AC1411" s="1186"/>
      <c r="AD1411" s="1187"/>
    </row>
    <row r="1412" spans="1:30" x14ac:dyDescent="0.2">
      <c r="A1412">
        <f t="shared" si="55"/>
        <v>35</v>
      </c>
      <c r="B1412">
        <v>1403</v>
      </c>
      <c r="C1412" s="1078">
        <v>2</v>
      </c>
      <c r="D1412" s="1077" t="s">
        <v>3917</v>
      </c>
      <c r="E1412" s="1077" t="s">
        <v>4243</v>
      </c>
      <c r="F1412" s="1185"/>
      <c r="G1412" s="1186">
        <v>5.9</v>
      </c>
      <c r="H1412" s="1186">
        <v>2.4</v>
      </c>
      <c r="I1412" s="1186">
        <v>6.6</v>
      </c>
      <c r="J1412" s="1186">
        <v>2.8</v>
      </c>
      <c r="K1412" s="1186">
        <v>7.1</v>
      </c>
      <c r="L1412" s="1186">
        <v>3.5</v>
      </c>
      <c r="M1412" s="1186">
        <v>8.6999999999999993</v>
      </c>
      <c r="N1412" s="1186">
        <v>4.4000000000000004</v>
      </c>
      <c r="O1412" s="1186"/>
      <c r="P1412" s="1186"/>
      <c r="Q1412" s="1186">
        <v>5.6</v>
      </c>
      <c r="R1412" s="1186">
        <v>1.7</v>
      </c>
      <c r="S1412" s="1186">
        <v>9.3000000000000007</v>
      </c>
      <c r="T1412" s="1186">
        <v>2.6</v>
      </c>
      <c r="U1412" s="1186">
        <v>6.6</v>
      </c>
      <c r="V1412" s="1186">
        <v>3.5</v>
      </c>
      <c r="W1412" s="1186"/>
      <c r="X1412" s="1186"/>
      <c r="Y1412" s="1186"/>
      <c r="Z1412" s="1186"/>
      <c r="AA1412" s="1186"/>
      <c r="AB1412" s="1186"/>
      <c r="AC1412" s="1186"/>
      <c r="AD1412" s="1187"/>
    </row>
    <row r="1413" spans="1:30" x14ac:dyDescent="0.2">
      <c r="A1413">
        <f t="shared" si="55"/>
        <v>35</v>
      </c>
      <c r="B1413">
        <v>1404</v>
      </c>
      <c r="C1413" s="1078">
        <v>2</v>
      </c>
      <c r="D1413" s="1077" t="s">
        <v>3917</v>
      </c>
      <c r="E1413" s="1077" t="s">
        <v>4244</v>
      </c>
      <c r="F1413" s="1185"/>
      <c r="G1413" s="1186">
        <v>5.9</v>
      </c>
      <c r="H1413" s="1186">
        <v>2.4</v>
      </c>
      <c r="I1413" s="1186">
        <v>6.6</v>
      </c>
      <c r="J1413" s="1186">
        <v>2.8</v>
      </c>
      <c r="K1413" s="1186">
        <v>7.1</v>
      </c>
      <c r="L1413" s="1186">
        <v>3.5</v>
      </c>
      <c r="M1413" s="1186">
        <v>8.8000000000000007</v>
      </c>
      <c r="N1413" s="1186">
        <v>4.4000000000000004</v>
      </c>
      <c r="O1413" s="1186"/>
      <c r="P1413" s="1186"/>
      <c r="Q1413" s="1186">
        <v>5.6</v>
      </c>
      <c r="R1413" s="1186">
        <v>1.7</v>
      </c>
      <c r="S1413" s="1186">
        <v>9.3000000000000007</v>
      </c>
      <c r="T1413" s="1186">
        <v>2.6</v>
      </c>
      <c r="U1413" s="1186">
        <v>6.6</v>
      </c>
      <c r="V1413" s="1186">
        <v>3.5</v>
      </c>
      <c r="W1413" s="1186"/>
      <c r="X1413" s="1186"/>
      <c r="Y1413" s="1186"/>
      <c r="Z1413" s="1186"/>
      <c r="AA1413" s="1186"/>
      <c r="AB1413" s="1186"/>
      <c r="AC1413" s="1186"/>
      <c r="AD1413" s="1187"/>
    </row>
    <row r="1414" spans="1:30" x14ac:dyDescent="0.2">
      <c r="A1414">
        <f t="shared" si="55"/>
        <v>35</v>
      </c>
      <c r="B1414">
        <v>1405</v>
      </c>
      <c r="C1414" s="1078">
        <v>2</v>
      </c>
      <c r="D1414" s="1077" t="s">
        <v>3917</v>
      </c>
      <c r="E1414" s="1077" t="s">
        <v>4245</v>
      </c>
      <c r="F1414" s="1185"/>
      <c r="G1414" s="1186">
        <v>8.6999999999999993</v>
      </c>
      <c r="H1414" s="1186">
        <v>2.5</v>
      </c>
      <c r="I1414" s="1186">
        <v>9.3000000000000007</v>
      </c>
      <c r="J1414" s="1186">
        <v>3</v>
      </c>
      <c r="K1414" s="1186">
        <v>8.4</v>
      </c>
      <c r="L1414" s="1186">
        <v>3.6</v>
      </c>
      <c r="M1414" s="1186">
        <v>8.6999999999999993</v>
      </c>
      <c r="N1414" s="1186">
        <v>4.8</v>
      </c>
      <c r="O1414" s="1186"/>
      <c r="P1414" s="1186"/>
      <c r="Q1414" s="1186">
        <v>9.9</v>
      </c>
      <c r="R1414" s="1186">
        <v>2.2999999999999998</v>
      </c>
      <c r="S1414" s="1186">
        <v>8.9</v>
      </c>
      <c r="T1414" s="1186">
        <v>2.4</v>
      </c>
      <c r="U1414" s="1186"/>
      <c r="V1414" s="1186"/>
      <c r="W1414" s="1186"/>
      <c r="X1414" s="1186"/>
      <c r="Y1414" s="1186"/>
      <c r="Z1414" s="1186"/>
      <c r="AA1414" s="1186"/>
      <c r="AB1414" s="1186"/>
      <c r="AC1414" s="1186"/>
      <c r="AD1414" s="1187"/>
    </row>
    <row r="1415" spans="1:30" x14ac:dyDescent="0.2">
      <c r="A1415">
        <f t="shared" si="55"/>
        <v>35</v>
      </c>
      <c r="B1415">
        <v>1406</v>
      </c>
      <c r="C1415" s="1078">
        <v>2</v>
      </c>
      <c r="D1415" s="1077" t="s">
        <v>3917</v>
      </c>
      <c r="E1415" s="1077" t="s">
        <v>4246</v>
      </c>
      <c r="F1415" s="1185"/>
      <c r="G1415" s="1186"/>
      <c r="H1415" s="1186"/>
      <c r="I1415" s="1186">
        <v>8.9</v>
      </c>
      <c r="J1415" s="1186">
        <v>2.9</v>
      </c>
      <c r="K1415" s="1186">
        <v>8.9</v>
      </c>
      <c r="L1415" s="1186">
        <v>3.8</v>
      </c>
      <c r="M1415" s="1186">
        <v>9</v>
      </c>
      <c r="N1415" s="1186">
        <v>5.0999999999999996</v>
      </c>
      <c r="O1415" s="1186"/>
      <c r="P1415" s="1186"/>
      <c r="Q1415" s="1186">
        <v>8.8000000000000007</v>
      </c>
      <c r="R1415" s="1186">
        <v>2.1</v>
      </c>
      <c r="S1415" s="1186">
        <v>8.6999999999999993</v>
      </c>
      <c r="T1415" s="1186">
        <v>3</v>
      </c>
      <c r="U1415" s="1186"/>
      <c r="V1415" s="1186"/>
      <c r="W1415" s="1186"/>
      <c r="X1415" s="1186"/>
      <c r="Y1415" s="1186"/>
      <c r="Z1415" s="1186"/>
      <c r="AA1415" s="1186"/>
      <c r="AB1415" s="1186"/>
      <c r="AC1415" s="1186"/>
      <c r="AD1415" s="1187"/>
    </row>
    <row r="1416" spans="1:30" x14ac:dyDescent="0.2">
      <c r="A1416">
        <f t="shared" si="55"/>
        <v>35</v>
      </c>
      <c r="B1416">
        <v>1407</v>
      </c>
      <c r="C1416" s="1078">
        <v>2</v>
      </c>
      <c r="D1416" s="1077" t="s">
        <v>3917</v>
      </c>
      <c r="E1416" s="1077" t="s">
        <v>4247</v>
      </c>
      <c r="F1416" s="1185"/>
      <c r="G1416" s="1186"/>
      <c r="H1416" s="1186"/>
      <c r="I1416" s="1186">
        <v>11.8</v>
      </c>
      <c r="J1416" s="1186">
        <v>2.7</v>
      </c>
      <c r="K1416" s="1186">
        <v>11.3</v>
      </c>
      <c r="L1416" s="1186">
        <v>3.5</v>
      </c>
      <c r="M1416" s="1186">
        <v>11.7</v>
      </c>
      <c r="N1416" s="1186">
        <v>4.7</v>
      </c>
      <c r="O1416" s="1186"/>
      <c r="P1416" s="1186"/>
      <c r="Q1416" s="1186">
        <v>10.6</v>
      </c>
      <c r="R1416" s="1186">
        <v>1.9</v>
      </c>
      <c r="S1416" s="1186">
        <v>11.4</v>
      </c>
      <c r="T1416" s="1186">
        <v>3</v>
      </c>
      <c r="U1416" s="1186"/>
      <c r="V1416" s="1186"/>
      <c r="W1416" s="1186"/>
      <c r="X1416" s="1186"/>
      <c r="Y1416" s="1186"/>
      <c r="Z1416" s="1186"/>
      <c r="AA1416" s="1186"/>
      <c r="AB1416" s="1186"/>
      <c r="AC1416" s="1186"/>
      <c r="AD1416" s="1187"/>
    </row>
    <row r="1417" spans="1:30" x14ac:dyDescent="0.2">
      <c r="A1417">
        <f t="shared" si="55"/>
        <v>35</v>
      </c>
      <c r="B1417">
        <v>1408</v>
      </c>
      <c r="C1417" s="1078">
        <v>2</v>
      </c>
      <c r="D1417" s="1077" t="s">
        <v>3917</v>
      </c>
      <c r="E1417" s="1077" t="s">
        <v>4248</v>
      </c>
      <c r="F1417" s="1185"/>
      <c r="G1417" s="1186">
        <v>11.3</v>
      </c>
      <c r="H1417" s="1186">
        <v>2.2000000000000002</v>
      </c>
      <c r="I1417" s="1186">
        <v>11.4</v>
      </c>
      <c r="J1417" s="1186">
        <v>2.5</v>
      </c>
      <c r="K1417" s="1186">
        <v>11.5</v>
      </c>
      <c r="L1417" s="1186">
        <v>3.2</v>
      </c>
      <c r="M1417" s="1186">
        <v>11.7</v>
      </c>
      <c r="N1417" s="1186">
        <v>4.5</v>
      </c>
      <c r="O1417" s="1186"/>
      <c r="P1417" s="1186"/>
      <c r="Q1417" s="1186">
        <v>11.4</v>
      </c>
      <c r="R1417" s="1186">
        <v>2.1</v>
      </c>
      <c r="S1417" s="1186">
        <v>9.9</v>
      </c>
      <c r="T1417" s="1186">
        <v>2.7</v>
      </c>
      <c r="U1417" s="1186"/>
      <c r="V1417" s="1186"/>
      <c r="W1417" s="1186"/>
      <c r="X1417" s="1186"/>
      <c r="Y1417" s="1186"/>
      <c r="Z1417" s="1186"/>
      <c r="AA1417" s="1186"/>
      <c r="AB1417" s="1186"/>
      <c r="AC1417" s="1186"/>
      <c r="AD1417" s="1187"/>
    </row>
    <row r="1418" spans="1:30" x14ac:dyDescent="0.2">
      <c r="A1418">
        <f t="shared" si="55"/>
        <v>35</v>
      </c>
      <c r="B1418">
        <v>1409</v>
      </c>
      <c r="C1418" s="1078">
        <v>2</v>
      </c>
      <c r="D1418" s="1077" t="s">
        <v>3917</v>
      </c>
      <c r="E1418" s="1077" t="s">
        <v>4249</v>
      </c>
      <c r="F1418" s="1185"/>
      <c r="G1418" s="1186"/>
      <c r="H1418" s="1186"/>
      <c r="I1418" s="1186">
        <v>15.8</v>
      </c>
      <c r="J1418" s="1186">
        <v>2.6</v>
      </c>
      <c r="K1418" s="1186">
        <v>15.9</v>
      </c>
      <c r="L1418" s="1186">
        <v>3.2</v>
      </c>
      <c r="M1418" s="1186">
        <v>16.3</v>
      </c>
      <c r="N1418" s="1186">
        <v>4.5999999999999996</v>
      </c>
      <c r="O1418" s="1186"/>
      <c r="P1418" s="1186"/>
      <c r="Q1418" s="1186">
        <v>16.100000000000001</v>
      </c>
      <c r="R1418" s="1186">
        <v>1.8</v>
      </c>
      <c r="S1418" s="1186">
        <v>16.399999999999999</v>
      </c>
      <c r="T1418" s="1186">
        <v>2.9</v>
      </c>
      <c r="U1418" s="1186"/>
      <c r="V1418" s="1186"/>
      <c r="W1418" s="1186"/>
      <c r="X1418" s="1186"/>
      <c r="Y1418" s="1186"/>
      <c r="Z1418" s="1186"/>
      <c r="AA1418" s="1186"/>
      <c r="AB1418" s="1186"/>
      <c r="AC1418" s="1186"/>
      <c r="AD1418" s="1187"/>
    </row>
    <row r="1419" spans="1:30" x14ac:dyDescent="0.2">
      <c r="A1419">
        <f t="shared" si="55"/>
        <v>36</v>
      </c>
      <c r="B1419">
        <v>1410</v>
      </c>
      <c r="C1419" s="1078">
        <v>2</v>
      </c>
      <c r="D1419" s="1077" t="s">
        <v>5639</v>
      </c>
      <c r="E1419" s="1077" t="s">
        <v>5640</v>
      </c>
      <c r="F1419" s="1185">
        <v>4</v>
      </c>
      <c r="G1419" s="1186">
        <v>4.9420000000000002</v>
      </c>
      <c r="H1419" s="1186">
        <v>2.62</v>
      </c>
      <c r="I1419" s="1186">
        <v>6.2370000000000001</v>
      </c>
      <c r="J1419" s="1186">
        <v>3.18</v>
      </c>
      <c r="K1419" s="1186">
        <v>7.984</v>
      </c>
      <c r="L1419" s="1186">
        <v>3.91</v>
      </c>
      <c r="M1419" s="1186">
        <v>9.3149999999999995</v>
      </c>
      <c r="N1419" s="1186">
        <v>4.58</v>
      </c>
      <c r="O1419" s="1186"/>
      <c r="P1419" s="1186"/>
      <c r="Q1419" s="1186">
        <v>5.74</v>
      </c>
      <c r="R1419" s="1186">
        <v>2.29</v>
      </c>
      <c r="S1419" s="1186">
        <v>8.5660000000000007</v>
      </c>
      <c r="T1419" s="1186">
        <v>3.09</v>
      </c>
      <c r="U1419" s="1186"/>
      <c r="V1419" s="1186"/>
      <c r="W1419" s="1186"/>
      <c r="X1419" s="1186"/>
      <c r="Y1419" s="1186"/>
      <c r="Z1419" s="1186"/>
      <c r="AA1419" s="1186"/>
      <c r="AB1419" s="1186"/>
      <c r="AC1419" s="1186"/>
      <c r="AD1419" s="1187"/>
    </row>
    <row r="1420" spans="1:30" x14ac:dyDescent="0.2">
      <c r="A1420">
        <f t="shared" ref="A1420:A1483" si="56">A1419+(D1420&lt;&gt;D1419)*1</f>
        <v>36</v>
      </c>
      <c r="B1420">
        <v>1411</v>
      </c>
      <c r="C1420" s="1078">
        <v>2</v>
      </c>
      <c r="D1420" s="1077" t="s">
        <v>5639</v>
      </c>
      <c r="E1420" s="1077" t="s">
        <v>5641</v>
      </c>
      <c r="F1420" s="1185">
        <v>4</v>
      </c>
      <c r="G1420" s="1186">
        <v>6.6180000000000003</v>
      </c>
      <c r="H1420" s="1186">
        <v>2.62</v>
      </c>
      <c r="I1420" s="1186">
        <v>8.1549999999999994</v>
      </c>
      <c r="J1420" s="1186">
        <v>3.02</v>
      </c>
      <c r="K1420" s="1186">
        <v>10.17</v>
      </c>
      <c r="L1420" s="1186">
        <v>3.59</v>
      </c>
      <c r="M1420" s="1186">
        <v>11.179</v>
      </c>
      <c r="N1420" s="1186">
        <v>3.85</v>
      </c>
      <c r="O1420" s="1186"/>
      <c r="P1420" s="1186"/>
      <c r="Q1420" s="1186">
        <v>7.5750000000000002</v>
      </c>
      <c r="R1420" s="1186">
        <v>2.2200000000000002</v>
      </c>
      <c r="S1420" s="1186">
        <v>10.991</v>
      </c>
      <c r="T1420" s="1186">
        <v>2.86</v>
      </c>
      <c r="U1420" s="1186"/>
      <c r="V1420" s="1186"/>
      <c r="W1420" s="1186"/>
      <c r="X1420" s="1186"/>
      <c r="Y1420" s="1186"/>
      <c r="Z1420" s="1186"/>
      <c r="AA1420" s="1186"/>
      <c r="AB1420" s="1186"/>
      <c r="AC1420" s="1186"/>
      <c r="AD1420" s="1187"/>
    </row>
    <row r="1421" spans="1:30" x14ac:dyDescent="0.2">
      <c r="A1421">
        <f t="shared" si="56"/>
        <v>36</v>
      </c>
      <c r="B1421">
        <v>1412</v>
      </c>
      <c r="C1421" s="1078">
        <v>2</v>
      </c>
      <c r="D1421" s="1077" t="s">
        <v>5639</v>
      </c>
      <c r="E1421" s="1077" t="s">
        <v>5642</v>
      </c>
      <c r="F1421" s="1185">
        <v>4</v>
      </c>
      <c r="G1421" s="1186">
        <v>9.1280000000000001</v>
      </c>
      <c r="H1421" s="1186">
        <v>2.54</v>
      </c>
      <c r="I1421" s="1186">
        <v>11.816000000000001</v>
      </c>
      <c r="J1421" s="1186">
        <v>2.95</v>
      </c>
      <c r="K1421" s="1186">
        <v>14.532</v>
      </c>
      <c r="L1421" s="1186">
        <v>3.91</v>
      </c>
      <c r="M1421" s="1186">
        <v>16.401</v>
      </c>
      <c r="N1421" s="1186">
        <v>4</v>
      </c>
      <c r="O1421" s="1186"/>
      <c r="P1421" s="1186"/>
      <c r="Q1421" s="1186">
        <v>11.173</v>
      </c>
      <c r="R1421" s="1186">
        <v>2.21</v>
      </c>
      <c r="S1421" s="1186">
        <v>15.003</v>
      </c>
      <c r="T1421" s="1186">
        <v>2.76</v>
      </c>
      <c r="U1421" s="1186"/>
      <c r="V1421" s="1186"/>
      <c r="W1421" s="1186"/>
      <c r="X1421" s="1186"/>
      <c r="Y1421" s="1186"/>
      <c r="Z1421" s="1186"/>
      <c r="AA1421" s="1186"/>
      <c r="AB1421" s="1186"/>
      <c r="AC1421" s="1186"/>
      <c r="AD1421" s="1187"/>
    </row>
    <row r="1422" spans="1:30" x14ac:dyDescent="0.2">
      <c r="A1422">
        <f t="shared" si="56"/>
        <v>36</v>
      </c>
      <c r="B1422">
        <v>1413</v>
      </c>
      <c r="C1422" s="1078">
        <v>2</v>
      </c>
      <c r="D1422" s="1077" t="s">
        <v>5639</v>
      </c>
      <c r="E1422" s="1077" t="s">
        <v>5643</v>
      </c>
      <c r="F1422" s="1185">
        <v>4</v>
      </c>
      <c r="G1422" s="1186">
        <v>21.4</v>
      </c>
      <c r="H1422" s="1186">
        <v>2.35</v>
      </c>
      <c r="I1422" s="1186">
        <v>27.5</v>
      </c>
      <c r="J1422" s="1186">
        <v>2.7</v>
      </c>
      <c r="K1422" s="1186">
        <v>35.5</v>
      </c>
      <c r="L1422" s="1186">
        <v>3.21</v>
      </c>
      <c r="M1422" s="1186">
        <v>38.6</v>
      </c>
      <c r="N1422" s="1186">
        <v>3.15</v>
      </c>
      <c r="O1422" s="1186"/>
      <c r="P1422" s="1186"/>
      <c r="Q1422" s="1186">
        <v>21.3</v>
      </c>
      <c r="R1422" s="1186">
        <v>1.72</v>
      </c>
      <c r="S1422" s="1186">
        <v>37.5</v>
      </c>
      <c r="T1422" s="1186">
        <v>2.69</v>
      </c>
      <c r="U1422" s="1186"/>
      <c r="V1422" s="1186"/>
      <c r="W1422" s="1186"/>
      <c r="X1422" s="1186"/>
      <c r="Y1422" s="1186"/>
      <c r="Z1422" s="1186"/>
      <c r="AA1422" s="1186"/>
      <c r="AB1422" s="1186"/>
      <c r="AC1422" s="1186"/>
      <c r="AD1422" s="1187"/>
    </row>
    <row r="1423" spans="1:30" x14ac:dyDescent="0.2">
      <c r="A1423">
        <f t="shared" si="56"/>
        <v>37</v>
      </c>
      <c r="B1423">
        <v>1414</v>
      </c>
      <c r="C1423" s="1078">
        <v>2</v>
      </c>
      <c r="D1423" s="1077" t="s">
        <v>4879</v>
      </c>
      <c r="E1423" s="1077" t="s">
        <v>4880</v>
      </c>
      <c r="F1423" s="1185">
        <v>4</v>
      </c>
      <c r="G1423" s="1186">
        <v>5.5</v>
      </c>
      <c r="H1423" s="1186">
        <v>1.89</v>
      </c>
      <c r="I1423" s="1186">
        <v>7.9</v>
      </c>
      <c r="J1423" s="1186">
        <v>3.26</v>
      </c>
      <c r="K1423" s="1186">
        <v>11.1</v>
      </c>
      <c r="L1423" s="1186">
        <v>4.09</v>
      </c>
      <c r="M1423" s="1186">
        <v>12.2</v>
      </c>
      <c r="N1423" s="1186">
        <v>4.41</v>
      </c>
      <c r="O1423" s="1186">
        <v>12.8</v>
      </c>
      <c r="P1423" s="1186">
        <v>6.4</v>
      </c>
      <c r="Q1423" s="1186">
        <v>7.9</v>
      </c>
      <c r="R1423" s="1186">
        <v>2.52</v>
      </c>
      <c r="S1423" s="1186">
        <v>9.5</v>
      </c>
      <c r="T1423" s="1186">
        <v>3.15</v>
      </c>
      <c r="U1423" s="1186">
        <v>12.8</v>
      </c>
      <c r="V1423" s="1186">
        <v>3.7</v>
      </c>
      <c r="W1423" s="1186"/>
      <c r="X1423" s="1186"/>
      <c r="Y1423" s="1186"/>
      <c r="Z1423" s="1186"/>
      <c r="AA1423" s="1186"/>
      <c r="AB1423" s="1186"/>
      <c r="AC1423" s="1186"/>
      <c r="AD1423" s="1187"/>
    </row>
    <row r="1424" spans="1:30" x14ac:dyDescent="0.2">
      <c r="A1424">
        <f t="shared" si="56"/>
        <v>37</v>
      </c>
      <c r="B1424">
        <v>1415</v>
      </c>
      <c r="C1424" s="1078">
        <v>2</v>
      </c>
      <c r="D1424" s="1077" t="s">
        <v>4879</v>
      </c>
      <c r="E1424" s="1077" t="s">
        <v>4881</v>
      </c>
      <c r="F1424" s="1185">
        <v>4</v>
      </c>
      <c r="G1424" s="1186">
        <v>7.9</v>
      </c>
      <c r="H1424" s="1186">
        <v>1.89</v>
      </c>
      <c r="I1424" s="1186">
        <v>11.1</v>
      </c>
      <c r="J1424" s="1186">
        <v>3.26</v>
      </c>
      <c r="K1424" s="1186">
        <v>14.8</v>
      </c>
      <c r="L1424" s="1186">
        <v>4.09</v>
      </c>
      <c r="M1424" s="1186">
        <v>17.3</v>
      </c>
      <c r="N1424" s="1186">
        <v>4.41</v>
      </c>
      <c r="O1424" s="1186">
        <v>13.7</v>
      </c>
      <c r="P1424" s="1186">
        <v>6.4</v>
      </c>
      <c r="Q1424" s="1186">
        <v>9.8000000000000007</v>
      </c>
      <c r="R1424" s="1186">
        <v>2.52</v>
      </c>
      <c r="S1424" s="1186">
        <v>14.3</v>
      </c>
      <c r="T1424" s="1186">
        <v>3.15</v>
      </c>
      <c r="U1424" s="1186">
        <v>16</v>
      </c>
      <c r="V1424" s="1186">
        <v>3.7</v>
      </c>
      <c r="W1424" s="1186"/>
      <c r="X1424" s="1186"/>
      <c r="Y1424" s="1186"/>
      <c r="Z1424" s="1186"/>
      <c r="AA1424" s="1186"/>
      <c r="AB1424" s="1186"/>
      <c r="AC1424" s="1186"/>
      <c r="AD1424" s="1187"/>
    </row>
    <row r="1425" spans="1:30" x14ac:dyDescent="0.2">
      <c r="A1425">
        <f t="shared" si="56"/>
        <v>37</v>
      </c>
      <c r="B1425">
        <v>1416</v>
      </c>
      <c r="C1425" s="1078">
        <v>2</v>
      </c>
      <c r="D1425" s="1077" t="s">
        <v>4879</v>
      </c>
      <c r="E1425" s="1077" t="s">
        <v>4882</v>
      </c>
      <c r="F1425" s="1185">
        <v>4</v>
      </c>
      <c r="G1425" s="1186">
        <v>10.4</v>
      </c>
      <c r="H1425" s="1186">
        <v>1.89</v>
      </c>
      <c r="I1425" s="1186">
        <v>13.9</v>
      </c>
      <c r="J1425" s="1186">
        <v>3.26</v>
      </c>
      <c r="K1425" s="1186">
        <v>17.2</v>
      </c>
      <c r="L1425" s="1186">
        <v>4.09</v>
      </c>
      <c r="M1425" s="1186">
        <v>18.5</v>
      </c>
      <c r="N1425" s="1186">
        <v>4.41</v>
      </c>
      <c r="O1425" s="1186">
        <v>15.4</v>
      </c>
      <c r="P1425" s="1186">
        <v>6.4</v>
      </c>
      <c r="Q1425" s="1186">
        <v>13.1</v>
      </c>
      <c r="R1425" s="1186">
        <v>2.52</v>
      </c>
      <c r="S1425" s="1186">
        <v>16.8</v>
      </c>
      <c r="T1425" s="1186">
        <v>3.15</v>
      </c>
      <c r="U1425" s="1186">
        <v>17.899999999999999</v>
      </c>
      <c r="V1425" s="1186">
        <v>3.7</v>
      </c>
      <c r="W1425" s="1186"/>
      <c r="X1425" s="1186"/>
      <c r="Y1425" s="1186"/>
      <c r="Z1425" s="1186"/>
      <c r="AA1425" s="1186"/>
      <c r="AB1425" s="1186"/>
      <c r="AC1425" s="1186"/>
      <c r="AD1425" s="1187"/>
    </row>
    <row r="1426" spans="1:30" x14ac:dyDescent="0.2">
      <c r="A1426">
        <f t="shared" si="56"/>
        <v>37</v>
      </c>
      <c r="B1426">
        <v>1417</v>
      </c>
      <c r="C1426" s="1078">
        <v>3</v>
      </c>
      <c r="D1426" s="1077" t="s">
        <v>4879</v>
      </c>
      <c r="E1426" s="1077" t="s">
        <v>4883</v>
      </c>
      <c r="F1426" s="1185">
        <v>4</v>
      </c>
      <c r="G1426" s="1186"/>
      <c r="H1426" s="1186"/>
      <c r="I1426" s="1186"/>
      <c r="J1426" s="1186"/>
      <c r="K1426" s="1186"/>
      <c r="L1426" s="1186"/>
      <c r="M1426" s="1186"/>
      <c r="N1426" s="1186"/>
      <c r="O1426" s="1186"/>
      <c r="P1426" s="1186"/>
      <c r="Q1426" s="1186"/>
      <c r="R1426" s="1186"/>
      <c r="S1426" s="1186"/>
      <c r="T1426" s="1186"/>
      <c r="U1426" s="1186"/>
      <c r="V1426" s="1186"/>
      <c r="W1426" s="1186">
        <v>12.4</v>
      </c>
      <c r="X1426" s="1186">
        <v>5.2</v>
      </c>
      <c r="Y1426" s="1186">
        <v>10.7</v>
      </c>
      <c r="Z1426" s="1186">
        <v>3.2</v>
      </c>
      <c r="AA1426" s="1186">
        <v>13.2</v>
      </c>
      <c r="AB1426" s="1186">
        <v>6.3</v>
      </c>
      <c r="AC1426" s="1186">
        <v>13.1</v>
      </c>
      <c r="AD1426" s="1187">
        <v>3.8</v>
      </c>
    </row>
    <row r="1427" spans="1:30" x14ac:dyDescent="0.2">
      <c r="A1427">
        <f t="shared" si="56"/>
        <v>37</v>
      </c>
      <c r="B1427">
        <v>1418</v>
      </c>
      <c r="C1427" s="1078">
        <v>3</v>
      </c>
      <c r="D1427" s="1077" t="s">
        <v>4879</v>
      </c>
      <c r="E1427" s="1077" t="s">
        <v>4884</v>
      </c>
      <c r="F1427" s="1185">
        <v>4</v>
      </c>
      <c r="G1427" s="1186"/>
      <c r="H1427" s="1186"/>
      <c r="I1427" s="1186"/>
      <c r="J1427" s="1186"/>
      <c r="K1427" s="1186"/>
      <c r="L1427" s="1186"/>
      <c r="M1427" s="1186"/>
      <c r="N1427" s="1186"/>
      <c r="O1427" s="1186"/>
      <c r="P1427" s="1186"/>
      <c r="Q1427" s="1186"/>
      <c r="R1427" s="1186"/>
      <c r="S1427" s="1186"/>
      <c r="T1427" s="1186"/>
      <c r="U1427" s="1186"/>
      <c r="V1427" s="1186"/>
      <c r="W1427" s="1186">
        <v>15.3</v>
      </c>
      <c r="X1427" s="1186">
        <v>5.2</v>
      </c>
      <c r="Y1427" s="1186">
        <v>13.4</v>
      </c>
      <c r="Z1427" s="1186">
        <v>3.2</v>
      </c>
      <c r="AA1427" s="1186">
        <v>16.399999999999999</v>
      </c>
      <c r="AB1427" s="1186">
        <v>6.3</v>
      </c>
      <c r="AC1427" s="1186">
        <v>16.3</v>
      </c>
      <c r="AD1427" s="1187">
        <v>3.8</v>
      </c>
    </row>
    <row r="1428" spans="1:30" x14ac:dyDescent="0.2">
      <c r="A1428">
        <f t="shared" si="56"/>
        <v>37</v>
      </c>
      <c r="B1428">
        <v>1419</v>
      </c>
      <c r="C1428" s="1078">
        <v>3</v>
      </c>
      <c r="D1428" s="1077" t="s">
        <v>4879</v>
      </c>
      <c r="E1428" s="1077" t="s">
        <v>4885</v>
      </c>
      <c r="F1428" s="1185">
        <v>4</v>
      </c>
      <c r="G1428" s="1186"/>
      <c r="H1428" s="1186"/>
      <c r="I1428" s="1186"/>
      <c r="J1428" s="1186"/>
      <c r="K1428" s="1186"/>
      <c r="L1428" s="1186"/>
      <c r="M1428" s="1186"/>
      <c r="N1428" s="1186"/>
      <c r="O1428" s="1186"/>
      <c r="P1428" s="1186"/>
      <c r="Q1428" s="1186"/>
      <c r="R1428" s="1186"/>
      <c r="S1428" s="1186"/>
      <c r="T1428" s="1186"/>
      <c r="U1428" s="1186"/>
      <c r="V1428" s="1186"/>
      <c r="W1428" s="1186">
        <v>18.3</v>
      </c>
      <c r="X1428" s="1186">
        <v>5.2</v>
      </c>
      <c r="Y1428" s="1186">
        <v>16.600000000000001</v>
      </c>
      <c r="Z1428" s="1186">
        <v>3.2</v>
      </c>
      <c r="AA1428" s="1186">
        <v>19.100000000000001</v>
      </c>
      <c r="AB1428" s="1186">
        <v>63</v>
      </c>
      <c r="AC1428" s="1186">
        <v>19</v>
      </c>
      <c r="AD1428" s="1187">
        <v>3.8</v>
      </c>
    </row>
    <row r="1429" spans="1:30" x14ac:dyDescent="0.2">
      <c r="A1429">
        <f t="shared" si="56"/>
        <v>38</v>
      </c>
      <c r="B1429">
        <v>1420</v>
      </c>
      <c r="C1429" s="1078">
        <v>2</v>
      </c>
      <c r="D1429" s="1077" t="s">
        <v>3918</v>
      </c>
      <c r="E1429" s="1077" t="s">
        <v>4250</v>
      </c>
      <c r="F1429" s="1185">
        <v>4</v>
      </c>
      <c r="G1429" s="1186"/>
      <c r="H1429" s="1186"/>
      <c r="I1429" s="1186">
        <v>6.2</v>
      </c>
      <c r="J1429" s="1186">
        <v>2.8</v>
      </c>
      <c r="K1429" s="1186">
        <v>3.9</v>
      </c>
      <c r="L1429" s="1186">
        <v>4.0999999999999996</v>
      </c>
      <c r="M1429" s="1186">
        <v>3</v>
      </c>
      <c r="N1429" s="1186">
        <v>4.8</v>
      </c>
      <c r="O1429" s="1186"/>
      <c r="P1429" s="1186"/>
      <c r="Q1429" s="1186">
        <v>5.5</v>
      </c>
      <c r="R1429" s="1186">
        <v>2.6</v>
      </c>
      <c r="S1429" s="1186">
        <v>4.5</v>
      </c>
      <c r="T1429" s="1186">
        <v>5</v>
      </c>
      <c r="U1429" s="1186"/>
      <c r="V1429" s="1186"/>
      <c r="W1429" s="1186"/>
      <c r="X1429" s="1186"/>
      <c r="Y1429" s="1186"/>
      <c r="Z1429" s="1186"/>
      <c r="AA1429" s="1186"/>
      <c r="AB1429" s="1186"/>
      <c r="AC1429" s="1186"/>
      <c r="AD1429" s="1187"/>
    </row>
    <row r="1430" spans="1:30" x14ac:dyDescent="0.2">
      <c r="A1430">
        <f t="shared" si="56"/>
        <v>38</v>
      </c>
      <c r="B1430">
        <v>1421</v>
      </c>
      <c r="C1430" s="1078">
        <v>2</v>
      </c>
      <c r="D1430" s="1077" t="s">
        <v>3918</v>
      </c>
      <c r="E1430" s="1077" t="s">
        <v>4251</v>
      </c>
      <c r="F1430" s="1185"/>
      <c r="G1430" s="1186"/>
      <c r="H1430" s="1186"/>
      <c r="I1430" s="1186">
        <v>5.5</v>
      </c>
      <c r="J1430" s="1186">
        <v>2.5</v>
      </c>
      <c r="K1430" s="1186">
        <v>4.5</v>
      </c>
      <c r="L1430" s="1186">
        <v>3.5</v>
      </c>
      <c r="M1430" s="1186">
        <v>4.5</v>
      </c>
      <c r="N1430" s="1186">
        <v>4.7</v>
      </c>
      <c r="O1430" s="1186"/>
      <c r="P1430" s="1186"/>
      <c r="Q1430" s="1186">
        <v>5</v>
      </c>
      <c r="R1430" s="1186">
        <v>1.9</v>
      </c>
      <c r="S1430" s="1186">
        <v>7.5</v>
      </c>
      <c r="T1430" s="1186">
        <v>2.6</v>
      </c>
      <c r="U1430" s="1186"/>
      <c r="V1430" s="1186"/>
      <c r="W1430" s="1186"/>
      <c r="X1430" s="1186"/>
      <c r="Y1430" s="1186"/>
      <c r="Z1430" s="1186"/>
      <c r="AA1430" s="1186"/>
      <c r="AB1430" s="1186"/>
      <c r="AC1430" s="1186"/>
      <c r="AD1430" s="1187"/>
    </row>
    <row r="1431" spans="1:30" x14ac:dyDescent="0.2">
      <c r="A1431">
        <f t="shared" si="56"/>
        <v>38</v>
      </c>
      <c r="B1431">
        <v>1422</v>
      </c>
      <c r="C1431" s="1078">
        <v>2</v>
      </c>
      <c r="D1431" s="1077" t="s">
        <v>3918</v>
      </c>
      <c r="E1431" s="1077" t="s">
        <v>4252</v>
      </c>
      <c r="F1431" s="1185"/>
      <c r="G1431" s="1186"/>
      <c r="H1431" s="1186"/>
      <c r="I1431" s="1186">
        <v>6</v>
      </c>
      <c r="J1431" s="1186">
        <v>2.5</v>
      </c>
      <c r="K1431" s="1186">
        <v>5</v>
      </c>
      <c r="L1431" s="1186">
        <v>3.5</v>
      </c>
      <c r="M1431" s="1186">
        <v>5</v>
      </c>
      <c r="N1431" s="1186">
        <v>4.7</v>
      </c>
      <c r="O1431" s="1186"/>
      <c r="P1431" s="1186"/>
      <c r="Q1431" s="1186">
        <v>5.5</v>
      </c>
      <c r="R1431" s="1186">
        <v>1.9</v>
      </c>
      <c r="S1431" s="1186">
        <v>8</v>
      </c>
      <c r="T1431" s="1186">
        <v>2.6</v>
      </c>
      <c r="U1431" s="1186"/>
      <c r="V1431" s="1186"/>
      <c r="W1431" s="1186"/>
      <c r="X1431" s="1186"/>
      <c r="Y1431" s="1186"/>
      <c r="Z1431" s="1186"/>
      <c r="AA1431" s="1186"/>
      <c r="AB1431" s="1186"/>
      <c r="AC1431" s="1186"/>
      <c r="AD1431" s="1187"/>
    </row>
    <row r="1432" spans="1:30" x14ac:dyDescent="0.2">
      <c r="A1432">
        <f t="shared" si="56"/>
        <v>38</v>
      </c>
      <c r="B1432">
        <v>1423</v>
      </c>
      <c r="C1432" s="1078">
        <v>2</v>
      </c>
      <c r="D1432" s="1077" t="s">
        <v>3918</v>
      </c>
      <c r="E1432" s="1077" t="s">
        <v>4253</v>
      </c>
      <c r="F1432" s="1185">
        <v>4</v>
      </c>
      <c r="G1432" s="1186"/>
      <c r="H1432" s="1186"/>
      <c r="I1432" s="1186">
        <v>8.4</v>
      </c>
      <c r="J1432" s="1186">
        <v>3</v>
      </c>
      <c r="K1432" s="1186">
        <v>5.0999999999999996</v>
      </c>
      <c r="L1432" s="1186">
        <v>4.3</v>
      </c>
      <c r="M1432" s="1186">
        <v>3.3</v>
      </c>
      <c r="N1432" s="1186">
        <v>4.9000000000000004</v>
      </c>
      <c r="O1432" s="1186"/>
      <c r="P1432" s="1186"/>
      <c r="Q1432" s="1186">
        <v>7.4</v>
      </c>
      <c r="R1432" s="1186">
        <v>2.2000000000000002</v>
      </c>
      <c r="S1432" s="1186">
        <v>2.8</v>
      </c>
      <c r="T1432" s="1186">
        <v>2.7</v>
      </c>
      <c r="U1432" s="1186"/>
      <c r="V1432" s="1186"/>
      <c r="W1432" s="1186"/>
      <c r="X1432" s="1186"/>
      <c r="Y1432" s="1186"/>
      <c r="Z1432" s="1186"/>
      <c r="AA1432" s="1186"/>
      <c r="AB1432" s="1186"/>
      <c r="AC1432" s="1186"/>
      <c r="AD1432" s="1187"/>
    </row>
    <row r="1433" spans="1:30" x14ac:dyDescent="0.2">
      <c r="A1433">
        <f t="shared" si="56"/>
        <v>38</v>
      </c>
      <c r="B1433">
        <v>1424</v>
      </c>
      <c r="C1433" s="1078">
        <v>2</v>
      </c>
      <c r="D1433" s="1077" t="s">
        <v>3918</v>
      </c>
      <c r="E1433" s="1077" t="s">
        <v>4254</v>
      </c>
      <c r="F1433" s="1185"/>
      <c r="G1433" s="1186"/>
      <c r="H1433" s="1186"/>
      <c r="I1433" s="1186">
        <v>7.2</v>
      </c>
      <c r="J1433" s="1186">
        <v>2.6</v>
      </c>
      <c r="K1433" s="1186">
        <v>5.2</v>
      </c>
      <c r="L1433" s="1186">
        <v>3.5</v>
      </c>
      <c r="M1433" s="1186">
        <v>5.4</v>
      </c>
      <c r="N1433" s="1186">
        <v>4.8</v>
      </c>
      <c r="O1433" s="1186"/>
      <c r="P1433" s="1186"/>
      <c r="Q1433" s="1186">
        <v>6.2</v>
      </c>
      <c r="R1433" s="1186">
        <v>2</v>
      </c>
      <c r="S1433" s="1186">
        <v>9</v>
      </c>
      <c r="T1433" s="1186">
        <v>2.7</v>
      </c>
      <c r="U1433" s="1186"/>
      <c r="V1433" s="1186"/>
      <c r="W1433" s="1186"/>
      <c r="X1433" s="1186"/>
      <c r="Y1433" s="1186"/>
      <c r="Z1433" s="1186"/>
      <c r="AA1433" s="1186"/>
      <c r="AB1433" s="1186"/>
      <c r="AC1433" s="1186"/>
      <c r="AD1433" s="1187"/>
    </row>
    <row r="1434" spans="1:30" x14ac:dyDescent="0.2">
      <c r="A1434">
        <f t="shared" si="56"/>
        <v>38</v>
      </c>
      <c r="B1434">
        <v>1425</v>
      </c>
      <c r="C1434" s="1078">
        <v>2</v>
      </c>
      <c r="D1434" s="1077" t="s">
        <v>3918</v>
      </c>
      <c r="E1434" s="1077" t="s">
        <v>4255</v>
      </c>
      <c r="F1434" s="1185">
        <v>4</v>
      </c>
      <c r="G1434" s="1186"/>
      <c r="H1434" s="1186"/>
      <c r="I1434" s="1186">
        <v>11</v>
      </c>
      <c r="J1434" s="1186">
        <v>2.9</v>
      </c>
      <c r="K1434" s="1186">
        <v>7.1</v>
      </c>
      <c r="L1434" s="1186">
        <v>4.0999999999999996</v>
      </c>
      <c r="M1434" s="1186">
        <v>5.0999999999999996</v>
      </c>
      <c r="N1434" s="1186">
        <v>4.9000000000000004</v>
      </c>
      <c r="O1434" s="1186"/>
      <c r="P1434" s="1186"/>
      <c r="Q1434" s="1186">
        <v>11</v>
      </c>
      <c r="R1434" s="1186">
        <v>2.2000000000000002</v>
      </c>
      <c r="S1434" s="1186">
        <v>4.5</v>
      </c>
      <c r="T1434" s="1186">
        <v>2.8</v>
      </c>
      <c r="U1434" s="1186"/>
      <c r="V1434" s="1186"/>
      <c r="W1434" s="1186"/>
      <c r="X1434" s="1186"/>
      <c r="Y1434" s="1186"/>
      <c r="Z1434" s="1186"/>
      <c r="AA1434" s="1186"/>
      <c r="AB1434" s="1186"/>
      <c r="AC1434" s="1186"/>
      <c r="AD1434" s="1187"/>
    </row>
    <row r="1435" spans="1:30" x14ac:dyDescent="0.2">
      <c r="A1435">
        <f t="shared" si="56"/>
        <v>38</v>
      </c>
      <c r="B1435">
        <v>1426</v>
      </c>
      <c r="C1435" s="1078">
        <v>2</v>
      </c>
      <c r="D1435" s="1077" t="s">
        <v>3918</v>
      </c>
      <c r="E1435" s="1077" t="s">
        <v>4256</v>
      </c>
      <c r="F1435" s="1185">
        <v>4</v>
      </c>
      <c r="G1435" s="1186"/>
      <c r="H1435" s="1186"/>
      <c r="I1435" s="1186">
        <v>12.5</v>
      </c>
      <c r="J1435" s="1186">
        <v>2.6</v>
      </c>
      <c r="K1435" s="1186">
        <v>7.4</v>
      </c>
      <c r="L1435" s="1186">
        <v>4</v>
      </c>
      <c r="M1435" s="1186">
        <v>4.8</v>
      </c>
      <c r="N1435" s="1186">
        <v>4.8</v>
      </c>
      <c r="O1435" s="1186"/>
      <c r="P1435" s="1186"/>
      <c r="Q1435" s="1186">
        <v>13.6</v>
      </c>
      <c r="R1435" s="1186">
        <v>2.4</v>
      </c>
      <c r="S1435" s="1186">
        <v>5.6</v>
      </c>
      <c r="T1435" s="1186">
        <v>3.1</v>
      </c>
      <c r="U1435" s="1186"/>
      <c r="V1435" s="1186"/>
      <c r="W1435" s="1186"/>
      <c r="X1435" s="1186"/>
      <c r="Y1435" s="1186"/>
      <c r="Z1435" s="1186"/>
      <c r="AA1435" s="1186"/>
      <c r="AB1435" s="1186"/>
      <c r="AC1435" s="1186"/>
      <c r="AD1435" s="1187"/>
    </row>
    <row r="1436" spans="1:30" x14ac:dyDescent="0.2">
      <c r="A1436">
        <f t="shared" si="56"/>
        <v>38</v>
      </c>
      <c r="B1436">
        <v>1427</v>
      </c>
      <c r="C1436" s="1078">
        <v>2</v>
      </c>
      <c r="D1436" s="1077" t="s">
        <v>3918</v>
      </c>
      <c r="E1436" s="1077" t="s">
        <v>4257</v>
      </c>
      <c r="F1436" s="1185"/>
      <c r="G1436" s="1186"/>
      <c r="H1436" s="1186"/>
      <c r="I1436" s="1186">
        <v>10</v>
      </c>
      <c r="J1436" s="1186">
        <v>2.7</v>
      </c>
      <c r="K1436" s="1186">
        <v>7.5</v>
      </c>
      <c r="L1436" s="1186">
        <v>3.6</v>
      </c>
      <c r="M1436" s="1186">
        <v>8.6</v>
      </c>
      <c r="N1436" s="1186">
        <v>4.4000000000000004</v>
      </c>
      <c r="O1436" s="1186"/>
      <c r="P1436" s="1186"/>
      <c r="Q1436" s="1186">
        <v>10</v>
      </c>
      <c r="R1436" s="1186">
        <v>2.1</v>
      </c>
      <c r="S1436" s="1186">
        <v>13</v>
      </c>
      <c r="T1436" s="1186">
        <v>2.7</v>
      </c>
      <c r="U1436" s="1186"/>
      <c r="V1436" s="1186"/>
      <c r="W1436" s="1186"/>
      <c r="X1436" s="1186"/>
      <c r="Y1436" s="1186"/>
      <c r="Z1436" s="1186"/>
      <c r="AA1436" s="1186"/>
      <c r="AB1436" s="1186"/>
      <c r="AC1436" s="1186"/>
      <c r="AD1436" s="1187"/>
    </row>
    <row r="1437" spans="1:30" x14ac:dyDescent="0.2">
      <c r="A1437">
        <f t="shared" si="56"/>
        <v>38</v>
      </c>
      <c r="B1437">
        <v>1428</v>
      </c>
      <c r="C1437" s="1078">
        <v>2</v>
      </c>
      <c r="D1437" s="1077" t="s">
        <v>3918</v>
      </c>
      <c r="E1437" s="1077" t="s">
        <v>4258</v>
      </c>
      <c r="F1437" s="1185"/>
      <c r="G1437" s="1186"/>
      <c r="H1437" s="1186"/>
      <c r="I1437" s="1186">
        <v>11</v>
      </c>
      <c r="J1437" s="1186">
        <v>2.7</v>
      </c>
      <c r="K1437" s="1186">
        <v>8.5</v>
      </c>
      <c r="L1437" s="1186">
        <v>3.5</v>
      </c>
      <c r="M1437" s="1186">
        <v>9.1999999999999993</v>
      </c>
      <c r="N1437" s="1186">
        <v>4.4000000000000004</v>
      </c>
      <c r="O1437" s="1186"/>
      <c r="P1437" s="1186"/>
      <c r="Q1437" s="1186">
        <v>11</v>
      </c>
      <c r="R1437" s="1186">
        <v>2.1</v>
      </c>
      <c r="S1437" s="1186">
        <v>14.1</v>
      </c>
      <c r="T1437" s="1186">
        <v>2.7</v>
      </c>
      <c r="U1437" s="1186"/>
      <c r="V1437" s="1186"/>
      <c r="W1437" s="1186"/>
      <c r="X1437" s="1186"/>
      <c r="Y1437" s="1186"/>
      <c r="Z1437" s="1186"/>
      <c r="AA1437" s="1186"/>
      <c r="AB1437" s="1186"/>
      <c r="AC1437" s="1186"/>
      <c r="AD1437" s="1187"/>
    </row>
    <row r="1438" spans="1:30" x14ac:dyDescent="0.2">
      <c r="A1438">
        <f t="shared" si="56"/>
        <v>38</v>
      </c>
      <c r="B1438">
        <v>1429</v>
      </c>
      <c r="C1438" s="1078">
        <v>2</v>
      </c>
      <c r="D1438" s="1077" t="s">
        <v>3918</v>
      </c>
      <c r="E1438" s="1077" t="s">
        <v>4259</v>
      </c>
      <c r="F1438" s="1185"/>
      <c r="G1438" s="1186"/>
      <c r="H1438" s="1186"/>
      <c r="I1438" s="1186">
        <v>12.5</v>
      </c>
      <c r="J1438" s="1186">
        <v>2.7</v>
      </c>
      <c r="K1438" s="1186">
        <v>9.5</v>
      </c>
      <c r="L1438" s="1186">
        <v>3.5</v>
      </c>
      <c r="M1438" s="1186">
        <v>9.6</v>
      </c>
      <c r="N1438" s="1186">
        <v>4.4000000000000004</v>
      </c>
      <c r="O1438" s="1186"/>
      <c r="P1438" s="1186"/>
      <c r="Q1438" s="1186">
        <v>12.7</v>
      </c>
      <c r="R1438" s="1186">
        <v>2.1</v>
      </c>
      <c r="S1438" s="1186">
        <v>15</v>
      </c>
      <c r="T1438" s="1186">
        <v>2.7</v>
      </c>
      <c r="U1438" s="1186"/>
      <c r="V1438" s="1186"/>
      <c r="W1438" s="1186"/>
      <c r="X1438" s="1186"/>
      <c r="Y1438" s="1186"/>
      <c r="Z1438" s="1186"/>
      <c r="AA1438" s="1186"/>
      <c r="AB1438" s="1186"/>
      <c r="AC1438" s="1186"/>
      <c r="AD1438" s="1187"/>
    </row>
    <row r="1439" spans="1:30" x14ac:dyDescent="0.2">
      <c r="A1439">
        <f t="shared" si="56"/>
        <v>38</v>
      </c>
      <c r="B1439">
        <v>1430</v>
      </c>
      <c r="C1439" s="1078">
        <v>3</v>
      </c>
      <c r="D1439" s="1077" t="s">
        <v>3918</v>
      </c>
      <c r="E1439" s="1077" t="s">
        <v>4260</v>
      </c>
      <c r="F1439" s="1185">
        <v>1</v>
      </c>
      <c r="G1439" s="1186"/>
      <c r="H1439" s="1186"/>
      <c r="I1439" s="1186"/>
      <c r="J1439" s="1186"/>
      <c r="K1439" s="1186"/>
      <c r="L1439" s="1186"/>
      <c r="M1439" s="1186"/>
      <c r="N1439" s="1186"/>
      <c r="O1439" s="1186"/>
      <c r="P1439" s="1186"/>
      <c r="Q1439" s="1186"/>
      <c r="R1439" s="1186"/>
      <c r="S1439" s="1186"/>
      <c r="T1439" s="1186"/>
      <c r="U1439" s="1186"/>
      <c r="V1439" s="1186"/>
      <c r="W1439" s="1186">
        <v>5.7</v>
      </c>
      <c r="X1439" s="1186">
        <v>4.4000000000000004</v>
      </c>
      <c r="Y1439" s="1186">
        <v>5.2</v>
      </c>
      <c r="Z1439" s="1186">
        <v>2.7</v>
      </c>
      <c r="AA1439" s="1186"/>
      <c r="AB1439" s="1186"/>
      <c r="AC1439" s="1186"/>
      <c r="AD1439" s="1187"/>
    </row>
    <row r="1440" spans="1:30" x14ac:dyDescent="0.2">
      <c r="A1440">
        <f t="shared" si="56"/>
        <v>38</v>
      </c>
      <c r="B1440">
        <v>1431</v>
      </c>
      <c r="C1440" s="1078">
        <v>3</v>
      </c>
      <c r="D1440" s="1077" t="s">
        <v>3918</v>
      </c>
      <c r="E1440" s="1077" t="s">
        <v>4261</v>
      </c>
      <c r="F1440" s="1185">
        <v>1</v>
      </c>
      <c r="G1440" s="1186"/>
      <c r="H1440" s="1186"/>
      <c r="I1440" s="1186"/>
      <c r="J1440" s="1186"/>
      <c r="K1440" s="1186"/>
      <c r="L1440" s="1186"/>
      <c r="M1440" s="1186"/>
      <c r="N1440" s="1186"/>
      <c r="O1440" s="1186"/>
      <c r="P1440" s="1186"/>
      <c r="Q1440" s="1186"/>
      <c r="R1440" s="1186"/>
      <c r="S1440" s="1186"/>
      <c r="T1440" s="1186"/>
      <c r="U1440" s="1186"/>
      <c r="V1440" s="1186"/>
      <c r="W1440" s="1186">
        <v>5.8</v>
      </c>
      <c r="X1440" s="1186">
        <v>4.4000000000000004</v>
      </c>
      <c r="Y1440" s="1186">
        <v>5.2</v>
      </c>
      <c r="Z1440" s="1186">
        <v>2.7</v>
      </c>
      <c r="AA1440" s="1186"/>
      <c r="AB1440" s="1186"/>
      <c r="AC1440" s="1186"/>
      <c r="AD1440" s="1187"/>
    </row>
    <row r="1441" spans="1:30" x14ac:dyDescent="0.2">
      <c r="A1441">
        <f t="shared" si="56"/>
        <v>38</v>
      </c>
      <c r="B1441">
        <v>1432</v>
      </c>
      <c r="C1441" s="1078">
        <v>3</v>
      </c>
      <c r="D1441" s="1077" t="s">
        <v>3918</v>
      </c>
      <c r="E1441" s="1077" t="s">
        <v>4262</v>
      </c>
      <c r="F1441" s="1185">
        <v>1</v>
      </c>
      <c r="G1441" s="1186"/>
      <c r="H1441" s="1186"/>
      <c r="I1441" s="1186"/>
      <c r="J1441" s="1186"/>
      <c r="K1441" s="1186"/>
      <c r="L1441" s="1186"/>
      <c r="M1441" s="1186"/>
      <c r="N1441" s="1186"/>
      <c r="O1441" s="1186"/>
      <c r="P1441" s="1186"/>
      <c r="Q1441" s="1186"/>
      <c r="R1441" s="1186"/>
      <c r="S1441" s="1186"/>
      <c r="T1441" s="1186"/>
      <c r="U1441" s="1186"/>
      <c r="V1441" s="1186"/>
      <c r="W1441" s="1186">
        <v>7.5</v>
      </c>
      <c r="X1441" s="1186">
        <v>4.5999999999999996</v>
      </c>
      <c r="Y1441" s="1186">
        <v>6.7</v>
      </c>
      <c r="Z1441" s="1186">
        <v>2.7</v>
      </c>
      <c r="AA1441" s="1186"/>
      <c r="AB1441" s="1186"/>
      <c r="AC1441" s="1186"/>
      <c r="AD1441" s="1187"/>
    </row>
    <row r="1442" spans="1:30" x14ac:dyDescent="0.2">
      <c r="A1442">
        <f t="shared" si="56"/>
        <v>38</v>
      </c>
      <c r="B1442">
        <v>1433</v>
      </c>
      <c r="C1442" s="1078">
        <v>3</v>
      </c>
      <c r="D1442" s="1077" t="s">
        <v>3918</v>
      </c>
      <c r="E1442" s="1077" t="s">
        <v>4263</v>
      </c>
      <c r="F1442" s="1185">
        <v>1</v>
      </c>
      <c r="G1442" s="1186"/>
      <c r="H1442" s="1186"/>
      <c r="I1442" s="1186"/>
      <c r="J1442" s="1186"/>
      <c r="K1442" s="1186"/>
      <c r="L1442" s="1186"/>
      <c r="M1442" s="1186"/>
      <c r="N1442" s="1186"/>
      <c r="O1442" s="1186"/>
      <c r="P1442" s="1186"/>
      <c r="Q1442" s="1186"/>
      <c r="R1442" s="1186"/>
      <c r="S1442" s="1186"/>
      <c r="T1442" s="1186"/>
      <c r="U1442" s="1186"/>
      <c r="V1442" s="1186"/>
      <c r="W1442" s="1186">
        <v>7.5</v>
      </c>
      <c r="X1442" s="1186">
        <v>4.5999999999999996</v>
      </c>
      <c r="Y1442" s="1186">
        <v>6.7</v>
      </c>
      <c r="Z1442" s="1186">
        <v>2.7</v>
      </c>
      <c r="AA1442" s="1186"/>
      <c r="AB1442" s="1186"/>
      <c r="AC1442" s="1186"/>
      <c r="AD1442" s="1187"/>
    </row>
    <row r="1443" spans="1:30" x14ac:dyDescent="0.2">
      <c r="A1443">
        <f t="shared" si="56"/>
        <v>38</v>
      </c>
      <c r="B1443">
        <v>1434</v>
      </c>
      <c r="C1443" s="1078">
        <v>3</v>
      </c>
      <c r="D1443" s="1077" t="s">
        <v>3918</v>
      </c>
      <c r="E1443" s="1077" t="s">
        <v>4264</v>
      </c>
      <c r="F1443" s="1185">
        <v>1</v>
      </c>
      <c r="G1443" s="1186"/>
      <c r="H1443" s="1186"/>
      <c r="I1443" s="1186"/>
      <c r="J1443" s="1186"/>
      <c r="K1443" s="1186"/>
      <c r="L1443" s="1186"/>
      <c r="M1443" s="1186"/>
      <c r="N1443" s="1186"/>
      <c r="O1443" s="1186"/>
      <c r="P1443" s="1186"/>
      <c r="Q1443" s="1186"/>
      <c r="R1443" s="1186"/>
      <c r="S1443" s="1186"/>
      <c r="T1443" s="1186"/>
      <c r="U1443" s="1186"/>
      <c r="V1443" s="1186"/>
      <c r="W1443" s="1186">
        <v>10.4</v>
      </c>
      <c r="X1443" s="1186">
        <v>4.8</v>
      </c>
      <c r="Y1443" s="1186">
        <v>9.4</v>
      </c>
      <c r="Z1443" s="1186">
        <v>2.9</v>
      </c>
      <c r="AA1443" s="1186"/>
      <c r="AB1443" s="1186"/>
      <c r="AC1443" s="1186"/>
      <c r="AD1443" s="1187"/>
    </row>
    <row r="1444" spans="1:30" x14ac:dyDescent="0.2">
      <c r="A1444">
        <f t="shared" si="56"/>
        <v>38</v>
      </c>
      <c r="B1444">
        <v>1435</v>
      </c>
      <c r="C1444" s="1078">
        <v>3</v>
      </c>
      <c r="D1444" s="1077" t="s">
        <v>3918</v>
      </c>
      <c r="E1444" s="1077" t="s">
        <v>4265</v>
      </c>
      <c r="F1444" s="1185">
        <v>1</v>
      </c>
      <c r="G1444" s="1186"/>
      <c r="H1444" s="1186"/>
      <c r="I1444" s="1186"/>
      <c r="J1444" s="1186"/>
      <c r="K1444" s="1186"/>
      <c r="L1444" s="1186"/>
      <c r="M1444" s="1186"/>
      <c r="N1444" s="1186"/>
      <c r="O1444" s="1186"/>
      <c r="P1444" s="1186"/>
      <c r="Q1444" s="1186"/>
      <c r="R1444" s="1186"/>
      <c r="S1444" s="1186"/>
      <c r="T1444" s="1186"/>
      <c r="U1444" s="1186"/>
      <c r="V1444" s="1186"/>
      <c r="W1444" s="1186">
        <v>10.4</v>
      </c>
      <c r="X1444" s="1186">
        <v>4.7</v>
      </c>
      <c r="Y1444" s="1186">
        <v>9.4</v>
      </c>
      <c r="Z1444" s="1186">
        <v>2.9</v>
      </c>
      <c r="AA1444" s="1186"/>
      <c r="AB1444" s="1186"/>
      <c r="AC1444" s="1186"/>
      <c r="AD1444" s="1187"/>
    </row>
    <row r="1445" spans="1:30" x14ac:dyDescent="0.2">
      <c r="A1445">
        <f t="shared" si="56"/>
        <v>38</v>
      </c>
      <c r="B1445">
        <v>1436</v>
      </c>
      <c r="C1445" s="1078">
        <v>3</v>
      </c>
      <c r="D1445" s="1077" t="s">
        <v>3918</v>
      </c>
      <c r="E1445" s="1077" t="s">
        <v>4266</v>
      </c>
      <c r="F1445" s="1185">
        <v>1</v>
      </c>
      <c r="G1445" s="1186"/>
      <c r="H1445" s="1186"/>
      <c r="I1445" s="1186"/>
      <c r="J1445" s="1186"/>
      <c r="K1445" s="1186"/>
      <c r="L1445" s="1186"/>
      <c r="M1445" s="1186"/>
      <c r="N1445" s="1186"/>
      <c r="O1445" s="1186"/>
      <c r="P1445" s="1186"/>
      <c r="Q1445" s="1186"/>
      <c r="R1445" s="1186"/>
      <c r="S1445" s="1186"/>
      <c r="T1445" s="1186"/>
      <c r="U1445" s="1186"/>
      <c r="V1445" s="1186"/>
      <c r="W1445" s="1186">
        <v>13.3</v>
      </c>
      <c r="X1445" s="1186">
        <v>4.8</v>
      </c>
      <c r="Y1445" s="1186">
        <v>11.4</v>
      </c>
      <c r="Z1445" s="1186">
        <v>2.8</v>
      </c>
      <c r="AA1445" s="1186"/>
      <c r="AB1445" s="1186"/>
      <c r="AC1445" s="1186"/>
      <c r="AD1445" s="1187"/>
    </row>
    <row r="1446" spans="1:30" x14ac:dyDescent="0.2">
      <c r="A1446">
        <f t="shared" si="56"/>
        <v>38</v>
      </c>
      <c r="B1446">
        <v>1437</v>
      </c>
      <c r="C1446" s="1078">
        <v>3</v>
      </c>
      <c r="D1446" s="1077" t="s">
        <v>3918</v>
      </c>
      <c r="E1446" s="1077" t="s">
        <v>4267</v>
      </c>
      <c r="F1446" s="1185">
        <v>1</v>
      </c>
      <c r="G1446" s="1186"/>
      <c r="H1446" s="1186"/>
      <c r="I1446" s="1186"/>
      <c r="J1446" s="1186"/>
      <c r="K1446" s="1186"/>
      <c r="L1446" s="1186"/>
      <c r="M1446" s="1186"/>
      <c r="N1446" s="1186"/>
      <c r="O1446" s="1186"/>
      <c r="P1446" s="1186"/>
      <c r="Q1446" s="1186"/>
      <c r="R1446" s="1186"/>
      <c r="S1446" s="1186"/>
      <c r="T1446" s="1186"/>
      <c r="U1446" s="1186"/>
      <c r="V1446" s="1186"/>
      <c r="W1446" s="1186">
        <v>17</v>
      </c>
      <c r="X1446" s="1186">
        <v>4.7</v>
      </c>
      <c r="Y1446" s="1186">
        <v>15.2</v>
      </c>
      <c r="Z1446" s="1186">
        <v>2.7</v>
      </c>
      <c r="AA1446" s="1186"/>
      <c r="AB1446" s="1186"/>
      <c r="AC1446" s="1186"/>
      <c r="AD1446" s="1187"/>
    </row>
    <row r="1447" spans="1:30" x14ac:dyDescent="0.2">
      <c r="A1447">
        <f t="shared" si="56"/>
        <v>38</v>
      </c>
      <c r="B1447">
        <v>1438</v>
      </c>
      <c r="C1447" s="1078">
        <v>3</v>
      </c>
      <c r="D1447" s="1077" t="s">
        <v>3918</v>
      </c>
      <c r="E1447" s="1077" t="s">
        <v>4268</v>
      </c>
      <c r="F1447" s="1185">
        <v>3</v>
      </c>
      <c r="G1447" s="1186"/>
      <c r="H1447" s="1186"/>
      <c r="I1447" s="1186"/>
      <c r="J1447" s="1186"/>
      <c r="K1447" s="1186"/>
      <c r="L1447" s="1186"/>
      <c r="M1447" s="1186"/>
      <c r="N1447" s="1186"/>
      <c r="O1447" s="1186"/>
      <c r="P1447" s="1186"/>
      <c r="Q1447" s="1186"/>
      <c r="R1447" s="1186"/>
      <c r="S1447" s="1186"/>
      <c r="T1447" s="1186"/>
      <c r="U1447" s="1186"/>
      <c r="V1447" s="1186"/>
      <c r="W1447" s="1186">
        <v>20</v>
      </c>
      <c r="X1447" s="1186">
        <v>4.3</v>
      </c>
      <c r="Y1447" s="1186">
        <v>8.6</v>
      </c>
      <c r="Z1447" s="1186">
        <v>2.4</v>
      </c>
      <c r="AA1447" s="1186"/>
      <c r="AB1447" s="1186"/>
      <c r="AC1447" s="1186"/>
      <c r="AD1447" s="1187"/>
    </row>
    <row r="1448" spans="1:30" x14ac:dyDescent="0.2">
      <c r="A1448">
        <f t="shared" si="56"/>
        <v>38</v>
      </c>
      <c r="B1448">
        <v>1439</v>
      </c>
      <c r="C1448" s="1078">
        <v>3</v>
      </c>
      <c r="D1448" s="1077" t="s">
        <v>3918</v>
      </c>
      <c r="E1448" s="1077" t="s">
        <v>4269</v>
      </c>
      <c r="F1448" s="1185">
        <v>3</v>
      </c>
      <c r="G1448" s="1186"/>
      <c r="H1448" s="1186"/>
      <c r="I1448" s="1186"/>
      <c r="J1448" s="1186"/>
      <c r="K1448" s="1186"/>
      <c r="L1448" s="1186"/>
      <c r="M1448" s="1186"/>
      <c r="N1448" s="1186"/>
      <c r="O1448" s="1186"/>
      <c r="P1448" s="1186"/>
      <c r="Q1448" s="1186"/>
      <c r="R1448" s="1186"/>
      <c r="S1448" s="1186"/>
      <c r="T1448" s="1186"/>
      <c r="U1448" s="1186"/>
      <c r="V1448" s="1186"/>
      <c r="W1448" s="1186">
        <v>33.799999999999997</v>
      </c>
      <c r="X1448" s="1186">
        <v>4.5</v>
      </c>
      <c r="Y1448" s="1186">
        <v>31.5</v>
      </c>
      <c r="Z1448" s="1186">
        <v>3</v>
      </c>
      <c r="AA1448" s="1186"/>
      <c r="AB1448" s="1186"/>
      <c r="AC1448" s="1186"/>
      <c r="AD1448" s="1187"/>
    </row>
    <row r="1449" spans="1:30" x14ac:dyDescent="0.2">
      <c r="A1449">
        <f t="shared" si="56"/>
        <v>38</v>
      </c>
      <c r="B1449">
        <v>1440</v>
      </c>
      <c r="C1449" s="1078">
        <v>3</v>
      </c>
      <c r="D1449" s="1077" t="s">
        <v>3918</v>
      </c>
      <c r="E1449" s="1077" t="s">
        <v>4270</v>
      </c>
      <c r="F1449" s="1185">
        <v>1</v>
      </c>
      <c r="G1449" s="1186"/>
      <c r="H1449" s="1186"/>
      <c r="I1449" s="1186"/>
      <c r="J1449" s="1186"/>
      <c r="K1449" s="1186"/>
      <c r="L1449" s="1186"/>
      <c r="M1449" s="1186"/>
      <c r="N1449" s="1186"/>
      <c r="O1449" s="1186"/>
      <c r="P1449" s="1186"/>
      <c r="Q1449" s="1186"/>
      <c r="R1449" s="1186"/>
      <c r="S1449" s="1186"/>
      <c r="T1449" s="1186"/>
      <c r="U1449" s="1186"/>
      <c r="V1449" s="1186"/>
      <c r="W1449" s="1186">
        <v>5.8</v>
      </c>
      <c r="X1449" s="1186">
        <v>4.4000000000000004</v>
      </c>
      <c r="Y1449" s="1186">
        <v>5.2</v>
      </c>
      <c r="Z1449" s="1186">
        <v>2.7</v>
      </c>
      <c r="AA1449" s="1186"/>
      <c r="AB1449" s="1186"/>
      <c r="AC1449" s="1186"/>
      <c r="AD1449" s="1187"/>
    </row>
    <row r="1450" spans="1:30" x14ac:dyDescent="0.2">
      <c r="A1450">
        <f t="shared" si="56"/>
        <v>38</v>
      </c>
      <c r="B1450">
        <v>1441</v>
      </c>
      <c r="C1450" s="1078">
        <v>3</v>
      </c>
      <c r="D1450" s="1077" t="s">
        <v>3918</v>
      </c>
      <c r="E1450" s="1077" t="s">
        <v>4271</v>
      </c>
      <c r="F1450" s="1185">
        <v>1</v>
      </c>
      <c r="G1450" s="1186"/>
      <c r="H1450" s="1186"/>
      <c r="I1450" s="1186"/>
      <c r="J1450" s="1186"/>
      <c r="K1450" s="1186"/>
      <c r="L1450" s="1186"/>
      <c r="M1450" s="1186"/>
      <c r="N1450" s="1186"/>
      <c r="O1450" s="1186"/>
      <c r="P1450" s="1186"/>
      <c r="Q1450" s="1186"/>
      <c r="R1450" s="1186"/>
      <c r="S1450" s="1186"/>
      <c r="T1450" s="1186"/>
      <c r="U1450" s="1186"/>
      <c r="V1450" s="1186"/>
      <c r="W1450" s="1186">
        <v>5.8</v>
      </c>
      <c r="X1450" s="1186">
        <v>4.4000000000000004</v>
      </c>
      <c r="Y1450" s="1186">
        <v>5.2</v>
      </c>
      <c r="Z1450" s="1186">
        <v>2.7</v>
      </c>
      <c r="AA1450" s="1186"/>
      <c r="AB1450" s="1186"/>
      <c r="AC1450" s="1186"/>
      <c r="AD1450" s="1187"/>
    </row>
    <row r="1451" spans="1:30" x14ac:dyDescent="0.2">
      <c r="A1451">
        <f t="shared" si="56"/>
        <v>38</v>
      </c>
      <c r="B1451">
        <v>1442</v>
      </c>
      <c r="C1451" s="1078">
        <v>3</v>
      </c>
      <c r="D1451" s="1077" t="s">
        <v>3918</v>
      </c>
      <c r="E1451" s="1077" t="s">
        <v>4272</v>
      </c>
      <c r="F1451" s="1185">
        <v>1</v>
      </c>
      <c r="G1451" s="1186"/>
      <c r="H1451" s="1186"/>
      <c r="I1451" s="1186"/>
      <c r="J1451" s="1186"/>
      <c r="K1451" s="1186"/>
      <c r="L1451" s="1186"/>
      <c r="M1451" s="1186"/>
      <c r="N1451" s="1186"/>
      <c r="O1451" s="1186"/>
      <c r="P1451" s="1186"/>
      <c r="Q1451" s="1186"/>
      <c r="R1451" s="1186"/>
      <c r="S1451" s="1186"/>
      <c r="T1451" s="1186"/>
      <c r="U1451" s="1186"/>
      <c r="V1451" s="1186"/>
      <c r="W1451" s="1186">
        <v>7.5</v>
      </c>
      <c r="X1451" s="1186">
        <v>4.7</v>
      </c>
      <c r="Y1451" s="1186">
        <v>6.7</v>
      </c>
      <c r="Z1451" s="1186">
        <v>2.7</v>
      </c>
      <c r="AA1451" s="1186"/>
      <c r="AB1451" s="1186"/>
      <c r="AC1451" s="1186"/>
      <c r="AD1451" s="1187"/>
    </row>
    <row r="1452" spans="1:30" x14ac:dyDescent="0.2">
      <c r="A1452">
        <f t="shared" si="56"/>
        <v>38</v>
      </c>
      <c r="B1452">
        <v>1443</v>
      </c>
      <c r="C1452" s="1078">
        <v>3</v>
      </c>
      <c r="D1452" s="1077" t="s">
        <v>3918</v>
      </c>
      <c r="E1452" s="1077" t="s">
        <v>4273</v>
      </c>
      <c r="F1452" s="1185">
        <v>1</v>
      </c>
      <c r="G1452" s="1186"/>
      <c r="H1452" s="1186"/>
      <c r="I1452" s="1186"/>
      <c r="J1452" s="1186"/>
      <c r="K1452" s="1186"/>
      <c r="L1452" s="1186"/>
      <c r="M1452" s="1186"/>
      <c r="N1452" s="1186"/>
      <c r="O1452" s="1186"/>
      <c r="P1452" s="1186"/>
      <c r="Q1452" s="1186"/>
      <c r="R1452" s="1186"/>
      <c r="S1452" s="1186"/>
      <c r="T1452" s="1186"/>
      <c r="U1452" s="1186"/>
      <c r="V1452" s="1186"/>
      <c r="W1452" s="1186">
        <v>7.5</v>
      </c>
      <c r="X1452" s="1186">
        <v>4.5999999999999996</v>
      </c>
      <c r="Y1452" s="1186">
        <v>6.7</v>
      </c>
      <c r="Z1452" s="1186">
        <v>2.7</v>
      </c>
      <c r="AA1452" s="1186"/>
      <c r="AB1452" s="1186"/>
      <c r="AC1452" s="1186"/>
      <c r="AD1452" s="1187"/>
    </row>
    <row r="1453" spans="1:30" x14ac:dyDescent="0.2">
      <c r="A1453">
        <f t="shared" si="56"/>
        <v>38</v>
      </c>
      <c r="B1453">
        <v>1444</v>
      </c>
      <c r="C1453" s="1078">
        <v>3</v>
      </c>
      <c r="D1453" s="1077" t="s">
        <v>3918</v>
      </c>
      <c r="E1453" s="1077" t="s">
        <v>4274</v>
      </c>
      <c r="F1453" s="1185">
        <v>1</v>
      </c>
      <c r="G1453" s="1186"/>
      <c r="H1453" s="1186"/>
      <c r="I1453" s="1186"/>
      <c r="J1453" s="1186"/>
      <c r="K1453" s="1186"/>
      <c r="L1453" s="1186"/>
      <c r="M1453" s="1186"/>
      <c r="N1453" s="1186"/>
      <c r="O1453" s="1186"/>
      <c r="P1453" s="1186"/>
      <c r="Q1453" s="1186"/>
      <c r="R1453" s="1186"/>
      <c r="S1453" s="1186"/>
      <c r="T1453" s="1186"/>
      <c r="U1453" s="1186"/>
      <c r="V1453" s="1186"/>
      <c r="W1453" s="1186">
        <v>10.4</v>
      </c>
      <c r="X1453" s="1186">
        <v>4.7</v>
      </c>
      <c r="Y1453" s="1186">
        <v>9.4</v>
      </c>
      <c r="Z1453" s="1186">
        <v>2.9</v>
      </c>
      <c r="AA1453" s="1186"/>
      <c r="AB1453" s="1186"/>
      <c r="AC1453" s="1186"/>
      <c r="AD1453" s="1187"/>
    </row>
    <row r="1454" spans="1:30" x14ac:dyDescent="0.2">
      <c r="A1454">
        <f t="shared" si="56"/>
        <v>38</v>
      </c>
      <c r="B1454">
        <v>1445</v>
      </c>
      <c r="C1454" s="1078">
        <v>3</v>
      </c>
      <c r="D1454" s="1077" t="s">
        <v>3918</v>
      </c>
      <c r="E1454" s="1077" t="s">
        <v>4275</v>
      </c>
      <c r="F1454" s="1185">
        <v>1</v>
      </c>
      <c r="G1454" s="1186"/>
      <c r="H1454" s="1186"/>
      <c r="I1454" s="1186"/>
      <c r="J1454" s="1186"/>
      <c r="K1454" s="1186"/>
      <c r="L1454" s="1186"/>
      <c r="M1454" s="1186"/>
      <c r="N1454" s="1186"/>
      <c r="O1454" s="1186"/>
      <c r="P1454" s="1186"/>
      <c r="Q1454" s="1186"/>
      <c r="R1454" s="1186"/>
      <c r="S1454" s="1186"/>
      <c r="T1454" s="1186"/>
      <c r="U1454" s="1186"/>
      <c r="V1454" s="1186"/>
      <c r="W1454" s="1186">
        <v>10.4</v>
      </c>
      <c r="X1454" s="1186">
        <v>4.7</v>
      </c>
      <c r="Y1454" s="1186">
        <v>9.4</v>
      </c>
      <c r="Z1454" s="1186">
        <v>2.7</v>
      </c>
      <c r="AA1454" s="1186"/>
      <c r="AB1454" s="1186"/>
      <c r="AC1454" s="1186"/>
      <c r="AD1454" s="1187"/>
    </row>
    <row r="1455" spans="1:30" x14ac:dyDescent="0.2">
      <c r="A1455">
        <f t="shared" si="56"/>
        <v>38</v>
      </c>
      <c r="B1455">
        <v>1446</v>
      </c>
      <c r="C1455" s="1078">
        <v>3</v>
      </c>
      <c r="D1455" s="1077" t="s">
        <v>3918</v>
      </c>
      <c r="E1455" s="1077" t="s">
        <v>4276</v>
      </c>
      <c r="F1455" s="1185">
        <v>1</v>
      </c>
      <c r="G1455" s="1186"/>
      <c r="H1455" s="1186"/>
      <c r="I1455" s="1186"/>
      <c r="J1455" s="1186"/>
      <c r="K1455" s="1186"/>
      <c r="L1455" s="1186"/>
      <c r="M1455" s="1186"/>
      <c r="N1455" s="1186"/>
      <c r="O1455" s="1186"/>
      <c r="P1455" s="1186"/>
      <c r="Q1455" s="1186"/>
      <c r="R1455" s="1186"/>
      <c r="S1455" s="1186"/>
      <c r="T1455" s="1186"/>
      <c r="U1455" s="1186"/>
      <c r="V1455" s="1186"/>
      <c r="W1455" s="1186">
        <v>13.3</v>
      </c>
      <c r="X1455" s="1186">
        <v>4.8</v>
      </c>
      <c r="Y1455" s="1186">
        <v>11.4</v>
      </c>
      <c r="Z1455" s="1186">
        <v>2.8</v>
      </c>
      <c r="AA1455" s="1186"/>
      <c r="AB1455" s="1186"/>
      <c r="AC1455" s="1186"/>
      <c r="AD1455" s="1187"/>
    </row>
    <row r="1456" spans="1:30" x14ac:dyDescent="0.2">
      <c r="A1456">
        <f t="shared" si="56"/>
        <v>38</v>
      </c>
      <c r="B1456">
        <v>1447</v>
      </c>
      <c r="C1456" s="1078">
        <v>3</v>
      </c>
      <c r="D1456" s="1077" t="s">
        <v>3918</v>
      </c>
      <c r="E1456" s="1077" t="s">
        <v>4277</v>
      </c>
      <c r="F1456" s="1185">
        <v>1</v>
      </c>
      <c r="G1456" s="1186"/>
      <c r="H1456" s="1186"/>
      <c r="I1456" s="1186"/>
      <c r="J1456" s="1186"/>
      <c r="K1456" s="1186"/>
      <c r="L1456" s="1186"/>
      <c r="M1456" s="1186"/>
      <c r="N1456" s="1186"/>
      <c r="O1456" s="1186"/>
      <c r="P1456" s="1186"/>
      <c r="Q1456" s="1186"/>
      <c r="R1456" s="1186"/>
      <c r="S1456" s="1186"/>
      <c r="T1456" s="1186"/>
      <c r="U1456" s="1186"/>
      <c r="V1456" s="1186"/>
      <c r="W1456" s="1186">
        <v>17</v>
      </c>
      <c r="X1456" s="1186">
        <v>4.7</v>
      </c>
      <c r="Y1456" s="1186">
        <v>15.2</v>
      </c>
      <c r="Z1456" s="1186">
        <v>2.7</v>
      </c>
      <c r="AA1456" s="1186"/>
      <c r="AB1456" s="1186"/>
      <c r="AC1456" s="1186"/>
      <c r="AD1456" s="1187"/>
    </row>
    <row r="1457" spans="1:30" x14ac:dyDescent="0.2">
      <c r="A1457">
        <f t="shared" si="56"/>
        <v>39</v>
      </c>
      <c r="B1457">
        <v>1448</v>
      </c>
      <c r="C1457" s="1078">
        <v>2</v>
      </c>
      <c r="D1457" s="1077" t="s">
        <v>4919</v>
      </c>
      <c r="E1457" s="1077" t="s">
        <v>4920</v>
      </c>
      <c r="F1457" s="1185">
        <v>4</v>
      </c>
      <c r="G1457" s="1186">
        <v>4.2569999999999997</v>
      </c>
      <c r="H1457" s="1186">
        <v>2.3243243243243241</v>
      </c>
      <c r="I1457" s="1186">
        <v>5.0999999999999996</v>
      </c>
      <c r="J1457" s="1186">
        <v>2.7127659574468086</v>
      </c>
      <c r="K1457" s="1186">
        <v>4.8</v>
      </c>
      <c r="L1457" s="1186">
        <v>3.3103448275862069</v>
      </c>
      <c r="M1457" s="1186">
        <v>5</v>
      </c>
      <c r="N1457" s="1186">
        <v>4.8543689320388346</v>
      </c>
      <c r="O1457" s="1186">
        <v>7</v>
      </c>
      <c r="P1457" s="1186">
        <v>6.5420560747663545</v>
      </c>
      <c r="Q1457" s="1186">
        <v>4.67</v>
      </c>
      <c r="R1457" s="1186">
        <v>1.6738351254480286</v>
      </c>
      <c r="S1457" s="1186">
        <v>4.3</v>
      </c>
      <c r="T1457" s="1186">
        <v>2.8289473684210527</v>
      </c>
      <c r="U1457" s="1186">
        <v>6.2460000000000004</v>
      </c>
      <c r="V1457" s="1186">
        <v>3.7013333333333338</v>
      </c>
      <c r="W1457" s="1186"/>
      <c r="X1457" s="1186"/>
      <c r="Y1457" s="1186"/>
      <c r="Z1457" s="1186"/>
      <c r="AA1457" s="1186"/>
      <c r="AB1457" s="1186"/>
      <c r="AC1457" s="1186"/>
      <c r="AD1457" s="1187"/>
    </row>
    <row r="1458" spans="1:30" x14ac:dyDescent="0.2">
      <c r="A1458">
        <f t="shared" si="56"/>
        <v>39</v>
      </c>
      <c r="B1458">
        <v>1449</v>
      </c>
      <c r="C1458" s="1078">
        <v>2</v>
      </c>
      <c r="D1458" s="1077" t="s">
        <v>4919</v>
      </c>
      <c r="E1458" s="1077" t="s">
        <v>4921</v>
      </c>
      <c r="F1458" s="1185">
        <v>4</v>
      </c>
      <c r="G1458" s="1186">
        <v>6.2468999999999992</v>
      </c>
      <c r="H1458" s="1186">
        <v>2.294545454545454</v>
      </c>
      <c r="I1458" s="1186">
        <v>7.35</v>
      </c>
      <c r="J1458" s="1186">
        <v>2.4337748344370858</v>
      </c>
      <c r="K1458" s="1186">
        <v>7</v>
      </c>
      <c r="L1458" s="1186">
        <v>2.978723404255319</v>
      </c>
      <c r="M1458" s="1186">
        <v>8</v>
      </c>
      <c r="N1458" s="1186">
        <v>4.5197740112994351</v>
      </c>
      <c r="O1458" s="1186">
        <v>11.41</v>
      </c>
      <c r="P1458" s="1186">
        <v>6.5200000000000005</v>
      </c>
      <c r="Q1458" s="1186">
        <v>5.71</v>
      </c>
      <c r="R1458" s="1186">
        <v>1.4831168831168831</v>
      </c>
      <c r="S1458" s="1186">
        <v>7.1</v>
      </c>
      <c r="T1458" s="1186">
        <v>2.806324110671937</v>
      </c>
      <c r="U1458" s="1186">
        <v>10.08</v>
      </c>
      <c r="V1458" s="1186">
        <v>3.4758620689655175</v>
      </c>
      <c r="W1458" s="1186"/>
      <c r="X1458" s="1186"/>
      <c r="Y1458" s="1186"/>
      <c r="Z1458" s="1186"/>
      <c r="AA1458" s="1186"/>
      <c r="AB1458" s="1186"/>
      <c r="AC1458" s="1186"/>
      <c r="AD1458" s="1187"/>
    </row>
    <row r="1459" spans="1:30" x14ac:dyDescent="0.2">
      <c r="A1459">
        <f t="shared" si="56"/>
        <v>39</v>
      </c>
      <c r="B1459">
        <v>1450</v>
      </c>
      <c r="C1459" s="1078">
        <v>2</v>
      </c>
      <c r="D1459" s="1077" t="s">
        <v>4919</v>
      </c>
      <c r="E1459" s="1077" t="s">
        <v>4922</v>
      </c>
      <c r="F1459" s="1185">
        <v>4</v>
      </c>
      <c r="G1459" s="1186">
        <v>6.2468999999999992</v>
      </c>
      <c r="H1459" s="1186">
        <v>2.294545454545454</v>
      </c>
      <c r="I1459" s="1186">
        <v>7.35</v>
      </c>
      <c r="J1459" s="1186">
        <v>2.4337748344370858</v>
      </c>
      <c r="K1459" s="1186">
        <v>7</v>
      </c>
      <c r="L1459" s="1186">
        <v>2.978723404255319</v>
      </c>
      <c r="M1459" s="1186">
        <v>8</v>
      </c>
      <c r="N1459" s="1186">
        <v>4.5197740112994351</v>
      </c>
      <c r="O1459" s="1186">
        <v>11.41</v>
      </c>
      <c r="P1459" s="1186">
        <v>6.5200000000000005</v>
      </c>
      <c r="Q1459" s="1186">
        <v>5.71</v>
      </c>
      <c r="R1459" s="1186">
        <v>1.4831168831168831</v>
      </c>
      <c r="S1459" s="1186">
        <v>7.1</v>
      </c>
      <c r="T1459" s="1186">
        <v>2.806324110671937</v>
      </c>
      <c r="U1459" s="1186">
        <v>10.08</v>
      </c>
      <c r="V1459" s="1186">
        <v>3.4758620689655175</v>
      </c>
      <c r="W1459" s="1186"/>
      <c r="X1459" s="1186"/>
      <c r="Y1459" s="1186"/>
      <c r="Z1459" s="1186"/>
      <c r="AA1459" s="1186"/>
      <c r="AB1459" s="1186"/>
      <c r="AC1459" s="1186"/>
      <c r="AD1459" s="1187"/>
    </row>
    <row r="1460" spans="1:30" x14ac:dyDescent="0.2">
      <c r="A1460">
        <f t="shared" si="56"/>
        <v>39</v>
      </c>
      <c r="B1460">
        <v>1451</v>
      </c>
      <c r="C1460" s="1078">
        <v>2</v>
      </c>
      <c r="D1460" s="1077" t="s">
        <v>4919</v>
      </c>
      <c r="E1460" s="1077" t="s">
        <v>4923</v>
      </c>
      <c r="F1460" s="1185">
        <v>4</v>
      </c>
      <c r="G1460" s="1186">
        <v>10.494</v>
      </c>
      <c r="H1460" s="1186">
        <v>2.2175732217573216</v>
      </c>
      <c r="I1460" s="1186">
        <v>12</v>
      </c>
      <c r="J1460" s="1186">
        <v>2.5477707006369426</v>
      </c>
      <c r="K1460" s="1186">
        <v>10.8</v>
      </c>
      <c r="L1460" s="1186">
        <v>3.2727272727272729</v>
      </c>
      <c r="M1460" s="1186">
        <v>12</v>
      </c>
      <c r="N1460" s="1186">
        <v>4.5283018867924527</v>
      </c>
      <c r="O1460" s="1186">
        <v>17.399999999999999</v>
      </c>
      <c r="P1460" s="1186">
        <v>6.8235294117647056</v>
      </c>
      <c r="Q1460" s="1186">
        <v>9.8699999999999992</v>
      </c>
      <c r="R1460" s="1186">
        <v>1.5022831050228309</v>
      </c>
      <c r="S1460" s="1186">
        <v>11.3</v>
      </c>
      <c r="T1460" s="1186">
        <v>3.0294906166219842</v>
      </c>
      <c r="U1460" s="1186">
        <v>15.075000000000001</v>
      </c>
      <c r="V1460" s="1186">
        <v>4.0200000000000005</v>
      </c>
      <c r="W1460" s="1186"/>
      <c r="X1460" s="1186"/>
      <c r="Y1460" s="1186"/>
      <c r="Z1460" s="1186"/>
      <c r="AA1460" s="1186"/>
      <c r="AB1460" s="1186"/>
      <c r="AC1460" s="1186"/>
      <c r="AD1460" s="1187"/>
    </row>
    <row r="1461" spans="1:30" x14ac:dyDescent="0.2">
      <c r="A1461">
        <f t="shared" si="56"/>
        <v>39</v>
      </c>
      <c r="B1461">
        <v>1452</v>
      </c>
      <c r="C1461" s="1078">
        <v>2</v>
      </c>
      <c r="D1461" s="1077" t="s">
        <v>4919</v>
      </c>
      <c r="E1461" s="1077" t="s">
        <v>4924</v>
      </c>
      <c r="F1461" s="1185">
        <v>4</v>
      </c>
      <c r="G1461" s="1186">
        <v>10.494</v>
      </c>
      <c r="H1461" s="1186">
        <v>2.2175732217573216</v>
      </c>
      <c r="I1461" s="1186">
        <v>12</v>
      </c>
      <c r="J1461" s="1186">
        <v>2.5477707006369426</v>
      </c>
      <c r="K1461" s="1186">
        <v>10.8</v>
      </c>
      <c r="L1461" s="1186">
        <v>3.2727272727272729</v>
      </c>
      <c r="M1461" s="1186">
        <v>12</v>
      </c>
      <c r="N1461" s="1186">
        <v>4.5283018867924527</v>
      </c>
      <c r="O1461" s="1186">
        <v>17.399999999999999</v>
      </c>
      <c r="P1461" s="1186">
        <v>6.8235294117647056</v>
      </c>
      <c r="Q1461" s="1186">
        <v>9.8699999999999992</v>
      </c>
      <c r="R1461" s="1186">
        <v>1.5022831050228309</v>
      </c>
      <c r="S1461" s="1186">
        <v>11.3</v>
      </c>
      <c r="T1461" s="1186">
        <v>3.0294906166219842</v>
      </c>
      <c r="U1461" s="1186">
        <v>15.075000000000001</v>
      </c>
      <c r="V1461" s="1186">
        <v>4.0200000000000005</v>
      </c>
      <c r="W1461" s="1186"/>
      <c r="X1461" s="1186"/>
      <c r="Y1461" s="1186"/>
      <c r="Z1461" s="1186"/>
      <c r="AA1461" s="1186"/>
      <c r="AB1461" s="1186"/>
      <c r="AC1461" s="1186"/>
      <c r="AD1461" s="1187"/>
    </row>
    <row r="1462" spans="1:30" x14ac:dyDescent="0.2">
      <c r="A1462">
        <f t="shared" si="56"/>
        <v>39</v>
      </c>
      <c r="B1462">
        <v>1453</v>
      </c>
      <c r="C1462" s="1078">
        <v>2</v>
      </c>
      <c r="D1462" s="1077" t="s">
        <v>4919</v>
      </c>
      <c r="E1462" s="1077" t="s">
        <v>4925</v>
      </c>
      <c r="F1462" s="1185">
        <v>4</v>
      </c>
      <c r="G1462" s="1186">
        <v>12.87</v>
      </c>
      <c r="H1462" s="1186">
        <v>2.1666666666666665</v>
      </c>
      <c r="I1462" s="1186">
        <v>14.6</v>
      </c>
      <c r="J1462" s="1186">
        <v>2.4333333333333331</v>
      </c>
      <c r="K1462" s="1186">
        <v>13.2</v>
      </c>
      <c r="L1462" s="1186">
        <v>2.9999999999999996</v>
      </c>
      <c r="M1462" s="1186">
        <v>16</v>
      </c>
      <c r="N1462" s="1186">
        <v>4.4198895027624312</v>
      </c>
      <c r="O1462" s="1186">
        <v>22</v>
      </c>
      <c r="P1462" s="1186">
        <v>5.7742782152230969</v>
      </c>
      <c r="Q1462" s="1186">
        <v>12.86</v>
      </c>
      <c r="R1462" s="1186">
        <v>1.6593548387096773</v>
      </c>
      <c r="S1462" s="1186">
        <v>15</v>
      </c>
      <c r="T1462" s="1186">
        <v>2.8957528957528957</v>
      </c>
      <c r="U1462" s="1186">
        <v>19.332000000000001</v>
      </c>
      <c r="V1462" s="1186">
        <v>3.2975692963752663</v>
      </c>
      <c r="W1462" s="1186"/>
      <c r="X1462" s="1186"/>
      <c r="Y1462" s="1186"/>
      <c r="Z1462" s="1186"/>
      <c r="AA1462" s="1186"/>
      <c r="AB1462" s="1186"/>
      <c r="AC1462" s="1186"/>
      <c r="AD1462" s="1187"/>
    </row>
    <row r="1463" spans="1:30" x14ac:dyDescent="0.2">
      <c r="A1463">
        <f t="shared" si="56"/>
        <v>39</v>
      </c>
      <c r="B1463">
        <v>1454</v>
      </c>
      <c r="C1463" s="1078">
        <v>2</v>
      </c>
      <c r="D1463" s="1077" t="s">
        <v>4919</v>
      </c>
      <c r="E1463" s="1077" t="s">
        <v>4926</v>
      </c>
      <c r="F1463" s="1185">
        <v>4</v>
      </c>
      <c r="G1463" s="1186">
        <v>12.87</v>
      </c>
      <c r="H1463" s="1186">
        <v>2.1666666666666665</v>
      </c>
      <c r="I1463" s="1186">
        <v>14.6</v>
      </c>
      <c r="J1463" s="1186">
        <v>2.4333333333333331</v>
      </c>
      <c r="K1463" s="1186">
        <v>13.2</v>
      </c>
      <c r="L1463" s="1186">
        <v>2.9999999999999996</v>
      </c>
      <c r="M1463" s="1186">
        <v>16</v>
      </c>
      <c r="N1463" s="1186">
        <v>4.4198895027624312</v>
      </c>
      <c r="O1463" s="1186">
        <v>22</v>
      </c>
      <c r="P1463" s="1186">
        <v>5.7742782152230969</v>
      </c>
      <c r="Q1463" s="1186">
        <v>12.86</v>
      </c>
      <c r="R1463" s="1186">
        <v>1.6593548387096773</v>
      </c>
      <c r="S1463" s="1186">
        <v>15</v>
      </c>
      <c r="T1463" s="1186">
        <v>2.8957528957528957</v>
      </c>
      <c r="U1463" s="1186">
        <v>19.332000000000001</v>
      </c>
      <c r="V1463" s="1186">
        <v>3.2975692963752663</v>
      </c>
      <c r="W1463" s="1186"/>
      <c r="X1463" s="1186"/>
      <c r="Y1463" s="1186"/>
      <c r="Z1463" s="1186"/>
      <c r="AA1463" s="1186"/>
      <c r="AB1463" s="1186"/>
      <c r="AC1463" s="1186"/>
      <c r="AD1463" s="1187"/>
    </row>
    <row r="1464" spans="1:30" x14ac:dyDescent="0.2">
      <c r="A1464">
        <f t="shared" si="56"/>
        <v>39</v>
      </c>
      <c r="B1464">
        <v>1455</v>
      </c>
      <c r="C1464" s="1078">
        <v>2</v>
      </c>
      <c r="D1464" s="1077" t="s">
        <v>4919</v>
      </c>
      <c r="E1464" s="1077" t="s">
        <v>4927</v>
      </c>
      <c r="F1464" s="1185">
        <v>4</v>
      </c>
      <c r="G1464" s="1186">
        <v>6.2468999999999992</v>
      </c>
      <c r="H1464" s="1186">
        <v>2.294545454545454</v>
      </c>
      <c r="I1464" s="1186">
        <v>7.35</v>
      </c>
      <c r="J1464" s="1186">
        <v>2.4337748344370858</v>
      </c>
      <c r="K1464" s="1186">
        <v>7</v>
      </c>
      <c r="L1464" s="1186">
        <v>2.978723404255319</v>
      </c>
      <c r="M1464" s="1186">
        <v>8</v>
      </c>
      <c r="N1464" s="1186">
        <v>4.5197740112994351</v>
      </c>
      <c r="O1464" s="1186">
        <v>11.41</v>
      </c>
      <c r="P1464" s="1186">
        <v>6.5200000000000005</v>
      </c>
      <c r="Q1464" s="1186">
        <v>5.71</v>
      </c>
      <c r="R1464" s="1186">
        <v>1.4831168831168831</v>
      </c>
      <c r="S1464" s="1186">
        <v>7.1</v>
      </c>
      <c r="T1464" s="1186">
        <v>2.806324110671937</v>
      </c>
      <c r="U1464" s="1186">
        <v>10.08</v>
      </c>
      <c r="V1464" s="1186">
        <v>3.4758620689655175</v>
      </c>
      <c r="W1464" s="1186"/>
      <c r="X1464" s="1186"/>
      <c r="Y1464" s="1186"/>
      <c r="Z1464" s="1186"/>
      <c r="AA1464" s="1186"/>
      <c r="AB1464" s="1186"/>
      <c r="AC1464" s="1186"/>
      <c r="AD1464" s="1187"/>
    </row>
    <row r="1465" spans="1:30" x14ac:dyDescent="0.2">
      <c r="A1465">
        <f t="shared" si="56"/>
        <v>39</v>
      </c>
      <c r="B1465">
        <v>1456</v>
      </c>
      <c r="C1465" s="1078">
        <v>2</v>
      </c>
      <c r="D1465" s="1077" t="s">
        <v>4919</v>
      </c>
      <c r="E1465" s="1077" t="s">
        <v>4928</v>
      </c>
      <c r="F1465" s="1185">
        <v>4</v>
      </c>
      <c r="G1465" s="1186">
        <v>10.494</v>
      </c>
      <c r="H1465" s="1186">
        <v>2.2175732217573216</v>
      </c>
      <c r="I1465" s="1186">
        <v>12</v>
      </c>
      <c r="J1465" s="1186">
        <v>2.5477707006369426</v>
      </c>
      <c r="K1465" s="1186">
        <v>10.8</v>
      </c>
      <c r="L1465" s="1186">
        <v>3.2727272727272729</v>
      </c>
      <c r="M1465" s="1186">
        <v>12</v>
      </c>
      <c r="N1465" s="1186">
        <v>4.5283018867924527</v>
      </c>
      <c r="O1465" s="1186">
        <v>17.399999999999999</v>
      </c>
      <c r="P1465" s="1186">
        <v>6.8235294117647056</v>
      </c>
      <c r="Q1465" s="1186">
        <v>9.8699999999999992</v>
      </c>
      <c r="R1465" s="1186">
        <v>1.5022831050228309</v>
      </c>
      <c r="S1465" s="1186">
        <v>11.3</v>
      </c>
      <c r="T1465" s="1186">
        <v>3.0294906166219842</v>
      </c>
      <c r="U1465" s="1186">
        <v>15.075000000000001</v>
      </c>
      <c r="V1465" s="1186">
        <v>4.0200000000000005</v>
      </c>
      <c r="W1465" s="1186"/>
      <c r="X1465" s="1186"/>
      <c r="Y1465" s="1186"/>
      <c r="Z1465" s="1186"/>
      <c r="AA1465" s="1186"/>
      <c r="AB1465" s="1186"/>
      <c r="AC1465" s="1186"/>
      <c r="AD1465" s="1187"/>
    </row>
    <row r="1466" spans="1:30" x14ac:dyDescent="0.2">
      <c r="A1466">
        <f t="shared" si="56"/>
        <v>39</v>
      </c>
      <c r="B1466">
        <v>1457</v>
      </c>
      <c r="C1466" s="1078">
        <v>2</v>
      </c>
      <c r="D1466" s="1077" t="s">
        <v>4919</v>
      </c>
      <c r="E1466" s="1077" t="s">
        <v>4929</v>
      </c>
      <c r="F1466" s="1185">
        <v>4</v>
      </c>
      <c r="G1466" s="1186">
        <v>12.87</v>
      </c>
      <c r="H1466" s="1186">
        <v>2.1666666666666665</v>
      </c>
      <c r="I1466" s="1186">
        <v>14.6</v>
      </c>
      <c r="J1466" s="1186">
        <v>2.4333333333333331</v>
      </c>
      <c r="K1466" s="1186">
        <v>13.2</v>
      </c>
      <c r="L1466" s="1186">
        <v>2.9999999999999996</v>
      </c>
      <c r="M1466" s="1186">
        <v>16</v>
      </c>
      <c r="N1466" s="1186">
        <v>4.4198895027624312</v>
      </c>
      <c r="O1466" s="1186">
        <v>22</v>
      </c>
      <c r="P1466" s="1186">
        <v>5.7742782152230969</v>
      </c>
      <c r="Q1466" s="1186">
        <v>12.86</v>
      </c>
      <c r="R1466" s="1186">
        <v>1.6593548387096773</v>
      </c>
      <c r="S1466" s="1186">
        <v>15</v>
      </c>
      <c r="T1466" s="1186">
        <v>2.8957528957528957</v>
      </c>
      <c r="U1466" s="1186">
        <v>19.332000000000001</v>
      </c>
      <c r="V1466" s="1186">
        <v>3.2975692963752663</v>
      </c>
      <c r="W1466" s="1186"/>
      <c r="X1466" s="1186"/>
      <c r="Y1466" s="1186"/>
      <c r="Z1466" s="1186"/>
      <c r="AA1466" s="1186"/>
      <c r="AB1466" s="1186"/>
      <c r="AC1466" s="1186"/>
      <c r="AD1466" s="1187"/>
    </row>
    <row r="1467" spans="1:30" x14ac:dyDescent="0.2">
      <c r="A1467">
        <f t="shared" si="56"/>
        <v>39</v>
      </c>
      <c r="B1467">
        <v>1458</v>
      </c>
      <c r="C1467" s="1078">
        <v>2</v>
      </c>
      <c r="D1467" s="1077" t="s">
        <v>4919</v>
      </c>
      <c r="E1467" s="1077" t="s">
        <v>4930</v>
      </c>
      <c r="F1467" s="1185">
        <v>4</v>
      </c>
      <c r="G1467" s="1186">
        <v>4.2569999999999997</v>
      </c>
      <c r="H1467" s="1186">
        <v>2.3243243243243241</v>
      </c>
      <c r="I1467" s="1186">
        <v>5.0999999999999996</v>
      </c>
      <c r="J1467" s="1186">
        <v>2.7127659574468086</v>
      </c>
      <c r="K1467" s="1186">
        <v>4.8</v>
      </c>
      <c r="L1467" s="1186">
        <v>3.3103448275862069</v>
      </c>
      <c r="M1467" s="1186">
        <v>5</v>
      </c>
      <c r="N1467" s="1186">
        <v>4.8543689320388346</v>
      </c>
      <c r="O1467" s="1186">
        <v>7</v>
      </c>
      <c r="P1467" s="1186">
        <v>6.5420560747663545</v>
      </c>
      <c r="Q1467" s="1186">
        <v>4.67</v>
      </c>
      <c r="R1467" s="1186">
        <v>1.6738351254480286</v>
      </c>
      <c r="S1467" s="1186">
        <v>4.3</v>
      </c>
      <c r="T1467" s="1186">
        <v>2.8289473684210527</v>
      </c>
      <c r="U1467" s="1186">
        <v>6.2460000000000004</v>
      </c>
      <c r="V1467" s="1186">
        <v>3.7013333333333338</v>
      </c>
      <c r="W1467" s="1186"/>
      <c r="X1467" s="1186"/>
      <c r="Y1467" s="1186"/>
      <c r="Z1467" s="1186"/>
      <c r="AA1467" s="1186"/>
      <c r="AB1467" s="1186"/>
      <c r="AC1467" s="1186"/>
      <c r="AD1467" s="1187"/>
    </row>
    <row r="1468" spans="1:30" x14ac:dyDescent="0.2">
      <c r="A1468">
        <f t="shared" si="56"/>
        <v>39</v>
      </c>
      <c r="B1468">
        <v>1459</v>
      </c>
      <c r="C1468" s="1078">
        <v>2</v>
      </c>
      <c r="D1468" s="1077" t="s">
        <v>4919</v>
      </c>
      <c r="E1468" s="1077" t="s">
        <v>4931</v>
      </c>
      <c r="F1468" s="1185">
        <v>4</v>
      </c>
      <c r="G1468" s="1186">
        <v>6.2468999999999992</v>
      </c>
      <c r="H1468" s="1186">
        <v>2.294545454545454</v>
      </c>
      <c r="I1468" s="1186">
        <v>7.35</v>
      </c>
      <c r="J1468" s="1186">
        <v>2.4337748344370858</v>
      </c>
      <c r="K1468" s="1186">
        <v>7</v>
      </c>
      <c r="L1468" s="1186">
        <v>2.978723404255319</v>
      </c>
      <c r="M1468" s="1186">
        <v>8</v>
      </c>
      <c r="N1468" s="1186">
        <v>4.5197740112994351</v>
      </c>
      <c r="O1468" s="1186">
        <v>11.41</v>
      </c>
      <c r="P1468" s="1186">
        <v>6.5200000000000005</v>
      </c>
      <c r="Q1468" s="1186">
        <v>5.71</v>
      </c>
      <c r="R1468" s="1186">
        <v>1.4831168831168831</v>
      </c>
      <c r="S1468" s="1186">
        <v>7.1</v>
      </c>
      <c r="T1468" s="1186">
        <v>2.806324110671937</v>
      </c>
      <c r="U1468" s="1186">
        <v>10.08</v>
      </c>
      <c r="V1468" s="1186">
        <v>3.4758620689655175</v>
      </c>
      <c r="W1468" s="1186"/>
      <c r="X1468" s="1186"/>
      <c r="Y1468" s="1186"/>
      <c r="Z1468" s="1186"/>
      <c r="AA1468" s="1186"/>
      <c r="AB1468" s="1186"/>
      <c r="AC1468" s="1186"/>
      <c r="AD1468" s="1187"/>
    </row>
    <row r="1469" spans="1:30" x14ac:dyDescent="0.2">
      <c r="A1469">
        <f t="shared" si="56"/>
        <v>39</v>
      </c>
      <c r="B1469">
        <v>1460</v>
      </c>
      <c r="C1469" s="1078">
        <v>2</v>
      </c>
      <c r="D1469" s="1077" t="s">
        <v>4919</v>
      </c>
      <c r="E1469" s="1077" t="s">
        <v>4932</v>
      </c>
      <c r="F1469" s="1185">
        <v>4</v>
      </c>
      <c r="G1469" s="1186">
        <v>10.494</v>
      </c>
      <c r="H1469" s="1186">
        <v>2.2175732217573216</v>
      </c>
      <c r="I1469" s="1186">
        <v>12</v>
      </c>
      <c r="J1469" s="1186">
        <v>2.5477707006369426</v>
      </c>
      <c r="K1469" s="1186">
        <v>10.8</v>
      </c>
      <c r="L1469" s="1186">
        <v>3.2727272727272729</v>
      </c>
      <c r="M1469" s="1186">
        <v>12</v>
      </c>
      <c r="N1469" s="1186">
        <v>4.5283018867924527</v>
      </c>
      <c r="O1469" s="1186">
        <v>17.399999999999999</v>
      </c>
      <c r="P1469" s="1186">
        <v>6.8235294117647056</v>
      </c>
      <c r="Q1469" s="1186">
        <v>9.8699999999999992</v>
      </c>
      <c r="R1469" s="1186">
        <v>1.5022831050228309</v>
      </c>
      <c r="S1469" s="1186">
        <v>11.3</v>
      </c>
      <c r="T1469" s="1186">
        <v>3.0294906166219842</v>
      </c>
      <c r="U1469" s="1186">
        <v>15.075000000000001</v>
      </c>
      <c r="V1469" s="1186">
        <v>4.0200000000000005</v>
      </c>
      <c r="W1469" s="1186"/>
      <c r="X1469" s="1186"/>
      <c r="Y1469" s="1186"/>
      <c r="Z1469" s="1186"/>
      <c r="AA1469" s="1186"/>
      <c r="AB1469" s="1186"/>
      <c r="AC1469" s="1186"/>
      <c r="AD1469" s="1187"/>
    </row>
    <row r="1470" spans="1:30" x14ac:dyDescent="0.2">
      <c r="A1470">
        <f t="shared" si="56"/>
        <v>39</v>
      </c>
      <c r="B1470">
        <v>1461</v>
      </c>
      <c r="C1470" s="1078">
        <v>2</v>
      </c>
      <c r="D1470" s="1077" t="s">
        <v>4919</v>
      </c>
      <c r="E1470" s="1077" t="s">
        <v>4933</v>
      </c>
      <c r="F1470" s="1185">
        <v>4</v>
      </c>
      <c r="G1470" s="1186">
        <v>12.87</v>
      </c>
      <c r="H1470" s="1186">
        <v>2.1666666666666665</v>
      </c>
      <c r="I1470" s="1186">
        <v>14.6</v>
      </c>
      <c r="J1470" s="1186">
        <v>2.4333333333333331</v>
      </c>
      <c r="K1470" s="1186">
        <v>13.2</v>
      </c>
      <c r="L1470" s="1186">
        <v>2.9999999999999996</v>
      </c>
      <c r="M1470" s="1186">
        <v>16</v>
      </c>
      <c r="N1470" s="1186">
        <v>4.4198895027624312</v>
      </c>
      <c r="O1470" s="1186">
        <v>22</v>
      </c>
      <c r="P1470" s="1186">
        <v>5.7742782152230969</v>
      </c>
      <c r="Q1470" s="1186">
        <v>12.86</v>
      </c>
      <c r="R1470" s="1186">
        <v>1.6593548387096773</v>
      </c>
      <c r="S1470" s="1186">
        <v>15</v>
      </c>
      <c r="T1470" s="1186">
        <v>2.8957528957528957</v>
      </c>
      <c r="U1470" s="1186">
        <v>19.332000000000001</v>
      </c>
      <c r="V1470" s="1186">
        <v>3.2975692963752663</v>
      </c>
      <c r="W1470" s="1186"/>
      <c r="X1470" s="1186"/>
      <c r="Y1470" s="1186"/>
      <c r="Z1470" s="1186"/>
      <c r="AA1470" s="1186"/>
      <c r="AB1470" s="1186"/>
      <c r="AC1470" s="1186"/>
      <c r="AD1470" s="1187"/>
    </row>
    <row r="1471" spans="1:30" x14ac:dyDescent="0.2">
      <c r="A1471">
        <f t="shared" si="56"/>
        <v>39</v>
      </c>
      <c r="B1471">
        <v>1462</v>
      </c>
      <c r="C1471" s="1078">
        <v>2</v>
      </c>
      <c r="D1471" s="1077" t="s">
        <v>4919</v>
      </c>
      <c r="E1471" s="1077" t="s">
        <v>4934</v>
      </c>
      <c r="F1471" s="1185">
        <v>4</v>
      </c>
      <c r="G1471" s="1186">
        <v>6.2468999999999992</v>
      </c>
      <c r="H1471" s="1186">
        <v>2.294545454545454</v>
      </c>
      <c r="I1471" s="1186">
        <v>7.35</v>
      </c>
      <c r="J1471" s="1186">
        <v>2.4337748344370858</v>
      </c>
      <c r="K1471" s="1186">
        <v>7</v>
      </c>
      <c r="L1471" s="1186">
        <v>2.978723404255319</v>
      </c>
      <c r="M1471" s="1186">
        <v>8</v>
      </c>
      <c r="N1471" s="1186">
        <v>4.5197740112994351</v>
      </c>
      <c r="O1471" s="1186">
        <v>11.41</v>
      </c>
      <c r="P1471" s="1186">
        <v>6.5200000000000005</v>
      </c>
      <c r="Q1471" s="1186">
        <v>5.71</v>
      </c>
      <c r="R1471" s="1186">
        <v>1.4831168831168831</v>
      </c>
      <c r="S1471" s="1186">
        <v>7.1</v>
      </c>
      <c r="T1471" s="1186">
        <v>2.806324110671937</v>
      </c>
      <c r="U1471" s="1186">
        <v>10.08</v>
      </c>
      <c r="V1471" s="1186">
        <v>3.4758620689655175</v>
      </c>
      <c r="W1471" s="1186"/>
      <c r="X1471" s="1186"/>
      <c r="Y1471" s="1186"/>
      <c r="Z1471" s="1186"/>
      <c r="AA1471" s="1186"/>
      <c r="AB1471" s="1186"/>
      <c r="AC1471" s="1186"/>
      <c r="AD1471" s="1187"/>
    </row>
    <row r="1472" spans="1:30" x14ac:dyDescent="0.2">
      <c r="A1472">
        <f t="shared" si="56"/>
        <v>39</v>
      </c>
      <c r="B1472">
        <v>1463</v>
      </c>
      <c r="C1472" s="1078">
        <v>2</v>
      </c>
      <c r="D1472" s="1077" t="s">
        <v>4919</v>
      </c>
      <c r="E1472" s="1077" t="s">
        <v>4935</v>
      </c>
      <c r="F1472" s="1185">
        <v>4</v>
      </c>
      <c r="G1472" s="1186">
        <v>10.494</v>
      </c>
      <c r="H1472" s="1186">
        <v>2.2175732217573216</v>
      </c>
      <c r="I1472" s="1186">
        <v>12</v>
      </c>
      <c r="J1472" s="1186">
        <v>2.5477707006369426</v>
      </c>
      <c r="K1472" s="1186">
        <v>10.8</v>
      </c>
      <c r="L1472" s="1186">
        <v>3.2727272727272729</v>
      </c>
      <c r="M1472" s="1186">
        <v>12</v>
      </c>
      <c r="N1472" s="1186">
        <v>4.5283018867924527</v>
      </c>
      <c r="O1472" s="1186">
        <v>17.399999999999999</v>
      </c>
      <c r="P1472" s="1186">
        <v>6.8235294117647056</v>
      </c>
      <c r="Q1472" s="1186">
        <v>9.8699999999999992</v>
      </c>
      <c r="R1472" s="1186">
        <v>1.5022831050228309</v>
      </c>
      <c r="S1472" s="1186">
        <v>11.3</v>
      </c>
      <c r="T1472" s="1186">
        <v>3.0294906166219842</v>
      </c>
      <c r="U1472" s="1186">
        <v>15.075000000000001</v>
      </c>
      <c r="V1472" s="1186">
        <v>4.0200000000000005</v>
      </c>
      <c r="W1472" s="1186"/>
      <c r="X1472" s="1186"/>
      <c r="Y1472" s="1186"/>
      <c r="Z1472" s="1186"/>
      <c r="AA1472" s="1186"/>
      <c r="AB1472" s="1186"/>
      <c r="AC1472" s="1186"/>
      <c r="AD1472" s="1187"/>
    </row>
    <row r="1473" spans="1:30" x14ac:dyDescent="0.2">
      <c r="A1473">
        <f t="shared" si="56"/>
        <v>39</v>
      </c>
      <c r="B1473">
        <v>1464</v>
      </c>
      <c r="C1473" s="1078">
        <v>2</v>
      </c>
      <c r="D1473" s="1077" t="s">
        <v>4919</v>
      </c>
      <c r="E1473" s="1077" t="s">
        <v>4936</v>
      </c>
      <c r="F1473" s="1185">
        <v>4</v>
      </c>
      <c r="G1473" s="1186">
        <v>12.87</v>
      </c>
      <c r="H1473" s="1186">
        <v>2.1666666666666665</v>
      </c>
      <c r="I1473" s="1186">
        <v>14.6</v>
      </c>
      <c r="J1473" s="1186">
        <v>2.4333333333333331</v>
      </c>
      <c r="K1473" s="1186">
        <v>13.2</v>
      </c>
      <c r="L1473" s="1186">
        <v>2.9999999999999996</v>
      </c>
      <c r="M1473" s="1186">
        <v>16</v>
      </c>
      <c r="N1473" s="1186">
        <v>4.4198895027624312</v>
      </c>
      <c r="O1473" s="1186">
        <v>22</v>
      </c>
      <c r="P1473" s="1186">
        <v>5.7742782152230969</v>
      </c>
      <c r="Q1473" s="1186">
        <v>12.86</v>
      </c>
      <c r="R1473" s="1186">
        <v>1.6593548387096773</v>
      </c>
      <c r="S1473" s="1186">
        <v>15</v>
      </c>
      <c r="T1473" s="1186">
        <v>2.8957528957528957</v>
      </c>
      <c r="U1473" s="1186">
        <v>19.332000000000001</v>
      </c>
      <c r="V1473" s="1186">
        <v>3.2975692963752663</v>
      </c>
      <c r="W1473" s="1186"/>
      <c r="X1473" s="1186"/>
      <c r="Y1473" s="1186"/>
      <c r="Z1473" s="1186"/>
      <c r="AA1473" s="1186"/>
      <c r="AB1473" s="1186"/>
      <c r="AC1473" s="1186"/>
      <c r="AD1473" s="1187"/>
    </row>
    <row r="1474" spans="1:30" x14ac:dyDescent="0.2">
      <c r="A1474">
        <f t="shared" si="56"/>
        <v>39</v>
      </c>
      <c r="B1474">
        <v>1465</v>
      </c>
      <c r="C1474" s="1078">
        <v>2</v>
      </c>
      <c r="D1474" s="1077" t="s">
        <v>4919</v>
      </c>
      <c r="E1474" s="1077" t="s">
        <v>4937</v>
      </c>
      <c r="F1474" s="1185">
        <v>4</v>
      </c>
      <c r="G1474" s="1186">
        <v>3.96</v>
      </c>
      <c r="H1474" s="1186">
        <v>2.5714285714285712</v>
      </c>
      <c r="I1474" s="1186">
        <v>4.5999999999999996</v>
      </c>
      <c r="J1474" s="1186">
        <v>2.9677419354838706</v>
      </c>
      <c r="K1474" s="1186">
        <v>4.2</v>
      </c>
      <c r="L1474" s="1186">
        <v>3.8181818181818179</v>
      </c>
      <c r="M1474" s="1186">
        <v>4.4000000000000004</v>
      </c>
      <c r="N1474" s="1186">
        <v>5.2009456264775418</v>
      </c>
      <c r="O1474" s="1186">
        <v>6.160000000000001</v>
      </c>
      <c r="P1474" s="1186">
        <v>7.0165484633569752</v>
      </c>
      <c r="Q1474" s="1186">
        <v>4.0507462686567166</v>
      </c>
      <c r="R1474" s="1186">
        <v>1.9271489818845207</v>
      </c>
      <c r="S1474" s="1186">
        <v>3.9</v>
      </c>
      <c r="T1474" s="1186">
        <v>2.9545454545454541</v>
      </c>
      <c r="U1474" s="1186">
        <v>5.3856000000000011</v>
      </c>
      <c r="V1474" s="1186">
        <v>3.8559513677811559</v>
      </c>
      <c r="W1474" s="1186"/>
      <c r="X1474" s="1186"/>
      <c r="Y1474" s="1186"/>
      <c r="Z1474" s="1186"/>
      <c r="AA1474" s="1186"/>
      <c r="AB1474" s="1186"/>
      <c r="AC1474" s="1186"/>
      <c r="AD1474" s="1187"/>
    </row>
    <row r="1475" spans="1:30" x14ac:dyDescent="0.2">
      <c r="A1475">
        <f t="shared" si="56"/>
        <v>39</v>
      </c>
      <c r="B1475">
        <v>1466</v>
      </c>
      <c r="C1475" s="1078">
        <v>2</v>
      </c>
      <c r="D1475" s="1077" t="s">
        <v>4919</v>
      </c>
      <c r="E1475" s="1077" t="s">
        <v>4938</v>
      </c>
      <c r="F1475" s="1185">
        <v>4</v>
      </c>
      <c r="G1475" s="1186">
        <v>3.96</v>
      </c>
      <c r="H1475" s="1186">
        <v>2.5714285714285712</v>
      </c>
      <c r="I1475" s="1186">
        <v>4.5999999999999996</v>
      </c>
      <c r="J1475" s="1186">
        <v>2.9677419354838706</v>
      </c>
      <c r="K1475" s="1186">
        <v>4.2</v>
      </c>
      <c r="L1475" s="1186">
        <v>3.8181818181818179</v>
      </c>
      <c r="M1475" s="1186">
        <v>4.4000000000000004</v>
      </c>
      <c r="N1475" s="1186">
        <v>5.2009456264775418</v>
      </c>
      <c r="O1475" s="1186">
        <v>6.160000000000001</v>
      </c>
      <c r="P1475" s="1186">
        <v>7.0165484633569752</v>
      </c>
      <c r="Q1475" s="1186">
        <v>4.0507462686567166</v>
      </c>
      <c r="R1475" s="1186">
        <v>1.9271489818845207</v>
      </c>
      <c r="S1475" s="1186">
        <v>3.9</v>
      </c>
      <c r="T1475" s="1186">
        <v>2.9545454545454541</v>
      </c>
      <c r="U1475" s="1186">
        <v>5.3856000000000011</v>
      </c>
      <c r="V1475" s="1186">
        <v>3.8559513677811559</v>
      </c>
      <c r="W1475" s="1186"/>
      <c r="X1475" s="1186"/>
      <c r="Y1475" s="1186"/>
      <c r="Z1475" s="1186"/>
      <c r="AA1475" s="1186"/>
      <c r="AB1475" s="1186"/>
      <c r="AC1475" s="1186"/>
      <c r="AD1475" s="1187"/>
    </row>
    <row r="1476" spans="1:30" x14ac:dyDescent="0.2">
      <c r="A1476">
        <f t="shared" si="56"/>
        <v>39</v>
      </c>
      <c r="B1476">
        <v>1467</v>
      </c>
      <c r="C1476" s="1078">
        <v>2</v>
      </c>
      <c r="D1476" s="1077" t="s">
        <v>4919</v>
      </c>
      <c r="E1476" s="1077" t="s">
        <v>4939</v>
      </c>
      <c r="F1476" s="1185">
        <v>4</v>
      </c>
      <c r="G1476" s="1186">
        <v>4.95</v>
      </c>
      <c r="H1476" s="1186">
        <v>2.38</v>
      </c>
      <c r="I1476" s="1186">
        <v>5.5</v>
      </c>
      <c r="J1476" s="1186">
        <v>2.75</v>
      </c>
      <c r="K1476" s="1186">
        <v>5.2</v>
      </c>
      <c r="L1476" s="1186">
        <v>3.5135135135135136</v>
      </c>
      <c r="M1476" s="1186">
        <v>6</v>
      </c>
      <c r="N1476" s="1186">
        <v>4.918032786885246</v>
      </c>
      <c r="O1476" s="1186">
        <v>8.4</v>
      </c>
      <c r="P1476" s="1186">
        <v>6.6348733233979136</v>
      </c>
      <c r="Q1476" s="1186">
        <v>4.8432835820895521</v>
      </c>
      <c r="R1476" s="1186">
        <v>1.7045842217484006</v>
      </c>
      <c r="S1476" s="1186">
        <v>4.8</v>
      </c>
      <c r="T1476" s="1186">
        <v>2.6519337016574585</v>
      </c>
      <c r="U1476" s="1186">
        <v>7.3440000000000003</v>
      </c>
      <c r="V1476" s="1186">
        <v>3.6462014051522251</v>
      </c>
      <c r="W1476" s="1186"/>
      <c r="X1476" s="1186"/>
      <c r="Y1476" s="1186"/>
      <c r="Z1476" s="1186"/>
      <c r="AA1476" s="1186"/>
      <c r="AB1476" s="1186"/>
      <c r="AC1476" s="1186"/>
      <c r="AD1476" s="1187"/>
    </row>
    <row r="1477" spans="1:30" x14ac:dyDescent="0.2">
      <c r="A1477">
        <f t="shared" si="56"/>
        <v>39</v>
      </c>
      <c r="B1477">
        <v>1468</v>
      </c>
      <c r="C1477" s="1078">
        <v>2</v>
      </c>
      <c r="D1477" s="1077" t="s">
        <v>4919</v>
      </c>
      <c r="E1477" s="1077" t="s">
        <v>4940</v>
      </c>
      <c r="F1477" s="1185">
        <v>4</v>
      </c>
      <c r="G1477" s="1186">
        <v>4.95</v>
      </c>
      <c r="H1477" s="1186">
        <v>2.38</v>
      </c>
      <c r="I1477" s="1186">
        <v>5.5</v>
      </c>
      <c r="J1477" s="1186">
        <v>2.75</v>
      </c>
      <c r="K1477" s="1186">
        <v>5.2</v>
      </c>
      <c r="L1477" s="1186">
        <v>3.5135135135135136</v>
      </c>
      <c r="M1477" s="1186">
        <v>6</v>
      </c>
      <c r="N1477" s="1186">
        <v>4.918032786885246</v>
      </c>
      <c r="O1477" s="1186">
        <v>8.4</v>
      </c>
      <c r="P1477" s="1186">
        <v>6.6348733233979136</v>
      </c>
      <c r="Q1477" s="1186">
        <v>4.8432835820895521</v>
      </c>
      <c r="R1477" s="1186">
        <v>1.7045842217484006</v>
      </c>
      <c r="S1477" s="1186">
        <v>4.8</v>
      </c>
      <c r="T1477" s="1186">
        <v>2.6519337016574585</v>
      </c>
      <c r="U1477" s="1186">
        <v>7.3440000000000003</v>
      </c>
      <c r="V1477" s="1186">
        <v>3.6462014051522251</v>
      </c>
      <c r="W1477" s="1186"/>
      <c r="X1477" s="1186"/>
      <c r="Y1477" s="1186"/>
      <c r="Z1477" s="1186"/>
      <c r="AA1477" s="1186"/>
      <c r="AB1477" s="1186"/>
      <c r="AC1477" s="1186"/>
      <c r="AD1477" s="1187"/>
    </row>
    <row r="1478" spans="1:30" x14ac:dyDescent="0.2">
      <c r="A1478">
        <f t="shared" si="56"/>
        <v>39</v>
      </c>
      <c r="B1478">
        <v>1469</v>
      </c>
      <c r="C1478" s="1078">
        <v>2</v>
      </c>
      <c r="D1478" s="1077" t="s">
        <v>4919</v>
      </c>
      <c r="E1478" s="1077" t="s">
        <v>4941</v>
      </c>
      <c r="F1478" s="1185">
        <v>4</v>
      </c>
      <c r="G1478" s="1186">
        <v>7.2764999999999995</v>
      </c>
      <c r="H1478" s="1186">
        <v>2.5099999999999998</v>
      </c>
      <c r="I1478" s="1186">
        <v>7.9</v>
      </c>
      <c r="J1478" s="1186">
        <v>2.7241379310344831</v>
      </c>
      <c r="K1478" s="1186">
        <v>7.7</v>
      </c>
      <c r="L1478" s="1186">
        <v>3.4070796460176993</v>
      </c>
      <c r="M1478" s="1186">
        <v>9</v>
      </c>
      <c r="N1478" s="1186">
        <v>4.8128342245989302</v>
      </c>
      <c r="O1478" s="1186">
        <v>12.6</v>
      </c>
      <c r="P1478" s="1186">
        <v>6.4929508993680107</v>
      </c>
      <c r="Q1478" s="1186">
        <v>6.9567164179104486</v>
      </c>
      <c r="R1478" s="1186">
        <v>1.6885536491300774</v>
      </c>
      <c r="S1478" s="1186">
        <v>8</v>
      </c>
      <c r="T1478" s="1186">
        <v>2.9304029304029302</v>
      </c>
      <c r="U1478" s="1186">
        <v>11.015999999999998</v>
      </c>
      <c r="V1478" s="1186">
        <v>3.5682077922077915</v>
      </c>
      <c r="W1478" s="1186"/>
      <c r="X1478" s="1186"/>
      <c r="Y1478" s="1186"/>
      <c r="Z1478" s="1186"/>
      <c r="AA1478" s="1186"/>
      <c r="AB1478" s="1186"/>
      <c r="AC1478" s="1186"/>
      <c r="AD1478" s="1187"/>
    </row>
    <row r="1479" spans="1:30" x14ac:dyDescent="0.2">
      <c r="A1479">
        <f t="shared" si="56"/>
        <v>39</v>
      </c>
      <c r="B1479">
        <v>1470</v>
      </c>
      <c r="C1479" s="1078">
        <v>2</v>
      </c>
      <c r="D1479" s="1077" t="s">
        <v>4919</v>
      </c>
      <c r="E1479" s="1077" t="s">
        <v>4942</v>
      </c>
      <c r="F1479" s="1185">
        <v>4</v>
      </c>
      <c r="G1479" s="1186">
        <v>7.2764999999999995</v>
      </c>
      <c r="H1479" s="1186">
        <v>2.5099999999999998</v>
      </c>
      <c r="I1479" s="1186">
        <v>7.9</v>
      </c>
      <c r="J1479" s="1186">
        <v>2.7241379310344831</v>
      </c>
      <c r="K1479" s="1186">
        <v>7.7</v>
      </c>
      <c r="L1479" s="1186">
        <v>3.4070796460176993</v>
      </c>
      <c r="M1479" s="1186">
        <v>9</v>
      </c>
      <c r="N1479" s="1186">
        <v>4.8128342245989302</v>
      </c>
      <c r="O1479" s="1186">
        <v>12.6</v>
      </c>
      <c r="P1479" s="1186">
        <v>6.4929508993680107</v>
      </c>
      <c r="Q1479" s="1186">
        <v>6.9567164179104486</v>
      </c>
      <c r="R1479" s="1186">
        <v>1.6885536491300774</v>
      </c>
      <c r="S1479" s="1186">
        <v>8</v>
      </c>
      <c r="T1479" s="1186">
        <v>2.9304029304029302</v>
      </c>
      <c r="U1479" s="1186">
        <v>11.015999999999998</v>
      </c>
      <c r="V1479" s="1186">
        <v>3.5682077922077915</v>
      </c>
      <c r="W1479" s="1186"/>
      <c r="X1479" s="1186"/>
      <c r="Y1479" s="1186"/>
      <c r="Z1479" s="1186"/>
      <c r="AA1479" s="1186"/>
      <c r="AB1479" s="1186"/>
      <c r="AC1479" s="1186"/>
      <c r="AD1479" s="1187"/>
    </row>
    <row r="1480" spans="1:30" x14ac:dyDescent="0.2">
      <c r="A1480">
        <f t="shared" si="56"/>
        <v>39</v>
      </c>
      <c r="B1480">
        <v>1471</v>
      </c>
      <c r="C1480" s="1078">
        <v>2</v>
      </c>
      <c r="D1480" s="1077" t="s">
        <v>4919</v>
      </c>
      <c r="E1480" s="1077" t="s">
        <v>4943</v>
      </c>
      <c r="F1480" s="1185">
        <v>4</v>
      </c>
      <c r="G1480" s="1186">
        <v>7.2764999999999995</v>
      </c>
      <c r="H1480" s="1186">
        <v>2.5099999999999998</v>
      </c>
      <c r="I1480" s="1186">
        <v>7.9</v>
      </c>
      <c r="J1480" s="1186">
        <v>2.7241379310344831</v>
      </c>
      <c r="K1480" s="1186">
        <v>7.7</v>
      </c>
      <c r="L1480" s="1186">
        <v>3.4070796460176993</v>
      </c>
      <c r="M1480" s="1186">
        <v>9</v>
      </c>
      <c r="N1480" s="1186">
        <v>4.8128342245989302</v>
      </c>
      <c r="O1480" s="1186">
        <v>12.6</v>
      </c>
      <c r="P1480" s="1186">
        <v>6.4929508993680107</v>
      </c>
      <c r="Q1480" s="1186">
        <v>6.9567164179104486</v>
      </c>
      <c r="R1480" s="1186">
        <v>1.6885536491300774</v>
      </c>
      <c r="S1480" s="1186">
        <v>8</v>
      </c>
      <c r="T1480" s="1186">
        <v>2.9304029304029302</v>
      </c>
      <c r="U1480" s="1186">
        <v>11.015999999999998</v>
      </c>
      <c r="V1480" s="1186">
        <v>3.5682077922077915</v>
      </c>
      <c r="W1480" s="1186"/>
      <c r="X1480" s="1186"/>
      <c r="Y1480" s="1186"/>
      <c r="Z1480" s="1186"/>
      <c r="AA1480" s="1186"/>
      <c r="AB1480" s="1186"/>
      <c r="AC1480" s="1186"/>
      <c r="AD1480" s="1187"/>
    </row>
    <row r="1481" spans="1:30" x14ac:dyDescent="0.2">
      <c r="A1481">
        <f t="shared" si="56"/>
        <v>39</v>
      </c>
      <c r="B1481">
        <v>1472</v>
      </c>
      <c r="C1481" s="1078">
        <v>2</v>
      </c>
      <c r="D1481" s="1077" t="s">
        <v>4919</v>
      </c>
      <c r="E1481" s="1077" t="s">
        <v>4944</v>
      </c>
      <c r="F1481" s="1185">
        <v>4</v>
      </c>
      <c r="G1481" s="1186">
        <v>3.96</v>
      </c>
      <c r="H1481" s="1186">
        <v>2.5714285714285712</v>
      </c>
      <c r="I1481" s="1186">
        <v>4.5999999999999996</v>
      </c>
      <c r="J1481" s="1186">
        <v>2.9677419354838706</v>
      </c>
      <c r="K1481" s="1186">
        <v>4.2</v>
      </c>
      <c r="L1481" s="1186">
        <v>3.8181818181818179</v>
      </c>
      <c r="M1481" s="1186">
        <v>4.4000000000000004</v>
      </c>
      <c r="N1481" s="1186">
        <v>5.2009456264775418</v>
      </c>
      <c r="O1481" s="1186">
        <v>6.160000000000001</v>
      </c>
      <c r="P1481" s="1186">
        <v>7.0165484633569752</v>
      </c>
      <c r="Q1481" s="1186">
        <v>4.0507462686567166</v>
      </c>
      <c r="R1481" s="1186">
        <v>1.9271489818845207</v>
      </c>
      <c r="S1481" s="1186">
        <v>3.9</v>
      </c>
      <c r="T1481" s="1186">
        <v>2.9545454545454541</v>
      </c>
      <c r="U1481" s="1186">
        <v>5.3856000000000011</v>
      </c>
      <c r="V1481" s="1186">
        <v>3.8559513677811559</v>
      </c>
      <c r="W1481" s="1186"/>
      <c r="X1481" s="1186"/>
      <c r="Y1481" s="1186"/>
      <c r="Z1481" s="1186"/>
      <c r="AA1481" s="1186"/>
      <c r="AB1481" s="1186"/>
      <c r="AC1481" s="1186"/>
      <c r="AD1481" s="1187"/>
    </row>
    <row r="1482" spans="1:30" x14ac:dyDescent="0.2">
      <c r="A1482">
        <f t="shared" si="56"/>
        <v>39</v>
      </c>
      <c r="B1482">
        <v>1473</v>
      </c>
      <c r="C1482" s="1078">
        <v>2</v>
      </c>
      <c r="D1482" s="1077" t="s">
        <v>4919</v>
      </c>
      <c r="E1482" s="1077" t="s">
        <v>4945</v>
      </c>
      <c r="F1482" s="1185">
        <v>4</v>
      </c>
      <c r="G1482" s="1186">
        <v>4.95</v>
      </c>
      <c r="H1482" s="1186">
        <v>2.38</v>
      </c>
      <c r="I1482" s="1186">
        <v>5.5</v>
      </c>
      <c r="J1482" s="1186">
        <v>2.75</v>
      </c>
      <c r="K1482" s="1186">
        <v>5.2</v>
      </c>
      <c r="L1482" s="1186">
        <v>3.5135135135135136</v>
      </c>
      <c r="M1482" s="1186">
        <v>6</v>
      </c>
      <c r="N1482" s="1186">
        <v>4.918032786885246</v>
      </c>
      <c r="O1482" s="1186">
        <v>8.4</v>
      </c>
      <c r="P1482" s="1186">
        <v>6.6348733233979136</v>
      </c>
      <c r="Q1482" s="1186">
        <v>4.8432835820895521</v>
      </c>
      <c r="R1482" s="1186">
        <v>1.7045842217484006</v>
      </c>
      <c r="S1482" s="1186">
        <v>4.8</v>
      </c>
      <c r="T1482" s="1186">
        <v>2.6519337016574585</v>
      </c>
      <c r="U1482" s="1186">
        <v>7.3440000000000003</v>
      </c>
      <c r="V1482" s="1186">
        <v>3.6462014051522251</v>
      </c>
      <c r="W1482" s="1186"/>
      <c r="X1482" s="1186"/>
      <c r="Y1482" s="1186"/>
      <c r="Z1482" s="1186"/>
      <c r="AA1482" s="1186"/>
      <c r="AB1482" s="1186"/>
      <c r="AC1482" s="1186"/>
      <c r="AD1482" s="1187"/>
    </row>
    <row r="1483" spans="1:30" x14ac:dyDescent="0.2">
      <c r="A1483">
        <f t="shared" si="56"/>
        <v>39</v>
      </c>
      <c r="B1483">
        <v>1474</v>
      </c>
      <c r="C1483" s="1078">
        <v>2</v>
      </c>
      <c r="D1483" s="1077" t="s">
        <v>4919</v>
      </c>
      <c r="E1483" s="1077" t="s">
        <v>4946</v>
      </c>
      <c r="F1483" s="1185">
        <v>4</v>
      </c>
      <c r="G1483" s="1186">
        <v>7.2764999999999995</v>
      </c>
      <c r="H1483" s="1186">
        <v>2.5099999999999998</v>
      </c>
      <c r="I1483" s="1186">
        <v>7.9</v>
      </c>
      <c r="J1483" s="1186">
        <v>2.7241379310344831</v>
      </c>
      <c r="K1483" s="1186">
        <v>7.7</v>
      </c>
      <c r="L1483" s="1186">
        <v>3.4070796460176993</v>
      </c>
      <c r="M1483" s="1186">
        <v>9</v>
      </c>
      <c r="N1483" s="1186">
        <v>4.8128342245989302</v>
      </c>
      <c r="O1483" s="1186">
        <v>12.6</v>
      </c>
      <c r="P1483" s="1186">
        <v>6.4929508993680107</v>
      </c>
      <c r="Q1483" s="1186">
        <v>6.9567164179104486</v>
      </c>
      <c r="R1483" s="1186">
        <v>1.6885536491300774</v>
      </c>
      <c r="S1483" s="1186">
        <v>8</v>
      </c>
      <c r="T1483" s="1186">
        <v>2.9304029304029302</v>
      </c>
      <c r="U1483" s="1186">
        <v>11.015999999999998</v>
      </c>
      <c r="V1483" s="1186">
        <v>3.5682077922077915</v>
      </c>
      <c r="W1483" s="1186"/>
      <c r="X1483" s="1186"/>
      <c r="Y1483" s="1186"/>
      <c r="Z1483" s="1186"/>
      <c r="AA1483" s="1186"/>
      <c r="AB1483" s="1186"/>
      <c r="AC1483" s="1186"/>
      <c r="AD1483" s="1187"/>
    </row>
    <row r="1484" spans="1:30" x14ac:dyDescent="0.2">
      <c r="A1484">
        <f t="shared" ref="A1484:A1547" si="57">A1483+(D1484&lt;&gt;D1483)*1</f>
        <v>39</v>
      </c>
      <c r="B1484">
        <v>1475</v>
      </c>
      <c r="C1484" s="1078">
        <v>2</v>
      </c>
      <c r="D1484" s="1077" t="s">
        <v>4919</v>
      </c>
      <c r="E1484" s="1077" t="s">
        <v>4943</v>
      </c>
      <c r="F1484" s="1185">
        <v>4</v>
      </c>
      <c r="G1484" s="1186">
        <v>7.2764999999999995</v>
      </c>
      <c r="H1484" s="1186">
        <v>2.5099999999999998</v>
      </c>
      <c r="I1484" s="1186">
        <v>7.9</v>
      </c>
      <c r="J1484" s="1186">
        <v>2.7241379310344831</v>
      </c>
      <c r="K1484" s="1186">
        <v>7.7</v>
      </c>
      <c r="L1484" s="1186">
        <v>3.4070796460176993</v>
      </c>
      <c r="M1484" s="1186">
        <v>9</v>
      </c>
      <c r="N1484" s="1186">
        <v>4.8128342245989302</v>
      </c>
      <c r="O1484" s="1186">
        <v>12.6</v>
      </c>
      <c r="P1484" s="1186">
        <v>6.4929508993680107</v>
      </c>
      <c r="Q1484" s="1186">
        <v>6.9567164179104486</v>
      </c>
      <c r="R1484" s="1186">
        <v>1.6885536491300774</v>
      </c>
      <c r="S1484" s="1186">
        <v>8</v>
      </c>
      <c r="T1484" s="1186">
        <v>2.9304029304029302</v>
      </c>
      <c r="U1484" s="1186">
        <v>11.015999999999998</v>
      </c>
      <c r="V1484" s="1186">
        <v>3.5682077922077915</v>
      </c>
      <c r="W1484" s="1186"/>
      <c r="X1484" s="1186"/>
      <c r="Y1484" s="1186"/>
      <c r="Z1484" s="1186"/>
      <c r="AA1484" s="1186"/>
      <c r="AB1484" s="1186"/>
      <c r="AC1484" s="1186"/>
      <c r="AD1484" s="1187"/>
    </row>
    <row r="1485" spans="1:30" x14ac:dyDescent="0.2">
      <c r="A1485">
        <f t="shared" si="57"/>
        <v>39</v>
      </c>
      <c r="B1485">
        <v>1476</v>
      </c>
      <c r="C1485" s="1078">
        <v>2</v>
      </c>
      <c r="D1485" s="1077" t="s">
        <v>4919</v>
      </c>
      <c r="E1485" s="1077" t="s">
        <v>4947</v>
      </c>
      <c r="F1485" s="1185">
        <v>4</v>
      </c>
      <c r="G1485" s="1186">
        <v>9.44</v>
      </c>
      <c r="H1485" s="1186">
        <v>2.09</v>
      </c>
      <c r="I1485" s="1186">
        <v>8.59</v>
      </c>
      <c r="J1485" s="1186">
        <v>2.08</v>
      </c>
      <c r="K1485" s="1186">
        <v>10.15</v>
      </c>
      <c r="L1485" s="1186">
        <v>3.15</v>
      </c>
      <c r="M1485" s="1186">
        <v>12</v>
      </c>
      <c r="N1485" s="1186">
        <v>4.63</v>
      </c>
      <c r="O1485" s="1186">
        <v>16.13</v>
      </c>
      <c r="P1485" s="1186">
        <v>5.19</v>
      </c>
      <c r="Q1485" s="1186">
        <v>7.12</v>
      </c>
      <c r="R1485" s="1186">
        <v>1.34</v>
      </c>
      <c r="S1485" s="1186">
        <v>11</v>
      </c>
      <c r="T1485" s="1186">
        <v>2.9</v>
      </c>
      <c r="U1485" s="1186">
        <v>13.46</v>
      </c>
      <c r="V1485" s="1186">
        <v>2.92</v>
      </c>
      <c r="W1485" s="1186"/>
      <c r="X1485" s="1186"/>
      <c r="Y1485" s="1186"/>
      <c r="Z1485" s="1186"/>
      <c r="AA1485" s="1186"/>
      <c r="AB1485" s="1186"/>
      <c r="AC1485" s="1186"/>
      <c r="AD1485" s="1187"/>
    </row>
    <row r="1486" spans="1:30" x14ac:dyDescent="0.2">
      <c r="A1486">
        <f t="shared" si="57"/>
        <v>39</v>
      </c>
      <c r="B1486">
        <v>1477</v>
      </c>
      <c r="C1486" s="1078">
        <v>2</v>
      </c>
      <c r="D1486" s="1077" t="s">
        <v>4919</v>
      </c>
      <c r="E1486" s="1077" t="s">
        <v>4948</v>
      </c>
      <c r="F1486" s="1185">
        <v>4</v>
      </c>
      <c r="G1486" s="1186">
        <v>9.44</v>
      </c>
      <c r="H1486" s="1186">
        <v>2.09</v>
      </c>
      <c r="I1486" s="1186">
        <v>8.59</v>
      </c>
      <c r="J1486" s="1186">
        <v>2.08</v>
      </c>
      <c r="K1486" s="1186">
        <v>10.15</v>
      </c>
      <c r="L1486" s="1186">
        <v>3.15</v>
      </c>
      <c r="M1486" s="1186">
        <v>12</v>
      </c>
      <c r="N1486" s="1186">
        <v>4.63</v>
      </c>
      <c r="O1486" s="1186">
        <v>16.13</v>
      </c>
      <c r="P1486" s="1186">
        <v>5.19</v>
      </c>
      <c r="Q1486" s="1186">
        <v>7.12</v>
      </c>
      <c r="R1486" s="1186">
        <v>1.34</v>
      </c>
      <c r="S1486" s="1186">
        <v>11</v>
      </c>
      <c r="T1486" s="1186">
        <v>2.9</v>
      </c>
      <c r="U1486" s="1186">
        <v>13.46</v>
      </c>
      <c r="V1486" s="1186">
        <v>2.92</v>
      </c>
      <c r="W1486" s="1186"/>
      <c r="X1486" s="1186"/>
      <c r="Y1486" s="1186"/>
      <c r="Z1486" s="1186"/>
      <c r="AA1486" s="1186"/>
      <c r="AB1486" s="1186"/>
      <c r="AC1486" s="1186"/>
      <c r="AD1486" s="1187"/>
    </row>
    <row r="1487" spans="1:30" x14ac:dyDescent="0.2">
      <c r="A1487">
        <f t="shared" si="57"/>
        <v>39</v>
      </c>
      <c r="B1487">
        <v>1478</v>
      </c>
      <c r="C1487" s="1078">
        <v>2</v>
      </c>
      <c r="D1487" s="1077" t="s">
        <v>4919</v>
      </c>
      <c r="E1487" s="1077" t="s">
        <v>4949</v>
      </c>
      <c r="F1487" s="1185">
        <v>4</v>
      </c>
      <c r="G1487" s="1186">
        <v>12.28</v>
      </c>
      <c r="H1487" s="1186">
        <v>1.96</v>
      </c>
      <c r="I1487" s="1186">
        <v>10.49</v>
      </c>
      <c r="J1487" s="1186">
        <v>1.9</v>
      </c>
      <c r="K1487" s="1186">
        <v>12.64</v>
      </c>
      <c r="L1487" s="1186">
        <v>2.95</v>
      </c>
      <c r="M1487" s="1186">
        <v>16</v>
      </c>
      <c r="N1487" s="1186">
        <v>4.26</v>
      </c>
      <c r="O1487" s="1186">
        <v>21.5</v>
      </c>
      <c r="P1487" s="1186">
        <v>4.71</v>
      </c>
      <c r="Q1487" s="1186">
        <v>8.6999999999999993</v>
      </c>
      <c r="R1487" s="1186">
        <v>1.23</v>
      </c>
      <c r="S1487" s="1186">
        <v>14.6</v>
      </c>
      <c r="T1487" s="1186">
        <v>2.74</v>
      </c>
      <c r="U1487" s="1186">
        <v>17.940000000000001</v>
      </c>
      <c r="V1487" s="1186">
        <v>2.6</v>
      </c>
      <c r="W1487" s="1186"/>
      <c r="X1487" s="1186"/>
      <c r="Y1487" s="1186"/>
      <c r="Z1487" s="1186"/>
      <c r="AA1487" s="1186"/>
      <c r="AB1487" s="1186"/>
      <c r="AC1487" s="1186"/>
      <c r="AD1487" s="1187"/>
    </row>
    <row r="1488" spans="1:30" x14ac:dyDescent="0.2">
      <c r="A1488">
        <f t="shared" si="57"/>
        <v>39</v>
      </c>
      <c r="B1488">
        <v>1479</v>
      </c>
      <c r="C1488" s="1078">
        <v>2</v>
      </c>
      <c r="D1488" s="1077" t="s">
        <v>4919</v>
      </c>
      <c r="E1488" s="1077" t="s">
        <v>4950</v>
      </c>
      <c r="F1488" s="1185">
        <v>4</v>
      </c>
      <c r="G1488" s="1186">
        <v>12.28</v>
      </c>
      <c r="H1488" s="1186">
        <v>1.96</v>
      </c>
      <c r="I1488" s="1186">
        <v>10.49</v>
      </c>
      <c r="J1488" s="1186">
        <v>1.9</v>
      </c>
      <c r="K1488" s="1186">
        <v>12.64</v>
      </c>
      <c r="L1488" s="1186">
        <v>2.95</v>
      </c>
      <c r="M1488" s="1186">
        <v>16</v>
      </c>
      <c r="N1488" s="1186">
        <v>4.26</v>
      </c>
      <c r="O1488" s="1186">
        <v>21.5</v>
      </c>
      <c r="P1488" s="1186">
        <v>4.71</v>
      </c>
      <c r="Q1488" s="1186">
        <v>8.6999999999999993</v>
      </c>
      <c r="R1488" s="1186">
        <v>1.23</v>
      </c>
      <c r="S1488" s="1186">
        <v>14.6</v>
      </c>
      <c r="T1488" s="1186">
        <v>2.74</v>
      </c>
      <c r="U1488" s="1186">
        <v>17.940000000000001</v>
      </c>
      <c r="V1488" s="1186">
        <v>2.6</v>
      </c>
      <c r="W1488" s="1186"/>
      <c r="X1488" s="1186"/>
      <c r="Y1488" s="1186"/>
      <c r="Z1488" s="1186"/>
      <c r="AA1488" s="1186"/>
      <c r="AB1488" s="1186"/>
      <c r="AC1488" s="1186"/>
      <c r="AD1488" s="1187"/>
    </row>
    <row r="1489" spans="1:30" x14ac:dyDescent="0.2">
      <c r="A1489">
        <f t="shared" si="57"/>
        <v>39</v>
      </c>
      <c r="B1489">
        <v>1480</v>
      </c>
      <c r="C1489" s="1078">
        <v>2</v>
      </c>
      <c r="D1489" s="1077" t="s">
        <v>4919</v>
      </c>
      <c r="E1489" s="1077" t="s">
        <v>4951</v>
      </c>
      <c r="F1489" s="1185">
        <v>4</v>
      </c>
      <c r="G1489" s="1186">
        <v>3.74</v>
      </c>
      <c r="H1489" s="1186">
        <v>2.33</v>
      </c>
      <c r="I1489" s="1186">
        <v>3.74</v>
      </c>
      <c r="J1489" s="1186">
        <v>2.81</v>
      </c>
      <c r="K1489" s="1186">
        <v>4</v>
      </c>
      <c r="L1489" s="1186">
        <v>3.54</v>
      </c>
      <c r="M1489" s="1186">
        <v>4.4000000000000004</v>
      </c>
      <c r="N1489" s="1186">
        <v>4.7300000000000004</v>
      </c>
      <c r="O1489" s="1186">
        <v>6.16</v>
      </c>
      <c r="P1489" s="1186">
        <v>6.35</v>
      </c>
      <c r="Q1489" s="1186">
        <v>3.3</v>
      </c>
      <c r="R1489" s="1186">
        <v>1.92</v>
      </c>
      <c r="S1489" s="1186">
        <v>3.83</v>
      </c>
      <c r="T1489" s="1186">
        <v>2.8</v>
      </c>
      <c r="U1489" s="1186">
        <v>5.39</v>
      </c>
      <c r="V1489" s="1186">
        <v>3.5</v>
      </c>
      <c r="W1489" s="1186"/>
      <c r="X1489" s="1186"/>
      <c r="Y1489" s="1186"/>
      <c r="Z1489" s="1186"/>
      <c r="AA1489" s="1186"/>
      <c r="AB1489" s="1186"/>
      <c r="AC1489" s="1186"/>
      <c r="AD1489" s="1187"/>
    </row>
    <row r="1490" spans="1:30" x14ac:dyDescent="0.2">
      <c r="A1490">
        <f t="shared" si="57"/>
        <v>39</v>
      </c>
      <c r="B1490">
        <v>1481</v>
      </c>
      <c r="C1490" s="1078">
        <v>2</v>
      </c>
      <c r="D1490" s="1077" t="s">
        <v>4919</v>
      </c>
      <c r="E1490" s="1077" t="s">
        <v>4952</v>
      </c>
      <c r="F1490" s="1185">
        <v>4</v>
      </c>
      <c r="G1490" s="1186">
        <v>3.74</v>
      </c>
      <c r="H1490" s="1186">
        <v>2.33</v>
      </c>
      <c r="I1490" s="1186">
        <v>3.74</v>
      </c>
      <c r="J1490" s="1186">
        <v>2.81</v>
      </c>
      <c r="K1490" s="1186">
        <v>4</v>
      </c>
      <c r="L1490" s="1186">
        <v>3.54</v>
      </c>
      <c r="M1490" s="1186">
        <v>4.4000000000000004</v>
      </c>
      <c r="N1490" s="1186">
        <v>4.7300000000000004</v>
      </c>
      <c r="O1490" s="1186">
        <v>6.16</v>
      </c>
      <c r="P1490" s="1186">
        <v>6.35</v>
      </c>
      <c r="Q1490" s="1186">
        <v>3.3</v>
      </c>
      <c r="R1490" s="1186">
        <v>1.92</v>
      </c>
      <c r="S1490" s="1186">
        <v>3.83</v>
      </c>
      <c r="T1490" s="1186">
        <v>2.8</v>
      </c>
      <c r="U1490" s="1186">
        <v>5.39</v>
      </c>
      <c r="V1490" s="1186">
        <v>3.5</v>
      </c>
      <c r="W1490" s="1186"/>
      <c r="X1490" s="1186"/>
      <c r="Y1490" s="1186"/>
      <c r="Z1490" s="1186"/>
      <c r="AA1490" s="1186"/>
      <c r="AB1490" s="1186"/>
      <c r="AC1490" s="1186"/>
      <c r="AD1490" s="1187"/>
    </row>
    <row r="1491" spans="1:30" x14ac:dyDescent="0.2">
      <c r="A1491">
        <f t="shared" si="57"/>
        <v>39</v>
      </c>
      <c r="B1491">
        <v>1482</v>
      </c>
      <c r="C1491" s="1078">
        <v>2</v>
      </c>
      <c r="D1491" s="1077" t="s">
        <v>4919</v>
      </c>
      <c r="E1491" s="1077" t="s">
        <v>4953</v>
      </c>
      <c r="F1491" s="1185">
        <v>4</v>
      </c>
      <c r="G1491" s="1186">
        <v>5.61</v>
      </c>
      <c r="H1491" s="1186">
        <v>2.2200000000000002</v>
      </c>
      <c r="I1491" s="1186">
        <v>5.47</v>
      </c>
      <c r="J1491" s="1186">
        <v>2.79</v>
      </c>
      <c r="K1491" s="1186">
        <v>5.8</v>
      </c>
      <c r="L1491" s="1186">
        <v>3.31</v>
      </c>
      <c r="M1491" s="1186">
        <v>6.6</v>
      </c>
      <c r="N1491" s="1186">
        <v>4.49</v>
      </c>
      <c r="O1491" s="1186">
        <v>9.24</v>
      </c>
      <c r="P1491" s="1186">
        <v>6.04</v>
      </c>
      <c r="Q1491" s="1186">
        <v>4.0199999999999996</v>
      </c>
      <c r="R1491" s="1186">
        <v>1.76</v>
      </c>
      <c r="S1491" s="1186">
        <v>4.8</v>
      </c>
      <c r="T1491" s="1186">
        <v>2.6</v>
      </c>
      <c r="U1491" s="1186">
        <v>8.08</v>
      </c>
      <c r="V1491" s="1186">
        <v>3.33</v>
      </c>
      <c r="W1491" s="1186"/>
      <c r="X1491" s="1186"/>
      <c r="Y1491" s="1186"/>
      <c r="Z1491" s="1186"/>
      <c r="AA1491" s="1186"/>
      <c r="AB1491" s="1186"/>
      <c r="AC1491" s="1186"/>
      <c r="AD1491" s="1187"/>
    </row>
    <row r="1492" spans="1:30" x14ac:dyDescent="0.2">
      <c r="A1492">
        <f t="shared" si="57"/>
        <v>39</v>
      </c>
      <c r="B1492">
        <v>1483</v>
      </c>
      <c r="C1492" s="1078">
        <v>2</v>
      </c>
      <c r="D1492" s="1077" t="s">
        <v>4919</v>
      </c>
      <c r="E1492" s="1077" t="s">
        <v>4954</v>
      </c>
      <c r="F1492" s="1185">
        <v>4</v>
      </c>
      <c r="G1492" s="1186">
        <v>5.61</v>
      </c>
      <c r="H1492" s="1186">
        <v>2.2200000000000002</v>
      </c>
      <c r="I1492" s="1186">
        <v>5.47</v>
      </c>
      <c r="J1492" s="1186">
        <v>2.79</v>
      </c>
      <c r="K1492" s="1186">
        <v>5.8</v>
      </c>
      <c r="L1492" s="1186">
        <v>3.31</v>
      </c>
      <c r="M1492" s="1186">
        <v>6.6</v>
      </c>
      <c r="N1492" s="1186">
        <v>4.49</v>
      </c>
      <c r="O1492" s="1186">
        <v>9.24</v>
      </c>
      <c r="P1492" s="1186">
        <v>6.04</v>
      </c>
      <c r="Q1492" s="1186">
        <v>4.0199999999999996</v>
      </c>
      <c r="R1492" s="1186">
        <v>1.76</v>
      </c>
      <c r="S1492" s="1186">
        <v>4.8</v>
      </c>
      <c r="T1492" s="1186">
        <v>2.6</v>
      </c>
      <c r="U1492" s="1186">
        <v>8.08</v>
      </c>
      <c r="V1492" s="1186">
        <v>3.33</v>
      </c>
      <c r="W1492" s="1186"/>
      <c r="X1492" s="1186"/>
      <c r="Y1492" s="1186"/>
      <c r="Z1492" s="1186"/>
      <c r="AA1492" s="1186"/>
      <c r="AB1492" s="1186"/>
      <c r="AC1492" s="1186"/>
      <c r="AD1492" s="1187"/>
    </row>
    <row r="1493" spans="1:30" x14ac:dyDescent="0.2">
      <c r="A1493">
        <f t="shared" si="57"/>
        <v>39</v>
      </c>
      <c r="B1493">
        <v>1484</v>
      </c>
      <c r="C1493" s="1078">
        <v>2</v>
      </c>
      <c r="D1493" s="1077" t="s">
        <v>4919</v>
      </c>
      <c r="E1493" s="1077" t="s">
        <v>4955</v>
      </c>
      <c r="F1493" s="1185">
        <v>4</v>
      </c>
      <c r="G1493" s="1186">
        <v>7.65</v>
      </c>
      <c r="H1493" s="1186">
        <v>2.1</v>
      </c>
      <c r="I1493" s="1186">
        <v>7.1</v>
      </c>
      <c r="J1493" s="1186">
        <v>2.8</v>
      </c>
      <c r="K1493" s="1186">
        <v>7.7</v>
      </c>
      <c r="L1493" s="1186">
        <v>3.47</v>
      </c>
      <c r="M1493" s="1186">
        <v>9</v>
      </c>
      <c r="N1493" s="1186">
        <v>4.25</v>
      </c>
      <c r="O1493" s="1186">
        <v>12.6</v>
      </c>
      <c r="P1493" s="1186">
        <v>5.73</v>
      </c>
      <c r="Q1493" s="1186">
        <v>6.26</v>
      </c>
      <c r="R1493" s="1186">
        <v>1.9</v>
      </c>
      <c r="S1493" s="1186">
        <v>7.66</v>
      </c>
      <c r="T1493" s="1186">
        <v>2.72</v>
      </c>
      <c r="U1493" s="1186">
        <v>11.02</v>
      </c>
      <c r="V1493" s="1186">
        <v>3.15</v>
      </c>
      <c r="W1493" s="1186"/>
      <c r="X1493" s="1186"/>
      <c r="Y1493" s="1186"/>
      <c r="Z1493" s="1186"/>
      <c r="AA1493" s="1186"/>
      <c r="AB1493" s="1186"/>
      <c r="AC1493" s="1186"/>
      <c r="AD1493" s="1187"/>
    </row>
    <row r="1494" spans="1:30" x14ac:dyDescent="0.2">
      <c r="A1494">
        <f t="shared" si="57"/>
        <v>39</v>
      </c>
      <c r="B1494">
        <v>1485</v>
      </c>
      <c r="C1494" s="1078">
        <v>2</v>
      </c>
      <c r="D1494" s="1077" t="s">
        <v>4919</v>
      </c>
      <c r="E1494" s="1077" t="s">
        <v>4956</v>
      </c>
      <c r="F1494" s="1185">
        <v>4</v>
      </c>
      <c r="G1494" s="1186">
        <v>7.65</v>
      </c>
      <c r="H1494" s="1186">
        <v>2.1</v>
      </c>
      <c r="I1494" s="1186">
        <v>7.1</v>
      </c>
      <c r="J1494" s="1186">
        <v>2.8</v>
      </c>
      <c r="K1494" s="1186">
        <v>7.7</v>
      </c>
      <c r="L1494" s="1186">
        <v>3.47</v>
      </c>
      <c r="M1494" s="1186">
        <v>9</v>
      </c>
      <c r="N1494" s="1186">
        <v>4.25</v>
      </c>
      <c r="O1494" s="1186">
        <v>12.6</v>
      </c>
      <c r="P1494" s="1186">
        <v>5.73</v>
      </c>
      <c r="Q1494" s="1186">
        <v>6.26</v>
      </c>
      <c r="R1494" s="1186">
        <v>1.9</v>
      </c>
      <c r="S1494" s="1186">
        <v>7.66</v>
      </c>
      <c r="T1494" s="1186">
        <v>2.72</v>
      </c>
      <c r="U1494" s="1186">
        <v>11.02</v>
      </c>
      <c r="V1494" s="1186">
        <v>3.15</v>
      </c>
      <c r="W1494" s="1186"/>
      <c r="X1494" s="1186"/>
      <c r="Y1494" s="1186"/>
      <c r="Z1494" s="1186"/>
      <c r="AA1494" s="1186"/>
      <c r="AB1494" s="1186"/>
      <c r="AC1494" s="1186"/>
      <c r="AD1494" s="1187"/>
    </row>
    <row r="1495" spans="1:30" x14ac:dyDescent="0.2">
      <c r="A1495">
        <f t="shared" si="57"/>
        <v>39</v>
      </c>
      <c r="B1495">
        <v>1486</v>
      </c>
      <c r="C1495" s="1078">
        <v>2</v>
      </c>
      <c r="D1495" s="1077" t="s">
        <v>4919</v>
      </c>
      <c r="E1495" s="1077" t="s">
        <v>4957</v>
      </c>
      <c r="F1495" s="1185">
        <v>4</v>
      </c>
      <c r="G1495" s="1186">
        <v>10.199999999999999</v>
      </c>
      <c r="H1495" s="1186">
        <v>2.1800000000000002</v>
      </c>
      <c r="I1495" s="1186">
        <v>10.18</v>
      </c>
      <c r="J1495" s="1186">
        <v>2.97</v>
      </c>
      <c r="K1495" s="1186">
        <v>11</v>
      </c>
      <c r="L1495" s="1186">
        <v>3.41</v>
      </c>
      <c r="M1495" s="1186">
        <v>12</v>
      </c>
      <c r="N1495" s="1186">
        <v>4.41</v>
      </c>
      <c r="O1495" s="1186">
        <v>16.8</v>
      </c>
      <c r="P1495" s="1186">
        <v>5.96</v>
      </c>
      <c r="Q1495" s="1186">
        <v>8.9600000000000009</v>
      </c>
      <c r="R1495" s="1186">
        <v>2.02</v>
      </c>
      <c r="S1495" s="1186">
        <v>10.72</v>
      </c>
      <c r="T1495" s="1186">
        <v>2.74</v>
      </c>
      <c r="U1495" s="1186">
        <v>14.69</v>
      </c>
      <c r="V1495" s="1186">
        <v>3.27</v>
      </c>
      <c r="W1495" s="1186"/>
      <c r="X1495" s="1186"/>
      <c r="Y1495" s="1186"/>
      <c r="Z1495" s="1186"/>
      <c r="AA1495" s="1186"/>
      <c r="AB1495" s="1186"/>
      <c r="AC1495" s="1186"/>
      <c r="AD1495" s="1187"/>
    </row>
    <row r="1496" spans="1:30" x14ac:dyDescent="0.2">
      <c r="A1496">
        <f t="shared" si="57"/>
        <v>39</v>
      </c>
      <c r="B1496">
        <v>1487</v>
      </c>
      <c r="C1496" s="1078">
        <v>2</v>
      </c>
      <c r="D1496" s="1077" t="s">
        <v>4919</v>
      </c>
      <c r="E1496" s="1077" t="s">
        <v>4958</v>
      </c>
      <c r="F1496" s="1185">
        <v>4</v>
      </c>
      <c r="G1496" s="1186">
        <v>13.28</v>
      </c>
      <c r="H1496" s="1186">
        <v>1.96</v>
      </c>
      <c r="I1496" s="1186">
        <v>13.44</v>
      </c>
      <c r="J1496" s="1186">
        <v>2.73</v>
      </c>
      <c r="K1496" s="1186">
        <v>13.7</v>
      </c>
      <c r="L1496" s="1186">
        <v>3.19</v>
      </c>
      <c r="M1496" s="1186">
        <v>16</v>
      </c>
      <c r="N1496" s="1186">
        <v>4.05</v>
      </c>
      <c r="O1496" s="1186">
        <v>22.4</v>
      </c>
      <c r="P1496" s="1186">
        <v>5.46</v>
      </c>
      <c r="Q1496" s="1186">
        <v>11.84</v>
      </c>
      <c r="R1496" s="1186">
        <v>1.87</v>
      </c>
      <c r="S1496" s="1186">
        <v>14.6</v>
      </c>
      <c r="T1496" s="1186">
        <v>2.74</v>
      </c>
      <c r="U1496" s="1186">
        <v>19.579999999999998</v>
      </c>
      <c r="V1496" s="1186">
        <v>3</v>
      </c>
      <c r="W1496" s="1186"/>
      <c r="X1496" s="1186"/>
      <c r="Y1496" s="1186"/>
      <c r="Z1496" s="1186"/>
      <c r="AA1496" s="1186"/>
      <c r="AB1496" s="1186"/>
      <c r="AC1496" s="1186"/>
      <c r="AD1496" s="1187"/>
    </row>
    <row r="1497" spans="1:30" x14ac:dyDescent="0.2">
      <c r="A1497">
        <f t="shared" si="57"/>
        <v>39</v>
      </c>
      <c r="B1497">
        <v>1488</v>
      </c>
      <c r="C1497" s="1078">
        <v>2</v>
      </c>
      <c r="D1497" s="1077" t="s">
        <v>4919</v>
      </c>
      <c r="E1497" s="1077" t="s">
        <v>4959</v>
      </c>
      <c r="F1497" s="1185">
        <v>4</v>
      </c>
      <c r="G1497" s="1186">
        <v>13.28</v>
      </c>
      <c r="H1497" s="1186">
        <v>2.1</v>
      </c>
      <c r="I1497" s="1186">
        <v>7.1</v>
      </c>
      <c r="J1497" s="1186">
        <v>2.8</v>
      </c>
      <c r="K1497" s="1186">
        <v>7.7</v>
      </c>
      <c r="L1497" s="1186">
        <v>3.47</v>
      </c>
      <c r="M1497" s="1186">
        <v>9</v>
      </c>
      <c r="N1497" s="1186">
        <v>4.25</v>
      </c>
      <c r="O1497" s="1186">
        <v>12.6</v>
      </c>
      <c r="P1497" s="1186">
        <v>5.73</v>
      </c>
      <c r="Q1497" s="1186">
        <v>6.26</v>
      </c>
      <c r="R1497" s="1186">
        <v>1.9</v>
      </c>
      <c r="S1497" s="1186">
        <v>7.66</v>
      </c>
      <c r="T1497" s="1186">
        <v>2.72</v>
      </c>
      <c r="U1497" s="1186">
        <v>11.02</v>
      </c>
      <c r="V1497" s="1186">
        <v>3.15</v>
      </c>
      <c r="W1497" s="1186"/>
      <c r="X1497" s="1186"/>
      <c r="Y1497" s="1186"/>
      <c r="Z1497" s="1186"/>
      <c r="AA1497" s="1186"/>
      <c r="AB1497" s="1186"/>
      <c r="AC1497" s="1186"/>
      <c r="AD1497" s="1187"/>
    </row>
    <row r="1498" spans="1:30" x14ac:dyDescent="0.2">
      <c r="A1498">
        <f t="shared" si="57"/>
        <v>39</v>
      </c>
      <c r="B1498">
        <v>1489</v>
      </c>
      <c r="C1498" s="1078">
        <v>2</v>
      </c>
      <c r="D1498" s="1077" t="s">
        <v>4919</v>
      </c>
      <c r="E1498" s="1077" t="s">
        <v>4960</v>
      </c>
      <c r="F1498" s="1185">
        <v>4</v>
      </c>
      <c r="G1498" s="1186">
        <v>7.65</v>
      </c>
      <c r="H1498" s="1186">
        <v>2.1</v>
      </c>
      <c r="I1498" s="1186">
        <v>7.1</v>
      </c>
      <c r="J1498" s="1186">
        <v>2.8</v>
      </c>
      <c r="K1498" s="1186">
        <v>7.7</v>
      </c>
      <c r="L1498" s="1186">
        <v>3.47</v>
      </c>
      <c r="M1498" s="1186">
        <v>9</v>
      </c>
      <c r="N1498" s="1186">
        <v>4.25</v>
      </c>
      <c r="O1498" s="1186">
        <v>12.6</v>
      </c>
      <c r="P1498" s="1186">
        <v>5.73</v>
      </c>
      <c r="Q1498" s="1186">
        <v>6.26</v>
      </c>
      <c r="R1498" s="1186">
        <v>1.9</v>
      </c>
      <c r="S1498" s="1186">
        <v>7.66</v>
      </c>
      <c r="T1498" s="1186">
        <v>2.72</v>
      </c>
      <c r="U1498" s="1186">
        <v>11.02</v>
      </c>
      <c r="V1498" s="1186">
        <v>3.15</v>
      </c>
      <c r="W1498" s="1186"/>
      <c r="X1498" s="1186"/>
      <c r="Y1498" s="1186"/>
      <c r="Z1498" s="1186"/>
      <c r="AA1498" s="1186"/>
      <c r="AB1498" s="1186"/>
      <c r="AC1498" s="1186"/>
      <c r="AD1498" s="1187"/>
    </row>
    <row r="1499" spans="1:30" x14ac:dyDescent="0.2">
      <c r="A1499">
        <f t="shared" si="57"/>
        <v>39</v>
      </c>
      <c r="B1499">
        <v>1490</v>
      </c>
      <c r="C1499" s="1078">
        <v>2</v>
      </c>
      <c r="D1499" s="1077" t="s">
        <v>4919</v>
      </c>
      <c r="E1499" s="1077" t="s">
        <v>4961</v>
      </c>
      <c r="F1499" s="1185">
        <v>4</v>
      </c>
      <c r="G1499" s="1186">
        <v>10.199999999999999</v>
      </c>
      <c r="H1499" s="1186">
        <v>2.1800000000000002</v>
      </c>
      <c r="I1499" s="1186">
        <v>10.18</v>
      </c>
      <c r="J1499" s="1186">
        <v>2.97</v>
      </c>
      <c r="K1499" s="1186">
        <v>11</v>
      </c>
      <c r="L1499" s="1186">
        <v>3.41</v>
      </c>
      <c r="M1499" s="1186">
        <v>12</v>
      </c>
      <c r="N1499" s="1186">
        <v>4.41</v>
      </c>
      <c r="O1499" s="1186">
        <v>16.8</v>
      </c>
      <c r="P1499" s="1186">
        <v>5.96</v>
      </c>
      <c r="Q1499" s="1186">
        <v>8.9600000000000009</v>
      </c>
      <c r="R1499" s="1186">
        <v>2.02</v>
      </c>
      <c r="S1499" s="1186">
        <v>10.72</v>
      </c>
      <c r="T1499" s="1186">
        <v>2.74</v>
      </c>
      <c r="U1499" s="1186">
        <v>14.69</v>
      </c>
      <c r="V1499" s="1186">
        <v>3.27</v>
      </c>
      <c r="W1499" s="1186"/>
      <c r="X1499" s="1186"/>
      <c r="Y1499" s="1186"/>
      <c r="Z1499" s="1186"/>
      <c r="AA1499" s="1186"/>
      <c r="AB1499" s="1186"/>
      <c r="AC1499" s="1186"/>
      <c r="AD1499" s="1187"/>
    </row>
    <row r="1500" spans="1:30" x14ac:dyDescent="0.2">
      <c r="A1500">
        <f t="shared" si="57"/>
        <v>39</v>
      </c>
      <c r="B1500">
        <v>1491</v>
      </c>
      <c r="C1500" s="1078">
        <v>2</v>
      </c>
      <c r="D1500" s="1077" t="s">
        <v>4919</v>
      </c>
      <c r="E1500" s="1077" t="s">
        <v>4962</v>
      </c>
      <c r="F1500" s="1185">
        <v>4</v>
      </c>
      <c r="G1500" s="1186">
        <v>13.28</v>
      </c>
      <c r="H1500" s="1186">
        <v>1.96</v>
      </c>
      <c r="I1500" s="1186">
        <v>13.44</v>
      </c>
      <c r="J1500" s="1186">
        <v>2.73</v>
      </c>
      <c r="K1500" s="1186">
        <v>13.7</v>
      </c>
      <c r="L1500" s="1186">
        <v>3.19</v>
      </c>
      <c r="M1500" s="1186">
        <v>16</v>
      </c>
      <c r="N1500" s="1186">
        <v>4.05</v>
      </c>
      <c r="O1500" s="1186">
        <v>22.4</v>
      </c>
      <c r="P1500" s="1186">
        <v>5.46</v>
      </c>
      <c r="Q1500" s="1186">
        <v>11.84</v>
      </c>
      <c r="R1500" s="1186">
        <v>1.87</v>
      </c>
      <c r="S1500" s="1186">
        <v>14.6</v>
      </c>
      <c r="T1500" s="1186">
        <v>2.74</v>
      </c>
      <c r="U1500" s="1186">
        <v>19.579999999999998</v>
      </c>
      <c r="V1500" s="1186">
        <v>3</v>
      </c>
      <c r="W1500" s="1186"/>
      <c r="X1500" s="1186"/>
      <c r="Y1500" s="1186"/>
      <c r="Z1500" s="1186"/>
      <c r="AA1500" s="1186"/>
      <c r="AB1500" s="1186"/>
      <c r="AC1500" s="1186"/>
      <c r="AD1500" s="1187"/>
    </row>
    <row r="1501" spans="1:30" x14ac:dyDescent="0.2">
      <c r="A1501">
        <f t="shared" si="57"/>
        <v>39</v>
      </c>
      <c r="B1501">
        <v>1492</v>
      </c>
      <c r="C1501" s="1078">
        <v>2</v>
      </c>
      <c r="D1501" s="1077" t="s">
        <v>4919</v>
      </c>
      <c r="E1501" s="1077" t="s">
        <v>4963</v>
      </c>
      <c r="F1501" s="1185">
        <v>4</v>
      </c>
      <c r="G1501" s="1186">
        <v>3.74</v>
      </c>
      <c r="H1501" s="1186">
        <v>2.33</v>
      </c>
      <c r="I1501" s="1186">
        <v>3.74</v>
      </c>
      <c r="J1501" s="1186">
        <v>2.81</v>
      </c>
      <c r="K1501" s="1186">
        <v>4</v>
      </c>
      <c r="L1501" s="1186">
        <v>3.54</v>
      </c>
      <c r="M1501" s="1186">
        <v>4.4000000000000004</v>
      </c>
      <c r="N1501" s="1186">
        <v>4.7300000000000004</v>
      </c>
      <c r="O1501" s="1186">
        <v>6.16</v>
      </c>
      <c r="P1501" s="1186">
        <v>6.35</v>
      </c>
      <c r="Q1501" s="1186">
        <v>3.3</v>
      </c>
      <c r="R1501" s="1186">
        <v>1.92</v>
      </c>
      <c r="S1501" s="1186">
        <v>3.83</v>
      </c>
      <c r="T1501" s="1186">
        <v>2.8</v>
      </c>
      <c r="U1501" s="1186">
        <v>5.39</v>
      </c>
      <c r="V1501" s="1186">
        <v>3.5</v>
      </c>
      <c r="W1501" s="1186"/>
      <c r="X1501" s="1186"/>
      <c r="Y1501" s="1186"/>
      <c r="Z1501" s="1186"/>
      <c r="AA1501" s="1186"/>
      <c r="AB1501" s="1186"/>
      <c r="AC1501" s="1186"/>
      <c r="AD1501" s="1187"/>
    </row>
    <row r="1502" spans="1:30" x14ac:dyDescent="0.2">
      <c r="A1502">
        <f t="shared" si="57"/>
        <v>39</v>
      </c>
      <c r="B1502">
        <v>1493</v>
      </c>
      <c r="C1502" s="1078">
        <v>2</v>
      </c>
      <c r="D1502" s="1077" t="s">
        <v>4919</v>
      </c>
      <c r="E1502" s="1077" t="s">
        <v>4964</v>
      </c>
      <c r="F1502" s="1185">
        <v>4</v>
      </c>
      <c r="G1502" s="1186">
        <v>5.61</v>
      </c>
      <c r="H1502" s="1186">
        <v>2.2200000000000002</v>
      </c>
      <c r="I1502" s="1186">
        <v>5.47</v>
      </c>
      <c r="J1502" s="1186">
        <v>2.79</v>
      </c>
      <c r="K1502" s="1186">
        <v>5.8</v>
      </c>
      <c r="L1502" s="1186">
        <v>3.31</v>
      </c>
      <c r="M1502" s="1186">
        <v>6.6</v>
      </c>
      <c r="N1502" s="1186">
        <v>4.49</v>
      </c>
      <c r="O1502" s="1186">
        <v>9.24</v>
      </c>
      <c r="P1502" s="1186">
        <v>6.04</v>
      </c>
      <c r="Q1502" s="1186">
        <v>4.0199999999999996</v>
      </c>
      <c r="R1502" s="1186">
        <v>1.76</v>
      </c>
      <c r="S1502" s="1186">
        <v>4.8</v>
      </c>
      <c r="T1502" s="1186">
        <v>2.6</v>
      </c>
      <c r="U1502" s="1186">
        <v>8.08</v>
      </c>
      <c r="V1502" s="1186">
        <v>3.33</v>
      </c>
      <c r="W1502" s="1186"/>
      <c r="X1502" s="1186"/>
      <c r="Y1502" s="1186"/>
      <c r="Z1502" s="1186"/>
      <c r="AA1502" s="1186"/>
      <c r="AB1502" s="1186"/>
      <c r="AC1502" s="1186"/>
      <c r="AD1502" s="1187"/>
    </row>
    <row r="1503" spans="1:30" x14ac:dyDescent="0.2">
      <c r="A1503">
        <f t="shared" si="57"/>
        <v>39</v>
      </c>
      <c r="B1503">
        <v>1494</v>
      </c>
      <c r="C1503" s="1078">
        <v>2</v>
      </c>
      <c r="D1503" s="1077" t="s">
        <v>4919</v>
      </c>
      <c r="E1503" s="1077" t="s">
        <v>4965</v>
      </c>
      <c r="F1503" s="1185">
        <v>4</v>
      </c>
      <c r="G1503" s="1186">
        <v>7.65</v>
      </c>
      <c r="H1503" s="1186">
        <v>2.1</v>
      </c>
      <c r="I1503" s="1186">
        <v>7.1</v>
      </c>
      <c r="J1503" s="1186">
        <v>2.8</v>
      </c>
      <c r="K1503" s="1186">
        <v>7.7</v>
      </c>
      <c r="L1503" s="1186">
        <v>3.47</v>
      </c>
      <c r="M1503" s="1186">
        <v>9</v>
      </c>
      <c r="N1503" s="1186">
        <v>4.25</v>
      </c>
      <c r="O1503" s="1186">
        <v>12.6</v>
      </c>
      <c r="P1503" s="1186">
        <v>5.73</v>
      </c>
      <c r="Q1503" s="1186">
        <v>6.26</v>
      </c>
      <c r="R1503" s="1186">
        <v>1.9</v>
      </c>
      <c r="S1503" s="1186">
        <v>7.66</v>
      </c>
      <c r="T1503" s="1186">
        <v>2.72</v>
      </c>
      <c r="U1503" s="1186">
        <v>11.02</v>
      </c>
      <c r="V1503" s="1186">
        <v>3.15</v>
      </c>
      <c r="W1503" s="1186"/>
      <c r="X1503" s="1186"/>
      <c r="Y1503" s="1186"/>
      <c r="Z1503" s="1186"/>
      <c r="AA1503" s="1186"/>
      <c r="AB1503" s="1186"/>
      <c r="AC1503" s="1186"/>
      <c r="AD1503" s="1187"/>
    </row>
    <row r="1504" spans="1:30" x14ac:dyDescent="0.2">
      <c r="A1504">
        <f t="shared" si="57"/>
        <v>39</v>
      </c>
      <c r="B1504">
        <v>1495</v>
      </c>
      <c r="C1504" s="1078">
        <v>2</v>
      </c>
      <c r="D1504" s="1077" t="s">
        <v>4919</v>
      </c>
      <c r="E1504" s="1077" t="s">
        <v>4966</v>
      </c>
      <c r="F1504" s="1185">
        <v>4</v>
      </c>
      <c r="G1504" s="1186">
        <v>10.199999999999999</v>
      </c>
      <c r="H1504" s="1186">
        <v>2.1800000000000002</v>
      </c>
      <c r="I1504" s="1186">
        <v>10.18</v>
      </c>
      <c r="J1504" s="1186">
        <v>2.97</v>
      </c>
      <c r="K1504" s="1186">
        <v>11</v>
      </c>
      <c r="L1504" s="1186">
        <v>3.41</v>
      </c>
      <c r="M1504" s="1186">
        <v>12</v>
      </c>
      <c r="N1504" s="1186">
        <v>4.41</v>
      </c>
      <c r="O1504" s="1186">
        <v>16.8</v>
      </c>
      <c r="P1504" s="1186">
        <v>5.96</v>
      </c>
      <c r="Q1504" s="1186">
        <v>8.9600000000000009</v>
      </c>
      <c r="R1504" s="1186">
        <v>2.02</v>
      </c>
      <c r="S1504" s="1186">
        <v>10.72</v>
      </c>
      <c r="T1504" s="1186">
        <v>2.74</v>
      </c>
      <c r="U1504" s="1186">
        <v>14.69</v>
      </c>
      <c r="V1504" s="1186">
        <v>3.27</v>
      </c>
      <c r="W1504" s="1186"/>
      <c r="X1504" s="1186"/>
      <c r="Y1504" s="1186"/>
      <c r="Z1504" s="1186"/>
      <c r="AA1504" s="1186"/>
      <c r="AB1504" s="1186"/>
      <c r="AC1504" s="1186"/>
      <c r="AD1504" s="1187"/>
    </row>
    <row r="1505" spans="1:30" x14ac:dyDescent="0.2">
      <c r="A1505">
        <f t="shared" si="57"/>
        <v>39</v>
      </c>
      <c r="B1505">
        <v>1496</v>
      </c>
      <c r="C1505" s="1078">
        <v>2</v>
      </c>
      <c r="D1505" s="1077" t="s">
        <v>4919</v>
      </c>
      <c r="E1505" s="1077" t="s">
        <v>4967</v>
      </c>
      <c r="F1505" s="1185">
        <v>4</v>
      </c>
      <c r="G1505" s="1186">
        <v>13.28</v>
      </c>
      <c r="H1505" s="1186">
        <v>1.96</v>
      </c>
      <c r="I1505" s="1186">
        <v>13.44</v>
      </c>
      <c r="J1505" s="1186">
        <v>2.73</v>
      </c>
      <c r="K1505" s="1186">
        <v>13.7</v>
      </c>
      <c r="L1505" s="1186">
        <v>3.19</v>
      </c>
      <c r="M1505" s="1186">
        <v>16</v>
      </c>
      <c r="N1505" s="1186">
        <v>4.05</v>
      </c>
      <c r="O1505" s="1186">
        <v>22.4</v>
      </c>
      <c r="P1505" s="1186">
        <v>5.46</v>
      </c>
      <c r="Q1505" s="1186">
        <v>11.84</v>
      </c>
      <c r="R1505" s="1186">
        <v>1.87</v>
      </c>
      <c r="S1505" s="1186">
        <v>14.6</v>
      </c>
      <c r="T1505" s="1186">
        <v>2.74</v>
      </c>
      <c r="U1505" s="1186">
        <v>19.579999999999998</v>
      </c>
      <c r="V1505" s="1186">
        <v>3</v>
      </c>
      <c r="W1505" s="1186"/>
      <c r="X1505" s="1186"/>
      <c r="Y1505" s="1186"/>
      <c r="Z1505" s="1186"/>
      <c r="AA1505" s="1186"/>
      <c r="AB1505" s="1186"/>
      <c r="AC1505" s="1186"/>
      <c r="AD1505" s="1187"/>
    </row>
    <row r="1506" spans="1:30" x14ac:dyDescent="0.2">
      <c r="A1506">
        <f t="shared" si="57"/>
        <v>39</v>
      </c>
      <c r="B1506">
        <v>1497</v>
      </c>
      <c r="C1506" s="1078">
        <v>2</v>
      </c>
      <c r="D1506" s="1077" t="s">
        <v>4919</v>
      </c>
      <c r="E1506" s="1077" t="s">
        <v>4968</v>
      </c>
      <c r="F1506" s="1185">
        <v>4</v>
      </c>
      <c r="G1506" s="1186">
        <v>7.65</v>
      </c>
      <c r="H1506" s="1186">
        <v>2.1</v>
      </c>
      <c r="I1506" s="1186">
        <v>7.1</v>
      </c>
      <c r="J1506" s="1186">
        <v>2.8</v>
      </c>
      <c r="K1506" s="1186">
        <v>7.7</v>
      </c>
      <c r="L1506" s="1186">
        <v>3.47</v>
      </c>
      <c r="M1506" s="1186">
        <v>9</v>
      </c>
      <c r="N1506" s="1186">
        <v>4.25</v>
      </c>
      <c r="O1506" s="1186">
        <v>12.6</v>
      </c>
      <c r="P1506" s="1186">
        <v>5.73</v>
      </c>
      <c r="Q1506" s="1186">
        <v>6.26</v>
      </c>
      <c r="R1506" s="1186">
        <v>1.9</v>
      </c>
      <c r="S1506" s="1186">
        <v>7.66</v>
      </c>
      <c r="T1506" s="1186">
        <v>2.72</v>
      </c>
      <c r="U1506" s="1186">
        <v>11.02</v>
      </c>
      <c r="V1506" s="1186">
        <v>3.15</v>
      </c>
      <c r="W1506" s="1186"/>
      <c r="X1506" s="1186"/>
      <c r="Y1506" s="1186"/>
      <c r="Z1506" s="1186"/>
      <c r="AA1506" s="1186"/>
      <c r="AB1506" s="1186"/>
      <c r="AC1506" s="1186"/>
      <c r="AD1506" s="1187"/>
    </row>
    <row r="1507" spans="1:30" x14ac:dyDescent="0.2">
      <c r="A1507">
        <f t="shared" si="57"/>
        <v>39</v>
      </c>
      <c r="B1507">
        <v>1498</v>
      </c>
      <c r="C1507" s="1078">
        <v>2</v>
      </c>
      <c r="D1507" s="1077" t="s">
        <v>4919</v>
      </c>
      <c r="E1507" s="1077" t="s">
        <v>4969</v>
      </c>
      <c r="F1507" s="1185">
        <v>4</v>
      </c>
      <c r="G1507" s="1186">
        <v>10.199999999999999</v>
      </c>
      <c r="H1507" s="1186">
        <v>2.1800000000000002</v>
      </c>
      <c r="I1507" s="1186">
        <v>10.18</v>
      </c>
      <c r="J1507" s="1186">
        <v>2.97</v>
      </c>
      <c r="K1507" s="1186">
        <v>11</v>
      </c>
      <c r="L1507" s="1186">
        <v>3.41</v>
      </c>
      <c r="M1507" s="1186">
        <v>12</v>
      </c>
      <c r="N1507" s="1186">
        <v>4.41</v>
      </c>
      <c r="O1507" s="1186">
        <v>16.8</v>
      </c>
      <c r="P1507" s="1186">
        <v>5.96</v>
      </c>
      <c r="Q1507" s="1186">
        <v>8.9600000000000009</v>
      </c>
      <c r="R1507" s="1186">
        <v>2.02</v>
      </c>
      <c r="S1507" s="1186">
        <v>10.72</v>
      </c>
      <c r="T1507" s="1186">
        <v>2.74</v>
      </c>
      <c r="U1507" s="1186">
        <v>14.69</v>
      </c>
      <c r="V1507" s="1186">
        <v>3.27</v>
      </c>
      <c r="W1507" s="1186"/>
      <c r="X1507" s="1186"/>
      <c r="Y1507" s="1186"/>
      <c r="Z1507" s="1186"/>
      <c r="AA1507" s="1186"/>
      <c r="AB1507" s="1186"/>
      <c r="AC1507" s="1186"/>
      <c r="AD1507" s="1187"/>
    </row>
    <row r="1508" spans="1:30" x14ac:dyDescent="0.2">
      <c r="A1508">
        <f t="shared" si="57"/>
        <v>39</v>
      </c>
      <c r="B1508">
        <v>1499</v>
      </c>
      <c r="C1508" s="1078">
        <v>2</v>
      </c>
      <c r="D1508" s="1077" t="s">
        <v>4919</v>
      </c>
      <c r="E1508" s="1077" t="s">
        <v>4970</v>
      </c>
      <c r="F1508" s="1185">
        <v>4</v>
      </c>
      <c r="G1508" s="1186">
        <v>13.28</v>
      </c>
      <c r="H1508" s="1186">
        <v>1.96</v>
      </c>
      <c r="I1508" s="1186">
        <v>13.44</v>
      </c>
      <c r="J1508" s="1186">
        <v>2.73</v>
      </c>
      <c r="K1508" s="1186">
        <v>13.7</v>
      </c>
      <c r="L1508" s="1186">
        <v>3.19</v>
      </c>
      <c r="M1508" s="1186">
        <v>16</v>
      </c>
      <c r="N1508" s="1186">
        <v>4.05</v>
      </c>
      <c r="O1508" s="1186">
        <v>22.4</v>
      </c>
      <c r="P1508" s="1186">
        <v>5.46</v>
      </c>
      <c r="Q1508" s="1186">
        <v>11.84</v>
      </c>
      <c r="R1508" s="1186">
        <v>1.87</v>
      </c>
      <c r="S1508" s="1186">
        <v>14.6</v>
      </c>
      <c r="T1508" s="1186">
        <v>2.74</v>
      </c>
      <c r="U1508" s="1186">
        <v>19.579999999999998</v>
      </c>
      <c r="V1508" s="1186">
        <v>3</v>
      </c>
      <c r="W1508" s="1186"/>
      <c r="X1508" s="1186"/>
      <c r="Y1508" s="1186"/>
      <c r="Z1508" s="1186"/>
      <c r="AA1508" s="1186"/>
      <c r="AB1508" s="1186"/>
      <c r="AC1508" s="1186"/>
      <c r="AD1508" s="1187"/>
    </row>
    <row r="1509" spans="1:30" x14ac:dyDescent="0.2">
      <c r="A1509">
        <f t="shared" si="57"/>
        <v>40</v>
      </c>
      <c r="B1509">
        <v>1500</v>
      </c>
      <c r="C1509" s="1078">
        <v>2</v>
      </c>
      <c r="D1509" s="1077" t="s">
        <v>5398</v>
      </c>
      <c r="E1509" s="1077" t="s">
        <v>5443</v>
      </c>
      <c r="F1509" s="1185">
        <v>4</v>
      </c>
      <c r="G1509" s="1186">
        <v>3.43</v>
      </c>
      <c r="H1509" s="1186">
        <v>2.41</v>
      </c>
      <c r="I1509" s="1186">
        <v>4.0599999999999996</v>
      </c>
      <c r="J1509" s="1186">
        <v>2.72</v>
      </c>
      <c r="K1509" s="1186">
        <v>2.59</v>
      </c>
      <c r="L1509" s="1186">
        <v>3.72</v>
      </c>
      <c r="M1509" s="1186">
        <v>2.27</v>
      </c>
      <c r="N1509" s="1186">
        <v>4.54</v>
      </c>
      <c r="O1509" s="1186">
        <v>1.7</v>
      </c>
      <c r="P1509" s="1186">
        <v>6.86</v>
      </c>
      <c r="Q1509" s="1186">
        <v>3.9</v>
      </c>
      <c r="R1509" s="1186">
        <v>1.94</v>
      </c>
      <c r="S1509" s="1186">
        <v>1.92</v>
      </c>
      <c r="T1509" s="1186">
        <v>2.59</v>
      </c>
      <c r="U1509" s="1186">
        <v>2</v>
      </c>
      <c r="V1509" s="1186">
        <v>3.78</v>
      </c>
      <c r="W1509" s="1186"/>
      <c r="X1509" s="1186"/>
      <c r="Y1509" s="1186"/>
      <c r="Z1509" s="1186"/>
      <c r="AA1509" s="1186"/>
      <c r="AB1509" s="1186"/>
      <c r="AC1509" s="1186"/>
      <c r="AD1509" s="1187"/>
    </row>
    <row r="1510" spans="1:30" x14ac:dyDescent="0.2">
      <c r="A1510">
        <f t="shared" si="57"/>
        <v>40</v>
      </c>
      <c r="B1510">
        <v>1501</v>
      </c>
      <c r="C1510" s="1078">
        <v>2</v>
      </c>
      <c r="D1510" s="1077" t="s">
        <v>5398</v>
      </c>
      <c r="E1510" s="1077" t="s">
        <v>4588</v>
      </c>
      <c r="F1510" s="1185">
        <v>4</v>
      </c>
      <c r="G1510" s="1186">
        <v>3.45</v>
      </c>
      <c r="H1510" s="1186">
        <v>2.63</v>
      </c>
      <c r="I1510" s="1186">
        <v>4.18</v>
      </c>
      <c r="J1510" s="1186">
        <v>3.07</v>
      </c>
      <c r="K1510" s="1186">
        <v>2.62</v>
      </c>
      <c r="L1510" s="1186">
        <v>3.76</v>
      </c>
      <c r="M1510" s="1186">
        <v>2.06</v>
      </c>
      <c r="N1510" s="1186">
        <v>4.68</v>
      </c>
      <c r="O1510" s="1186">
        <v>1.7</v>
      </c>
      <c r="P1510" s="1186">
        <v>5.49</v>
      </c>
      <c r="Q1510" s="1186">
        <v>3.89</v>
      </c>
      <c r="R1510" s="1186">
        <v>2.11</v>
      </c>
      <c r="S1510" s="1186">
        <v>2.1</v>
      </c>
      <c r="T1510" s="1186">
        <v>2.64</v>
      </c>
      <c r="U1510" s="1186"/>
      <c r="V1510" s="1186"/>
      <c r="W1510" s="1186"/>
      <c r="X1510" s="1186"/>
      <c r="Y1510" s="1186"/>
      <c r="Z1510" s="1186"/>
      <c r="AA1510" s="1186"/>
      <c r="AB1510" s="1186"/>
      <c r="AC1510" s="1186"/>
      <c r="AD1510" s="1187"/>
    </row>
    <row r="1511" spans="1:30" x14ac:dyDescent="0.2">
      <c r="A1511">
        <f t="shared" si="57"/>
        <v>40</v>
      </c>
      <c r="B1511">
        <v>1502</v>
      </c>
      <c r="C1511" s="1078">
        <v>2</v>
      </c>
      <c r="D1511" s="1077" t="s">
        <v>5398</v>
      </c>
      <c r="E1511" s="1077" t="s">
        <v>4589</v>
      </c>
      <c r="F1511" s="1185">
        <v>4</v>
      </c>
      <c r="G1511" s="1079">
        <v>3.64</v>
      </c>
      <c r="H1511" s="1079">
        <v>2.68</v>
      </c>
      <c r="I1511" s="1079">
        <v>4.2300000000000004</v>
      </c>
      <c r="J1511" s="1079">
        <v>3.16</v>
      </c>
      <c r="K1511" s="1079">
        <v>2.64</v>
      </c>
      <c r="L1511" s="1079">
        <v>3.83</v>
      </c>
      <c r="M1511" s="1079">
        <v>2.06</v>
      </c>
      <c r="N1511" s="1079">
        <v>4.68</v>
      </c>
      <c r="O1511" s="1079">
        <v>1.7</v>
      </c>
      <c r="P1511" s="1079">
        <v>5.49</v>
      </c>
      <c r="Q1511" s="1079">
        <v>3.93</v>
      </c>
      <c r="R1511" s="1079">
        <v>2.15</v>
      </c>
      <c r="S1511" s="1079">
        <v>2.1</v>
      </c>
      <c r="T1511" s="1079">
        <v>2.64</v>
      </c>
      <c r="U1511" s="1079"/>
      <c r="V1511" s="1079"/>
      <c r="W1511" s="1079"/>
      <c r="X1511" s="1079"/>
      <c r="Y1511" s="1079"/>
      <c r="Z1511" s="1079"/>
      <c r="AA1511" s="1079"/>
      <c r="AB1511" s="1079"/>
      <c r="AC1511" s="1079"/>
      <c r="AD1511" s="1080"/>
    </row>
    <row r="1512" spans="1:30" x14ac:dyDescent="0.2">
      <c r="A1512">
        <f t="shared" si="57"/>
        <v>40</v>
      </c>
      <c r="B1512">
        <v>1503</v>
      </c>
      <c r="C1512" s="1078">
        <v>2</v>
      </c>
      <c r="D1512" s="1077" t="s">
        <v>5398</v>
      </c>
      <c r="E1512" s="1077" t="s">
        <v>5444</v>
      </c>
      <c r="F1512" s="1185">
        <v>4</v>
      </c>
      <c r="G1512" s="1079">
        <v>4.18</v>
      </c>
      <c r="H1512" s="1079">
        <v>2.9</v>
      </c>
      <c r="I1512" s="1079">
        <v>4.97</v>
      </c>
      <c r="J1512" s="1079">
        <v>3.45</v>
      </c>
      <c r="K1512" s="1079">
        <v>3.19</v>
      </c>
      <c r="L1512" s="1079">
        <v>4.5999999999999996</v>
      </c>
      <c r="M1512" s="1079">
        <v>3.31</v>
      </c>
      <c r="N1512" s="1079">
        <v>5.42</v>
      </c>
      <c r="O1512" s="1079">
        <v>4.4000000000000004</v>
      </c>
      <c r="P1512" s="1079">
        <v>8.44</v>
      </c>
      <c r="Q1512" s="1079">
        <v>4.9400000000000004</v>
      </c>
      <c r="R1512" s="1079">
        <v>2.5099999999999998</v>
      </c>
      <c r="S1512" s="1079">
        <v>2.7</v>
      </c>
      <c r="T1512" s="1079">
        <v>3.29</v>
      </c>
      <c r="U1512" s="1079">
        <v>4</v>
      </c>
      <c r="V1512" s="1079">
        <v>4.5</v>
      </c>
      <c r="W1512" s="1079"/>
      <c r="X1512" s="1079"/>
      <c r="Y1512" s="1079"/>
      <c r="Z1512" s="1079"/>
      <c r="AA1512" s="1079"/>
      <c r="AB1512" s="1079"/>
      <c r="AC1512" s="1079"/>
      <c r="AD1512" s="1080"/>
    </row>
    <row r="1513" spans="1:30" x14ac:dyDescent="0.2">
      <c r="A1513">
        <f t="shared" si="57"/>
        <v>40</v>
      </c>
      <c r="B1513">
        <v>1504</v>
      </c>
      <c r="C1513" s="1078">
        <v>2</v>
      </c>
      <c r="D1513" s="1077" t="s">
        <v>5398</v>
      </c>
      <c r="E1513" s="1077" t="s">
        <v>5688</v>
      </c>
      <c r="F1513" s="1185">
        <v>4</v>
      </c>
      <c r="G1513" s="1079">
        <v>5.7</v>
      </c>
      <c r="H1513" s="1079">
        <v>2.37</v>
      </c>
      <c r="I1513" s="1079">
        <v>6.42</v>
      </c>
      <c r="J1513" s="1079">
        <v>2.69</v>
      </c>
      <c r="K1513" s="1079" t="s">
        <v>5684</v>
      </c>
      <c r="L1513" s="1079">
        <v>3.51</v>
      </c>
      <c r="M1513" s="1079" t="s">
        <v>5685</v>
      </c>
      <c r="N1513" s="1079" t="s">
        <v>5686</v>
      </c>
      <c r="O1513" s="1079">
        <v>7.25</v>
      </c>
      <c r="P1513" s="1079">
        <v>4.8600000000000003</v>
      </c>
      <c r="Q1513" s="1079">
        <v>6.42</v>
      </c>
      <c r="R1513" s="1079">
        <v>2.14</v>
      </c>
      <c r="S1513" s="1079">
        <v>6.28</v>
      </c>
      <c r="T1513" s="1079">
        <v>2.44</v>
      </c>
      <c r="U1513" s="1079">
        <v>7.05</v>
      </c>
      <c r="V1513" s="1079">
        <v>3.19</v>
      </c>
      <c r="W1513" s="1079"/>
      <c r="X1513" s="1079"/>
      <c r="Y1513" s="1079"/>
      <c r="Z1513" s="1079"/>
      <c r="AA1513" s="1079"/>
      <c r="AB1513" s="1079"/>
      <c r="AC1513" s="1079"/>
      <c r="AD1513" s="1080"/>
    </row>
    <row r="1514" spans="1:30" x14ac:dyDescent="0.2">
      <c r="A1514">
        <f t="shared" si="57"/>
        <v>40</v>
      </c>
      <c r="B1514">
        <v>1505</v>
      </c>
      <c r="C1514" s="1078">
        <v>2</v>
      </c>
      <c r="D1514" s="1077" t="s">
        <v>5398</v>
      </c>
      <c r="E1514" s="1077" t="s">
        <v>5687</v>
      </c>
      <c r="F1514" s="1185">
        <v>4</v>
      </c>
      <c r="G1514" s="1079">
        <v>5.7</v>
      </c>
      <c r="H1514" s="1079">
        <v>2.37</v>
      </c>
      <c r="I1514" s="1079">
        <v>6.42</v>
      </c>
      <c r="J1514" s="1079">
        <v>2.69</v>
      </c>
      <c r="K1514" s="1079" t="s">
        <v>5684</v>
      </c>
      <c r="L1514" s="1079">
        <v>3.51</v>
      </c>
      <c r="M1514" s="1079" t="s">
        <v>5685</v>
      </c>
      <c r="N1514" s="1079" t="s">
        <v>5686</v>
      </c>
      <c r="O1514" s="1079">
        <v>7.25</v>
      </c>
      <c r="P1514" s="1079">
        <v>4.8600000000000003</v>
      </c>
      <c r="Q1514" s="1079">
        <v>6.42</v>
      </c>
      <c r="R1514" s="1079">
        <v>2.14</v>
      </c>
      <c r="S1514" s="1079">
        <v>6.28</v>
      </c>
      <c r="T1514" s="1079">
        <v>2.44</v>
      </c>
      <c r="U1514" s="1079">
        <v>7.05</v>
      </c>
      <c r="V1514" s="1079">
        <v>3.19</v>
      </c>
      <c r="W1514" s="1079"/>
      <c r="X1514" s="1079"/>
      <c r="Y1514" s="1079"/>
      <c r="Z1514" s="1079"/>
      <c r="AA1514" s="1079"/>
      <c r="AB1514" s="1079"/>
      <c r="AC1514" s="1079"/>
      <c r="AD1514" s="1080"/>
    </row>
    <row r="1515" spans="1:30" x14ac:dyDescent="0.2">
      <c r="A1515">
        <f t="shared" si="57"/>
        <v>40</v>
      </c>
      <c r="B1515">
        <v>1506</v>
      </c>
      <c r="C1515" s="1078">
        <v>2</v>
      </c>
      <c r="D1515" s="1077" t="s">
        <v>5398</v>
      </c>
      <c r="E1515" s="1077" t="s">
        <v>5445</v>
      </c>
      <c r="F1515" s="1185">
        <v>4</v>
      </c>
      <c r="G1515" s="1079">
        <v>6.4</v>
      </c>
      <c r="H1515" s="1079">
        <v>2.67</v>
      </c>
      <c r="I1515" s="1079">
        <v>6.87</v>
      </c>
      <c r="J1515" s="1079">
        <v>2.93</v>
      </c>
      <c r="K1515" s="1079">
        <v>4.3</v>
      </c>
      <c r="L1515" s="1079">
        <v>4.3</v>
      </c>
      <c r="M1515" s="1079">
        <v>3.31</v>
      </c>
      <c r="N1515" s="1079">
        <v>5.42</v>
      </c>
      <c r="O1515" s="1079">
        <v>4.4000000000000004</v>
      </c>
      <c r="P1515" s="1079">
        <v>8.44</v>
      </c>
      <c r="Q1515" s="1079">
        <v>7.01</v>
      </c>
      <c r="R1515" s="1079">
        <v>2.36</v>
      </c>
      <c r="S1515" s="1079">
        <v>2.7</v>
      </c>
      <c r="T1515" s="1079">
        <v>3.29</v>
      </c>
      <c r="U1515" s="1079">
        <v>4</v>
      </c>
      <c r="V1515" s="1079">
        <v>4.5</v>
      </c>
      <c r="W1515" s="1079"/>
      <c r="X1515" s="1079"/>
      <c r="Y1515" s="1079"/>
      <c r="Z1515" s="1079"/>
      <c r="AA1515" s="1079"/>
      <c r="AB1515" s="1079"/>
      <c r="AC1515" s="1079"/>
      <c r="AD1515" s="1080"/>
    </row>
    <row r="1516" spans="1:30" x14ac:dyDescent="0.2">
      <c r="A1516">
        <f t="shared" si="57"/>
        <v>40</v>
      </c>
      <c r="B1516">
        <v>1507</v>
      </c>
      <c r="C1516" s="1078">
        <v>2</v>
      </c>
      <c r="D1516" s="1077" t="s">
        <v>5398</v>
      </c>
      <c r="E1516" s="1077" t="s">
        <v>5446</v>
      </c>
      <c r="F1516" s="1185">
        <v>4</v>
      </c>
      <c r="G1516" s="1079">
        <v>5.98</v>
      </c>
      <c r="H1516" s="1079">
        <v>2.65</v>
      </c>
      <c r="I1516" s="1079">
        <v>6</v>
      </c>
      <c r="J1516" s="1079">
        <v>2.92</v>
      </c>
      <c r="K1516" s="1079">
        <v>4.3</v>
      </c>
      <c r="L1516" s="1079">
        <v>3.97</v>
      </c>
      <c r="M1516" s="1079">
        <v>4.8600000000000003</v>
      </c>
      <c r="N1516" s="1079">
        <v>4.76</v>
      </c>
      <c r="O1516" s="1079">
        <v>3.7</v>
      </c>
      <c r="P1516" s="1079">
        <v>6.49</v>
      </c>
      <c r="Q1516" s="1079">
        <v>6.5</v>
      </c>
      <c r="R1516" s="1079">
        <v>2</v>
      </c>
      <c r="S1516" s="1079">
        <v>4.3099999999999996</v>
      </c>
      <c r="T1516" s="1079">
        <v>2.73</v>
      </c>
      <c r="U1516" s="1079">
        <v>4.0999999999999996</v>
      </c>
      <c r="V1516" s="1079">
        <v>3.58</v>
      </c>
      <c r="W1516" s="1079"/>
      <c r="X1516" s="1079"/>
      <c r="Y1516" s="1079"/>
      <c r="Z1516" s="1079"/>
      <c r="AA1516" s="1079"/>
      <c r="AB1516" s="1079"/>
      <c r="AC1516" s="1079"/>
      <c r="AD1516" s="1080"/>
    </row>
    <row r="1517" spans="1:30" x14ac:dyDescent="0.2">
      <c r="A1517">
        <f t="shared" si="57"/>
        <v>40</v>
      </c>
      <c r="B1517">
        <v>1508</v>
      </c>
      <c r="C1517" s="1078">
        <v>2</v>
      </c>
      <c r="D1517" s="1077" t="s">
        <v>5398</v>
      </c>
      <c r="E1517" s="1077" t="s">
        <v>4590</v>
      </c>
      <c r="F1517" s="1185">
        <v>4</v>
      </c>
      <c r="G1517" s="1079">
        <v>6.21</v>
      </c>
      <c r="H1517" s="1079">
        <v>2.4300000000000002</v>
      </c>
      <c r="I1517" s="1079">
        <v>7.8</v>
      </c>
      <c r="J1517" s="1079">
        <v>2.58</v>
      </c>
      <c r="K1517" s="1079">
        <v>4.95</v>
      </c>
      <c r="L1517" s="1079">
        <v>3.7</v>
      </c>
      <c r="M1517" s="1079">
        <v>4.22</v>
      </c>
      <c r="N1517" s="1079">
        <v>4.5999999999999996</v>
      </c>
      <c r="O1517" s="1079">
        <v>4.3</v>
      </c>
      <c r="P1517" s="1079">
        <v>6.12</v>
      </c>
      <c r="Q1517" s="1079">
        <v>3.03</v>
      </c>
      <c r="R1517" s="1079">
        <v>1.94</v>
      </c>
      <c r="S1517" s="1079">
        <v>3.75</v>
      </c>
      <c r="T1517" s="1079">
        <v>2.5099999999999998</v>
      </c>
      <c r="U1517" s="1079"/>
      <c r="V1517" s="1079"/>
      <c r="W1517" s="1079"/>
      <c r="X1517" s="1079"/>
      <c r="Y1517" s="1079"/>
      <c r="Z1517" s="1079"/>
      <c r="AA1517" s="1079"/>
      <c r="AB1517" s="1079"/>
      <c r="AC1517" s="1079"/>
      <c r="AD1517" s="1080"/>
    </row>
    <row r="1518" spans="1:30" x14ac:dyDescent="0.2">
      <c r="A1518">
        <f t="shared" si="57"/>
        <v>40</v>
      </c>
      <c r="B1518">
        <v>1509</v>
      </c>
      <c r="C1518" s="1078">
        <v>2</v>
      </c>
      <c r="D1518" s="1077" t="s">
        <v>5398</v>
      </c>
      <c r="E1518" s="1077" t="s">
        <v>4591</v>
      </c>
      <c r="F1518" s="1185">
        <v>4</v>
      </c>
      <c r="G1518" s="1079">
        <v>6.29</v>
      </c>
      <c r="H1518" s="1079">
        <v>2.4700000000000002</v>
      </c>
      <c r="I1518" s="1079">
        <v>8.02</v>
      </c>
      <c r="J1518" s="1079">
        <v>2.63</v>
      </c>
      <c r="K1518" s="1079">
        <v>5.0199999999999996</v>
      </c>
      <c r="L1518" s="1079">
        <v>3.83</v>
      </c>
      <c r="M1518" s="1079">
        <v>4.2699999999999996</v>
      </c>
      <c r="N1518" s="1079">
        <v>4.74</v>
      </c>
      <c r="O1518" s="1079">
        <v>4.3</v>
      </c>
      <c r="P1518" s="1079">
        <v>6.12</v>
      </c>
      <c r="Q1518" s="1079">
        <v>3.14</v>
      </c>
      <c r="R1518" s="1079">
        <v>1.99</v>
      </c>
      <c r="S1518" s="1079">
        <v>3.81</v>
      </c>
      <c r="T1518" s="1079">
        <v>2.58</v>
      </c>
      <c r="U1518" s="1079"/>
      <c r="V1518" s="1079"/>
      <c r="W1518" s="1079"/>
      <c r="X1518" s="1079"/>
      <c r="Y1518" s="1079"/>
      <c r="Z1518" s="1079"/>
      <c r="AA1518" s="1079"/>
      <c r="AB1518" s="1079"/>
      <c r="AC1518" s="1079"/>
      <c r="AD1518" s="1080"/>
    </row>
    <row r="1519" spans="1:30" x14ac:dyDescent="0.2">
      <c r="A1519">
        <f t="shared" si="57"/>
        <v>40</v>
      </c>
      <c r="B1519">
        <v>1510</v>
      </c>
      <c r="C1519" s="1078">
        <v>2</v>
      </c>
      <c r="D1519" s="1077" t="s">
        <v>5398</v>
      </c>
      <c r="E1519" s="1077" t="s">
        <v>5689</v>
      </c>
      <c r="F1519" s="1185">
        <v>4</v>
      </c>
      <c r="G1519" s="1079">
        <v>4.32</v>
      </c>
      <c r="H1519" s="1079">
        <v>3</v>
      </c>
      <c r="I1519" s="1079">
        <v>5.22</v>
      </c>
      <c r="J1519" s="1079">
        <v>3.47</v>
      </c>
      <c r="K1519" s="1079">
        <v>5.31</v>
      </c>
      <c r="L1519" s="1079">
        <v>4.72</v>
      </c>
      <c r="M1519" s="1079">
        <v>6.63</v>
      </c>
      <c r="N1519" s="1079">
        <v>5.5</v>
      </c>
      <c r="O1519" s="1079">
        <v>8</v>
      </c>
      <c r="P1519" s="1079">
        <v>7.99</v>
      </c>
      <c r="Q1519" s="1079">
        <v>5.09</v>
      </c>
      <c r="R1519" s="1079">
        <v>2.62</v>
      </c>
      <c r="S1519" s="1079">
        <v>6.59</v>
      </c>
      <c r="T1519" s="1079">
        <v>3.33</v>
      </c>
      <c r="U1519" s="1079">
        <v>7.86</v>
      </c>
      <c r="V1519" s="1079">
        <v>4.26</v>
      </c>
      <c r="W1519" s="1079"/>
      <c r="X1519" s="1079"/>
      <c r="Y1519" s="1079"/>
      <c r="Z1519" s="1079"/>
      <c r="AA1519" s="1079"/>
      <c r="AB1519" s="1079"/>
      <c r="AC1519" s="1079"/>
      <c r="AD1519" s="1080"/>
    </row>
    <row r="1520" spans="1:30" x14ac:dyDescent="0.2">
      <c r="A1520">
        <f t="shared" si="57"/>
        <v>40</v>
      </c>
      <c r="B1520">
        <v>1511</v>
      </c>
      <c r="C1520" s="1078">
        <v>2</v>
      </c>
      <c r="D1520" s="1077" t="s">
        <v>5398</v>
      </c>
      <c r="E1520" s="1077" t="s">
        <v>4592</v>
      </c>
      <c r="F1520" s="1185">
        <v>4</v>
      </c>
      <c r="G1520" s="1079">
        <v>7.07</v>
      </c>
      <c r="H1520" s="1079">
        <v>2.4900000000000002</v>
      </c>
      <c r="I1520" s="1079">
        <v>7.8</v>
      </c>
      <c r="J1520" s="1079">
        <v>2.92</v>
      </c>
      <c r="K1520" s="1079">
        <v>5.73</v>
      </c>
      <c r="L1520" s="1079">
        <v>3.97</v>
      </c>
      <c r="M1520" s="1079">
        <v>4.8600000000000003</v>
      </c>
      <c r="N1520" s="1079">
        <v>4.76</v>
      </c>
      <c r="O1520" s="1079">
        <v>3.7</v>
      </c>
      <c r="P1520" s="1079">
        <v>6.49</v>
      </c>
      <c r="Q1520" s="1079">
        <v>7.6</v>
      </c>
      <c r="R1520" s="1079">
        <v>2.35</v>
      </c>
      <c r="S1520" s="1079">
        <v>4.3099999999999996</v>
      </c>
      <c r="T1520" s="1079">
        <v>2.73</v>
      </c>
      <c r="U1520" s="1079">
        <v>3.3</v>
      </c>
      <c r="V1520" s="1079">
        <v>3.58</v>
      </c>
      <c r="W1520" s="1079"/>
      <c r="X1520" s="1079"/>
      <c r="Y1520" s="1079"/>
      <c r="Z1520" s="1079"/>
      <c r="AA1520" s="1079"/>
      <c r="AB1520" s="1079"/>
      <c r="AC1520" s="1079"/>
      <c r="AD1520" s="1080"/>
    </row>
    <row r="1521" spans="1:30" x14ac:dyDescent="0.2">
      <c r="A1521">
        <f t="shared" si="57"/>
        <v>40</v>
      </c>
      <c r="B1521">
        <v>1512</v>
      </c>
      <c r="C1521" s="1078">
        <v>2</v>
      </c>
      <c r="D1521" s="1077" t="s">
        <v>5398</v>
      </c>
      <c r="E1521" s="1077" t="s">
        <v>5690</v>
      </c>
      <c r="F1521" s="1185">
        <v>4</v>
      </c>
      <c r="G1521" s="1079">
        <v>5.94</v>
      </c>
      <c r="H1521" s="1079">
        <v>2.63</v>
      </c>
      <c r="I1521" s="1079">
        <v>6.92</v>
      </c>
      <c r="J1521" s="1079">
        <v>2.84</v>
      </c>
      <c r="K1521" s="1079">
        <v>6.76</v>
      </c>
      <c r="L1521" s="1079">
        <v>4.57</v>
      </c>
      <c r="M1521" s="1079">
        <v>8.14</v>
      </c>
      <c r="N1521" s="1079">
        <v>5.46</v>
      </c>
      <c r="O1521" s="1079">
        <v>9.5</v>
      </c>
      <c r="P1521" s="1079">
        <v>7.99</v>
      </c>
      <c r="Q1521" s="1079">
        <v>6.76</v>
      </c>
      <c r="R1521" s="1079">
        <v>2.41</v>
      </c>
      <c r="S1521" s="1079">
        <v>7.74</v>
      </c>
      <c r="T1521" s="1079">
        <v>3.33</v>
      </c>
      <c r="U1521" s="1079">
        <v>9.5</v>
      </c>
      <c r="V1521" s="1079">
        <v>4.26</v>
      </c>
      <c r="W1521" s="1079"/>
      <c r="X1521" s="1079"/>
      <c r="Y1521" s="1079"/>
      <c r="Z1521" s="1079"/>
      <c r="AA1521" s="1079"/>
      <c r="AB1521" s="1079"/>
      <c r="AC1521" s="1079"/>
      <c r="AD1521" s="1080"/>
    </row>
    <row r="1522" spans="1:30" x14ac:dyDescent="0.2">
      <c r="A1522">
        <f t="shared" si="57"/>
        <v>40</v>
      </c>
      <c r="B1522">
        <v>1513</v>
      </c>
      <c r="C1522" s="1078">
        <v>2</v>
      </c>
      <c r="D1522" s="1077" t="s">
        <v>5398</v>
      </c>
      <c r="E1522" s="1077" t="s">
        <v>5691</v>
      </c>
      <c r="F1522" s="1185">
        <v>4</v>
      </c>
      <c r="G1522" s="1079">
        <v>6.29</v>
      </c>
      <c r="H1522" s="1079">
        <v>2.87</v>
      </c>
      <c r="I1522" s="1079">
        <v>7.09</v>
      </c>
      <c r="J1522" s="1079">
        <v>3.25</v>
      </c>
      <c r="K1522" s="1079">
        <v>6.96</v>
      </c>
      <c r="L1522" s="1079">
        <v>4.57</v>
      </c>
      <c r="M1522" s="1079">
        <v>8.4700000000000006</v>
      </c>
      <c r="N1522" s="1079">
        <v>5.5</v>
      </c>
      <c r="O1522" s="1079">
        <v>10</v>
      </c>
      <c r="P1522" s="1079">
        <v>7.99</v>
      </c>
      <c r="Q1522" s="1079">
        <v>7.09</v>
      </c>
      <c r="R1522" s="1079">
        <v>2.58</v>
      </c>
      <c r="S1522" s="1079">
        <v>8.16</v>
      </c>
      <c r="T1522" s="1079">
        <v>3.33</v>
      </c>
      <c r="U1522" s="1079">
        <v>10</v>
      </c>
      <c r="V1522" s="1079">
        <v>4.26</v>
      </c>
      <c r="W1522" s="1079"/>
      <c r="X1522" s="1079"/>
      <c r="Y1522" s="1079"/>
      <c r="Z1522" s="1079"/>
      <c r="AA1522" s="1079"/>
      <c r="AB1522" s="1079"/>
      <c r="AC1522" s="1079"/>
      <c r="AD1522" s="1080"/>
    </row>
    <row r="1523" spans="1:30" x14ac:dyDescent="0.2">
      <c r="A1523">
        <f t="shared" si="57"/>
        <v>40</v>
      </c>
      <c r="B1523">
        <v>1514</v>
      </c>
      <c r="C1523" s="1078">
        <v>2</v>
      </c>
      <c r="D1523" s="1077" t="s">
        <v>5398</v>
      </c>
      <c r="E1523" s="1077" t="s">
        <v>5514</v>
      </c>
      <c r="F1523" s="1185">
        <v>4</v>
      </c>
      <c r="G1523" s="1079">
        <v>8.5299999999999994</v>
      </c>
      <c r="H1523" s="1079">
        <v>2.93</v>
      </c>
      <c r="I1523" s="1079">
        <v>9.91</v>
      </c>
      <c r="J1523" s="1079">
        <v>3.32</v>
      </c>
      <c r="K1523" s="1079">
        <v>7.41</v>
      </c>
      <c r="L1523" s="1079">
        <v>4.12</v>
      </c>
      <c r="M1523" s="1079">
        <v>6.7</v>
      </c>
      <c r="N1523" s="1079">
        <v>4.99</v>
      </c>
      <c r="O1523" s="1079">
        <v>7.54</v>
      </c>
      <c r="P1523" s="1079">
        <v>6.21</v>
      </c>
      <c r="Q1523" s="1079">
        <v>10.58</v>
      </c>
      <c r="R1523" s="1079">
        <v>2.4900000000000002</v>
      </c>
      <c r="S1523" s="1079">
        <v>8.59</v>
      </c>
      <c r="T1523" s="1079">
        <v>3.3</v>
      </c>
      <c r="U1523" s="1079">
        <v>7.89</v>
      </c>
      <c r="V1523" s="1079">
        <v>3.56</v>
      </c>
      <c r="W1523" s="1079"/>
      <c r="X1523" s="1079"/>
      <c r="Y1523" s="1079"/>
      <c r="Z1523" s="1079"/>
      <c r="AA1523" s="1079"/>
      <c r="AB1523" s="1079"/>
      <c r="AC1523" s="1079"/>
      <c r="AD1523" s="1080"/>
    </row>
    <row r="1524" spans="1:30" x14ac:dyDescent="0.2">
      <c r="A1524">
        <f t="shared" si="57"/>
        <v>40</v>
      </c>
      <c r="B1524">
        <v>1515</v>
      </c>
      <c r="C1524" s="1078">
        <v>2</v>
      </c>
      <c r="D1524" s="1077" t="s">
        <v>5398</v>
      </c>
      <c r="E1524" s="1077" t="s">
        <v>5699</v>
      </c>
      <c r="F1524" s="1185">
        <v>4</v>
      </c>
      <c r="G1524" s="1079">
        <v>7.84</v>
      </c>
      <c r="H1524" s="1079">
        <v>2.76</v>
      </c>
      <c r="I1524" s="1079">
        <v>9.9</v>
      </c>
      <c r="J1524" s="1079">
        <v>3.36</v>
      </c>
      <c r="K1524" s="1079">
        <v>7.82</v>
      </c>
      <c r="L1524" s="1079">
        <v>3.82</v>
      </c>
      <c r="M1524" s="1079">
        <v>8.24</v>
      </c>
      <c r="N1524" s="1079">
        <v>4.6100000000000003</v>
      </c>
      <c r="O1524" s="1079">
        <v>10.34</v>
      </c>
      <c r="P1524" s="1079">
        <v>5.92</v>
      </c>
      <c r="Q1524" s="1079">
        <v>9.49</v>
      </c>
      <c r="R1524" s="1079">
        <v>2.36</v>
      </c>
      <c r="S1524" s="1079">
        <v>9.0299999999999994</v>
      </c>
      <c r="T1524" s="1079">
        <v>3.14</v>
      </c>
      <c r="U1524" s="1079">
        <v>11.06</v>
      </c>
      <c r="V1524" s="1079">
        <v>3.79</v>
      </c>
      <c r="W1524" s="1079"/>
      <c r="X1524" s="1079"/>
      <c r="Y1524" s="1079"/>
      <c r="Z1524" s="1079"/>
      <c r="AA1524" s="1079"/>
      <c r="AB1524" s="1079"/>
      <c r="AC1524" s="1079"/>
      <c r="AD1524" s="1080"/>
    </row>
    <row r="1525" spans="1:30" x14ac:dyDescent="0.2">
      <c r="A1525">
        <f t="shared" si="57"/>
        <v>40</v>
      </c>
      <c r="B1525">
        <v>1516</v>
      </c>
      <c r="C1525" s="1078">
        <v>2</v>
      </c>
      <c r="D1525" s="1077" t="s">
        <v>5398</v>
      </c>
      <c r="E1525" s="1077" t="s">
        <v>5700</v>
      </c>
      <c r="F1525" s="1185">
        <v>4</v>
      </c>
      <c r="G1525" s="1079">
        <v>11.28</v>
      </c>
      <c r="H1525" s="1079">
        <v>2.71</v>
      </c>
      <c r="I1525" s="1079">
        <v>12.34</v>
      </c>
      <c r="J1525" s="1079">
        <v>3</v>
      </c>
      <c r="K1525" s="1079">
        <v>7.82</v>
      </c>
      <c r="L1525" s="1079">
        <v>3.82</v>
      </c>
      <c r="M1525" s="1079">
        <v>8.24</v>
      </c>
      <c r="N1525" s="1079">
        <v>4.6100000000000003</v>
      </c>
      <c r="O1525" s="1079">
        <v>10.34</v>
      </c>
      <c r="P1525" s="1079">
        <v>5.92</v>
      </c>
      <c r="Q1525" s="1079">
        <v>12.73</v>
      </c>
      <c r="R1525" s="1079">
        <v>2.2799999999999998</v>
      </c>
      <c r="S1525" s="1079">
        <v>9.0299999999999994</v>
      </c>
      <c r="T1525" s="1079">
        <v>3.14</v>
      </c>
      <c r="U1525" s="1079">
        <v>11.06</v>
      </c>
      <c r="V1525" s="1079">
        <v>3.79</v>
      </c>
      <c r="W1525" s="1079"/>
      <c r="X1525" s="1079"/>
      <c r="Y1525" s="1079"/>
      <c r="Z1525" s="1079"/>
      <c r="AA1525" s="1079"/>
      <c r="AB1525" s="1079"/>
      <c r="AC1525" s="1079"/>
      <c r="AD1525" s="1080"/>
    </row>
    <row r="1526" spans="1:30" x14ac:dyDescent="0.2">
      <c r="A1526">
        <f t="shared" si="57"/>
        <v>40</v>
      </c>
      <c r="B1526">
        <v>1517</v>
      </c>
      <c r="C1526" s="1078">
        <v>2</v>
      </c>
      <c r="D1526" s="1077" t="s">
        <v>5398</v>
      </c>
      <c r="E1526" s="1077" t="s">
        <v>5701</v>
      </c>
      <c r="F1526" s="1185">
        <v>4</v>
      </c>
      <c r="G1526" s="1079">
        <v>10.199999999999999</v>
      </c>
      <c r="H1526" s="1079">
        <v>2.81</v>
      </c>
      <c r="I1526" s="1079">
        <v>11.6</v>
      </c>
      <c r="J1526" s="1079">
        <v>3.04</v>
      </c>
      <c r="K1526" s="1079">
        <v>7.82</v>
      </c>
      <c r="L1526" s="1079">
        <v>3.82</v>
      </c>
      <c r="M1526" s="1079">
        <v>8.24</v>
      </c>
      <c r="N1526" s="1079">
        <v>4.6100000000000003</v>
      </c>
      <c r="O1526" s="1079">
        <v>10.34</v>
      </c>
      <c r="P1526" s="1079">
        <v>5.92</v>
      </c>
      <c r="Q1526" s="1079">
        <v>12</v>
      </c>
      <c r="R1526" s="1079">
        <v>2.41</v>
      </c>
      <c r="S1526" s="1079">
        <v>9.0299999999999994</v>
      </c>
      <c r="T1526" s="1079">
        <v>3.14</v>
      </c>
      <c r="U1526" s="1079">
        <v>11.06</v>
      </c>
      <c r="V1526" s="1079">
        <v>3.79</v>
      </c>
      <c r="W1526" s="1079"/>
      <c r="X1526" s="1079"/>
      <c r="Y1526" s="1079"/>
      <c r="Z1526" s="1079"/>
      <c r="AA1526" s="1079"/>
      <c r="AB1526" s="1079"/>
      <c r="AC1526" s="1079"/>
      <c r="AD1526" s="1080"/>
    </row>
    <row r="1527" spans="1:30" x14ac:dyDescent="0.2">
      <c r="A1527">
        <f t="shared" si="57"/>
        <v>40</v>
      </c>
      <c r="B1527">
        <v>1518</v>
      </c>
      <c r="C1527" s="1078">
        <v>2</v>
      </c>
      <c r="D1527" s="1077" t="s">
        <v>5398</v>
      </c>
      <c r="E1527" s="1077" t="s">
        <v>5447</v>
      </c>
      <c r="F1527" s="1185">
        <v>1</v>
      </c>
      <c r="G1527" s="1079">
        <v>5.2</v>
      </c>
      <c r="H1527" s="1079">
        <v>2.6</v>
      </c>
      <c r="I1527" s="1079">
        <v>6.77</v>
      </c>
      <c r="J1527" s="1079">
        <v>3.2</v>
      </c>
      <c r="K1527" s="1079">
        <v>8.09</v>
      </c>
      <c r="L1527" s="1079">
        <v>3.76</v>
      </c>
      <c r="M1527" s="1079">
        <v>8.93</v>
      </c>
      <c r="N1527" s="1079">
        <v>4.3499999999999996</v>
      </c>
      <c r="O1527" s="1079">
        <v>12.5</v>
      </c>
      <c r="P1527" s="1079">
        <v>4.9000000000000004</v>
      </c>
      <c r="Q1527" s="1079">
        <v>6.9</v>
      </c>
      <c r="R1527" s="1079">
        <v>2.2999999999999998</v>
      </c>
      <c r="S1527" s="1079">
        <v>8.1</v>
      </c>
      <c r="T1527" s="1079">
        <v>2.9</v>
      </c>
      <c r="U1527" s="1079">
        <v>11.1</v>
      </c>
      <c r="V1527" s="1079">
        <v>3.8</v>
      </c>
      <c r="W1527" s="1079"/>
      <c r="X1527" s="1079"/>
      <c r="Y1527" s="1079"/>
      <c r="Z1527" s="1079"/>
      <c r="AA1527" s="1079"/>
      <c r="AB1527" s="1079"/>
      <c r="AC1527" s="1079"/>
      <c r="AD1527" s="1080"/>
    </row>
    <row r="1528" spans="1:30" x14ac:dyDescent="0.2">
      <c r="A1528">
        <f t="shared" si="57"/>
        <v>40</v>
      </c>
      <c r="B1528">
        <v>1519</v>
      </c>
      <c r="C1528" s="1078">
        <v>2</v>
      </c>
      <c r="D1528" s="1077" t="s">
        <v>5398</v>
      </c>
      <c r="E1528" s="1077" t="s">
        <v>5448</v>
      </c>
      <c r="F1528" s="1185">
        <v>1</v>
      </c>
      <c r="G1528" s="1079">
        <v>5.2</v>
      </c>
      <c r="H1528" s="1079">
        <v>2.6</v>
      </c>
      <c r="I1528" s="1079">
        <v>6.6</v>
      </c>
      <c r="J1528" s="1079">
        <v>3.2</v>
      </c>
      <c r="K1528" s="1079">
        <v>8.1</v>
      </c>
      <c r="L1528" s="1079">
        <v>3.4</v>
      </c>
      <c r="M1528" s="1079">
        <v>9.1</v>
      </c>
      <c r="N1528" s="1079">
        <v>4.3499999999999996</v>
      </c>
      <c r="O1528" s="1079">
        <v>12.1</v>
      </c>
      <c r="P1528" s="1079">
        <v>4.8</v>
      </c>
      <c r="Q1528" s="1079">
        <v>7</v>
      </c>
      <c r="R1528" s="1079">
        <v>2.2000000000000002</v>
      </c>
      <c r="S1528" s="1079">
        <v>8.6</v>
      </c>
      <c r="T1528" s="1079">
        <v>2.7</v>
      </c>
      <c r="U1528" s="1079">
        <v>11.6</v>
      </c>
      <c r="V1528" s="1079">
        <v>3.5</v>
      </c>
      <c r="W1528" s="1079"/>
      <c r="X1528" s="1079"/>
      <c r="Y1528" s="1079"/>
      <c r="Z1528" s="1079"/>
      <c r="AA1528" s="1079"/>
      <c r="AB1528" s="1079"/>
      <c r="AC1528" s="1079"/>
      <c r="AD1528" s="1080"/>
    </row>
    <row r="1529" spans="1:30" x14ac:dyDescent="0.2">
      <c r="A1529">
        <f t="shared" si="57"/>
        <v>40</v>
      </c>
      <c r="B1529">
        <v>1520</v>
      </c>
      <c r="C1529" s="1078">
        <v>2</v>
      </c>
      <c r="D1529" s="1077" t="s">
        <v>5398</v>
      </c>
      <c r="E1529" s="1077" t="s">
        <v>5702</v>
      </c>
      <c r="F1529" s="1185">
        <v>4</v>
      </c>
      <c r="G1529" s="1079">
        <v>8.51</v>
      </c>
      <c r="H1529" s="1079">
        <v>2.92</v>
      </c>
      <c r="I1529" s="1079">
        <v>9.5399999999999991</v>
      </c>
      <c r="J1529" s="1079">
        <v>3.26</v>
      </c>
      <c r="K1529" s="1079">
        <v>8.33</v>
      </c>
      <c r="L1529" s="1079">
        <v>4.1399999999999997</v>
      </c>
      <c r="M1529" s="1079">
        <v>7.84</v>
      </c>
      <c r="N1529" s="1079">
        <v>5.09</v>
      </c>
      <c r="O1529" s="1079">
        <v>11.4</v>
      </c>
      <c r="P1529" s="1079">
        <v>6.43</v>
      </c>
      <c r="Q1529" s="1079">
        <v>10.73</v>
      </c>
      <c r="R1529" s="1079">
        <v>2.62</v>
      </c>
      <c r="S1529" s="1079">
        <v>7.3</v>
      </c>
      <c r="T1529" s="1079">
        <v>3.1</v>
      </c>
      <c r="U1529" s="1079">
        <v>9.8000000000000007</v>
      </c>
      <c r="V1529" s="1079">
        <v>3.85</v>
      </c>
      <c r="W1529" s="1079"/>
      <c r="X1529" s="1079"/>
      <c r="Y1529" s="1079"/>
      <c r="Z1529" s="1079"/>
      <c r="AA1529" s="1079"/>
      <c r="AB1529" s="1079"/>
      <c r="AC1529" s="1079"/>
      <c r="AD1529" s="1080"/>
    </row>
    <row r="1530" spans="1:30" x14ac:dyDescent="0.2">
      <c r="A1530">
        <f t="shared" si="57"/>
        <v>40</v>
      </c>
      <c r="B1530">
        <v>1521</v>
      </c>
      <c r="C1530" s="1078">
        <v>2</v>
      </c>
      <c r="D1530" s="1077" t="s">
        <v>5398</v>
      </c>
      <c r="E1530" s="1077" t="s">
        <v>5703</v>
      </c>
      <c r="F1530" s="1185">
        <v>4</v>
      </c>
      <c r="G1530" s="1079">
        <v>12.05</v>
      </c>
      <c r="H1530" s="1079">
        <v>2.69</v>
      </c>
      <c r="I1530" s="1079">
        <v>12.86</v>
      </c>
      <c r="J1530" s="1079">
        <v>2.93</v>
      </c>
      <c r="K1530" s="1079">
        <v>8.33</v>
      </c>
      <c r="L1530" s="1079">
        <v>4.1399999999999997</v>
      </c>
      <c r="M1530" s="1079">
        <v>7.84</v>
      </c>
      <c r="N1530" s="1079">
        <v>5.09</v>
      </c>
      <c r="O1530" s="1079">
        <v>11.4</v>
      </c>
      <c r="P1530" s="1079">
        <v>6.43</v>
      </c>
      <c r="Q1530" s="1079">
        <v>13.93</v>
      </c>
      <c r="R1530" s="1079">
        <v>2.42</v>
      </c>
      <c r="S1530" s="1079">
        <v>7.3</v>
      </c>
      <c r="T1530" s="1079">
        <v>3.1</v>
      </c>
      <c r="U1530" s="1079">
        <v>9.8000000000000007</v>
      </c>
      <c r="V1530" s="1079">
        <v>3.85</v>
      </c>
      <c r="W1530" s="1079"/>
      <c r="X1530" s="1079"/>
      <c r="Y1530" s="1079"/>
      <c r="Z1530" s="1079"/>
      <c r="AA1530" s="1079"/>
      <c r="AB1530" s="1079"/>
      <c r="AC1530" s="1079"/>
      <c r="AD1530" s="1080"/>
    </row>
    <row r="1531" spans="1:30" x14ac:dyDescent="0.2">
      <c r="A1531">
        <f t="shared" si="57"/>
        <v>40</v>
      </c>
      <c r="B1531">
        <v>1522</v>
      </c>
      <c r="C1531" s="1078">
        <v>2</v>
      </c>
      <c r="D1531" s="1077" t="s">
        <v>5398</v>
      </c>
      <c r="E1531" s="1077" t="s">
        <v>5449</v>
      </c>
      <c r="F1531" s="1185">
        <v>4</v>
      </c>
      <c r="G1531" s="1079">
        <v>12.98</v>
      </c>
      <c r="H1531" s="1079">
        <v>2.69</v>
      </c>
      <c r="I1531" s="1079">
        <v>13.45</v>
      </c>
      <c r="J1531" s="1079">
        <v>3</v>
      </c>
      <c r="K1531" s="1079">
        <v>9.0399999999999991</v>
      </c>
      <c r="L1531" s="1079">
        <v>4</v>
      </c>
      <c r="M1531" s="1079">
        <v>7.41</v>
      </c>
      <c r="N1531" s="1079">
        <v>4.72</v>
      </c>
      <c r="O1531" s="1079">
        <v>7.54</v>
      </c>
      <c r="P1531" s="1079">
        <v>6.21</v>
      </c>
      <c r="Q1531" s="1079">
        <v>15.46</v>
      </c>
      <c r="R1531" s="1079">
        <v>2.34</v>
      </c>
      <c r="S1531" s="1079">
        <v>10.42</v>
      </c>
      <c r="T1531" s="1079">
        <v>3.19</v>
      </c>
      <c r="U1531" s="1079">
        <v>7.89</v>
      </c>
      <c r="V1531" s="1079">
        <v>3.56</v>
      </c>
      <c r="W1531" s="1079"/>
      <c r="X1531" s="1079"/>
      <c r="Y1531" s="1079"/>
      <c r="Z1531" s="1079"/>
      <c r="AA1531" s="1079"/>
      <c r="AB1531" s="1079"/>
      <c r="AC1531" s="1079"/>
      <c r="AD1531" s="1080"/>
    </row>
    <row r="1532" spans="1:30" x14ac:dyDescent="0.2">
      <c r="A1532">
        <f t="shared" si="57"/>
        <v>40</v>
      </c>
      <c r="B1532">
        <v>1523</v>
      </c>
      <c r="C1532" s="1078">
        <v>2</v>
      </c>
      <c r="D1532" s="1077" t="s">
        <v>5398</v>
      </c>
      <c r="E1532" s="1077" t="s">
        <v>5692</v>
      </c>
      <c r="F1532" s="1185">
        <v>4</v>
      </c>
      <c r="G1532" s="1079">
        <v>8.7899999999999991</v>
      </c>
      <c r="H1532" s="1079">
        <v>2.59</v>
      </c>
      <c r="I1532" s="1079">
        <v>9.4499999999999993</v>
      </c>
      <c r="J1532" s="1079">
        <v>2.8</v>
      </c>
      <c r="K1532" s="1079">
        <v>9.23</v>
      </c>
      <c r="L1532" s="1079">
        <v>4.57</v>
      </c>
      <c r="M1532" s="1079">
        <v>10.81</v>
      </c>
      <c r="N1532" s="1079">
        <v>5.5</v>
      </c>
      <c r="O1532" s="1079">
        <v>12</v>
      </c>
      <c r="P1532" s="1079">
        <v>6.75</v>
      </c>
      <c r="Q1532" s="1079">
        <v>8.41</v>
      </c>
      <c r="R1532" s="1079">
        <v>2.1</v>
      </c>
      <c r="S1532" s="1079">
        <v>8.67</v>
      </c>
      <c r="T1532" s="1079">
        <v>7.8</v>
      </c>
      <c r="U1532" s="1079">
        <v>13.38</v>
      </c>
      <c r="V1532" s="1079">
        <v>4.26</v>
      </c>
      <c r="W1532" s="1079"/>
      <c r="X1532" s="1079"/>
      <c r="Y1532" s="1079"/>
      <c r="Z1532" s="1079"/>
      <c r="AA1532" s="1079"/>
      <c r="AB1532" s="1079"/>
      <c r="AC1532" s="1079"/>
      <c r="AD1532" s="1080"/>
    </row>
    <row r="1533" spans="1:30" x14ac:dyDescent="0.2">
      <c r="A1533">
        <f t="shared" si="57"/>
        <v>40</v>
      </c>
      <c r="B1533">
        <v>1524</v>
      </c>
      <c r="C1533" s="1078">
        <v>2</v>
      </c>
      <c r="D1533" s="1077" t="s">
        <v>5398</v>
      </c>
      <c r="E1533" s="1077" t="s">
        <v>5693</v>
      </c>
      <c r="F1533" s="1185">
        <v>4</v>
      </c>
      <c r="G1533" s="1079">
        <v>8.98</v>
      </c>
      <c r="H1533" s="1079">
        <v>2.78</v>
      </c>
      <c r="I1533" s="1079">
        <v>10.07</v>
      </c>
      <c r="J1533" s="1079">
        <v>3.15</v>
      </c>
      <c r="K1533" s="1079">
        <v>9.84</v>
      </c>
      <c r="L1533" s="1079">
        <v>4.54</v>
      </c>
      <c r="M1533" s="1079">
        <v>11.97</v>
      </c>
      <c r="N1533" s="1079">
        <v>5.4</v>
      </c>
      <c r="O1533" s="1079">
        <v>14</v>
      </c>
      <c r="P1533" s="1079">
        <v>8.01</v>
      </c>
      <c r="Q1533" s="1079">
        <v>10.02</v>
      </c>
      <c r="R1533" s="1079">
        <v>2.48</v>
      </c>
      <c r="S1533" s="1079">
        <v>11.63</v>
      </c>
      <c r="T1533" s="1079">
        <v>3.33</v>
      </c>
      <c r="U1533" s="1079">
        <v>14</v>
      </c>
      <c r="V1533" s="1079">
        <v>4.3099999999999996</v>
      </c>
      <c r="W1533" s="1079"/>
      <c r="X1533" s="1079"/>
      <c r="Y1533" s="1079"/>
      <c r="Z1533" s="1079"/>
      <c r="AA1533" s="1079"/>
      <c r="AB1533" s="1079"/>
      <c r="AC1533" s="1079"/>
      <c r="AD1533" s="1080"/>
    </row>
    <row r="1534" spans="1:30" x14ac:dyDescent="0.2">
      <c r="A1534">
        <f t="shared" si="57"/>
        <v>40</v>
      </c>
      <c r="B1534">
        <v>1525</v>
      </c>
      <c r="C1534" s="1078">
        <v>2</v>
      </c>
      <c r="D1534" s="1077" t="s">
        <v>5398</v>
      </c>
      <c r="E1534" s="1077" t="s">
        <v>5450</v>
      </c>
      <c r="F1534" s="1185">
        <v>1</v>
      </c>
      <c r="G1534" s="1079">
        <v>7.8</v>
      </c>
      <c r="H1534" s="1079">
        <v>2.66</v>
      </c>
      <c r="I1534" s="1079">
        <v>9.7200000000000006</v>
      </c>
      <c r="J1534" s="1079">
        <v>3.27</v>
      </c>
      <c r="K1534" s="1079">
        <v>11.3</v>
      </c>
      <c r="L1534" s="1079">
        <v>3.7</v>
      </c>
      <c r="M1534" s="1079">
        <v>12.9</v>
      </c>
      <c r="N1534" s="1079">
        <v>4.46</v>
      </c>
      <c r="O1534" s="1079">
        <v>16.100000000000001</v>
      </c>
      <c r="P1534" s="1079">
        <v>5.37</v>
      </c>
      <c r="Q1534" s="1079">
        <v>10.3</v>
      </c>
      <c r="R1534" s="1079">
        <v>2.2400000000000002</v>
      </c>
      <c r="S1534" s="1079">
        <v>11.3</v>
      </c>
      <c r="T1534" s="1079">
        <v>2.79</v>
      </c>
      <c r="U1534" s="1079">
        <v>15.1</v>
      </c>
      <c r="V1534" s="1079">
        <v>3.47</v>
      </c>
      <c r="W1534" s="1079"/>
      <c r="X1534" s="1079"/>
      <c r="Y1534" s="1079"/>
      <c r="Z1534" s="1079"/>
      <c r="AA1534" s="1079"/>
      <c r="AB1534" s="1079"/>
      <c r="AC1534" s="1079"/>
      <c r="AD1534" s="1080"/>
    </row>
    <row r="1535" spans="1:30" x14ac:dyDescent="0.2">
      <c r="A1535">
        <f t="shared" si="57"/>
        <v>40</v>
      </c>
      <c r="B1535">
        <v>1526</v>
      </c>
      <c r="C1535" s="1078">
        <v>2</v>
      </c>
      <c r="D1535" s="1077" t="s">
        <v>5398</v>
      </c>
      <c r="E1535" s="1077" t="s">
        <v>5694</v>
      </c>
      <c r="F1535" s="1185">
        <v>4</v>
      </c>
      <c r="G1535" s="1079">
        <v>11.73</v>
      </c>
      <c r="H1535" s="1079">
        <v>2.5499999999999998</v>
      </c>
      <c r="I1535" s="1079">
        <v>12.47</v>
      </c>
      <c r="J1535" s="1079">
        <v>2.75</v>
      </c>
      <c r="K1535" s="1079">
        <v>11.99</v>
      </c>
      <c r="L1535" s="1079">
        <v>4.54</v>
      </c>
      <c r="M1535" s="1079">
        <v>13.92</v>
      </c>
      <c r="N1535" s="1079">
        <v>5.4</v>
      </c>
      <c r="O1535" s="1079">
        <v>14.6</v>
      </c>
      <c r="P1535" s="1079">
        <v>8.01</v>
      </c>
      <c r="Q1535" s="1079">
        <v>12.41</v>
      </c>
      <c r="R1535" s="1079">
        <v>2.29</v>
      </c>
      <c r="S1535" s="1079">
        <v>14.19</v>
      </c>
      <c r="T1535" s="1079">
        <v>3.33</v>
      </c>
      <c r="U1535" s="1079">
        <v>18</v>
      </c>
      <c r="V1535" s="1079">
        <v>4.3099999999999996</v>
      </c>
      <c r="W1535" s="1079"/>
      <c r="X1535" s="1079"/>
      <c r="Y1535" s="1079"/>
      <c r="Z1535" s="1079"/>
      <c r="AA1535" s="1079"/>
      <c r="AB1535" s="1079"/>
      <c r="AC1535" s="1079"/>
      <c r="AD1535" s="1080"/>
    </row>
    <row r="1536" spans="1:30" x14ac:dyDescent="0.2">
      <c r="A1536">
        <f t="shared" si="57"/>
        <v>40</v>
      </c>
      <c r="B1536">
        <v>1527</v>
      </c>
      <c r="C1536" s="1078">
        <v>2</v>
      </c>
      <c r="D1536" s="1077" t="s">
        <v>5398</v>
      </c>
      <c r="E1536" s="1077" t="s">
        <v>5695</v>
      </c>
      <c r="F1536" s="1185">
        <v>4</v>
      </c>
      <c r="G1536" s="1079">
        <v>11.64</v>
      </c>
      <c r="H1536" s="1079">
        <v>2.74</v>
      </c>
      <c r="I1536" s="1079">
        <v>13.15</v>
      </c>
      <c r="J1536" s="1079">
        <v>3.11</v>
      </c>
      <c r="K1536" s="1079">
        <v>13.04</v>
      </c>
      <c r="L1536" s="1079">
        <v>4.41</v>
      </c>
      <c r="M1536" s="1079">
        <v>15.31</v>
      </c>
      <c r="N1536" s="1079">
        <v>5.41</v>
      </c>
      <c r="O1536" s="1079">
        <v>18.2</v>
      </c>
      <c r="P1536" s="1079">
        <v>7.84</v>
      </c>
      <c r="Q1536" s="1079">
        <v>13.11</v>
      </c>
      <c r="R1536" s="1079">
        <v>2.5</v>
      </c>
      <c r="S1536" s="1079">
        <v>14.99</v>
      </c>
      <c r="T1536" s="1079">
        <v>3.33</v>
      </c>
      <c r="U1536" s="1079">
        <v>18.2</v>
      </c>
      <c r="V1536" s="1079">
        <v>4.29</v>
      </c>
      <c r="W1536" s="1079"/>
      <c r="X1536" s="1079"/>
      <c r="Y1536" s="1079"/>
      <c r="Z1536" s="1079"/>
      <c r="AA1536" s="1079"/>
      <c r="AB1536" s="1079"/>
      <c r="AC1536" s="1079"/>
      <c r="AD1536" s="1080"/>
    </row>
    <row r="1537" spans="1:30" x14ac:dyDescent="0.2">
      <c r="A1537">
        <f t="shared" si="57"/>
        <v>40</v>
      </c>
      <c r="B1537">
        <v>1528</v>
      </c>
      <c r="C1537" s="1078">
        <v>2</v>
      </c>
      <c r="D1537" s="1077" t="s">
        <v>5398</v>
      </c>
      <c r="E1537" s="1077" t="s">
        <v>5451</v>
      </c>
      <c r="F1537" s="1185">
        <v>1</v>
      </c>
      <c r="G1537" s="1079">
        <v>10.3</v>
      </c>
      <c r="H1537" s="1079">
        <v>2.67</v>
      </c>
      <c r="I1537" s="1079">
        <v>12.27</v>
      </c>
      <c r="J1537" s="1079">
        <v>2.91</v>
      </c>
      <c r="K1537" s="1079">
        <v>14.14</v>
      </c>
      <c r="L1537" s="1079">
        <v>3.23</v>
      </c>
      <c r="M1537" s="1079">
        <v>14.45</v>
      </c>
      <c r="N1537" s="1079">
        <v>3.52</v>
      </c>
      <c r="O1537" s="1079">
        <v>20.3</v>
      </c>
      <c r="P1537" s="1079">
        <v>4.74</v>
      </c>
      <c r="Q1537" s="1079">
        <v>13.8</v>
      </c>
      <c r="R1537" s="1079">
        <v>2.2400000000000002</v>
      </c>
      <c r="S1537" s="1079">
        <v>15.5</v>
      </c>
      <c r="T1537" s="1079">
        <v>2.77</v>
      </c>
      <c r="U1537" s="1079">
        <v>18.899999999999999</v>
      </c>
      <c r="V1537" s="1079">
        <v>3.03</v>
      </c>
      <c r="W1537" s="1079"/>
      <c r="X1537" s="1079"/>
      <c r="Y1537" s="1079"/>
      <c r="Z1537" s="1079"/>
      <c r="AA1537" s="1079"/>
      <c r="AB1537" s="1079"/>
      <c r="AC1537" s="1079"/>
      <c r="AD1537" s="1080"/>
    </row>
    <row r="1538" spans="1:30" x14ac:dyDescent="0.2">
      <c r="A1538">
        <f t="shared" si="57"/>
        <v>40</v>
      </c>
      <c r="B1538">
        <v>1529</v>
      </c>
      <c r="C1538" s="1078">
        <v>2</v>
      </c>
      <c r="D1538" s="1077" t="s">
        <v>5398</v>
      </c>
      <c r="E1538" s="1077" t="s">
        <v>5696</v>
      </c>
      <c r="F1538" s="1185">
        <v>4</v>
      </c>
      <c r="G1538" s="1079">
        <v>15.06</v>
      </c>
      <c r="H1538" s="1079">
        <v>2.33</v>
      </c>
      <c r="I1538" s="1079">
        <v>17.36</v>
      </c>
      <c r="J1538" s="1079">
        <v>2.62</v>
      </c>
      <c r="K1538" s="1079">
        <v>17.93</v>
      </c>
      <c r="L1538" s="1079">
        <v>4.41</v>
      </c>
      <c r="M1538" s="1079">
        <v>19.64</v>
      </c>
      <c r="N1538" s="1079">
        <v>5.41</v>
      </c>
      <c r="O1538" s="1079">
        <v>24</v>
      </c>
      <c r="P1538" s="1079">
        <v>7.84</v>
      </c>
      <c r="Q1538" s="1079">
        <v>17.88</v>
      </c>
      <c r="R1538" s="1079">
        <v>2.2400000000000002</v>
      </c>
      <c r="S1538" s="1079">
        <v>20.53</v>
      </c>
      <c r="T1538" s="1079">
        <v>3.36</v>
      </c>
      <c r="U1538" s="1079">
        <v>23.8</v>
      </c>
      <c r="V1538" s="1079">
        <v>4.29</v>
      </c>
      <c r="W1538" s="1079"/>
      <c r="X1538" s="1079"/>
      <c r="Y1538" s="1079"/>
      <c r="Z1538" s="1079"/>
      <c r="AA1538" s="1079"/>
      <c r="AB1538" s="1079"/>
      <c r="AC1538" s="1079"/>
      <c r="AD1538" s="1080"/>
    </row>
    <row r="1539" spans="1:30" x14ac:dyDescent="0.2">
      <c r="A1539">
        <f t="shared" si="57"/>
        <v>40</v>
      </c>
      <c r="B1539">
        <v>1530</v>
      </c>
      <c r="C1539" s="1078">
        <v>3</v>
      </c>
      <c r="D1539" s="1077" t="s">
        <v>5398</v>
      </c>
      <c r="E1539" s="1077" t="s">
        <v>5697</v>
      </c>
      <c r="F1539" s="1185">
        <v>4</v>
      </c>
      <c r="G1539" s="1079"/>
      <c r="H1539" s="1079"/>
      <c r="I1539" s="1079"/>
      <c r="J1539" s="1079"/>
      <c r="K1539" s="1079"/>
      <c r="L1539" s="1079"/>
      <c r="M1539" s="1079"/>
      <c r="N1539" s="1079"/>
      <c r="O1539" s="1079"/>
      <c r="P1539" s="1079"/>
      <c r="Q1539" s="1079"/>
      <c r="R1539" s="1079"/>
      <c r="S1539" s="1079"/>
      <c r="T1539" s="1079"/>
      <c r="U1539" s="1079"/>
      <c r="V1539" s="1079"/>
      <c r="W1539" s="1079">
        <v>3.36</v>
      </c>
      <c r="X1539" s="1079">
        <v>4.62</v>
      </c>
      <c r="Y1539" s="1079">
        <v>2.66</v>
      </c>
      <c r="Z1539" s="1079">
        <v>2.63</v>
      </c>
      <c r="AA1539" s="1079">
        <v>4.1900000000000004</v>
      </c>
      <c r="AB1539" s="1079">
        <v>6.16</v>
      </c>
      <c r="AC1539" s="1079">
        <v>3.61</v>
      </c>
      <c r="AD1539" s="1080">
        <v>3.43</v>
      </c>
    </row>
    <row r="1540" spans="1:30" x14ac:dyDescent="0.2">
      <c r="A1540">
        <f t="shared" si="57"/>
        <v>40</v>
      </c>
      <c r="B1540">
        <v>1531</v>
      </c>
      <c r="C1540" s="1078">
        <v>3</v>
      </c>
      <c r="D1540" s="1077" t="s">
        <v>5398</v>
      </c>
      <c r="E1540" s="1077" t="s">
        <v>5452</v>
      </c>
      <c r="F1540" s="1185">
        <v>4</v>
      </c>
      <c r="G1540" s="1079"/>
      <c r="H1540" s="1079"/>
      <c r="I1540" s="1079"/>
      <c r="J1540" s="1079"/>
      <c r="K1540" s="1079"/>
      <c r="L1540" s="1079"/>
      <c r="M1540" s="1079"/>
      <c r="N1540" s="1079"/>
      <c r="O1540" s="1079"/>
      <c r="P1540" s="1079"/>
      <c r="Q1540" s="1079"/>
      <c r="R1540" s="1079"/>
      <c r="S1540" s="1079"/>
      <c r="T1540" s="1079"/>
      <c r="U1540" s="1079"/>
      <c r="V1540" s="1079"/>
      <c r="W1540" s="1079">
        <v>4.2</v>
      </c>
      <c r="X1540" s="1079">
        <v>4.5999999999999996</v>
      </c>
      <c r="Y1540" s="1079">
        <v>3.7</v>
      </c>
      <c r="Z1540" s="1079">
        <v>2.73</v>
      </c>
      <c r="AA1540" s="1079">
        <v>5.71</v>
      </c>
      <c r="AB1540" s="1079">
        <v>6.3</v>
      </c>
      <c r="AC1540" s="1079">
        <v>5.16</v>
      </c>
      <c r="AD1540" s="1080">
        <v>3.75</v>
      </c>
    </row>
    <row r="1541" spans="1:30" x14ac:dyDescent="0.2">
      <c r="A1541">
        <f t="shared" si="57"/>
        <v>40</v>
      </c>
      <c r="B1541">
        <v>1532</v>
      </c>
      <c r="C1541" s="1078">
        <v>3</v>
      </c>
      <c r="D1541" s="1077" t="s">
        <v>5398</v>
      </c>
      <c r="E1541" s="1077" t="s">
        <v>5453</v>
      </c>
      <c r="F1541" s="1185">
        <v>4</v>
      </c>
      <c r="G1541" s="1079"/>
      <c r="H1541" s="1079"/>
      <c r="I1541" s="1079"/>
      <c r="J1541" s="1079"/>
      <c r="K1541" s="1079"/>
      <c r="L1541" s="1079"/>
      <c r="M1541" s="1079"/>
      <c r="N1541" s="1079"/>
      <c r="O1541" s="1079"/>
      <c r="P1541" s="1079"/>
      <c r="Q1541" s="1079"/>
      <c r="R1541" s="1079"/>
      <c r="S1541" s="1079"/>
      <c r="T1541" s="1079"/>
      <c r="U1541" s="1079"/>
      <c r="V1541" s="1079"/>
      <c r="W1541" s="1079">
        <v>4.2</v>
      </c>
      <c r="X1541" s="1079">
        <v>4.5999999999999996</v>
      </c>
      <c r="Y1541" s="1079">
        <v>3.7</v>
      </c>
      <c r="Z1541" s="1079">
        <v>2.73</v>
      </c>
      <c r="AA1541" s="1079">
        <v>5.71</v>
      </c>
      <c r="AB1541" s="1079">
        <v>6.3</v>
      </c>
      <c r="AC1541" s="1079">
        <v>5.16</v>
      </c>
      <c r="AD1541" s="1080">
        <v>3.75</v>
      </c>
    </row>
    <row r="1542" spans="1:30" x14ac:dyDescent="0.2">
      <c r="A1542">
        <f t="shared" si="57"/>
        <v>40</v>
      </c>
      <c r="B1542">
        <v>1533</v>
      </c>
      <c r="C1542" s="1078">
        <v>3</v>
      </c>
      <c r="D1542" s="1077" t="s">
        <v>5398</v>
      </c>
      <c r="E1542" s="1077" t="s">
        <v>5698</v>
      </c>
      <c r="F1542" s="1185">
        <v>4</v>
      </c>
      <c r="G1542" s="1079"/>
      <c r="H1542" s="1079"/>
      <c r="I1542" s="1079"/>
      <c r="J1542" s="1079"/>
      <c r="K1542" s="1079"/>
      <c r="L1542" s="1079"/>
      <c r="M1542" s="1079"/>
      <c r="N1542" s="1079"/>
      <c r="O1542" s="1079"/>
      <c r="P1542" s="1079"/>
      <c r="Q1542" s="1079"/>
      <c r="R1542" s="1079"/>
      <c r="S1542" s="1079"/>
      <c r="T1542" s="1079"/>
      <c r="U1542" s="1079"/>
      <c r="V1542" s="1079"/>
      <c r="W1542" s="1079">
        <v>6.2</v>
      </c>
      <c r="X1542" s="1079">
        <v>4.87</v>
      </c>
      <c r="Y1542" s="1079">
        <v>5.33</v>
      </c>
      <c r="Z1542" s="1079">
        <v>2.99</v>
      </c>
      <c r="AA1542" s="1079">
        <v>7.9</v>
      </c>
      <c r="AB1542" s="1079">
        <v>6.25</v>
      </c>
      <c r="AC1542" s="1079">
        <v>6.94</v>
      </c>
      <c r="AD1542" s="1080">
        <v>3.73</v>
      </c>
    </row>
    <row r="1543" spans="1:30" x14ac:dyDescent="0.2">
      <c r="A1543">
        <f t="shared" si="57"/>
        <v>40</v>
      </c>
      <c r="B1543">
        <v>1534</v>
      </c>
      <c r="C1543" s="1078">
        <v>3</v>
      </c>
      <c r="D1543" s="1077" t="s">
        <v>5398</v>
      </c>
      <c r="E1543" s="1077" t="s">
        <v>5454</v>
      </c>
      <c r="F1543" s="1185">
        <v>4</v>
      </c>
      <c r="G1543" s="1079"/>
      <c r="H1543" s="1079"/>
      <c r="I1543" s="1079"/>
      <c r="J1543" s="1079"/>
      <c r="K1543" s="1079"/>
      <c r="L1543" s="1079"/>
      <c r="M1543" s="1079"/>
      <c r="N1543" s="1079"/>
      <c r="O1543" s="1079"/>
      <c r="P1543" s="1079"/>
      <c r="Q1543" s="1079"/>
      <c r="R1543" s="1079"/>
      <c r="S1543" s="1079"/>
      <c r="T1543" s="1079"/>
      <c r="U1543" s="1079"/>
      <c r="V1543" s="1079"/>
      <c r="W1543" s="1079">
        <v>6.6</v>
      </c>
      <c r="X1543" s="1079">
        <v>4.5999999999999996</v>
      </c>
      <c r="Y1543" s="1079">
        <v>6</v>
      </c>
      <c r="Z1543" s="1079">
        <v>2.91</v>
      </c>
      <c r="AA1543" s="1079">
        <v>7.36</v>
      </c>
      <c r="AB1543" s="1079">
        <v>6.3</v>
      </c>
      <c r="AC1543" s="1079">
        <v>6.8</v>
      </c>
      <c r="AD1543" s="1080">
        <v>3.77</v>
      </c>
    </row>
    <row r="1544" spans="1:30" x14ac:dyDescent="0.2">
      <c r="A1544">
        <f t="shared" si="57"/>
        <v>40</v>
      </c>
      <c r="B1544">
        <v>1535</v>
      </c>
      <c r="C1544" s="1078">
        <v>3</v>
      </c>
      <c r="D1544" s="1077" t="s">
        <v>5398</v>
      </c>
      <c r="E1544" s="1077" t="s">
        <v>5455</v>
      </c>
      <c r="F1544" s="1185">
        <v>4</v>
      </c>
      <c r="G1544" s="1079"/>
      <c r="H1544" s="1079"/>
      <c r="I1544" s="1079"/>
      <c r="J1544" s="1079"/>
      <c r="K1544" s="1079"/>
      <c r="L1544" s="1079"/>
      <c r="M1544" s="1079"/>
      <c r="N1544" s="1079"/>
      <c r="O1544" s="1079"/>
      <c r="P1544" s="1079"/>
      <c r="Q1544" s="1079"/>
      <c r="R1544" s="1079"/>
      <c r="S1544" s="1079"/>
      <c r="T1544" s="1079"/>
      <c r="U1544" s="1079"/>
      <c r="V1544" s="1079"/>
      <c r="W1544" s="1079">
        <v>6.6</v>
      </c>
      <c r="X1544" s="1079">
        <v>4.5999999999999996</v>
      </c>
      <c r="Y1544" s="1079">
        <v>6</v>
      </c>
      <c r="Z1544" s="1079">
        <v>2.91</v>
      </c>
      <c r="AA1544" s="1079">
        <v>7.36</v>
      </c>
      <c r="AB1544" s="1079">
        <v>6.3</v>
      </c>
      <c r="AC1544" s="1079">
        <v>6.8</v>
      </c>
      <c r="AD1544" s="1080">
        <v>3.77</v>
      </c>
    </row>
    <row r="1545" spans="1:30" x14ac:dyDescent="0.2">
      <c r="A1545">
        <f t="shared" si="57"/>
        <v>40</v>
      </c>
      <c r="B1545">
        <v>1536</v>
      </c>
      <c r="C1545" s="1078">
        <v>3</v>
      </c>
      <c r="D1545" s="1077" t="s">
        <v>5398</v>
      </c>
      <c r="E1545" s="1077" t="s">
        <v>5456</v>
      </c>
      <c r="F1545" s="1185">
        <v>4</v>
      </c>
      <c r="G1545" s="1079"/>
      <c r="H1545" s="1079"/>
      <c r="I1545" s="1079"/>
      <c r="J1545" s="1079"/>
      <c r="K1545" s="1079"/>
      <c r="L1545" s="1079"/>
      <c r="M1545" s="1079"/>
      <c r="N1545" s="1079"/>
      <c r="O1545" s="1079"/>
      <c r="P1545" s="1079"/>
      <c r="Q1545" s="1079"/>
      <c r="R1545" s="1079"/>
      <c r="S1545" s="1079"/>
      <c r="T1545" s="1079"/>
      <c r="U1545" s="1079"/>
      <c r="V1545" s="1079"/>
      <c r="W1545" s="1079">
        <v>7.6</v>
      </c>
      <c r="X1545" s="1079">
        <v>4.67</v>
      </c>
      <c r="Y1545" s="1079">
        <v>6.9</v>
      </c>
      <c r="Z1545" s="1079">
        <v>3.07</v>
      </c>
      <c r="AA1545" s="1079">
        <v>7.36</v>
      </c>
      <c r="AB1545" s="1079">
        <v>6.33</v>
      </c>
      <c r="AC1545" s="1079">
        <v>7.3</v>
      </c>
      <c r="AD1545" s="1080">
        <v>3.85</v>
      </c>
    </row>
    <row r="1546" spans="1:30" x14ac:dyDescent="0.2">
      <c r="A1546">
        <f t="shared" si="57"/>
        <v>40</v>
      </c>
      <c r="B1546">
        <v>1537</v>
      </c>
      <c r="C1546" s="1078">
        <v>3</v>
      </c>
      <c r="D1546" s="1077" t="s">
        <v>5398</v>
      </c>
      <c r="E1546" s="1077" t="s">
        <v>5457</v>
      </c>
      <c r="F1546" s="1185">
        <v>4</v>
      </c>
      <c r="G1546" s="1079"/>
      <c r="H1546" s="1079"/>
      <c r="I1546" s="1079"/>
      <c r="J1546" s="1079"/>
      <c r="K1546" s="1079"/>
      <c r="L1546" s="1079"/>
      <c r="M1546" s="1079"/>
      <c r="N1546" s="1079"/>
      <c r="O1546" s="1079"/>
      <c r="P1546" s="1079"/>
      <c r="Q1546" s="1079"/>
      <c r="R1546" s="1079"/>
      <c r="S1546" s="1079"/>
      <c r="T1546" s="1079"/>
      <c r="U1546" s="1079"/>
      <c r="V1546" s="1079"/>
      <c r="W1546" s="1079">
        <v>7.6</v>
      </c>
      <c r="X1546" s="1079">
        <v>4.67</v>
      </c>
      <c r="Y1546" s="1079">
        <v>6.9</v>
      </c>
      <c r="Z1546" s="1079">
        <v>3.07</v>
      </c>
      <c r="AA1546" s="1079">
        <v>7.36</v>
      </c>
      <c r="AB1546" s="1079">
        <v>6.33</v>
      </c>
      <c r="AC1546" s="1079">
        <v>7.3</v>
      </c>
      <c r="AD1546" s="1080">
        <v>3.85</v>
      </c>
    </row>
    <row r="1547" spans="1:30" x14ac:dyDescent="0.2">
      <c r="A1547">
        <f t="shared" si="57"/>
        <v>40</v>
      </c>
      <c r="B1547">
        <v>1538</v>
      </c>
      <c r="C1547" s="1078">
        <v>3</v>
      </c>
      <c r="D1547" s="1077" t="s">
        <v>5398</v>
      </c>
      <c r="E1547" s="1077" t="s">
        <v>5458</v>
      </c>
      <c r="F1547" s="1185">
        <v>4</v>
      </c>
      <c r="G1547" s="1079"/>
      <c r="H1547" s="1079"/>
      <c r="I1547" s="1079"/>
      <c r="J1547" s="1079"/>
      <c r="K1547" s="1079"/>
      <c r="L1547" s="1079"/>
      <c r="M1547" s="1079"/>
      <c r="N1547" s="1079"/>
      <c r="O1547" s="1079"/>
      <c r="P1547" s="1079"/>
      <c r="Q1547" s="1079"/>
      <c r="R1547" s="1079"/>
      <c r="S1547" s="1079"/>
      <c r="T1547" s="1079"/>
      <c r="U1547" s="1079"/>
      <c r="V1547" s="1079"/>
      <c r="W1547" s="1079">
        <v>12.05</v>
      </c>
      <c r="X1547" s="1079">
        <v>5.01</v>
      </c>
      <c r="Y1547" s="1079">
        <v>10.199999999999999</v>
      </c>
      <c r="Z1547" s="1079">
        <v>3.13</v>
      </c>
      <c r="AA1547" s="1079">
        <v>15.38</v>
      </c>
      <c r="AB1547" s="1079">
        <v>5.86</v>
      </c>
      <c r="AC1547" s="1079">
        <v>15.23</v>
      </c>
      <c r="AD1547" s="1080">
        <v>3.89</v>
      </c>
    </row>
    <row r="1548" spans="1:30" x14ac:dyDescent="0.2">
      <c r="A1548">
        <f t="shared" ref="A1548:A1611" si="58">A1547+(D1548&lt;&gt;D1547)*1</f>
        <v>40</v>
      </c>
      <c r="B1548">
        <v>1539</v>
      </c>
      <c r="C1548" s="1078">
        <v>3</v>
      </c>
      <c r="D1548" s="1077" t="s">
        <v>5398</v>
      </c>
      <c r="E1548" s="1077" t="s">
        <v>5459</v>
      </c>
      <c r="F1548" s="1185">
        <v>4</v>
      </c>
      <c r="G1548" s="1079"/>
      <c r="H1548" s="1079"/>
      <c r="I1548" s="1079"/>
      <c r="J1548" s="1079"/>
      <c r="K1548" s="1079"/>
      <c r="L1548" s="1079"/>
      <c r="M1548" s="1079"/>
      <c r="N1548" s="1079"/>
      <c r="O1548" s="1079"/>
      <c r="P1548" s="1079"/>
      <c r="Q1548" s="1079"/>
      <c r="R1548" s="1079"/>
      <c r="S1548" s="1079"/>
      <c r="T1548" s="1079"/>
      <c r="U1548" s="1079"/>
      <c r="V1548" s="1079"/>
      <c r="W1548" s="1079">
        <v>12.05</v>
      </c>
      <c r="X1548" s="1079">
        <v>5.01</v>
      </c>
      <c r="Y1548" s="1079">
        <v>10.199999999999999</v>
      </c>
      <c r="Z1548" s="1079">
        <v>3.13</v>
      </c>
      <c r="AA1548" s="1079">
        <v>15.38</v>
      </c>
      <c r="AB1548" s="1079">
        <v>5.86</v>
      </c>
      <c r="AC1548" s="1079">
        <v>15.23</v>
      </c>
      <c r="AD1548" s="1080">
        <v>3.89</v>
      </c>
    </row>
    <row r="1549" spans="1:30" x14ac:dyDescent="0.2">
      <c r="A1549">
        <f t="shared" si="58"/>
        <v>40</v>
      </c>
      <c r="B1549">
        <v>1540</v>
      </c>
      <c r="C1549" s="1078">
        <v>3</v>
      </c>
      <c r="D1549" s="1077" t="s">
        <v>5398</v>
      </c>
      <c r="E1549" s="1077" t="s">
        <v>5460</v>
      </c>
      <c r="F1549" s="1185">
        <v>4</v>
      </c>
      <c r="G1549" s="1079"/>
      <c r="H1549" s="1079"/>
      <c r="I1549" s="1079"/>
      <c r="J1549" s="1079"/>
      <c r="K1549" s="1079"/>
      <c r="L1549" s="1079"/>
      <c r="M1549" s="1079"/>
      <c r="N1549" s="1079"/>
      <c r="O1549" s="1079"/>
      <c r="P1549" s="1079"/>
      <c r="Q1549" s="1079"/>
      <c r="R1549" s="1079"/>
      <c r="S1549" s="1079"/>
      <c r="T1549" s="1079"/>
      <c r="U1549" s="1079"/>
      <c r="V1549" s="1079"/>
      <c r="W1549" s="1079">
        <v>13.5</v>
      </c>
      <c r="X1549" s="1079">
        <v>4.8600000000000003</v>
      </c>
      <c r="Y1549" s="1079">
        <v>10.199999999999999</v>
      </c>
      <c r="Z1549" s="1079">
        <v>3.18</v>
      </c>
      <c r="AA1549" s="1079">
        <v>15.33</v>
      </c>
      <c r="AB1549" s="1079">
        <v>5.78</v>
      </c>
      <c r="AC1549" s="1079">
        <v>14.3</v>
      </c>
      <c r="AD1549" s="1080">
        <v>3.92</v>
      </c>
    </row>
    <row r="1550" spans="1:30" x14ac:dyDescent="0.2">
      <c r="A1550">
        <f t="shared" si="58"/>
        <v>40</v>
      </c>
      <c r="B1550">
        <v>1541</v>
      </c>
      <c r="C1550" s="1078">
        <v>3</v>
      </c>
      <c r="D1550" s="1077" t="s">
        <v>5398</v>
      </c>
      <c r="E1550" s="1077" t="s">
        <v>5461</v>
      </c>
      <c r="F1550" s="1185">
        <v>4</v>
      </c>
      <c r="G1550" s="1079"/>
      <c r="H1550" s="1079"/>
      <c r="I1550" s="1079"/>
      <c r="J1550" s="1079"/>
      <c r="K1550" s="1079"/>
      <c r="L1550" s="1079"/>
      <c r="M1550" s="1079"/>
      <c r="N1550" s="1079"/>
      <c r="O1550" s="1079"/>
      <c r="P1550" s="1079"/>
      <c r="Q1550" s="1079"/>
      <c r="R1550" s="1079"/>
      <c r="S1550" s="1079"/>
      <c r="T1550" s="1079"/>
      <c r="U1550" s="1079"/>
      <c r="V1550" s="1079"/>
      <c r="W1550" s="1079">
        <v>13.5</v>
      </c>
      <c r="X1550" s="1079">
        <v>4.8600000000000003</v>
      </c>
      <c r="Y1550" s="1079">
        <v>10.199999999999999</v>
      </c>
      <c r="Z1550" s="1079">
        <v>3.18</v>
      </c>
      <c r="AA1550" s="1079">
        <v>15.33</v>
      </c>
      <c r="AB1550" s="1079">
        <v>5.78</v>
      </c>
      <c r="AC1550" s="1079">
        <v>14.3</v>
      </c>
      <c r="AD1550" s="1080">
        <v>3.92</v>
      </c>
    </row>
    <row r="1551" spans="1:30" x14ac:dyDescent="0.2">
      <c r="A1551">
        <f t="shared" si="58"/>
        <v>40</v>
      </c>
      <c r="B1551">
        <v>1542</v>
      </c>
      <c r="C1551" s="1078">
        <v>3</v>
      </c>
      <c r="D1551" s="1077" t="s">
        <v>5398</v>
      </c>
      <c r="E1551" s="1077" t="s">
        <v>5704</v>
      </c>
      <c r="F1551" s="1185">
        <v>1</v>
      </c>
      <c r="G1551" s="1079"/>
      <c r="H1551" s="1079"/>
      <c r="I1551" s="1079"/>
      <c r="J1551" s="1079"/>
      <c r="K1551" s="1079"/>
      <c r="L1551" s="1079"/>
      <c r="M1551" s="1079"/>
      <c r="N1551" s="1079"/>
      <c r="O1551" s="1079"/>
      <c r="P1551" s="1079"/>
      <c r="Q1551" s="1079"/>
      <c r="R1551" s="1079"/>
      <c r="S1551" s="1079"/>
      <c r="T1551" s="1079"/>
      <c r="U1551" s="1079"/>
      <c r="V1551" s="1079"/>
      <c r="W1551" s="1079">
        <v>16.690000000000001</v>
      </c>
      <c r="X1551" s="1079">
        <v>4.43</v>
      </c>
      <c r="Y1551" s="1079">
        <v>15.77</v>
      </c>
      <c r="Z1551" s="1079">
        <v>2.98</v>
      </c>
      <c r="AA1551" s="1079">
        <v>21.3</v>
      </c>
      <c r="AB1551" s="1079">
        <v>5.01</v>
      </c>
      <c r="AC1551" s="1079">
        <v>20.63</v>
      </c>
      <c r="AD1551" s="1080">
        <v>3.55</v>
      </c>
    </row>
    <row r="1552" spans="1:30" x14ac:dyDescent="0.2">
      <c r="A1552">
        <f t="shared" si="58"/>
        <v>40</v>
      </c>
      <c r="B1552">
        <v>1543</v>
      </c>
      <c r="C1552" s="1078">
        <v>3</v>
      </c>
      <c r="D1552" s="1077" t="s">
        <v>5398</v>
      </c>
      <c r="E1552" s="1077" t="s">
        <v>5718</v>
      </c>
      <c r="F1552" s="1079">
        <v>3</v>
      </c>
      <c r="G1552" s="1079"/>
      <c r="H1552" s="1079"/>
      <c r="I1552" s="1079"/>
      <c r="J1552" s="1079"/>
      <c r="K1552" s="1079"/>
      <c r="L1552" s="1079"/>
      <c r="M1552" s="1079"/>
      <c r="N1552" s="1079"/>
      <c r="O1552" s="1079"/>
      <c r="P1552" s="1079"/>
      <c r="Q1552" s="1079"/>
      <c r="R1552" s="1079"/>
      <c r="S1552" s="1079"/>
      <c r="T1552" s="1079"/>
      <c r="U1552" s="1079"/>
      <c r="V1552" s="1079"/>
      <c r="W1552" s="1079">
        <v>33.299999999999997</v>
      </c>
      <c r="X1552" s="1079">
        <v>4.7300000000000004</v>
      </c>
      <c r="Y1552" s="1079">
        <v>31.13</v>
      </c>
      <c r="Z1552" s="1079">
        <v>2.9</v>
      </c>
      <c r="AA1552" s="1079">
        <v>43.2</v>
      </c>
      <c r="AB1552" s="1079">
        <v>6.21</v>
      </c>
      <c r="AC1552" s="1079">
        <v>39.6</v>
      </c>
      <c r="AD1552" s="1080">
        <v>3.8</v>
      </c>
    </row>
    <row r="1553" spans="1:30" x14ac:dyDescent="0.2">
      <c r="A1553">
        <f t="shared" si="58"/>
        <v>40</v>
      </c>
      <c r="B1553">
        <v>1544</v>
      </c>
      <c r="C1553" s="1078">
        <v>3</v>
      </c>
      <c r="D1553" s="1077" t="s">
        <v>5398</v>
      </c>
      <c r="E1553" s="1077" t="s">
        <v>5719</v>
      </c>
      <c r="F1553" s="1079">
        <v>3</v>
      </c>
      <c r="G1553" s="1079"/>
      <c r="H1553" s="1079"/>
      <c r="I1553" s="1079"/>
      <c r="J1553" s="1079"/>
      <c r="K1553" s="1079"/>
      <c r="L1553" s="1079"/>
      <c r="M1553" s="1079"/>
      <c r="N1553" s="1079"/>
      <c r="O1553" s="1079"/>
      <c r="P1553" s="1079"/>
      <c r="Q1553" s="1079"/>
      <c r="R1553" s="1079"/>
      <c r="S1553" s="1079"/>
      <c r="T1553" s="1079"/>
      <c r="U1553" s="1079"/>
      <c r="V1553" s="1079"/>
      <c r="W1553" s="1079">
        <v>43.8</v>
      </c>
      <c r="X1553" s="1079">
        <v>4.5999999999999996</v>
      </c>
      <c r="Y1553" s="1079">
        <v>41.96</v>
      </c>
      <c r="Z1553" s="1079">
        <v>2.8</v>
      </c>
      <c r="AA1553" s="1079">
        <v>54</v>
      </c>
      <c r="AB1553" s="1079">
        <v>6.01</v>
      </c>
      <c r="AC1553" s="1079">
        <v>52.5</v>
      </c>
      <c r="AD1553" s="1080">
        <v>3.81</v>
      </c>
    </row>
    <row r="1554" spans="1:30" x14ac:dyDescent="0.2">
      <c r="A1554">
        <f t="shared" si="58"/>
        <v>40</v>
      </c>
      <c r="B1554">
        <v>1545</v>
      </c>
      <c r="C1554" s="1078">
        <v>3</v>
      </c>
      <c r="D1554" s="1077" t="s">
        <v>5398</v>
      </c>
      <c r="E1554" s="1077" t="s">
        <v>5720</v>
      </c>
      <c r="F1554" s="1079">
        <v>3</v>
      </c>
      <c r="G1554" s="1079"/>
      <c r="H1554" s="1079"/>
      <c r="I1554" s="1079"/>
      <c r="J1554" s="1079"/>
      <c r="K1554" s="1079"/>
      <c r="L1554" s="1079"/>
      <c r="M1554" s="1079"/>
      <c r="N1554" s="1079"/>
      <c r="O1554" s="1079"/>
      <c r="P1554" s="1079"/>
      <c r="Q1554" s="1079"/>
      <c r="R1554" s="1079"/>
      <c r="S1554" s="1079"/>
      <c r="T1554" s="1079"/>
      <c r="U1554" s="1079"/>
      <c r="V1554" s="1079"/>
      <c r="W1554" s="1079">
        <v>58.6</v>
      </c>
      <c r="X1554" s="1079">
        <v>4.5</v>
      </c>
      <c r="Y1554" s="1079">
        <v>55.4</v>
      </c>
      <c r="Z1554" s="1079">
        <v>3.03</v>
      </c>
      <c r="AA1554" s="1079">
        <v>75.400000000000006</v>
      </c>
      <c r="AB1554" s="1079">
        <v>5.6</v>
      </c>
      <c r="AC1554" s="1079">
        <v>69.8</v>
      </c>
      <c r="AD1554" s="1080">
        <v>3.81</v>
      </c>
    </row>
    <row r="1555" spans="1:30" x14ac:dyDescent="0.2">
      <c r="A1555">
        <f t="shared" si="58"/>
        <v>40</v>
      </c>
      <c r="B1555">
        <v>1546</v>
      </c>
      <c r="C1555" s="1078">
        <v>3</v>
      </c>
      <c r="D1555" s="1077" t="s">
        <v>5398</v>
      </c>
      <c r="E1555" s="1077" t="s">
        <v>5721</v>
      </c>
      <c r="F1555" s="1079">
        <v>3</v>
      </c>
      <c r="G1555" s="1079"/>
      <c r="H1555" s="1079"/>
      <c r="I1555" s="1079"/>
      <c r="J1555" s="1079"/>
      <c r="K1555" s="1079"/>
      <c r="L1555" s="1079"/>
      <c r="M1555" s="1079"/>
      <c r="N1555" s="1079"/>
      <c r="O1555" s="1079"/>
      <c r="P1555" s="1079"/>
      <c r="Q1555" s="1079"/>
      <c r="R1555" s="1079"/>
      <c r="S1555" s="1079"/>
      <c r="T1555" s="1079"/>
      <c r="U1555" s="1079"/>
      <c r="V1555" s="1079"/>
      <c r="W1555" s="1079">
        <v>87.8</v>
      </c>
      <c r="X1555" s="1079">
        <v>4.71</v>
      </c>
      <c r="Y1555" s="1079">
        <v>78.3</v>
      </c>
      <c r="Z1555" s="1079">
        <v>2.87</v>
      </c>
      <c r="AA1555" s="1079">
        <v>100.9</v>
      </c>
      <c r="AB1555" s="1079">
        <v>5.97</v>
      </c>
      <c r="AC1555" s="1079">
        <v>97.3</v>
      </c>
      <c r="AD1555" s="1080">
        <v>3.83</v>
      </c>
    </row>
    <row r="1556" spans="1:30" x14ac:dyDescent="0.2">
      <c r="A1556">
        <f t="shared" si="58"/>
        <v>41</v>
      </c>
      <c r="B1556">
        <v>1547</v>
      </c>
      <c r="C1556" s="1078">
        <v>2</v>
      </c>
      <c r="D1556" s="1077" t="s">
        <v>3919</v>
      </c>
      <c r="E1556" s="1077" t="s">
        <v>464</v>
      </c>
      <c r="F1556" s="1079"/>
      <c r="G1556" s="1079"/>
      <c r="H1556" s="1079"/>
      <c r="I1556" s="1079">
        <v>7.8</v>
      </c>
      <c r="J1556" s="1079">
        <v>3.2</v>
      </c>
      <c r="K1556" s="1079">
        <v>10.1</v>
      </c>
      <c r="L1556" s="1079">
        <v>3.9</v>
      </c>
      <c r="M1556" s="1079">
        <v>11.4</v>
      </c>
      <c r="N1556" s="1079">
        <v>4.4000000000000004</v>
      </c>
      <c r="O1556" s="1079"/>
      <c r="P1556" s="1079"/>
      <c r="Q1556" s="1079"/>
      <c r="R1556" s="1079"/>
      <c r="S1556" s="1079"/>
      <c r="T1556" s="1079">
        <v>1</v>
      </c>
      <c r="U1556" s="1079"/>
      <c r="V1556" s="1079"/>
      <c r="W1556" s="1079"/>
      <c r="X1556" s="1079"/>
      <c r="Y1556" s="1079"/>
      <c r="Z1556" s="1079"/>
      <c r="AA1556" s="1079"/>
      <c r="AB1556" s="1079"/>
      <c r="AC1556" s="1079"/>
      <c r="AD1556" s="1080"/>
    </row>
    <row r="1557" spans="1:30" x14ac:dyDescent="0.2">
      <c r="A1557">
        <f t="shared" si="58"/>
        <v>41</v>
      </c>
      <c r="B1557">
        <v>1548</v>
      </c>
      <c r="C1557" s="1078">
        <v>2</v>
      </c>
      <c r="D1557" s="1077" t="s">
        <v>3919</v>
      </c>
      <c r="E1557" s="1077" t="s">
        <v>465</v>
      </c>
      <c r="F1557" s="1079"/>
      <c r="G1557" s="1079"/>
      <c r="H1557" s="1079"/>
      <c r="I1557" s="1079">
        <v>10.6</v>
      </c>
      <c r="J1557" s="1079">
        <v>3</v>
      </c>
      <c r="K1557" s="1079">
        <v>13.9</v>
      </c>
      <c r="L1557" s="1079">
        <v>3.5</v>
      </c>
      <c r="M1557" s="1079">
        <v>16.2</v>
      </c>
      <c r="N1557" s="1079">
        <v>4.4000000000000004</v>
      </c>
      <c r="O1557" s="1079"/>
      <c r="P1557" s="1079"/>
      <c r="Q1557" s="1079"/>
      <c r="R1557" s="1079"/>
      <c r="S1557" s="1079"/>
      <c r="T1557" s="1079">
        <v>1</v>
      </c>
      <c r="U1557" s="1079"/>
      <c r="V1557" s="1079"/>
      <c r="W1557" s="1079"/>
      <c r="X1557" s="1079"/>
      <c r="Y1557" s="1079"/>
      <c r="Z1557" s="1079"/>
      <c r="AA1557" s="1079"/>
      <c r="AB1557" s="1079"/>
      <c r="AC1557" s="1079"/>
      <c r="AD1557" s="1080"/>
    </row>
    <row r="1558" spans="1:30" x14ac:dyDescent="0.2">
      <c r="A1558">
        <f t="shared" si="58"/>
        <v>42</v>
      </c>
      <c r="B1558">
        <v>1549</v>
      </c>
      <c r="C1558" s="1078">
        <v>2</v>
      </c>
      <c r="D1558" s="1077" t="s">
        <v>5244</v>
      </c>
      <c r="E1558" s="1077" t="s">
        <v>5245</v>
      </c>
      <c r="F1558" s="1079">
        <v>4</v>
      </c>
      <c r="G1558" s="1079">
        <v>5.84</v>
      </c>
      <c r="H1558" s="1079">
        <v>2.65</v>
      </c>
      <c r="I1558" s="1079">
        <v>7.05</v>
      </c>
      <c r="J1558" s="1079">
        <v>3.11</v>
      </c>
      <c r="K1558" s="1079">
        <v>4.7699999999999996</v>
      </c>
      <c r="L1558" s="1079">
        <v>4.12</v>
      </c>
      <c r="M1558" s="1079">
        <v>4</v>
      </c>
      <c r="N1558" s="1079">
        <v>4.9400000000000004</v>
      </c>
      <c r="O1558" s="1079"/>
      <c r="P1558" s="1079"/>
      <c r="Q1558" s="1079">
        <v>6.8</v>
      </c>
      <c r="R1558" s="1079">
        <v>2.37</v>
      </c>
      <c r="S1558" s="1079"/>
      <c r="T1558" s="1079"/>
      <c r="U1558" s="1079"/>
      <c r="V1558" s="1079"/>
      <c r="W1558" s="1079"/>
      <c r="X1558" s="1079"/>
      <c r="Y1558" s="1079"/>
      <c r="Z1558" s="1079"/>
      <c r="AA1558" s="1079"/>
      <c r="AB1558" s="1079"/>
      <c r="AC1558" s="1079"/>
      <c r="AD1558" s="1080"/>
    </row>
    <row r="1559" spans="1:30" x14ac:dyDescent="0.2">
      <c r="A1559">
        <f t="shared" si="58"/>
        <v>42</v>
      </c>
      <c r="B1559">
        <v>1550</v>
      </c>
      <c r="C1559" s="1078">
        <v>2</v>
      </c>
      <c r="D1559" s="1077" t="s">
        <v>5244</v>
      </c>
      <c r="E1559" s="1077" t="s">
        <v>5246</v>
      </c>
      <c r="F1559" s="1079">
        <v>4</v>
      </c>
      <c r="G1559" s="1079">
        <v>6.6</v>
      </c>
      <c r="H1559" s="1079">
        <v>2.6</v>
      </c>
      <c r="I1559" s="1079">
        <v>8.0500000000000007</v>
      </c>
      <c r="J1559" s="1079">
        <v>3.12</v>
      </c>
      <c r="K1559" s="1079">
        <v>5.45</v>
      </c>
      <c r="L1559" s="1079">
        <v>4.13</v>
      </c>
      <c r="M1559" s="1079">
        <v>5</v>
      </c>
      <c r="N1559" s="1079">
        <v>4.74</v>
      </c>
      <c r="O1559" s="1079"/>
      <c r="P1559" s="1079"/>
      <c r="Q1559" s="1079">
        <v>7.68</v>
      </c>
      <c r="R1559" s="1079">
        <v>2.31</v>
      </c>
      <c r="S1559" s="1079"/>
      <c r="T1559" s="1079"/>
      <c r="U1559" s="1079"/>
      <c r="V1559" s="1079"/>
      <c r="W1559" s="1079"/>
      <c r="X1559" s="1079"/>
      <c r="Y1559" s="1079"/>
      <c r="Z1559" s="1079"/>
      <c r="AA1559" s="1079"/>
      <c r="AB1559" s="1079"/>
      <c r="AC1559" s="1079"/>
      <c r="AD1559" s="1080"/>
    </row>
    <row r="1560" spans="1:30" x14ac:dyDescent="0.2">
      <c r="A1560">
        <f t="shared" si="58"/>
        <v>42</v>
      </c>
      <c r="B1560">
        <v>1551</v>
      </c>
      <c r="C1560" s="1078">
        <v>2</v>
      </c>
      <c r="D1560" s="1077" t="s">
        <v>5244</v>
      </c>
      <c r="E1560" s="1077" t="s">
        <v>5247</v>
      </c>
      <c r="F1560" s="1079">
        <v>4</v>
      </c>
      <c r="G1560" s="1079">
        <v>10</v>
      </c>
      <c r="H1560" s="1079">
        <v>2.58</v>
      </c>
      <c r="I1560" s="1079">
        <v>10</v>
      </c>
      <c r="J1560" s="1079">
        <v>3.08</v>
      </c>
      <c r="K1560" s="1079">
        <v>5.4</v>
      </c>
      <c r="L1560" s="1079">
        <v>4.0999999999999996</v>
      </c>
      <c r="M1560" s="1079">
        <v>4.5</v>
      </c>
      <c r="N1560" s="1079">
        <v>4.87</v>
      </c>
      <c r="O1560" s="1079"/>
      <c r="P1560" s="1079"/>
      <c r="Q1560" s="1079">
        <v>10</v>
      </c>
      <c r="R1560" s="1079">
        <v>2.2999999999999998</v>
      </c>
      <c r="S1560" s="1079"/>
      <c r="T1560" s="1079"/>
      <c r="U1560" s="1079"/>
      <c r="V1560" s="1079"/>
      <c r="W1560" s="1079"/>
      <c r="X1560" s="1079"/>
      <c r="Y1560" s="1079"/>
      <c r="Z1560" s="1079"/>
      <c r="AA1560" s="1079"/>
      <c r="AB1560" s="1079"/>
      <c r="AC1560" s="1079"/>
      <c r="AD1560" s="1080"/>
    </row>
    <row r="1561" spans="1:30" x14ac:dyDescent="0.2">
      <c r="A1561">
        <f t="shared" si="58"/>
        <v>42</v>
      </c>
      <c r="B1561">
        <v>1552</v>
      </c>
      <c r="C1561" s="1078">
        <v>2</v>
      </c>
      <c r="D1561" s="1077" t="s">
        <v>5244</v>
      </c>
      <c r="E1561" s="1077" t="s">
        <v>5248</v>
      </c>
      <c r="F1561" s="1079">
        <v>4</v>
      </c>
      <c r="G1561" s="1079">
        <v>12</v>
      </c>
      <c r="H1561" s="1079">
        <v>2.5499999999999998</v>
      </c>
      <c r="I1561" s="1079">
        <v>12</v>
      </c>
      <c r="J1561" s="1079">
        <v>3.05</v>
      </c>
      <c r="K1561" s="1079">
        <v>6.48</v>
      </c>
      <c r="L1561" s="1079">
        <v>4.21</v>
      </c>
      <c r="M1561" s="1079">
        <v>6</v>
      </c>
      <c r="N1561" s="1079">
        <v>4.79</v>
      </c>
      <c r="O1561" s="1079"/>
      <c r="P1561" s="1079"/>
      <c r="Q1561" s="1079">
        <v>12</v>
      </c>
      <c r="R1561" s="1079">
        <v>2.25</v>
      </c>
      <c r="S1561" s="1079"/>
      <c r="T1561" s="1079"/>
      <c r="U1561" s="1079"/>
      <c r="V1561" s="1079"/>
      <c r="W1561" s="1079"/>
      <c r="X1561" s="1079"/>
      <c r="Y1561" s="1079"/>
      <c r="Z1561" s="1079"/>
      <c r="AA1561" s="1079"/>
      <c r="AB1561" s="1079"/>
      <c r="AC1561" s="1079"/>
      <c r="AD1561" s="1080"/>
    </row>
    <row r="1562" spans="1:30" x14ac:dyDescent="0.2">
      <c r="A1562">
        <f t="shared" si="58"/>
        <v>42</v>
      </c>
      <c r="B1562">
        <v>1553</v>
      </c>
      <c r="C1562" s="1078">
        <v>2</v>
      </c>
      <c r="D1562" s="1077" t="s">
        <v>5244</v>
      </c>
      <c r="E1562" s="1077" t="s">
        <v>5053</v>
      </c>
      <c r="F1562" s="1079">
        <v>4</v>
      </c>
      <c r="G1562" s="1079">
        <v>7.7</v>
      </c>
      <c r="H1562" s="1079">
        <v>2.62</v>
      </c>
      <c r="I1562" s="1079">
        <v>11.11</v>
      </c>
      <c r="J1562" s="1079">
        <v>3.17</v>
      </c>
      <c r="K1562" s="1079">
        <v>6.48</v>
      </c>
      <c r="L1562" s="1079">
        <v>4.13</v>
      </c>
      <c r="M1562" s="1079">
        <v>6.46</v>
      </c>
      <c r="N1562" s="1079">
        <v>4.95</v>
      </c>
      <c r="O1562" s="1079"/>
      <c r="P1562" s="1079"/>
      <c r="Q1562" s="1079">
        <v>10.86</v>
      </c>
      <c r="R1562" s="1079">
        <v>2.34</v>
      </c>
      <c r="S1562" s="1079">
        <v>7.48</v>
      </c>
      <c r="T1562" s="1079">
        <v>2.82</v>
      </c>
      <c r="U1562" s="1079"/>
      <c r="V1562" s="1079"/>
      <c r="W1562" s="1079"/>
      <c r="X1562" s="1079"/>
      <c r="Y1562" s="1079"/>
      <c r="Z1562" s="1079"/>
      <c r="AA1562" s="1079"/>
      <c r="AB1562" s="1079"/>
      <c r="AC1562" s="1079"/>
      <c r="AD1562" s="1080"/>
    </row>
    <row r="1563" spans="1:30" x14ac:dyDescent="0.2">
      <c r="A1563">
        <f t="shared" si="58"/>
        <v>42</v>
      </c>
      <c r="B1563">
        <v>1554</v>
      </c>
      <c r="C1563" s="1078">
        <v>2</v>
      </c>
      <c r="D1563" s="1077" t="s">
        <v>5244</v>
      </c>
      <c r="E1563" s="1077" t="s">
        <v>5249</v>
      </c>
      <c r="F1563" s="1079">
        <v>4</v>
      </c>
      <c r="G1563" s="1079">
        <v>12.4</v>
      </c>
      <c r="H1563" s="1079">
        <v>2.58</v>
      </c>
      <c r="I1563" s="1079">
        <v>14.6</v>
      </c>
      <c r="J1563" s="1079">
        <v>2.85</v>
      </c>
      <c r="K1563" s="1079">
        <v>9.4499999999999993</v>
      </c>
      <c r="L1563" s="1079">
        <v>4.1500000000000004</v>
      </c>
      <c r="M1563" s="1079">
        <v>8</v>
      </c>
      <c r="N1563" s="1079">
        <v>4.62</v>
      </c>
      <c r="O1563" s="1079"/>
      <c r="P1563" s="1079"/>
      <c r="Q1563" s="1079">
        <v>14.2</v>
      </c>
      <c r="R1563" s="1079">
        <v>2.3199999999999998</v>
      </c>
      <c r="S1563" s="1079"/>
      <c r="T1563" s="1079"/>
      <c r="U1563" s="1079"/>
      <c r="V1563" s="1079"/>
      <c r="W1563" s="1079"/>
      <c r="X1563" s="1079"/>
      <c r="Y1563" s="1079"/>
      <c r="Z1563" s="1079"/>
      <c r="AA1563" s="1079"/>
      <c r="AB1563" s="1079"/>
      <c r="AC1563" s="1079"/>
      <c r="AD1563" s="1080"/>
    </row>
    <row r="1564" spans="1:30" x14ac:dyDescent="0.2">
      <c r="A1564">
        <f t="shared" si="58"/>
        <v>42</v>
      </c>
      <c r="B1564">
        <v>1555</v>
      </c>
      <c r="C1564" s="1078">
        <v>2</v>
      </c>
      <c r="D1564" s="1077" t="s">
        <v>5244</v>
      </c>
      <c r="E1564" s="1077" t="s">
        <v>5250</v>
      </c>
      <c r="F1564" s="1079">
        <v>4</v>
      </c>
      <c r="G1564" s="1079">
        <v>13.8</v>
      </c>
      <c r="H1564" s="1079">
        <v>2.57</v>
      </c>
      <c r="I1564" s="1079">
        <v>15</v>
      </c>
      <c r="J1564" s="1079">
        <v>2.98</v>
      </c>
      <c r="K1564" s="1079">
        <v>8.1</v>
      </c>
      <c r="L1564" s="1079">
        <v>4.13</v>
      </c>
      <c r="M1564" s="1079">
        <v>7</v>
      </c>
      <c r="N1564" s="1079">
        <v>4.95</v>
      </c>
      <c r="O1564" s="1079"/>
      <c r="P1564" s="1079"/>
      <c r="Q1564" s="1079">
        <v>15</v>
      </c>
      <c r="R1564" s="1079">
        <v>2.2999999999999998</v>
      </c>
      <c r="S1564" s="1079"/>
      <c r="T1564" s="1079"/>
      <c r="U1564" s="1079"/>
      <c r="V1564" s="1079"/>
      <c r="W1564" s="1079"/>
      <c r="X1564" s="1079"/>
      <c r="Y1564" s="1079"/>
      <c r="Z1564" s="1079"/>
      <c r="AA1564" s="1079"/>
      <c r="AB1564" s="1079"/>
      <c r="AC1564" s="1079"/>
      <c r="AD1564" s="1080"/>
    </row>
    <row r="1565" spans="1:30" x14ac:dyDescent="0.2">
      <c r="A1565">
        <f t="shared" si="58"/>
        <v>42</v>
      </c>
      <c r="B1565">
        <v>1556</v>
      </c>
      <c r="C1565" s="1078">
        <v>2</v>
      </c>
      <c r="D1565" s="1077" t="s">
        <v>5244</v>
      </c>
      <c r="E1565" s="1077" t="s">
        <v>5251</v>
      </c>
      <c r="F1565" s="1079">
        <v>4</v>
      </c>
      <c r="G1565" s="1079">
        <v>16</v>
      </c>
      <c r="H1565" s="1079">
        <v>2.5</v>
      </c>
      <c r="I1565" s="1079">
        <v>18</v>
      </c>
      <c r="J1565" s="1079">
        <v>2.75</v>
      </c>
      <c r="K1565" s="1079">
        <v>9.7200000000000006</v>
      </c>
      <c r="L1565" s="1079">
        <v>4.05</v>
      </c>
      <c r="M1565" s="1079">
        <v>9</v>
      </c>
      <c r="N1565" s="1079">
        <v>4.62</v>
      </c>
      <c r="O1565" s="1079"/>
      <c r="P1565" s="1079"/>
      <c r="Q1565" s="1079">
        <v>18</v>
      </c>
      <c r="R1565" s="1079">
        <v>2.27</v>
      </c>
      <c r="S1565" s="1079"/>
      <c r="T1565" s="1079"/>
      <c r="U1565" s="1079"/>
      <c r="V1565" s="1079"/>
      <c r="W1565" s="1079"/>
      <c r="X1565" s="1079"/>
      <c r="Y1565" s="1079"/>
      <c r="Z1565" s="1079"/>
      <c r="AA1565" s="1079"/>
      <c r="AB1565" s="1079"/>
      <c r="AC1565" s="1079"/>
      <c r="AD1565" s="1080"/>
    </row>
    <row r="1566" spans="1:30" x14ac:dyDescent="0.2">
      <c r="A1566">
        <f t="shared" si="58"/>
        <v>42</v>
      </c>
      <c r="B1566">
        <v>1557</v>
      </c>
      <c r="C1566" s="1078">
        <v>2</v>
      </c>
      <c r="D1566" s="1077" t="s">
        <v>5244</v>
      </c>
      <c r="E1566" s="1077" t="s">
        <v>5057</v>
      </c>
      <c r="F1566" s="1079">
        <v>4</v>
      </c>
      <c r="G1566" s="1079">
        <v>17.5</v>
      </c>
      <c r="H1566" s="1079">
        <v>2.4</v>
      </c>
      <c r="I1566" s="1079">
        <v>20.100000000000001</v>
      </c>
      <c r="J1566" s="1079">
        <v>3.25</v>
      </c>
      <c r="K1566" s="1079">
        <v>12.15</v>
      </c>
      <c r="L1566" s="1079">
        <v>4.29</v>
      </c>
      <c r="M1566" s="1079">
        <v>9.5</v>
      </c>
      <c r="N1566" s="1079">
        <v>5.08</v>
      </c>
      <c r="O1566" s="1079"/>
      <c r="P1566" s="1079"/>
      <c r="Q1566" s="1079">
        <v>19.3</v>
      </c>
      <c r="R1566" s="1079">
        <v>2.35</v>
      </c>
      <c r="S1566" s="1079"/>
      <c r="T1566" s="1079"/>
      <c r="U1566" s="1079"/>
      <c r="V1566" s="1079"/>
      <c r="W1566" s="1079"/>
      <c r="X1566" s="1079"/>
      <c r="Y1566" s="1079"/>
      <c r="Z1566" s="1079"/>
      <c r="AA1566" s="1079"/>
      <c r="AB1566" s="1079"/>
      <c r="AC1566" s="1079"/>
      <c r="AD1566" s="1080"/>
    </row>
    <row r="1567" spans="1:30" x14ac:dyDescent="0.2">
      <c r="A1567">
        <f t="shared" si="58"/>
        <v>42</v>
      </c>
      <c r="B1567">
        <v>1558</v>
      </c>
      <c r="C1567" s="1078">
        <v>2</v>
      </c>
      <c r="D1567" s="1077" t="s">
        <v>5244</v>
      </c>
      <c r="E1567" s="1077" t="s">
        <v>5058</v>
      </c>
      <c r="F1567" s="1079">
        <v>4</v>
      </c>
      <c r="G1567" s="1079">
        <v>17.68</v>
      </c>
      <c r="H1567" s="1079">
        <v>2.31</v>
      </c>
      <c r="I1567" s="1079">
        <v>21.29</v>
      </c>
      <c r="J1567" s="1079">
        <v>2.94</v>
      </c>
      <c r="K1567" s="1079">
        <v>12.41</v>
      </c>
      <c r="L1567" s="1079">
        <v>4.09</v>
      </c>
      <c r="M1567" s="1079">
        <v>10.57</v>
      </c>
      <c r="N1567" s="1079">
        <v>4.62</v>
      </c>
      <c r="O1567" s="1079"/>
      <c r="P1567" s="1079"/>
      <c r="Q1567" s="1079">
        <v>20.91</v>
      </c>
      <c r="R1567" s="1079">
        <v>2.29</v>
      </c>
      <c r="S1567" s="1079">
        <v>12.2</v>
      </c>
      <c r="T1567" s="1079">
        <v>2.83</v>
      </c>
      <c r="U1567" s="1079"/>
      <c r="V1567" s="1079"/>
      <c r="W1567" s="1079"/>
      <c r="X1567" s="1079"/>
      <c r="Y1567" s="1079"/>
      <c r="Z1567" s="1079"/>
      <c r="AA1567" s="1079"/>
      <c r="AB1567" s="1079"/>
      <c r="AC1567" s="1079"/>
      <c r="AD1567" s="1080"/>
    </row>
    <row r="1568" spans="1:30" x14ac:dyDescent="0.2">
      <c r="A1568">
        <f t="shared" si="58"/>
        <v>42</v>
      </c>
      <c r="B1568">
        <v>1559</v>
      </c>
      <c r="C1568" s="1078">
        <v>2</v>
      </c>
      <c r="D1568" s="1077" t="s">
        <v>5244</v>
      </c>
      <c r="E1568" s="1077" t="s">
        <v>5059</v>
      </c>
      <c r="F1568" s="1079">
        <v>4</v>
      </c>
      <c r="G1568" s="1079">
        <v>23.1</v>
      </c>
      <c r="H1568" s="1079">
        <v>2.29</v>
      </c>
      <c r="I1568" s="1079">
        <v>28.4</v>
      </c>
      <c r="J1568" s="1079">
        <v>2.85</v>
      </c>
      <c r="K1568" s="1079">
        <v>17.71</v>
      </c>
      <c r="L1568" s="1079">
        <v>4.05</v>
      </c>
      <c r="M1568" s="1079">
        <v>11.5</v>
      </c>
      <c r="N1568" s="1079">
        <v>4.5599999999999996</v>
      </c>
      <c r="O1568" s="1079"/>
      <c r="P1568" s="1079"/>
      <c r="Q1568" s="1079">
        <v>26.5</v>
      </c>
      <c r="R1568" s="1079">
        <v>2.27</v>
      </c>
      <c r="S1568" s="1079"/>
      <c r="T1568" s="1079"/>
      <c r="U1568" s="1079"/>
      <c r="V1568" s="1079"/>
      <c r="W1568" s="1079"/>
      <c r="X1568" s="1079"/>
      <c r="Y1568" s="1079"/>
      <c r="Z1568" s="1079"/>
      <c r="AA1568" s="1079"/>
      <c r="AB1568" s="1079"/>
      <c r="AC1568" s="1079"/>
      <c r="AD1568" s="1080"/>
    </row>
    <row r="1569" spans="1:30" x14ac:dyDescent="0.2">
      <c r="A1569">
        <f t="shared" si="58"/>
        <v>42</v>
      </c>
      <c r="B1569">
        <v>1560</v>
      </c>
      <c r="C1569" s="1078">
        <v>2</v>
      </c>
      <c r="D1569" s="1077" t="s">
        <v>5244</v>
      </c>
      <c r="E1569" s="1077" t="s">
        <v>5060</v>
      </c>
      <c r="F1569" s="1079">
        <v>4</v>
      </c>
      <c r="G1569" s="1079">
        <v>34.200000000000003</v>
      </c>
      <c r="H1569" s="1079">
        <v>2.2400000000000002</v>
      </c>
      <c r="I1569" s="1079">
        <v>35</v>
      </c>
      <c r="J1569" s="1079">
        <v>2.8</v>
      </c>
      <c r="K1569" s="1079">
        <v>18.899999999999999</v>
      </c>
      <c r="L1569" s="1079">
        <v>4.0999999999999996</v>
      </c>
      <c r="M1569" s="1079">
        <v>12</v>
      </c>
      <c r="N1569" s="1079">
        <v>6.63</v>
      </c>
      <c r="O1569" s="1079"/>
      <c r="P1569" s="1079"/>
      <c r="Q1569" s="1079">
        <v>35</v>
      </c>
      <c r="R1569" s="1079">
        <v>2.25</v>
      </c>
      <c r="S1569" s="1079"/>
      <c r="T1569" s="1079"/>
      <c r="U1569" s="1079"/>
      <c r="V1569" s="1079"/>
      <c r="W1569" s="1079"/>
      <c r="X1569" s="1079"/>
      <c r="Y1569" s="1079"/>
      <c r="Z1569" s="1079"/>
      <c r="AA1569" s="1079"/>
      <c r="AB1569" s="1079"/>
      <c r="AC1569" s="1079"/>
      <c r="AD1569" s="1080"/>
    </row>
    <row r="1570" spans="1:30" x14ac:dyDescent="0.2">
      <c r="A1570">
        <f t="shared" si="58"/>
        <v>42</v>
      </c>
      <c r="B1570">
        <v>1561</v>
      </c>
      <c r="C1570" s="1078">
        <v>2</v>
      </c>
      <c r="D1570" s="1077" t="s">
        <v>5244</v>
      </c>
      <c r="E1570" s="1077" t="s">
        <v>5252</v>
      </c>
      <c r="F1570" s="1079">
        <v>4</v>
      </c>
      <c r="G1570" s="1079">
        <v>28.9</v>
      </c>
      <c r="H1570" s="1079">
        <v>2.38</v>
      </c>
      <c r="I1570" s="1079">
        <v>36</v>
      </c>
      <c r="J1570" s="1079">
        <v>3.12</v>
      </c>
      <c r="K1570" s="1079">
        <v>21.6</v>
      </c>
      <c r="L1570" s="1079">
        <v>4.25</v>
      </c>
      <c r="M1570" s="1079">
        <v>13.5</v>
      </c>
      <c r="N1570" s="1079">
        <v>4.7</v>
      </c>
      <c r="O1570" s="1079"/>
      <c r="P1570" s="1079"/>
      <c r="Q1570" s="1079">
        <v>36</v>
      </c>
      <c r="R1570" s="1079">
        <v>2.34</v>
      </c>
      <c r="S1570" s="1079"/>
      <c r="T1570" s="1079"/>
      <c r="U1570" s="1079"/>
      <c r="V1570" s="1079"/>
      <c r="W1570" s="1079"/>
      <c r="X1570" s="1079"/>
      <c r="Y1570" s="1079"/>
      <c r="Z1570" s="1079"/>
      <c r="AA1570" s="1079"/>
      <c r="AB1570" s="1079"/>
      <c r="AC1570" s="1079"/>
      <c r="AD1570" s="1080"/>
    </row>
    <row r="1571" spans="1:30" x14ac:dyDescent="0.2">
      <c r="A1571">
        <f t="shared" si="58"/>
        <v>43</v>
      </c>
      <c r="B1571">
        <v>1562</v>
      </c>
      <c r="C1571" s="1078">
        <v>2</v>
      </c>
      <c r="D1571" s="1077" t="s">
        <v>3602</v>
      </c>
      <c r="E1571" s="1077" t="s">
        <v>4278</v>
      </c>
      <c r="F1571" s="1079" t="s">
        <v>3913</v>
      </c>
      <c r="G1571" s="1079">
        <v>3.12</v>
      </c>
      <c r="H1571" s="1079">
        <v>2.48</v>
      </c>
      <c r="I1571" s="1079">
        <v>4.34</v>
      </c>
      <c r="J1571" s="1079">
        <v>3.2</v>
      </c>
      <c r="K1571" s="1079">
        <v>5.6</v>
      </c>
      <c r="L1571" s="1079">
        <v>4.0999999999999996</v>
      </c>
      <c r="M1571" s="1079">
        <v>6.2</v>
      </c>
      <c r="N1571" s="1079">
        <v>4.7</v>
      </c>
      <c r="O1571" s="1079"/>
      <c r="P1571" s="1079"/>
      <c r="Q1571" s="1079">
        <v>4.57</v>
      </c>
      <c r="R1571" s="1079">
        <v>2.35</v>
      </c>
      <c r="S1571" s="1079">
        <v>6.05</v>
      </c>
      <c r="T1571" s="1079">
        <v>3.12</v>
      </c>
      <c r="U1571" s="1079">
        <v>6.6</v>
      </c>
      <c r="V1571" s="1079">
        <v>3.4</v>
      </c>
      <c r="W1571" s="1079"/>
      <c r="X1571" s="1079"/>
      <c r="Y1571" s="1079"/>
      <c r="Z1571" s="1079"/>
      <c r="AA1571" s="1079"/>
      <c r="AB1571" s="1079"/>
      <c r="AC1571" s="1079"/>
      <c r="AD1571" s="1080"/>
    </row>
    <row r="1572" spans="1:30" x14ac:dyDescent="0.2">
      <c r="A1572">
        <f t="shared" si="58"/>
        <v>43</v>
      </c>
      <c r="B1572">
        <v>1563</v>
      </c>
      <c r="C1572" s="1078">
        <v>2</v>
      </c>
      <c r="D1572" s="1077" t="s">
        <v>3602</v>
      </c>
      <c r="E1572" s="1077" t="s">
        <v>4279</v>
      </c>
      <c r="F1572" s="1079" t="s">
        <v>3913</v>
      </c>
      <c r="G1572" s="1079">
        <v>4.84</v>
      </c>
      <c r="H1572" s="1079">
        <v>2.58</v>
      </c>
      <c r="I1572" s="1079">
        <v>6.45</v>
      </c>
      <c r="J1572" s="1079">
        <v>3.2</v>
      </c>
      <c r="K1572" s="1079">
        <v>7.8</v>
      </c>
      <c r="L1572" s="1079">
        <v>3.9</v>
      </c>
      <c r="M1572" s="1079">
        <v>8.6999999999999993</v>
      </c>
      <c r="N1572" s="1079">
        <v>4.5999999999999996</v>
      </c>
      <c r="O1572" s="1079"/>
      <c r="P1572" s="1079"/>
      <c r="Q1572" s="1079">
        <v>6.8</v>
      </c>
      <c r="R1572" s="1079">
        <v>2.35</v>
      </c>
      <c r="S1572" s="1079">
        <v>9.4</v>
      </c>
      <c r="T1572" s="1079">
        <v>3.23</v>
      </c>
      <c r="U1572" s="1079">
        <v>10</v>
      </c>
      <c r="V1572" s="1079">
        <v>3.4</v>
      </c>
      <c r="W1572" s="1079"/>
      <c r="X1572" s="1079"/>
      <c r="Y1572" s="1079"/>
      <c r="Z1572" s="1079"/>
      <c r="AA1572" s="1079"/>
      <c r="AB1572" s="1079"/>
      <c r="AC1572" s="1079"/>
      <c r="AD1572" s="1080"/>
    </row>
    <row r="1573" spans="1:30" x14ac:dyDescent="0.2">
      <c r="A1573">
        <f t="shared" si="58"/>
        <v>43</v>
      </c>
      <c r="B1573">
        <v>1564</v>
      </c>
      <c r="C1573" s="1078">
        <v>2</v>
      </c>
      <c r="D1573" s="1077" t="s">
        <v>3602</v>
      </c>
      <c r="E1573" s="1077" t="s">
        <v>4280</v>
      </c>
      <c r="F1573" s="1079" t="s">
        <v>3913</v>
      </c>
      <c r="G1573" s="1079">
        <v>6.76</v>
      </c>
      <c r="H1573" s="1079">
        <v>2.54</v>
      </c>
      <c r="I1573" s="1079">
        <v>8.4</v>
      </c>
      <c r="J1573" s="1079">
        <v>2.94</v>
      </c>
      <c r="K1573" s="1079">
        <v>10.3</v>
      </c>
      <c r="L1573" s="1079">
        <v>3.8</v>
      </c>
      <c r="M1573" s="1079">
        <v>11.5</v>
      </c>
      <c r="N1573" s="1079">
        <v>4.5999999999999996</v>
      </c>
      <c r="O1573" s="1079"/>
      <c r="P1573" s="1079"/>
      <c r="Q1573" s="1079">
        <v>9</v>
      </c>
      <c r="R1573" s="1079">
        <v>2.19</v>
      </c>
      <c r="S1573" s="1079">
        <v>12.14</v>
      </c>
      <c r="T1573" s="1079">
        <v>3.19</v>
      </c>
      <c r="U1573" s="1079">
        <v>12.9</v>
      </c>
      <c r="V1573" s="1079">
        <v>3.3</v>
      </c>
      <c r="W1573" s="1079"/>
      <c r="X1573" s="1079"/>
      <c r="Y1573" s="1079"/>
      <c r="Z1573" s="1079"/>
      <c r="AA1573" s="1079"/>
      <c r="AB1573" s="1079"/>
      <c r="AC1573" s="1079"/>
      <c r="AD1573" s="1080"/>
    </row>
    <row r="1574" spans="1:30" x14ac:dyDescent="0.2">
      <c r="A1574">
        <f t="shared" si="58"/>
        <v>43</v>
      </c>
      <c r="B1574">
        <v>1565</v>
      </c>
      <c r="C1574" s="1078">
        <v>2</v>
      </c>
      <c r="D1574" s="1077" t="s">
        <v>3602</v>
      </c>
      <c r="E1574" s="1077" t="s">
        <v>4281</v>
      </c>
      <c r="F1574" s="1079" t="s">
        <v>3913</v>
      </c>
      <c r="G1574" s="1079">
        <v>9.34</v>
      </c>
      <c r="H1574" s="1079">
        <v>2.82</v>
      </c>
      <c r="I1574" s="1079">
        <v>11.2</v>
      </c>
      <c r="J1574" s="1079">
        <v>3.28</v>
      </c>
      <c r="K1574" s="1079">
        <v>13.8</v>
      </c>
      <c r="L1574" s="1079">
        <v>4.0999999999999996</v>
      </c>
      <c r="M1574" s="1079">
        <v>15.2</v>
      </c>
      <c r="N1574" s="1079">
        <v>4.7</v>
      </c>
      <c r="O1574" s="1079"/>
      <c r="P1574" s="1079"/>
      <c r="Q1574" s="1079">
        <v>11.46</v>
      </c>
      <c r="R1574" s="1079">
        <v>2.27</v>
      </c>
      <c r="S1574" s="1079">
        <v>15.78</v>
      </c>
      <c r="T1574" s="1079">
        <v>3.27</v>
      </c>
      <c r="U1574" s="1079">
        <v>16.7</v>
      </c>
      <c r="V1574" s="1079">
        <v>3.5</v>
      </c>
      <c r="W1574" s="1079"/>
      <c r="X1574" s="1079"/>
      <c r="Y1574" s="1079"/>
      <c r="Z1574" s="1079"/>
      <c r="AA1574" s="1079"/>
      <c r="AB1574" s="1079"/>
      <c r="AC1574" s="1079"/>
      <c r="AD1574" s="1080"/>
    </row>
    <row r="1575" spans="1:30" x14ac:dyDescent="0.2">
      <c r="A1575">
        <f t="shared" si="58"/>
        <v>43</v>
      </c>
      <c r="B1575">
        <v>1566</v>
      </c>
      <c r="C1575" s="1078">
        <v>2</v>
      </c>
      <c r="D1575" s="1077" t="s">
        <v>3602</v>
      </c>
      <c r="E1575" s="1077" t="s">
        <v>4282</v>
      </c>
      <c r="F1575" s="1079" t="s">
        <v>3913</v>
      </c>
      <c r="G1575" s="1079">
        <v>11</v>
      </c>
      <c r="H1575" s="1079">
        <v>2.52</v>
      </c>
      <c r="I1575" s="1079">
        <v>14.6</v>
      </c>
      <c r="J1575" s="1079">
        <v>3.09</v>
      </c>
      <c r="K1575" s="1079">
        <v>17.399999999999999</v>
      </c>
      <c r="L1575" s="1079">
        <v>3.7</v>
      </c>
      <c r="M1575" s="1079">
        <v>19.8</v>
      </c>
      <c r="N1575" s="1079">
        <v>4.4000000000000004</v>
      </c>
      <c r="O1575" s="1079"/>
      <c r="P1575" s="1079"/>
      <c r="Q1575" s="1079">
        <v>15.57</v>
      </c>
      <c r="R1575" s="1079">
        <v>2.34</v>
      </c>
      <c r="S1575" s="1079">
        <v>20.72</v>
      </c>
      <c r="T1575" s="1079">
        <v>3.16</v>
      </c>
      <c r="U1575" s="1079">
        <v>22.3</v>
      </c>
      <c r="V1575" s="1079">
        <v>3.4</v>
      </c>
      <c r="W1575" s="1079"/>
      <c r="X1575" s="1079"/>
      <c r="Y1575" s="1079"/>
      <c r="Z1575" s="1079"/>
      <c r="AA1575" s="1079"/>
      <c r="AB1575" s="1079"/>
      <c r="AC1575" s="1079"/>
      <c r="AD1575" s="1080"/>
    </row>
    <row r="1576" spans="1:30" x14ac:dyDescent="0.2">
      <c r="A1576">
        <f t="shared" si="58"/>
        <v>43</v>
      </c>
      <c r="B1576">
        <v>1567</v>
      </c>
      <c r="C1576" s="1078">
        <v>2</v>
      </c>
      <c r="D1576" s="1077" t="s">
        <v>3602</v>
      </c>
      <c r="E1576" s="1077" t="s">
        <v>4578</v>
      </c>
      <c r="F1576" s="1079">
        <v>4</v>
      </c>
      <c r="G1576" s="1079">
        <v>7.79</v>
      </c>
      <c r="H1576" s="1079">
        <v>2.27</v>
      </c>
      <c r="I1576" s="1079">
        <v>10.199999999999999</v>
      </c>
      <c r="J1576" s="1079">
        <v>2.8</v>
      </c>
      <c r="K1576" s="1079">
        <v>8.1999999999999993</v>
      </c>
      <c r="L1576" s="1079">
        <v>3.9</v>
      </c>
      <c r="M1576" s="1079">
        <v>9.6999999999999993</v>
      </c>
      <c r="N1576" s="1079">
        <v>4.5999999999999996</v>
      </c>
      <c r="O1576" s="1079">
        <v>20.100000000000001</v>
      </c>
      <c r="P1576" s="1079">
        <v>4.9000000000000004</v>
      </c>
      <c r="Q1576" s="1079">
        <v>8.42</v>
      </c>
      <c r="R1576" s="1079">
        <v>2.0099999999999998</v>
      </c>
      <c r="S1576" s="1079">
        <v>10.35</v>
      </c>
      <c r="T1576" s="1079">
        <v>2.77</v>
      </c>
      <c r="U1576" s="1079">
        <v>18.5</v>
      </c>
      <c r="V1576" s="1079">
        <v>3.2</v>
      </c>
      <c r="W1576" s="1079"/>
      <c r="X1576" s="1079"/>
      <c r="Y1576" s="1079"/>
      <c r="Z1576" s="1079"/>
      <c r="AA1576" s="1079"/>
      <c r="AB1576" s="1079"/>
      <c r="AC1576" s="1079"/>
      <c r="AD1576" s="1080"/>
    </row>
    <row r="1577" spans="1:30" x14ac:dyDescent="0.2">
      <c r="A1577">
        <f t="shared" si="58"/>
        <v>43</v>
      </c>
      <c r="B1577">
        <v>1568</v>
      </c>
      <c r="C1577" s="1078">
        <v>2</v>
      </c>
      <c r="D1577" s="1077" t="s">
        <v>3602</v>
      </c>
      <c r="E1577" s="1077" t="s">
        <v>4579</v>
      </c>
      <c r="F1577" s="1079">
        <v>4</v>
      </c>
      <c r="G1577" s="1079">
        <v>9.89</v>
      </c>
      <c r="H1577" s="1079">
        <v>2.16</v>
      </c>
      <c r="I1577" s="1079">
        <v>11.8</v>
      </c>
      <c r="J1577" s="1079">
        <v>2.5</v>
      </c>
      <c r="K1577" s="1079">
        <v>8.1999999999999993</v>
      </c>
      <c r="L1577" s="1079">
        <v>3.7</v>
      </c>
      <c r="M1577" s="1079">
        <v>10.3</v>
      </c>
      <c r="N1577" s="1079">
        <v>4.5999999999999996</v>
      </c>
      <c r="O1577" s="1079">
        <v>21.1</v>
      </c>
      <c r="P1577" s="1079">
        <v>3.7</v>
      </c>
      <c r="Q1577" s="1079">
        <v>9.32</v>
      </c>
      <c r="R1577" s="1079">
        <v>1.95</v>
      </c>
      <c r="S1577" s="1079">
        <v>10.9</v>
      </c>
      <c r="T1577" s="1079">
        <v>2.77</v>
      </c>
      <c r="U1577" s="1079">
        <v>19.3</v>
      </c>
      <c r="V1577" s="1079">
        <v>2.9</v>
      </c>
      <c r="W1577" s="1079"/>
      <c r="X1577" s="1079"/>
      <c r="Y1577" s="1079"/>
      <c r="Z1577" s="1079"/>
      <c r="AA1577" s="1079"/>
      <c r="AB1577" s="1079"/>
      <c r="AC1577" s="1079"/>
      <c r="AD1577" s="1080"/>
    </row>
    <row r="1578" spans="1:30" x14ac:dyDescent="0.2">
      <c r="A1578">
        <f t="shared" si="58"/>
        <v>43</v>
      </c>
      <c r="B1578">
        <v>1569</v>
      </c>
      <c r="C1578" s="1078">
        <v>2</v>
      </c>
      <c r="D1578" s="1077" t="s">
        <v>3602</v>
      </c>
      <c r="E1578" s="1077" t="s">
        <v>5611</v>
      </c>
      <c r="F1578" s="1079">
        <v>4</v>
      </c>
      <c r="G1578" s="1079">
        <v>4.9000000000000004</v>
      </c>
      <c r="H1578" s="1079">
        <v>2.33</v>
      </c>
      <c r="I1578" s="1079">
        <v>6.12</v>
      </c>
      <c r="J1578" s="1079">
        <v>2.86</v>
      </c>
      <c r="K1578" s="1079">
        <v>7.49</v>
      </c>
      <c r="L1578" s="1079">
        <v>3.46</v>
      </c>
      <c r="M1578" s="1079">
        <v>8.51</v>
      </c>
      <c r="N1578" s="1079">
        <v>3.88</v>
      </c>
      <c r="O1578" s="1079">
        <v>5.64</v>
      </c>
      <c r="P1578" s="1079">
        <v>6.34</v>
      </c>
      <c r="Q1578" s="1079">
        <v>5.67</v>
      </c>
      <c r="R1578" s="1079">
        <v>2.14</v>
      </c>
      <c r="S1578" s="1079">
        <v>7.93</v>
      </c>
      <c r="T1578" s="1079">
        <v>2.76</v>
      </c>
      <c r="U1578" s="1079">
        <v>6.84</v>
      </c>
      <c r="V1578" s="1079">
        <v>4.4400000000000004</v>
      </c>
      <c r="W1578" s="1079"/>
      <c r="X1578" s="1079"/>
      <c r="Y1578" s="1079"/>
      <c r="Z1578" s="1079"/>
      <c r="AA1578" s="1079"/>
      <c r="AB1578" s="1079"/>
      <c r="AC1578" s="1079"/>
      <c r="AD1578" s="1080"/>
    </row>
    <row r="1579" spans="1:30" x14ac:dyDescent="0.2">
      <c r="A1579">
        <f t="shared" si="58"/>
        <v>43</v>
      </c>
      <c r="B1579">
        <v>1570</v>
      </c>
      <c r="C1579" s="1078">
        <v>2</v>
      </c>
      <c r="D1579" s="1077" t="s">
        <v>3602</v>
      </c>
      <c r="E1579" s="1077" t="s">
        <v>5612</v>
      </c>
      <c r="F1579" s="1079">
        <v>4</v>
      </c>
      <c r="G1579" s="1079">
        <v>6.46</v>
      </c>
      <c r="H1579" s="1079">
        <v>2.93</v>
      </c>
      <c r="I1579" s="1079">
        <v>7.2</v>
      </c>
      <c r="J1579" s="1079">
        <v>2.71</v>
      </c>
      <c r="K1579" s="1079">
        <v>8.0299999999999994</v>
      </c>
      <c r="L1579" s="1079">
        <v>3.06</v>
      </c>
      <c r="M1579" s="1079">
        <v>9.59</v>
      </c>
      <c r="N1579" s="1079">
        <v>3.71</v>
      </c>
      <c r="O1579" s="1178">
        <v>1.1081683168316832</v>
      </c>
      <c r="P1579" s="1079">
        <v>8.51</v>
      </c>
      <c r="Q1579" s="1079">
        <v>6.87</v>
      </c>
      <c r="R1579" s="1079">
        <v>2.1</v>
      </c>
      <c r="S1579" s="1079">
        <v>8.7200000000000006</v>
      </c>
      <c r="T1579" s="1079">
        <v>2.76</v>
      </c>
      <c r="U1579" s="1079">
        <v>8.92</v>
      </c>
      <c r="V1579" s="1079">
        <v>4.17</v>
      </c>
      <c r="W1579" s="1079"/>
      <c r="X1579" s="1079"/>
      <c r="Y1579" s="1079"/>
      <c r="Z1579" s="1079"/>
      <c r="AA1579" s="1079"/>
      <c r="AB1579" s="1079"/>
      <c r="AC1579" s="1079"/>
      <c r="AD1579" s="1080"/>
    </row>
    <row r="1580" spans="1:30" x14ac:dyDescent="0.2">
      <c r="A1580">
        <f t="shared" si="58"/>
        <v>43</v>
      </c>
      <c r="B1580">
        <v>1571</v>
      </c>
      <c r="C1580" s="1078">
        <v>2</v>
      </c>
      <c r="D1580" s="1077" t="s">
        <v>3602</v>
      </c>
      <c r="E1580" s="1077" t="s">
        <v>5613</v>
      </c>
      <c r="F1580" s="1079">
        <v>4</v>
      </c>
      <c r="G1580" s="1079">
        <v>9.07</v>
      </c>
      <c r="H1580" s="1079">
        <v>2.2999999999999998</v>
      </c>
      <c r="I1580" s="1079">
        <v>11.25</v>
      </c>
      <c r="J1580" s="1079">
        <v>2.81</v>
      </c>
      <c r="K1580" s="1079">
        <v>14.23</v>
      </c>
      <c r="L1580" s="1079">
        <v>3.58</v>
      </c>
      <c r="M1580" s="1079">
        <v>15.55</v>
      </c>
      <c r="N1580" s="1079">
        <v>3.8</v>
      </c>
      <c r="O1580" s="1079">
        <v>12.11</v>
      </c>
      <c r="P1580" s="1079">
        <v>6.35</v>
      </c>
      <c r="Q1580" s="1079">
        <v>10.96</v>
      </c>
      <c r="R1580" s="1079">
        <v>2.0299999999999998</v>
      </c>
      <c r="S1580" s="1079">
        <v>13.05</v>
      </c>
      <c r="T1580" s="1079">
        <v>2.39</v>
      </c>
      <c r="U1580" s="1079">
        <v>13.69</v>
      </c>
      <c r="V1580" s="1079">
        <v>3.73</v>
      </c>
      <c r="W1580" s="1079"/>
      <c r="X1580" s="1079"/>
      <c r="Y1580" s="1079"/>
      <c r="Z1580" s="1079"/>
      <c r="AA1580" s="1079"/>
      <c r="AB1580" s="1079"/>
      <c r="AC1580" s="1079"/>
      <c r="AD1580" s="1080"/>
    </row>
    <row r="1581" spans="1:30" x14ac:dyDescent="0.2">
      <c r="A1581">
        <f t="shared" si="58"/>
        <v>43</v>
      </c>
      <c r="B1581">
        <v>1572</v>
      </c>
      <c r="C1581" s="1078">
        <v>2</v>
      </c>
      <c r="D1581" s="1077" t="s">
        <v>3602</v>
      </c>
      <c r="E1581" s="1077" t="s">
        <v>5614</v>
      </c>
      <c r="F1581" s="1079">
        <v>4</v>
      </c>
      <c r="G1581" s="1079">
        <v>10.09</v>
      </c>
      <c r="H1581" s="1079">
        <v>2.2599999999999998</v>
      </c>
      <c r="I1581" s="1079">
        <v>11.89</v>
      </c>
      <c r="J1581" s="1079">
        <v>2.66</v>
      </c>
      <c r="K1581" s="1079">
        <v>14.89</v>
      </c>
      <c r="L1581" s="1079">
        <v>3.29</v>
      </c>
      <c r="M1581" s="1079">
        <v>15.25</v>
      </c>
      <c r="N1581" s="1079">
        <v>3.37</v>
      </c>
      <c r="O1581" s="1079">
        <v>12.11</v>
      </c>
      <c r="P1581" s="1079">
        <v>6.35</v>
      </c>
      <c r="Q1581" s="1079">
        <v>11.99</v>
      </c>
      <c r="R1581" s="1079">
        <v>1.98</v>
      </c>
      <c r="S1581" s="1079">
        <v>13.76</v>
      </c>
      <c r="T1581" s="1079">
        <v>2.25</v>
      </c>
      <c r="U1581" s="1079">
        <v>13.69</v>
      </c>
      <c r="V1581" s="1079">
        <v>3.73</v>
      </c>
      <c r="W1581" s="1079"/>
      <c r="X1581" s="1079"/>
      <c r="Y1581" s="1079"/>
      <c r="Z1581" s="1079"/>
      <c r="AA1581" s="1079"/>
      <c r="AB1581" s="1079"/>
      <c r="AC1581" s="1079"/>
      <c r="AD1581" s="1080"/>
    </row>
    <row r="1582" spans="1:30" x14ac:dyDescent="0.2">
      <c r="A1582">
        <f t="shared" si="58"/>
        <v>43</v>
      </c>
      <c r="B1582">
        <v>1573</v>
      </c>
      <c r="C1582" s="1078">
        <v>2</v>
      </c>
      <c r="D1582" s="1077" t="s">
        <v>3602</v>
      </c>
      <c r="E1582" s="1077" t="s">
        <v>4580</v>
      </c>
      <c r="F1582" s="1079">
        <v>4</v>
      </c>
      <c r="G1582" s="1079">
        <v>4.08</v>
      </c>
      <c r="H1582" s="1079">
        <v>2.4300000000000002</v>
      </c>
      <c r="I1582" s="1079">
        <v>5.7</v>
      </c>
      <c r="J1582" s="1079">
        <v>2.9</v>
      </c>
      <c r="K1582" s="1079">
        <v>3.3</v>
      </c>
      <c r="L1582" s="1079">
        <v>4</v>
      </c>
      <c r="M1582" s="1079">
        <v>4.9000000000000004</v>
      </c>
      <c r="N1582" s="1079">
        <v>4.5</v>
      </c>
      <c r="O1582" s="1079">
        <v>9.6999999999999993</v>
      </c>
      <c r="P1582" s="1079">
        <v>5.3</v>
      </c>
      <c r="Q1582" s="1079">
        <v>4.4000000000000004</v>
      </c>
      <c r="R1582" s="1079">
        <v>2</v>
      </c>
      <c r="S1582" s="1079">
        <v>4.7300000000000004</v>
      </c>
      <c r="T1582" s="1079">
        <v>2.69</v>
      </c>
      <c r="U1582" s="1079">
        <v>6.9</v>
      </c>
      <c r="V1582" s="1079">
        <v>3</v>
      </c>
      <c r="W1582" s="1079"/>
      <c r="X1582" s="1079"/>
      <c r="Y1582" s="1079"/>
      <c r="Z1582" s="1079"/>
      <c r="AA1582" s="1079"/>
      <c r="AB1582" s="1079"/>
      <c r="AC1582" s="1079"/>
      <c r="AD1582" s="1080"/>
    </row>
    <row r="1583" spans="1:30" x14ac:dyDescent="0.2">
      <c r="A1583">
        <f t="shared" si="58"/>
        <v>43</v>
      </c>
      <c r="B1583">
        <v>1574</v>
      </c>
      <c r="C1583" s="1078">
        <v>2</v>
      </c>
      <c r="D1583" s="1077" t="s">
        <v>3602</v>
      </c>
      <c r="E1583" s="1077" t="s">
        <v>4581</v>
      </c>
      <c r="F1583" s="1079">
        <v>4</v>
      </c>
      <c r="G1583" s="1079">
        <v>4.5599999999999996</v>
      </c>
      <c r="H1583" s="1079">
        <v>2.04</v>
      </c>
      <c r="I1583" s="1079">
        <v>7.2</v>
      </c>
      <c r="J1583" s="1079">
        <v>2.7</v>
      </c>
      <c r="K1583" s="1079">
        <v>4.0999999999999996</v>
      </c>
      <c r="L1583" s="1079">
        <v>4</v>
      </c>
      <c r="M1583" s="1079">
        <v>5.8</v>
      </c>
      <c r="N1583" s="1079">
        <v>3.7</v>
      </c>
      <c r="O1583" s="1079">
        <v>15.7</v>
      </c>
      <c r="P1583" s="1079">
        <v>4.5999999999999996</v>
      </c>
      <c r="Q1583" s="1079">
        <v>5.6</v>
      </c>
      <c r="R1583" s="1079">
        <v>2</v>
      </c>
      <c r="S1583" s="1079">
        <v>6.84</v>
      </c>
      <c r="T1583" s="1079">
        <v>2.63</v>
      </c>
      <c r="U1583" s="1079">
        <v>8.6</v>
      </c>
      <c r="V1583" s="1079">
        <v>3.3</v>
      </c>
      <c r="W1583" s="1079"/>
      <c r="X1583" s="1079"/>
      <c r="Y1583" s="1079"/>
      <c r="Z1583" s="1079"/>
      <c r="AA1583" s="1079"/>
      <c r="AB1583" s="1079"/>
      <c r="AC1583" s="1079"/>
      <c r="AD1583" s="1080"/>
    </row>
    <row r="1584" spans="1:30" x14ac:dyDescent="0.2">
      <c r="A1584">
        <f t="shared" si="58"/>
        <v>43</v>
      </c>
      <c r="B1584">
        <v>1575</v>
      </c>
      <c r="C1584" s="1078">
        <v>3</v>
      </c>
      <c r="D1584" s="1077" t="s">
        <v>3602</v>
      </c>
      <c r="E1584" s="1077" t="s">
        <v>4283</v>
      </c>
      <c r="F1584" s="1079" t="s">
        <v>3913</v>
      </c>
      <c r="G1584" s="1079"/>
      <c r="H1584" s="1079"/>
      <c r="I1584" s="1079"/>
      <c r="J1584" s="1079"/>
      <c r="K1584" s="1079"/>
      <c r="L1584" s="1079"/>
      <c r="M1584" s="1079"/>
      <c r="N1584" s="1079"/>
      <c r="O1584" s="1079"/>
      <c r="P1584" s="1079"/>
      <c r="Q1584" s="1079"/>
      <c r="R1584" s="1079"/>
      <c r="S1584" s="1079"/>
      <c r="T1584" s="1079"/>
      <c r="U1584" s="1079"/>
      <c r="V1584" s="1079"/>
      <c r="W1584" s="1079">
        <v>5.9</v>
      </c>
      <c r="X1584" s="1079">
        <v>4.4000000000000004</v>
      </c>
      <c r="Y1584" s="1079">
        <v>5.3</v>
      </c>
      <c r="Z1584" s="1079">
        <v>2.9</v>
      </c>
      <c r="AA1584" s="1079"/>
      <c r="AB1584" s="1079"/>
      <c r="AC1584" s="1079"/>
      <c r="AD1584" s="1080"/>
    </row>
    <row r="1585" spans="1:30" x14ac:dyDescent="0.2">
      <c r="A1585">
        <f t="shared" si="58"/>
        <v>43</v>
      </c>
      <c r="B1585">
        <v>1576</v>
      </c>
      <c r="C1585" s="1078">
        <v>3</v>
      </c>
      <c r="D1585" s="1077" t="s">
        <v>3602</v>
      </c>
      <c r="E1585" s="1077" t="s">
        <v>4284</v>
      </c>
      <c r="F1585" s="1079" t="s">
        <v>3913</v>
      </c>
      <c r="G1585" s="1079"/>
      <c r="H1585" s="1079"/>
      <c r="I1585" s="1079"/>
      <c r="J1585" s="1079"/>
      <c r="K1585" s="1079"/>
      <c r="L1585" s="1079"/>
      <c r="M1585" s="1079"/>
      <c r="N1585" s="1079"/>
      <c r="O1585" s="1079"/>
      <c r="P1585" s="1079"/>
      <c r="Q1585" s="1079"/>
      <c r="R1585" s="1079"/>
      <c r="S1585" s="1079"/>
      <c r="T1585" s="1079"/>
      <c r="U1585" s="1079"/>
      <c r="V1585" s="1079"/>
      <c r="W1585" s="1079">
        <v>9.8000000000000007</v>
      </c>
      <c r="X1585" s="1079">
        <v>4.8</v>
      </c>
      <c r="Y1585" s="1079">
        <v>5.9</v>
      </c>
      <c r="Z1585" s="1079">
        <v>3.2</v>
      </c>
      <c r="AA1585" s="1079"/>
      <c r="AB1585" s="1079"/>
      <c r="AC1585" s="1079"/>
      <c r="AD1585" s="1080"/>
    </row>
    <row r="1586" spans="1:30" x14ac:dyDescent="0.2">
      <c r="A1586">
        <f t="shared" si="58"/>
        <v>43</v>
      </c>
      <c r="B1586">
        <v>1577</v>
      </c>
      <c r="C1586" s="1078">
        <v>3</v>
      </c>
      <c r="D1586" s="1077" t="s">
        <v>3602</v>
      </c>
      <c r="E1586" s="1077" t="s">
        <v>4285</v>
      </c>
      <c r="F1586" s="1079" t="s">
        <v>3913</v>
      </c>
      <c r="G1586" s="1079"/>
      <c r="H1586" s="1079"/>
      <c r="I1586" s="1079"/>
      <c r="J1586" s="1079"/>
      <c r="K1586" s="1079"/>
      <c r="L1586" s="1079"/>
      <c r="M1586" s="1079"/>
      <c r="N1586" s="1079"/>
      <c r="O1586" s="1079"/>
      <c r="P1586" s="1079"/>
      <c r="Q1586" s="1079"/>
      <c r="R1586" s="1079"/>
      <c r="S1586" s="1079"/>
      <c r="T1586" s="1079"/>
      <c r="U1586" s="1079"/>
      <c r="V1586" s="1079"/>
      <c r="W1586" s="1079">
        <v>12.3</v>
      </c>
      <c r="X1586" s="1079">
        <v>4.8</v>
      </c>
      <c r="Y1586" s="1079">
        <v>11.3</v>
      </c>
      <c r="Z1586" s="1079">
        <v>3.1</v>
      </c>
      <c r="AA1586" s="1079"/>
      <c r="AB1586" s="1079"/>
      <c r="AC1586" s="1079"/>
      <c r="AD1586" s="1080"/>
    </row>
    <row r="1587" spans="1:30" x14ac:dyDescent="0.2">
      <c r="A1587">
        <f t="shared" si="58"/>
        <v>43</v>
      </c>
      <c r="B1587">
        <v>1578</v>
      </c>
      <c r="C1587" s="1078">
        <v>3</v>
      </c>
      <c r="D1587" s="1077" t="s">
        <v>3602</v>
      </c>
      <c r="E1587" s="1077" t="s">
        <v>4286</v>
      </c>
      <c r="F1587" s="1079" t="s">
        <v>3913</v>
      </c>
      <c r="G1587" s="1079"/>
      <c r="H1587" s="1079"/>
      <c r="I1587" s="1079"/>
      <c r="J1587" s="1079"/>
      <c r="K1587" s="1079"/>
      <c r="L1587" s="1079"/>
      <c r="M1587" s="1079"/>
      <c r="N1587" s="1079"/>
      <c r="O1587" s="1079"/>
      <c r="P1587" s="1079"/>
      <c r="Q1587" s="1079"/>
      <c r="R1587" s="1079"/>
      <c r="S1587" s="1079"/>
      <c r="T1587" s="1079"/>
      <c r="U1587" s="1079"/>
      <c r="V1587" s="1079"/>
      <c r="W1587" s="1079">
        <v>15.9</v>
      </c>
      <c r="X1587" s="1079">
        <v>4.5</v>
      </c>
      <c r="Y1587" s="1079">
        <v>14.7</v>
      </c>
      <c r="Z1587" s="1079">
        <v>3.1</v>
      </c>
      <c r="AA1587" s="1079"/>
      <c r="AB1587" s="1079"/>
      <c r="AC1587" s="1079"/>
      <c r="AD1587" s="1080"/>
    </row>
    <row r="1588" spans="1:30" x14ac:dyDescent="0.2">
      <c r="A1588">
        <f t="shared" si="58"/>
        <v>43</v>
      </c>
      <c r="B1588">
        <v>1579</v>
      </c>
      <c r="C1588" s="1078">
        <v>3</v>
      </c>
      <c r="D1588" s="1077" t="s">
        <v>3602</v>
      </c>
      <c r="E1588" s="1077" t="s">
        <v>4287</v>
      </c>
      <c r="F1588" s="1079" t="s">
        <v>3913</v>
      </c>
      <c r="G1588" s="1079"/>
      <c r="H1588" s="1079"/>
      <c r="I1588" s="1079"/>
      <c r="J1588" s="1079"/>
      <c r="K1588" s="1079"/>
      <c r="L1588" s="1079"/>
      <c r="M1588" s="1079"/>
      <c r="N1588" s="1079"/>
      <c r="O1588" s="1079"/>
      <c r="P1588" s="1079"/>
      <c r="Q1588" s="1079"/>
      <c r="R1588" s="1079"/>
      <c r="S1588" s="1079"/>
      <c r="T1588" s="1079"/>
      <c r="U1588" s="1079"/>
      <c r="V1588" s="1079"/>
      <c r="W1588" s="1079">
        <v>22</v>
      </c>
      <c r="X1588" s="1079">
        <v>4.5</v>
      </c>
      <c r="Y1588" s="1079">
        <v>19.899999999999999</v>
      </c>
      <c r="Z1588" s="1079">
        <v>3.2</v>
      </c>
      <c r="AA1588" s="1079"/>
      <c r="AB1588" s="1079"/>
      <c r="AC1588" s="1079"/>
      <c r="AD1588" s="1080"/>
    </row>
    <row r="1589" spans="1:30" x14ac:dyDescent="0.2">
      <c r="A1589">
        <f t="shared" si="58"/>
        <v>43</v>
      </c>
      <c r="B1589">
        <v>1580</v>
      </c>
      <c r="C1589" s="1078">
        <v>3</v>
      </c>
      <c r="D1589" s="1077" t="s">
        <v>3602</v>
      </c>
      <c r="E1589" s="1077" t="s">
        <v>4288</v>
      </c>
      <c r="F1589" s="1079" t="s">
        <v>3913</v>
      </c>
      <c r="G1589" s="1079"/>
      <c r="H1589" s="1079"/>
      <c r="I1589" s="1079"/>
      <c r="J1589" s="1079"/>
      <c r="K1589" s="1079"/>
      <c r="L1589" s="1079"/>
      <c r="M1589" s="1079"/>
      <c r="N1589" s="1079"/>
      <c r="O1589" s="1079"/>
      <c r="P1589" s="1079"/>
      <c r="Q1589" s="1079"/>
      <c r="R1589" s="1079"/>
      <c r="S1589" s="1079"/>
      <c r="T1589" s="1079"/>
      <c r="U1589" s="1079"/>
      <c r="V1589" s="1079"/>
      <c r="W1589" s="1079"/>
      <c r="X1589" s="1079"/>
      <c r="Y1589" s="1079"/>
      <c r="Z1589" s="1079"/>
      <c r="AA1589" s="1079">
        <v>10.8</v>
      </c>
      <c r="AB1589" s="1079">
        <v>5.23</v>
      </c>
      <c r="AC1589" s="1079">
        <v>10.220000000000001</v>
      </c>
      <c r="AD1589" s="1080">
        <v>3.45</v>
      </c>
    </row>
    <row r="1590" spans="1:30" x14ac:dyDescent="0.2">
      <c r="A1590">
        <f t="shared" si="58"/>
        <v>43</v>
      </c>
      <c r="B1590">
        <v>1581</v>
      </c>
      <c r="C1590" s="1078">
        <v>3</v>
      </c>
      <c r="D1590" s="1077" t="s">
        <v>3602</v>
      </c>
      <c r="E1590" s="1077" t="s">
        <v>4289</v>
      </c>
      <c r="F1590" s="1079" t="s">
        <v>3913</v>
      </c>
      <c r="G1590" s="1079"/>
      <c r="H1590" s="1079"/>
      <c r="I1590" s="1079"/>
      <c r="J1590" s="1079"/>
      <c r="K1590" s="1079"/>
      <c r="L1590" s="1079"/>
      <c r="M1590" s="1079"/>
      <c r="N1590" s="1079"/>
      <c r="O1590" s="1079"/>
      <c r="P1590" s="1079"/>
      <c r="Q1590" s="1079"/>
      <c r="R1590" s="1079"/>
      <c r="S1590" s="1079"/>
      <c r="T1590" s="1079"/>
      <c r="U1590" s="1079"/>
      <c r="V1590" s="1079"/>
      <c r="W1590" s="1079"/>
      <c r="X1590" s="1079"/>
      <c r="Y1590" s="1079"/>
      <c r="Z1590" s="1079"/>
      <c r="AA1590" s="1079">
        <v>14</v>
      </c>
      <c r="AB1590" s="1079">
        <v>5.53</v>
      </c>
      <c r="AC1590" s="1079">
        <v>13.16</v>
      </c>
      <c r="AD1590" s="1080">
        <v>3.33</v>
      </c>
    </row>
    <row r="1591" spans="1:30" x14ac:dyDescent="0.2">
      <c r="A1591">
        <f t="shared" si="58"/>
        <v>43</v>
      </c>
      <c r="B1591">
        <v>1582</v>
      </c>
      <c r="C1591" s="1078">
        <v>3</v>
      </c>
      <c r="D1591" s="1077" t="s">
        <v>3602</v>
      </c>
      <c r="E1591" s="1077" t="s">
        <v>4290</v>
      </c>
      <c r="F1591" s="1079" t="s">
        <v>3913</v>
      </c>
      <c r="G1591" s="1079"/>
      <c r="H1591" s="1079"/>
      <c r="I1591" s="1079"/>
      <c r="J1591" s="1079"/>
      <c r="K1591" s="1079"/>
      <c r="L1591" s="1079"/>
      <c r="M1591" s="1079"/>
      <c r="N1591" s="1079"/>
      <c r="O1591" s="1079"/>
      <c r="P1591" s="1079"/>
      <c r="Q1591" s="1079"/>
      <c r="R1591" s="1079"/>
      <c r="S1591" s="1079"/>
      <c r="T1591" s="1079"/>
      <c r="U1591" s="1079"/>
      <c r="V1591" s="1079"/>
      <c r="W1591" s="1079"/>
      <c r="X1591" s="1079"/>
      <c r="Y1591" s="1079"/>
      <c r="Z1591" s="1079"/>
      <c r="AA1591" s="1079">
        <v>18.399999999999999</v>
      </c>
      <c r="AB1591" s="1079">
        <v>6.01</v>
      </c>
      <c r="AC1591" s="1079">
        <v>16.920000000000002</v>
      </c>
      <c r="AD1591" s="1080">
        <v>3.55</v>
      </c>
    </row>
    <row r="1592" spans="1:30" x14ac:dyDescent="0.2">
      <c r="A1592">
        <f t="shared" si="58"/>
        <v>43</v>
      </c>
      <c r="B1592">
        <v>1583</v>
      </c>
      <c r="C1592" s="1078">
        <v>3</v>
      </c>
      <c r="D1592" s="1077" t="s">
        <v>3602</v>
      </c>
      <c r="E1592" s="1077" t="s">
        <v>4291</v>
      </c>
      <c r="F1592" s="1079" t="s">
        <v>3913</v>
      </c>
      <c r="G1592" s="1079"/>
      <c r="H1592" s="1079"/>
      <c r="I1592" s="1079"/>
      <c r="J1592" s="1079"/>
      <c r="K1592" s="1079"/>
      <c r="L1592" s="1079"/>
      <c r="M1592" s="1079"/>
      <c r="N1592" s="1079"/>
      <c r="O1592" s="1079"/>
      <c r="P1592" s="1079"/>
      <c r="Q1592" s="1079"/>
      <c r="R1592" s="1079"/>
      <c r="S1592" s="1079"/>
      <c r="T1592" s="1079"/>
      <c r="U1592" s="1079"/>
      <c r="V1592" s="1079"/>
      <c r="W1592" s="1079"/>
      <c r="X1592" s="1079"/>
      <c r="Y1592" s="1079"/>
      <c r="Z1592" s="1079"/>
      <c r="AA1592" s="1079">
        <v>25.1</v>
      </c>
      <c r="AB1592" s="1079">
        <v>5.47</v>
      </c>
      <c r="AC1592" s="1079">
        <v>23.59</v>
      </c>
      <c r="AD1592" s="1080">
        <v>3.51</v>
      </c>
    </row>
    <row r="1593" spans="1:30" x14ac:dyDescent="0.2">
      <c r="A1593">
        <f t="shared" si="58"/>
        <v>43</v>
      </c>
      <c r="B1593">
        <v>1584</v>
      </c>
      <c r="C1593" s="1078">
        <v>3</v>
      </c>
      <c r="D1593" s="1077" t="s">
        <v>3602</v>
      </c>
      <c r="E1593" s="1077" t="s">
        <v>4907</v>
      </c>
      <c r="F1593" s="1079">
        <v>1</v>
      </c>
      <c r="G1593" s="1079"/>
      <c r="H1593" s="1079"/>
      <c r="I1593" s="1079"/>
      <c r="J1593" s="1079"/>
      <c r="K1593" s="1079"/>
      <c r="L1593" s="1079"/>
      <c r="M1593" s="1079"/>
      <c r="N1593" s="1079"/>
      <c r="O1593" s="1079"/>
      <c r="P1593" s="1079"/>
      <c r="Q1593" s="1079"/>
      <c r="R1593" s="1079"/>
      <c r="S1593" s="1079"/>
      <c r="T1593" s="1079"/>
      <c r="U1593" s="1079"/>
      <c r="V1593" s="1079"/>
      <c r="W1593" s="1079">
        <v>24.5</v>
      </c>
      <c r="X1593" s="1079">
        <v>4.4000000000000004</v>
      </c>
      <c r="Y1593" s="1079">
        <v>22.6</v>
      </c>
      <c r="Z1593" s="1079">
        <v>2.8</v>
      </c>
      <c r="AA1593" s="1079"/>
      <c r="AB1593" s="1079"/>
      <c r="AC1593" s="1079"/>
      <c r="AD1593" s="1080"/>
    </row>
    <row r="1594" spans="1:30" x14ac:dyDescent="0.2">
      <c r="A1594">
        <f t="shared" si="58"/>
        <v>43</v>
      </c>
      <c r="B1594">
        <v>1585</v>
      </c>
      <c r="C1594" s="1078">
        <v>3</v>
      </c>
      <c r="D1594" s="1077" t="s">
        <v>3602</v>
      </c>
      <c r="E1594" s="1077" t="s">
        <v>4908</v>
      </c>
      <c r="F1594" s="1079">
        <v>1</v>
      </c>
      <c r="G1594" s="1079"/>
      <c r="H1594" s="1079"/>
      <c r="I1594" s="1079"/>
      <c r="J1594" s="1079"/>
      <c r="K1594" s="1079"/>
      <c r="L1594" s="1079"/>
      <c r="M1594" s="1079"/>
      <c r="N1594" s="1079"/>
      <c r="O1594" s="1079"/>
      <c r="P1594" s="1079"/>
      <c r="Q1594" s="1079"/>
      <c r="R1594" s="1079"/>
      <c r="S1594" s="1079"/>
      <c r="T1594" s="1079"/>
      <c r="U1594" s="1079"/>
      <c r="V1594" s="1079"/>
      <c r="W1594" s="1079">
        <v>40.4</v>
      </c>
      <c r="X1594" s="1079">
        <v>4.7</v>
      </c>
      <c r="Y1594" s="1079">
        <v>36.5</v>
      </c>
      <c r="Z1594" s="1079">
        <v>3</v>
      </c>
      <c r="AA1594" s="1079"/>
      <c r="AB1594" s="1079"/>
      <c r="AC1594" s="1079"/>
      <c r="AD1594" s="1080"/>
    </row>
    <row r="1595" spans="1:30" x14ac:dyDescent="0.2">
      <c r="A1595">
        <f t="shared" si="58"/>
        <v>43</v>
      </c>
      <c r="B1595">
        <v>1586</v>
      </c>
      <c r="C1595" s="1078">
        <v>3</v>
      </c>
      <c r="D1595" s="1077" t="s">
        <v>3602</v>
      </c>
      <c r="E1595" s="1077" t="s">
        <v>4909</v>
      </c>
      <c r="F1595" s="1079">
        <v>1</v>
      </c>
      <c r="G1595" s="1079"/>
      <c r="H1595" s="1079"/>
      <c r="I1595" s="1079"/>
      <c r="J1595" s="1079"/>
      <c r="K1595" s="1079"/>
      <c r="L1595" s="1079"/>
      <c r="M1595" s="1079"/>
      <c r="N1595" s="1079"/>
      <c r="O1595" s="1079"/>
      <c r="P1595" s="1079"/>
      <c r="Q1595" s="1079"/>
      <c r="R1595" s="1079"/>
      <c r="S1595" s="1079"/>
      <c r="T1595" s="1079"/>
      <c r="U1595" s="1079"/>
      <c r="V1595" s="1079"/>
      <c r="W1595" s="1079">
        <v>77.5</v>
      </c>
      <c r="X1595" s="1079">
        <v>4.4000000000000004</v>
      </c>
      <c r="Y1595" s="1079">
        <v>67.2</v>
      </c>
      <c r="Z1595" s="1079">
        <v>2.8</v>
      </c>
      <c r="AA1595" s="1079"/>
      <c r="AB1595" s="1079"/>
      <c r="AC1595" s="1079"/>
      <c r="AD1595" s="1080"/>
    </row>
    <row r="1596" spans="1:30" x14ac:dyDescent="0.2">
      <c r="A1596">
        <f t="shared" si="58"/>
        <v>44</v>
      </c>
      <c r="B1596">
        <v>1587</v>
      </c>
      <c r="C1596" s="1078">
        <v>2</v>
      </c>
      <c r="D1596" s="1077" t="s">
        <v>4582</v>
      </c>
      <c r="E1596" s="1077" t="s">
        <v>4583</v>
      </c>
      <c r="F1596" s="1079">
        <v>4</v>
      </c>
      <c r="G1596" s="1079">
        <v>6.7</v>
      </c>
      <c r="H1596" s="1079">
        <v>2.5</v>
      </c>
      <c r="I1596" s="1079">
        <v>7.1</v>
      </c>
      <c r="J1596" s="1079">
        <v>2.7</v>
      </c>
      <c r="K1596" s="1079">
        <v>7.1</v>
      </c>
      <c r="L1596" s="1079">
        <v>3.6</v>
      </c>
      <c r="M1596" s="1079">
        <v>7.2</v>
      </c>
      <c r="N1596" s="1079">
        <v>4.8</v>
      </c>
      <c r="O1596" s="1079">
        <v>7.3</v>
      </c>
      <c r="P1596" s="1079">
        <v>6.1</v>
      </c>
      <c r="Q1596" s="1079">
        <v>6.8</v>
      </c>
      <c r="R1596" s="1079">
        <v>2.1</v>
      </c>
      <c r="S1596" s="1079">
        <v>7.1</v>
      </c>
      <c r="T1596" s="1079">
        <v>2.9</v>
      </c>
      <c r="U1596" s="1079">
        <v>7.4</v>
      </c>
      <c r="V1596" s="1079">
        <v>4</v>
      </c>
      <c r="W1596" s="1079"/>
      <c r="X1596" s="1079"/>
      <c r="Y1596" s="1079"/>
      <c r="Z1596" s="1079"/>
      <c r="AA1596" s="1079"/>
      <c r="AB1596" s="1079"/>
      <c r="AC1596" s="1079"/>
      <c r="AD1596" s="1080"/>
    </row>
    <row r="1597" spans="1:30" x14ac:dyDescent="0.2">
      <c r="A1597">
        <f t="shared" si="58"/>
        <v>44</v>
      </c>
      <c r="B1597">
        <v>1588</v>
      </c>
      <c r="C1597" s="1078">
        <v>2</v>
      </c>
      <c r="D1597" s="1077" t="s">
        <v>4582</v>
      </c>
      <c r="E1597" s="1077" t="s">
        <v>4584</v>
      </c>
      <c r="F1597" s="1079">
        <v>4</v>
      </c>
      <c r="G1597" s="1079">
        <v>10.7</v>
      </c>
      <c r="H1597" s="1079">
        <v>2.4</v>
      </c>
      <c r="I1597" s="1079">
        <v>11</v>
      </c>
      <c r="J1597" s="1079">
        <v>2.7</v>
      </c>
      <c r="K1597" s="1079">
        <v>11</v>
      </c>
      <c r="L1597" s="1079">
        <v>3.5</v>
      </c>
      <c r="M1597" s="1079">
        <v>11.1</v>
      </c>
      <c r="N1597" s="1079">
        <v>4.5999999999999996</v>
      </c>
      <c r="O1597" s="1079">
        <v>11.3</v>
      </c>
      <c r="P1597" s="1079">
        <v>5.9</v>
      </c>
      <c r="Q1597" s="1079">
        <v>10.4</v>
      </c>
      <c r="R1597" s="1079">
        <v>2</v>
      </c>
      <c r="S1597" s="1079">
        <v>11.1</v>
      </c>
      <c r="T1597" s="1079">
        <v>2.8</v>
      </c>
      <c r="U1597" s="1079">
        <v>11.5</v>
      </c>
      <c r="V1597" s="1079">
        <v>4</v>
      </c>
      <c r="W1597" s="1079"/>
      <c r="X1597" s="1079"/>
      <c r="Y1597" s="1079"/>
      <c r="Z1597" s="1079"/>
      <c r="AA1597" s="1079"/>
      <c r="AB1597" s="1079"/>
      <c r="AC1597" s="1079"/>
      <c r="AD1597" s="1080"/>
    </row>
    <row r="1598" spans="1:30" x14ac:dyDescent="0.2">
      <c r="A1598">
        <f t="shared" si="58"/>
        <v>44</v>
      </c>
      <c r="B1598">
        <v>1589</v>
      </c>
      <c r="C1598" s="1078">
        <v>2</v>
      </c>
      <c r="D1598" s="1077" t="s">
        <v>4582</v>
      </c>
      <c r="E1598" s="1077" t="s">
        <v>4585</v>
      </c>
      <c r="F1598" s="1079">
        <v>4</v>
      </c>
      <c r="G1598" s="1079">
        <v>13.7</v>
      </c>
      <c r="H1598" s="1079">
        <v>2.8</v>
      </c>
      <c r="I1598" s="1079">
        <v>14.1</v>
      </c>
      <c r="J1598" s="1079">
        <v>2.7</v>
      </c>
      <c r="K1598" s="1079">
        <v>14.2</v>
      </c>
      <c r="L1598" s="1079">
        <v>2.7</v>
      </c>
      <c r="M1598" s="1079">
        <v>14.1</v>
      </c>
      <c r="N1598" s="1079">
        <v>5</v>
      </c>
      <c r="O1598" s="1079">
        <v>14.4</v>
      </c>
      <c r="P1598" s="1079">
        <v>6.2</v>
      </c>
      <c r="Q1598" s="1079">
        <v>13.8</v>
      </c>
      <c r="R1598" s="1079">
        <v>2.2000000000000002</v>
      </c>
      <c r="S1598" s="1079">
        <v>14.1</v>
      </c>
      <c r="T1598" s="1079">
        <v>3.1</v>
      </c>
      <c r="U1598" s="1079">
        <v>14.5</v>
      </c>
      <c r="V1598" s="1079">
        <v>4.0999999999999996</v>
      </c>
      <c r="W1598" s="1079"/>
      <c r="X1598" s="1079"/>
      <c r="Y1598" s="1079"/>
      <c r="Z1598" s="1079"/>
      <c r="AA1598" s="1079"/>
      <c r="AB1598" s="1079"/>
      <c r="AC1598" s="1079"/>
      <c r="AD1598" s="1080"/>
    </row>
    <row r="1599" spans="1:30" x14ac:dyDescent="0.2">
      <c r="A1599">
        <f t="shared" si="58"/>
        <v>44</v>
      </c>
      <c r="B1599">
        <v>1590</v>
      </c>
      <c r="C1599" s="1078">
        <v>2</v>
      </c>
      <c r="D1599" s="1077" t="s">
        <v>4582</v>
      </c>
      <c r="E1599" s="1077" t="s">
        <v>4586</v>
      </c>
      <c r="F1599" s="1079">
        <v>4</v>
      </c>
      <c r="G1599" s="1079">
        <v>17.899999999999999</v>
      </c>
      <c r="H1599" s="1079">
        <v>2.5</v>
      </c>
      <c r="I1599" s="1079">
        <v>18.100000000000001</v>
      </c>
      <c r="J1599" s="1079">
        <v>2.7</v>
      </c>
      <c r="K1599" s="1079">
        <v>18.100000000000001</v>
      </c>
      <c r="L1599" s="1079">
        <v>3.6</v>
      </c>
      <c r="M1599" s="1079">
        <v>18.2</v>
      </c>
      <c r="N1599" s="1079">
        <v>4.9000000000000004</v>
      </c>
      <c r="O1599" s="1079">
        <v>18.3</v>
      </c>
      <c r="P1599" s="1079">
        <v>6.1</v>
      </c>
      <c r="Q1599" s="1079">
        <v>17.899999999999999</v>
      </c>
      <c r="R1599" s="1079">
        <v>2.1</v>
      </c>
      <c r="S1599" s="1079">
        <v>18.100000000000001</v>
      </c>
      <c r="T1599" s="1079">
        <v>3</v>
      </c>
      <c r="U1599" s="1079">
        <v>18.399999999999999</v>
      </c>
      <c r="V1599" s="1079">
        <v>4.0999999999999996</v>
      </c>
      <c r="W1599" s="1079"/>
      <c r="X1599" s="1079"/>
      <c r="Y1599" s="1079"/>
      <c r="Z1599" s="1079"/>
      <c r="AA1599" s="1079"/>
      <c r="AB1599" s="1079"/>
      <c r="AC1599" s="1079"/>
      <c r="AD1599" s="1080"/>
    </row>
    <row r="1600" spans="1:30" x14ac:dyDescent="0.2">
      <c r="A1600">
        <f t="shared" si="58"/>
        <v>45</v>
      </c>
      <c r="B1600">
        <v>1591</v>
      </c>
      <c r="C1600" s="1078">
        <v>2</v>
      </c>
      <c r="D1600" s="1077" t="s">
        <v>3602</v>
      </c>
      <c r="E1600" s="1077" t="s">
        <v>5722</v>
      </c>
      <c r="F1600" s="1079">
        <v>4</v>
      </c>
      <c r="G1600" s="1079">
        <v>18.5</v>
      </c>
      <c r="H1600" s="1079">
        <v>2</v>
      </c>
      <c r="I1600" s="1079">
        <v>16.98</v>
      </c>
      <c r="J1600" s="1079">
        <v>3.21</v>
      </c>
      <c r="K1600" s="1079">
        <v>10.1</v>
      </c>
      <c r="L1600" s="1079">
        <v>5.29</v>
      </c>
      <c r="M1600" s="1079">
        <v>6.85</v>
      </c>
      <c r="N1600" s="1079">
        <v>6.99</v>
      </c>
      <c r="O1600" s="1079">
        <v>9.5</v>
      </c>
      <c r="P1600" s="1079">
        <v>12.6</v>
      </c>
      <c r="Q1600" s="1079">
        <v>15.93</v>
      </c>
      <c r="R1600" s="1079">
        <v>2.35</v>
      </c>
      <c r="S1600" s="1079">
        <v>7.32</v>
      </c>
      <c r="T1600" s="1079">
        <v>5.27</v>
      </c>
      <c r="U1600" s="1079">
        <v>9.5</v>
      </c>
      <c r="V1600" s="1079">
        <v>9.6</v>
      </c>
      <c r="W1600" s="1079"/>
      <c r="X1600" s="1079"/>
      <c r="Y1600" s="1079"/>
      <c r="Z1600" s="1079"/>
      <c r="AA1600" s="1079"/>
      <c r="AB1600" s="1079"/>
      <c r="AC1600" s="1079"/>
      <c r="AD1600" s="1080"/>
    </row>
    <row r="1601" spans="1:30" x14ac:dyDescent="0.2">
      <c r="A1601">
        <f t="shared" si="58"/>
        <v>46</v>
      </c>
      <c r="B1601">
        <v>1592</v>
      </c>
      <c r="C1601" s="1078">
        <v>2</v>
      </c>
      <c r="D1601" s="1077" t="s">
        <v>3603</v>
      </c>
      <c r="E1601" s="1077" t="s">
        <v>4619</v>
      </c>
      <c r="F1601" s="1079">
        <v>4</v>
      </c>
      <c r="G1601" s="1079">
        <v>4.3899999999999997</v>
      </c>
      <c r="H1601" s="1079">
        <v>2.14</v>
      </c>
      <c r="I1601" s="1079">
        <v>10.119999999999999</v>
      </c>
      <c r="J1601" s="1079">
        <v>2.6</v>
      </c>
      <c r="K1601" s="1079">
        <v>7</v>
      </c>
      <c r="L1601" s="1079">
        <v>3.55</v>
      </c>
      <c r="M1601" s="1079">
        <v>7.48</v>
      </c>
      <c r="N1601" s="1079">
        <v>4.7</v>
      </c>
      <c r="O1601" s="1079">
        <v>9.67</v>
      </c>
      <c r="P1601" s="1079">
        <v>6.51</v>
      </c>
      <c r="Q1601" s="1079">
        <v>9.8800000000000008</v>
      </c>
      <c r="R1601" s="1079">
        <v>1.95</v>
      </c>
      <c r="S1601" s="1079">
        <v>8.9700000000000006</v>
      </c>
      <c r="T1601" s="1079">
        <v>3.09</v>
      </c>
      <c r="U1601" s="1079">
        <v>8.6999999999999993</v>
      </c>
      <c r="V1601" s="1079">
        <v>3.8</v>
      </c>
      <c r="W1601" s="1079"/>
      <c r="X1601" s="1079"/>
      <c r="Y1601" s="1079"/>
      <c r="Z1601" s="1079"/>
      <c r="AA1601" s="1079"/>
      <c r="AB1601" s="1079"/>
      <c r="AC1601" s="1079"/>
      <c r="AD1601" s="1080"/>
    </row>
    <row r="1602" spans="1:30" x14ac:dyDescent="0.2">
      <c r="A1602">
        <f t="shared" si="58"/>
        <v>46</v>
      </c>
      <c r="B1602">
        <v>1593</v>
      </c>
      <c r="C1602" s="1078">
        <v>2</v>
      </c>
      <c r="D1602" s="1077" t="s">
        <v>3603</v>
      </c>
      <c r="E1602" s="1077" t="s">
        <v>5219</v>
      </c>
      <c r="F1602" s="1079">
        <v>4</v>
      </c>
      <c r="G1602" s="1079">
        <v>3.02</v>
      </c>
      <c r="H1602" s="1079">
        <v>2.33</v>
      </c>
      <c r="I1602" s="1079">
        <v>3.81</v>
      </c>
      <c r="J1602" s="1079">
        <v>3.81</v>
      </c>
      <c r="K1602" s="1079">
        <v>4.08</v>
      </c>
      <c r="L1602" s="1079">
        <v>3.57</v>
      </c>
      <c r="M1602" s="1079">
        <v>4.18</v>
      </c>
      <c r="N1602" s="1079">
        <v>4.5599999999999996</v>
      </c>
      <c r="O1602" s="1079">
        <v>6.47</v>
      </c>
      <c r="P1602" s="1079">
        <v>6.48</v>
      </c>
      <c r="Q1602" s="1079">
        <v>3.79</v>
      </c>
      <c r="R1602" s="1079">
        <v>1.95</v>
      </c>
      <c r="S1602" s="1079">
        <v>4.97</v>
      </c>
      <c r="T1602" s="1079">
        <v>2.64</v>
      </c>
      <c r="U1602" s="1079">
        <v>6.53</v>
      </c>
      <c r="V1602" s="1079">
        <v>3.54</v>
      </c>
      <c r="W1602" s="1079"/>
      <c r="X1602" s="1079"/>
      <c r="Y1602" s="1079"/>
      <c r="Z1602" s="1079"/>
      <c r="AA1602" s="1079"/>
      <c r="AB1602" s="1079"/>
      <c r="AC1602" s="1079"/>
      <c r="AD1602" s="1080"/>
    </row>
    <row r="1603" spans="1:30" x14ac:dyDescent="0.2">
      <c r="A1603">
        <f t="shared" si="58"/>
        <v>46</v>
      </c>
      <c r="B1603">
        <v>1594</v>
      </c>
      <c r="C1603" s="1078">
        <v>2</v>
      </c>
      <c r="D1603" s="1077" t="s">
        <v>3603</v>
      </c>
      <c r="E1603" s="1077" t="s">
        <v>5220</v>
      </c>
      <c r="F1603" s="1079">
        <v>4</v>
      </c>
      <c r="G1603" s="1079">
        <v>4.3499999999999996</v>
      </c>
      <c r="H1603" s="1079">
        <v>2.23</v>
      </c>
      <c r="I1603" s="1079">
        <v>5.7</v>
      </c>
      <c r="J1603" s="1079">
        <v>2.91</v>
      </c>
      <c r="K1603" s="1079">
        <v>5.54</v>
      </c>
      <c r="L1603" s="1079">
        <v>3.78</v>
      </c>
      <c r="M1603" s="1079">
        <v>6</v>
      </c>
      <c r="N1603" s="1079">
        <v>4.72</v>
      </c>
      <c r="O1603" s="1079">
        <v>8.11</v>
      </c>
      <c r="P1603" s="1079">
        <v>6.23</v>
      </c>
      <c r="Q1603" s="1079">
        <v>5.56</v>
      </c>
      <c r="R1603" s="1079">
        <v>1.96</v>
      </c>
      <c r="S1603" s="1079">
        <v>5.79</v>
      </c>
      <c r="T1603" s="1079">
        <v>2.91</v>
      </c>
      <c r="U1603" s="1079">
        <v>7.57</v>
      </c>
      <c r="V1603" s="1079">
        <v>3.54</v>
      </c>
      <c r="W1603" s="1079"/>
      <c r="X1603" s="1079"/>
      <c r="Y1603" s="1079"/>
      <c r="Z1603" s="1079"/>
      <c r="AA1603" s="1079"/>
      <c r="AB1603" s="1079"/>
      <c r="AC1603" s="1079"/>
      <c r="AD1603" s="1080"/>
    </row>
    <row r="1604" spans="1:30" x14ac:dyDescent="0.2">
      <c r="A1604">
        <f t="shared" si="58"/>
        <v>46</v>
      </c>
      <c r="B1604">
        <v>1595</v>
      </c>
      <c r="C1604" s="1078">
        <v>2</v>
      </c>
      <c r="D1604" s="1077" t="s">
        <v>3603</v>
      </c>
      <c r="E1604" s="1077" t="s">
        <v>5221</v>
      </c>
      <c r="F1604" s="1079">
        <v>4</v>
      </c>
      <c r="G1604" s="1079">
        <v>5.23</v>
      </c>
      <c r="H1604" s="1079">
        <v>2.36</v>
      </c>
      <c r="I1604" s="1079">
        <v>6.67</v>
      </c>
      <c r="J1604" s="1079">
        <v>2.89</v>
      </c>
      <c r="K1604" s="1079">
        <v>6.99</v>
      </c>
      <c r="L1604" s="1079">
        <v>3.96</v>
      </c>
      <c r="M1604" s="1079">
        <v>7.54</v>
      </c>
      <c r="N1604" s="1079">
        <v>4.71</v>
      </c>
      <c r="O1604" s="1079">
        <v>10.45</v>
      </c>
      <c r="P1604" s="1079">
        <v>6.53</v>
      </c>
      <c r="Q1604" s="1079">
        <v>6.64</v>
      </c>
      <c r="R1604" s="1079">
        <v>2.12</v>
      </c>
      <c r="S1604" s="1079">
        <v>6.82</v>
      </c>
      <c r="T1604" s="1079">
        <v>2.75</v>
      </c>
      <c r="U1604" s="1079">
        <v>9.7799999999999994</v>
      </c>
      <c r="V1604" s="1079">
        <v>3.66</v>
      </c>
      <c r="W1604" s="1079"/>
      <c r="X1604" s="1079"/>
      <c r="Y1604" s="1079"/>
      <c r="Z1604" s="1079"/>
      <c r="AA1604" s="1079"/>
      <c r="AB1604" s="1079"/>
      <c r="AC1604" s="1079"/>
      <c r="AD1604" s="1080"/>
    </row>
    <row r="1605" spans="1:30" x14ac:dyDescent="0.2">
      <c r="A1605">
        <f t="shared" si="58"/>
        <v>46</v>
      </c>
      <c r="B1605">
        <v>1596</v>
      </c>
      <c r="C1605" s="1078">
        <v>2</v>
      </c>
      <c r="D1605" s="1077" t="s">
        <v>3603</v>
      </c>
      <c r="E1605" s="1077" t="s">
        <v>5222</v>
      </c>
      <c r="F1605" s="1079">
        <v>4</v>
      </c>
      <c r="G1605" s="1079">
        <v>6.26</v>
      </c>
      <c r="H1605" s="1079">
        <v>2.48</v>
      </c>
      <c r="I1605" s="1079">
        <v>8.4499999999999993</v>
      </c>
      <c r="J1605" s="1079">
        <v>3.3</v>
      </c>
      <c r="K1605" s="1079">
        <v>9.6</v>
      </c>
      <c r="L1605" s="1079">
        <v>4.3099999999999996</v>
      </c>
      <c r="M1605" s="1079">
        <v>11.34</v>
      </c>
      <c r="N1605" s="1079">
        <v>5.12</v>
      </c>
      <c r="O1605" s="1079">
        <v>15.04</v>
      </c>
      <c r="P1605" s="1079">
        <v>7.12</v>
      </c>
      <c r="Q1605" s="1079">
        <v>9.1</v>
      </c>
      <c r="R1605" s="1079">
        <v>2.21</v>
      </c>
      <c r="S1605" s="1079">
        <v>12.17</v>
      </c>
      <c r="T1605" s="1079">
        <v>2.9</v>
      </c>
      <c r="U1605" s="1079">
        <v>14.67</v>
      </c>
      <c r="V1605" s="1079">
        <v>3.91</v>
      </c>
      <c r="W1605" s="1079"/>
      <c r="X1605" s="1079"/>
      <c r="Y1605" s="1079"/>
      <c r="Z1605" s="1079"/>
      <c r="AA1605" s="1079"/>
      <c r="AB1605" s="1079"/>
      <c r="AC1605" s="1079"/>
      <c r="AD1605" s="1080"/>
    </row>
    <row r="1606" spans="1:30" x14ac:dyDescent="0.2">
      <c r="A1606">
        <f t="shared" si="58"/>
        <v>46</v>
      </c>
      <c r="B1606">
        <v>1597</v>
      </c>
      <c r="C1606" s="1078">
        <v>2</v>
      </c>
      <c r="D1606" s="1077" t="s">
        <v>3603</v>
      </c>
      <c r="E1606" s="1077" t="s">
        <v>5223</v>
      </c>
      <c r="F1606" s="1079">
        <v>4</v>
      </c>
      <c r="G1606" s="1079">
        <v>7.61</v>
      </c>
      <c r="H1606" s="1079">
        <v>2.4900000000000002</v>
      </c>
      <c r="I1606" s="1079">
        <v>10.09</v>
      </c>
      <c r="J1606" s="1079">
        <v>3.18</v>
      </c>
      <c r="K1606" s="1079">
        <v>10.09</v>
      </c>
      <c r="L1606" s="1079">
        <v>4.09</v>
      </c>
      <c r="M1606" s="1079">
        <v>12.6</v>
      </c>
      <c r="N1606" s="1079">
        <v>5.01</v>
      </c>
      <c r="O1606" s="1079">
        <v>16.64</v>
      </c>
      <c r="P1606" s="1079">
        <v>7.24</v>
      </c>
      <c r="Q1606" s="1079">
        <v>10.08</v>
      </c>
      <c r="R1606" s="1079">
        <v>2.2200000000000002</v>
      </c>
      <c r="S1606" s="1079">
        <v>12.2</v>
      </c>
      <c r="T1606" s="1079">
        <v>2.96</v>
      </c>
      <c r="U1606" s="1079">
        <v>14.56</v>
      </c>
      <c r="V1606" s="1079">
        <v>3.99</v>
      </c>
      <c r="W1606" s="1079"/>
      <c r="X1606" s="1079"/>
      <c r="Y1606" s="1079"/>
      <c r="Z1606" s="1079"/>
      <c r="AA1606" s="1079"/>
      <c r="AB1606" s="1079"/>
      <c r="AC1606" s="1079"/>
      <c r="AD1606" s="1080"/>
    </row>
    <row r="1607" spans="1:30" x14ac:dyDescent="0.2">
      <c r="A1607">
        <f t="shared" si="58"/>
        <v>46</v>
      </c>
      <c r="B1607">
        <v>1598</v>
      </c>
      <c r="C1607" s="1078">
        <v>2</v>
      </c>
      <c r="D1607" s="1077" t="s">
        <v>3603</v>
      </c>
      <c r="E1607" s="1077" t="s">
        <v>5224</v>
      </c>
      <c r="F1607" s="1079">
        <v>4</v>
      </c>
      <c r="G1607" s="1079">
        <v>8.35</v>
      </c>
      <c r="H1607" s="1079">
        <v>2.42</v>
      </c>
      <c r="I1607" s="1079">
        <v>11.06</v>
      </c>
      <c r="J1607" s="1079">
        <v>3.07</v>
      </c>
      <c r="K1607" s="1079">
        <v>10.64</v>
      </c>
      <c r="L1607" s="1079">
        <v>4.0599999999999996</v>
      </c>
      <c r="M1607" s="1079">
        <v>13.7</v>
      </c>
      <c r="N1607" s="1079">
        <v>4.99</v>
      </c>
      <c r="O1607" s="1079">
        <v>17.53</v>
      </c>
      <c r="P1607" s="1079">
        <v>7.03</v>
      </c>
      <c r="Q1607" s="1079">
        <v>10.68</v>
      </c>
      <c r="R1607" s="1079">
        <v>2.21</v>
      </c>
      <c r="S1607" s="1079">
        <v>10.77</v>
      </c>
      <c r="T1607" s="1079">
        <v>3.01</v>
      </c>
      <c r="U1607" s="1079">
        <v>15.51</v>
      </c>
      <c r="V1607" s="1079">
        <v>3.98</v>
      </c>
      <c r="W1607" s="1079"/>
      <c r="X1607" s="1079"/>
      <c r="Y1607" s="1079"/>
      <c r="Z1607" s="1079"/>
      <c r="AA1607" s="1079"/>
      <c r="AB1607" s="1079"/>
      <c r="AC1607" s="1079"/>
      <c r="AD1607" s="1080"/>
    </row>
    <row r="1608" spans="1:30" x14ac:dyDescent="0.2">
      <c r="A1608">
        <f t="shared" si="58"/>
        <v>46</v>
      </c>
      <c r="B1608">
        <v>1599</v>
      </c>
      <c r="C1608" s="1078">
        <v>2</v>
      </c>
      <c r="D1608" s="1077" t="s">
        <v>3603</v>
      </c>
      <c r="E1608" s="1077" t="s">
        <v>5225</v>
      </c>
      <c r="F1608" s="1079">
        <v>4</v>
      </c>
      <c r="G1608" s="1079">
        <v>8.7799999999999994</v>
      </c>
      <c r="H1608" s="1079">
        <v>2.37</v>
      </c>
      <c r="I1608" s="1079">
        <v>11.6</v>
      </c>
      <c r="J1608" s="1079">
        <v>3</v>
      </c>
      <c r="K1608" s="1079">
        <v>11.18</v>
      </c>
      <c r="L1608" s="1079">
        <v>3.94</v>
      </c>
      <c r="M1608" s="1079">
        <v>14.7</v>
      </c>
      <c r="N1608" s="1079">
        <v>4.95</v>
      </c>
      <c r="O1608" s="1079">
        <v>18.38</v>
      </c>
      <c r="P1608" s="1079">
        <v>6.71</v>
      </c>
      <c r="Q1608" s="1079">
        <v>10.7</v>
      </c>
      <c r="R1608" s="1079">
        <v>2.2200000000000002</v>
      </c>
      <c r="S1608" s="1079">
        <v>11.16</v>
      </c>
      <c r="T1608" s="1079">
        <v>3</v>
      </c>
      <c r="U1608" s="1079">
        <v>16.440000000000001</v>
      </c>
      <c r="V1608" s="1079">
        <v>3.96</v>
      </c>
      <c r="W1608" s="1079"/>
      <c r="X1608" s="1079"/>
      <c r="Y1608" s="1079"/>
      <c r="Z1608" s="1079"/>
      <c r="AA1608" s="1079"/>
      <c r="AB1608" s="1079"/>
      <c r="AC1608" s="1079"/>
      <c r="AD1608" s="1080"/>
    </row>
    <row r="1609" spans="1:30" x14ac:dyDescent="0.2">
      <c r="A1609">
        <f t="shared" si="58"/>
        <v>46</v>
      </c>
      <c r="B1609">
        <v>1600</v>
      </c>
      <c r="C1609" s="1078">
        <v>2</v>
      </c>
      <c r="D1609" s="1077" t="s">
        <v>3603</v>
      </c>
      <c r="E1609" s="1077" t="s">
        <v>5226</v>
      </c>
      <c r="F1609" s="1079">
        <v>4</v>
      </c>
      <c r="G1609" s="1079">
        <v>3.02</v>
      </c>
      <c r="H1609" s="1079">
        <v>2.33</v>
      </c>
      <c r="I1609" s="1079">
        <v>3.81</v>
      </c>
      <c r="J1609" s="1079">
        <v>3.81</v>
      </c>
      <c r="K1609" s="1079">
        <v>4.08</v>
      </c>
      <c r="L1609" s="1079">
        <v>3.57</v>
      </c>
      <c r="M1609" s="1079">
        <v>4.18</v>
      </c>
      <c r="N1609" s="1079">
        <v>4.5599999999999996</v>
      </c>
      <c r="O1609" s="1079">
        <v>6.47</v>
      </c>
      <c r="P1609" s="1079">
        <v>6.48</v>
      </c>
      <c r="Q1609" s="1079">
        <v>3.79</v>
      </c>
      <c r="R1609" s="1079">
        <v>1.95</v>
      </c>
      <c r="S1609" s="1079">
        <v>4.97</v>
      </c>
      <c r="T1609" s="1079">
        <v>2.64</v>
      </c>
      <c r="U1609" s="1079">
        <v>6.53</v>
      </c>
      <c r="V1609" s="1079">
        <v>3.54</v>
      </c>
      <c r="W1609" s="1079"/>
      <c r="X1609" s="1079"/>
      <c r="Y1609" s="1079"/>
      <c r="Z1609" s="1079"/>
      <c r="AA1609" s="1079"/>
      <c r="AB1609" s="1079"/>
      <c r="AC1609" s="1079"/>
      <c r="AD1609" s="1080"/>
    </row>
    <row r="1610" spans="1:30" x14ac:dyDescent="0.2">
      <c r="A1610">
        <f t="shared" si="58"/>
        <v>46</v>
      </c>
      <c r="B1610">
        <v>1601</v>
      </c>
      <c r="C1610" s="1078">
        <v>2</v>
      </c>
      <c r="D1610" s="1077" t="s">
        <v>3603</v>
      </c>
      <c r="E1610" s="1077" t="s">
        <v>5227</v>
      </c>
      <c r="F1610" s="1079">
        <v>4</v>
      </c>
      <c r="G1610" s="1079">
        <v>4.3499999999999996</v>
      </c>
      <c r="H1610" s="1079">
        <v>2.23</v>
      </c>
      <c r="I1610" s="1079">
        <v>5.7</v>
      </c>
      <c r="J1610" s="1079">
        <v>2.91</v>
      </c>
      <c r="K1610" s="1079">
        <v>5.54</v>
      </c>
      <c r="L1610" s="1079">
        <v>3.78</v>
      </c>
      <c r="M1610" s="1079">
        <v>6</v>
      </c>
      <c r="N1610" s="1079">
        <v>4.72</v>
      </c>
      <c r="O1610" s="1079">
        <v>8.11</v>
      </c>
      <c r="P1610" s="1079">
        <v>6.23</v>
      </c>
      <c r="Q1610" s="1079">
        <v>5.56</v>
      </c>
      <c r="R1610" s="1079">
        <v>1.96</v>
      </c>
      <c r="S1610" s="1079">
        <v>5.79</v>
      </c>
      <c r="T1610" s="1079">
        <v>2.91</v>
      </c>
      <c r="U1610" s="1079">
        <v>7.57</v>
      </c>
      <c r="V1610" s="1079">
        <v>3.54</v>
      </c>
      <c r="W1610" s="1079"/>
      <c r="X1610" s="1079"/>
      <c r="Y1610" s="1079"/>
      <c r="Z1610" s="1079"/>
      <c r="AA1610" s="1079"/>
      <c r="AB1610" s="1079"/>
      <c r="AC1610" s="1079"/>
      <c r="AD1610" s="1080"/>
    </row>
    <row r="1611" spans="1:30" x14ac:dyDescent="0.2">
      <c r="A1611">
        <f t="shared" si="58"/>
        <v>46</v>
      </c>
      <c r="B1611">
        <v>1602</v>
      </c>
      <c r="C1611" s="1078">
        <v>2</v>
      </c>
      <c r="D1611" s="1077" t="s">
        <v>3603</v>
      </c>
      <c r="E1611" s="1077" t="s">
        <v>5228</v>
      </c>
      <c r="F1611" s="1079">
        <v>4</v>
      </c>
      <c r="G1611" s="1079">
        <v>5.23</v>
      </c>
      <c r="H1611" s="1079">
        <v>2.36</v>
      </c>
      <c r="I1611" s="1079">
        <v>6.67</v>
      </c>
      <c r="J1611" s="1079">
        <v>2.89</v>
      </c>
      <c r="K1611" s="1079">
        <v>6.99</v>
      </c>
      <c r="L1611" s="1079">
        <v>3.96</v>
      </c>
      <c r="M1611" s="1079">
        <v>7.54</v>
      </c>
      <c r="N1611" s="1079">
        <v>4.71</v>
      </c>
      <c r="O1611" s="1079">
        <v>10.45</v>
      </c>
      <c r="P1611" s="1079">
        <v>6.53</v>
      </c>
      <c r="Q1611" s="1079">
        <v>6.64</v>
      </c>
      <c r="R1611" s="1079">
        <v>2.12</v>
      </c>
      <c r="S1611" s="1079">
        <v>6.82</v>
      </c>
      <c r="T1611" s="1079">
        <v>2.75</v>
      </c>
      <c r="U1611" s="1079">
        <v>9.7799999999999994</v>
      </c>
      <c r="V1611" s="1079">
        <v>3.66</v>
      </c>
      <c r="W1611" s="1079"/>
      <c r="X1611" s="1079"/>
      <c r="Y1611" s="1079"/>
      <c r="Z1611" s="1079"/>
      <c r="AA1611" s="1079"/>
      <c r="AB1611" s="1079"/>
      <c r="AC1611" s="1079"/>
      <c r="AD1611" s="1080"/>
    </row>
    <row r="1612" spans="1:30" x14ac:dyDescent="0.2">
      <c r="A1612">
        <f t="shared" ref="A1612:A1675" si="59">A1611+(D1612&lt;&gt;D1611)*1</f>
        <v>46</v>
      </c>
      <c r="B1612">
        <v>1603</v>
      </c>
      <c r="C1612" s="1078">
        <v>2</v>
      </c>
      <c r="D1612" s="1077" t="s">
        <v>3603</v>
      </c>
      <c r="E1612" s="1077" t="s">
        <v>5229</v>
      </c>
      <c r="F1612" s="1079">
        <v>4</v>
      </c>
      <c r="G1612" s="1079">
        <v>6.26</v>
      </c>
      <c r="H1612" s="1079">
        <v>2.48</v>
      </c>
      <c r="I1612" s="1079">
        <v>8.4499999999999993</v>
      </c>
      <c r="J1612" s="1079">
        <v>3.3</v>
      </c>
      <c r="K1612" s="1079">
        <v>9.6</v>
      </c>
      <c r="L1612" s="1079">
        <v>4.3099999999999996</v>
      </c>
      <c r="M1612" s="1079">
        <v>11.34</v>
      </c>
      <c r="N1612" s="1079">
        <v>5.12</v>
      </c>
      <c r="O1612" s="1079">
        <v>15.04</v>
      </c>
      <c r="P1612" s="1079">
        <v>7.12</v>
      </c>
      <c r="Q1612" s="1079">
        <v>9.1</v>
      </c>
      <c r="R1612" s="1079">
        <v>2.21</v>
      </c>
      <c r="S1612" s="1079">
        <v>12.17</v>
      </c>
      <c r="T1612" s="1079">
        <v>2.9</v>
      </c>
      <c r="U1612" s="1079">
        <v>14.67</v>
      </c>
      <c r="V1612" s="1079">
        <v>3.91</v>
      </c>
      <c r="W1612" s="1079"/>
      <c r="X1612" s="1079"/>
      <c r="Y1612" s="1079"/>
      <c r="Z1612" s="1079"/>
      <c r="AA1612" s="1079"/>
      <c r="AB1612" s="1079"/>
      <c r="AC1612" s="1079"/>
      <c r="AD1612" s="1080"/>
    </row>
    <row r="1613" spans="1:30" x14ac:dyDescent="0.2">
      <c r="A1613">
        <f t="shared" si="59"/>
        <v>46</v>
      </c>
      <c r="B1613">
        <v>1604</v>
      </c>
      <c r="C1613" s="1078">
        <v>2</v>
      </c>
      <c r="D1613" s="1077" t="s">
        <v>3603</v>
      </c>
      <c r="E1613" s="1077" t="s">
        <v>5230</v>
      </c>
      <c r="F1613" s="1079">
        <v>4</v>
      </c>
      <c r="G1613" s="1079">
        <v>7.61</v>
      </c>
      <c r="H1613" s="1079">
        <v>2.4900000000000002</v>
      </c>
      <c r="I1613" s="1079">
        <v>10.09</v>
      </c>
      <c r="J1613" s="1079">
        <v>3.18</v>
      </c>
      <c r="K1613" s="1079">
        <v>10.09</v>
      </c>
      <c r="L1613" s="1079">
        <v>4.09</v>
      </c>
      <c r="M1613" s="1079">
        <v>12.6</v>
      </c>
      <c r="N1613" s="1079">
        <v>5.01</v>
      </c>
      <c r="O1613" s="1079">
        <v>16.64</v>
      </c>
      <c r="P1613" s="1079">
        <v>7.24</v>
      </c>
      <c r="Q1613" s="1079">
        <v>10.08</v>
      </c>
      <c r="R1613" s="1079">
        <v>2.2200000000000002</v>
      </c>
      <c r="S1613" s="1079">
        <v>12.2</v>
      </c>
      <c r="T1613" s="1079">
        <v>2.96</v>
      </c>
      <c r="U1613" s="1079">
        <v>14.56</v>
      </c>
      <c r="V1613" s="1079">
        <v>3.99</v>
      </c>
      <c r="W1613" s="1079"/>
      <c r="X1613" s="1079"/>
      <c r="Y1613" s="1079"/>
      <c r="Z1613" s="1079"/>
      <c r="AA1613" s="1079"/>
      <c r="AB1613" s="1079"/>
      <c r="AC1613" s="1079"/>
      <c r="AD1613" s="1080"/>
    </row>
    <row r="1614" spans="1:30" x14ac:dyDescent="0.2">
      <c r="A1614">
        <f t="shared" si="59"/>
        <v>46</v>
      </c>
      <c r="B1614">
        <v>1605</v>
      </c>
      <c r="C1614" s="1078">
        <v>2</v>
      </c>
      <c r="D1614" s="1077" t="s">
        <v>3603</v>
      </c>
      <c r="E1614" s="1077" t="s">
        <v>5231</v>
      </c>
      <c r="F1614" s="1079">
        <v>4</v>
      </c>
      <c r="G1614" s="1079">
        <v>8.35</v>
      </c>
      <c r="H1614" s="1079">
        <v>2.42</v>
      </c>
      <c r="I1614" s="1079">
        <v>11.06</v>
      </c>
      <c r="J1614" s="1079">
        <v>3.07</v>
      </c>
      <c r="K1614" s="1079">
        <v>10.64</v>
      </c>
      <c r="L1614" s="1079">
        <v>4.0599999999999996</v>
      </c>
      <c r="M1614" s="1079">
        <v>13.7</v>
      </c>
      <c r="N1614" s="1079">
        <v>4.99</v>
      </c>
      <c r="O1614" s="1079">
        <v>17.53</v>
      </c>
      <c r="P1614" s="1079">
        <v>7.03</v>
      </c>
      <c r="Q1614" s="1079">
        <v>10.68</v>
      </c>
      <c r="R1614" s="1079">
        <v>2.21</v>
      </c>
      <c r="S1614" s="1079">
        <v>10.77</v>
      </c>
      <c r="T1614" s="1079">
        <v>3.01</v>
      </c>
      <c r="U1614" s="1079">
        <v>15.51</v>
      </c>
      <c r="V1614" s="1079">
        <v>3.98</v>
      </c>
      <c r="W1614" s="1079"/>
      <c r="X1614" s="1079"/>
      <c r="Y1614" s="1079"/>
      <c r="Z1614" s="1079"/>
      <c r="AA1614" s="1079"/>
      <c r="AB1614" s="1079"/>
      <c r="AC1614" s="1079"/>
      <c r="AD1614" s="1080"/>
    </row>
    <row r="1615" spans="1:30" x14ac:dyDescent="0.2">
      <c r="A1615">
        <f t="shared" si="59"/>
        <v>46</v>
      </c>
      <c r="B1615">
        <v>1606</v>
      </c>
      <c r="C1615" s="1078">
        <v>2</v>
      </c>
      <c r="D1615" s="1077" t="s">
        <v>3603</v>
      </c>
      <c r="E1615" s="1077" t="s">
        <v>5232</v>
      </c>
      <c r="F1615" s="1079">
        <v>4</v>
      </c>
      <c r="G1615" s="1079">
        <v>8.7799999999999994</v>
      </c>
      <c r="H1615" s="1079">
        <v>2.37</v>
      </c>
      <c r="I1615" s="1079">
        <v>11.6</v>
      </c>
      <c r="J1615" s="1079">
        <v>3</v>
      </c>
      <c r="K1615" s="1079">
        <v>11.18</v>
      </c>
      <c r="L1615" s="1079">
        <v>3.94</v>
      </c>
      <c r="M1615" s="1079">
        <v>14.7</v>
      </c>
      <c r="N1615" s="1079">
        <v>4.95</v>
      </c>
      <c r="O1615" s="1079">
        <v>18.38</v>
      </c>
      <c r="P1615" s="1079">
        <v>6.71</v>
      </c>
      <c r="Q1615" s="1079">
        <v>10.7</v>
      </c>
      <c r="R1615" s="1079">
        <v>2.2200000000000002</v>
      </c>
      <c r="S1615" s="1079">
        <v>11.16</v>
      </c>
      <c r="T1615" s="1079">
        <v>3</v>
      </c>
      <c r="U1615" s="1079">
        <v>16.440000000000001</v>
      </c>
      <c r="V1615" s="1079">
        <v>3.96</v>
      </c>
      <c r="W1615" s="1079"/>
      <c r="X1615" s="1079"/>
      <c r="Y1615" s="1079"/>
      <c r="Z1615" s="1079"/>
      <c r="AA1615" s="1079"/>
      <c r="AB1615" s="1079"/>
      <c r="AC1615" s="1079"/>
      <c r="AD1615" s="1080"/>
    </row>
    <row r="1616" spans="1:30" x14ac:dyDescent="0.2">
      <c r="A1616">
        <f t="shared" si="59"/>
        <v>46</v>
      </c>
      <c r="B1616">
        <v>1607</v>
      </c>
      <c r="C1616" s="1078">
        <v>2</v>
      </c>
      <c r="D1616" s="1077" t="s">
        <v>3603</v>
      </c>
      <c r="E1616" s="1077" t="s">
        <v>5233</v>
      </c>
      <c r="F1616" s="1079">
        <v>1</v>
      </c>
      <c r="G1616" s="1079">
        <v>6.7</v>
      </c>
      <c r="H1616" s="1079">
        <v>2.5</v>
      </c>
      <c r="I1616" s="1079">
        <v>8.6999999999999993</v>
      </c>
      <c r="J1616" s="1079">
        <v>3</v>
      </c>
      <c r="K1616" s="1079">
        <v>10.6</v>
      </c>
      <c r="L1616" s="1079">
        <v>3.6</v>
      </c>
      <c r="M1616" s="1079">
        <v>12.7</v>
      </c>
      <c r="N1616" s="1079">
        <v>4.0999999999999996</v>
      </c>
      <c r="O1616" s="1079"/>
      <c r="P1616" s="1079"/>
      <c r="Q1616" s="1079">
        <v>9.3000000000000007</v>
      </c>
      <c r="R1616" s="1079">
        <v>2.2000000000000002</v>
      </c>
      <c r="S1616" s="1079">
        <v>10.5</v>
      </c>
      <c r="T1616" s="1079">
        <v>3</v>
      </c>
      <c r="U1616" s="1079">
        <v>15.6</v>
      </c>
      <c r="V1616" s="1079">
        <v>3.5</v>
      </c>
      <c r="W1616" s="1079"/>
      <c r="X1616" s="1079"/>
      <c r="Y1616" s="1079"/>
      <c r="Z1616" s="1079"/>
      <c r="AA1616" s="1079"/>
      <c r="AB1616" s="1079"/>
      <c r="AC1616" s="1079"/>
      <c r="AD1616" s="1080"/>
    </row>
    <row r="1617" spans="1:30" x14ac:dyDescent="0.2">
      <c r="A1617">
        <f t="shared" si="59"/>
        <v>46</v>
      </c>
      <c r="B1617">
        <v>1608</v>
      </c>
      <c r="C1617" s="1078">
        <v>2</v>
      </c>
      <c r="D1617" s="1077" t="s">
        <v>3603</v>
      </c>
      <c r="E1617" s="1077" t="s">
        <v>5342</v>
      </c>
      <c r="F1617" s="1079">
        <v>1</v>
      </c>
      <c r="G1617" s="1079">
        <v>10.199999999999999</v>
      </c>
      <c r="H1617" s="1079">
        <v>2.5499999999999998</v>
      </c>
      <c r="I1617" s="1079">
        <v>12.2</v>
      </c>
      <c r="J1617" s="1079">
        <v>2.94</v>
      </c>
      <c r="K1617" s="1079">
        <v>14.5</v>
      </c>
      <c r="L1617" s="1079">
        <v>3.5</v>
      </c>
      <c r="M1617" s="1079">
        <v>15.9</v>
      </c>
      <c r="N1617" s="1079">
        <v>3.8</v>
      </c>
      <c r="O1617" s="1079"/>
      <c r="P1617" s="1079"/>
      <c r="Q1617" s="1079">
        <v>13.9</v>
      </c>
      <c r="R1617" s="1079">
        <v>2.2999999999999998</v>
      </c>
      <c r="S1617" s="1079">
        <v>16.399999999999999</v>
      </c>
      <c r="T1617" s="1079">
        <v>2.7</v>
      </c>
      <c r="U1617" s="1079">
        <v>23.9</v>
      </c>
      <c r="V1617" s="1079">
        <v>3.6</v>
      </c>
      <c r="W1617" s="1079"/>
      <c r="X1617" s="1079"/>
      <c r="Y1617" s="1079"/>
      <c r="Z1617" s="1079"/>
      <c r="AA1617" s="1079"/>
      <c r="AB1617" s="1079"/>
      <c r="AC1617" s="1079"/>
      <c r="AD1617" s="1080"/>
    </row>
    <row r="1618" spans="1:30" x14ac:dyDescent="0.2">
      <c r="A1618">
        <f t="shared" si="59"/>
        <v>46</v>
      </c>
      <c r="B1618">
        <v>1609</v>
      </c>
      <c r="C1618" s="1078">
        <v>2</v>
      </c>
      <c r="D1618" s="1077" t="s">
        <v>3603</v>
      </c>
      <c r="E1618" s="1077" t="s">
        <v>5234</v>
      </c>
      <c r="F1618" s="1079">
        <v>1</v>
      </c>
      <c r="G1618" s="1079">
        <v>12.4</v>
      </c>
      <c r="H1618" s="1079">
        <v>2.25</v>
      </c>
      <c r="I1618" s="1079">
        <v>15</v>
      </c>
      <c r="J1618" s="1079">
        <v>2.59</v>
      </c>
      <c r="K1618" s="1079">
        <v>18.5</v>
      </c>
      <c r="L1618" s="1079">
        <v>3.2</v>
      </c>
      <c r="M1618" s="1079">
        <v>20.6</v>
      </c>
      <c r="N1618" s="1079">
        <v>3.4</v>
      </c>
      <c r="O1618" s="1079"/>
      <c r="P1618" s="1079"/>
      <c r="Q1618" s="1079">
        <v>16.3</v>
      </c>
      <c r="R1618" s="1079">
        <v>2.1</v>
      </c>
      <c r="S1618" s="1079">
        <v>22.3</v>
      </c>
      <c r="T1618" s="1079">
        <v>2.6</v>
      </c>
      <c r="U1618" s="1079">
        <v>24.6</v>
      </c>
      <c r="V1618" s="1079">
        <v>3</v>
      </c>
      <c r="W1618" s="1079"/>
      <c r="X1618" s="1079"/>
      <c r="Y1618" s="1079"/>
      <c r="Z1618" s="1079"/>
      <c r="AA1618" s="1079"/>
      <c r="AB1618" s="1079"/>
      <c r="AC1618" s="1079"/>
      <c r="AD1618" s="1080"/>
    </row>
    <row r="1619" spans="1:30" x14ac:dyDescent="0.2">
      <c r="A1619">
        <f t="shared" si="59"/>
        <v>46</v>
      </c>
      <c r="B1619">
        <v>1610</v>
      </c>
      <c r="C1619" s="1078">
        <v>2</v>
      </c>
      <c r="D1619" s="1077" t="s">
        <v>3603</v>
      </c>
      <c r="E1619" s="1077" t="s">
        <v>5235</v>
      </c>
      <c r="F1619" s="1079">
        <v>1</v>
      </c>
      <c r="G1619" s="1079">
        <v>6.7</v>
      </c>
      <c r="H1619" s="1079">
        <v>2.5</v>
      </c>
      <c r="I1619" s="1079">
        <v>8.6999999999999993</v>
      </c>
      <c r="J1619" s="1079">
        <v>3</v>
      </c>
      <c r="K1619" s="1079">
        <v>10.6</v>
      </c>
      <c r="L1619" s="1079">
        <v>3.6</v>
      </c>
      <c r="M1619" s="1079">
        <v>12.7</v>
      </c>
      <c r="N1619" s="1079">
        <v>4.0999999999999996</v>
      </c>
      <c r="O1619" s="1079"/>
      <c r="P1619" s="1079"/>
      <c r="Q1619" s="1079">
        <v>9.3000000000000007</v>
      </c>
      <c r="R1619" s="1079">
        <v>2.2000000000000002</v>
      </c>
      <c r="S1619" s="1079">
        <v>10.5</v>
      </c>
      <c r="T1619" s="1079">
        <v>3</v>
      </c>
      <c r="U1619" s="1079">
        <v>15.6</v>
      </c>
      <c r="V1619" s="1079">
        <v>3.5</v>
      </c>
      <c r="W1619" s="1079"/>
      <c r="X1619" s="1079"/>
      <c r="Y1619" s="1079"/>
      <c r="Z1619" s="1079"/>
      <c r="AA1619" s="1079"/>
      <c r="AB1619" s="1079"/>
      <c r="AC1619" s="1079"/>
      <c r="AD1619" s="1080"/>
    </row>
    <row r="1620" spans="1:30" x14ac:dyDescent="0.2">
      <c r="A1620">
        <f t="shared" si="59"/>
        <v>46</v>
      </c>
      <c r="B1620">
        <v>1611</v>
      </c>
      <c r="C1620" s="1078">
        <v>2</v>
      </c>
      <c r="D1620" s="1077" t="s">
        <v>3603</v>
      </c>
      <c r="E1620" s="1077" t="s">
        <v>5236</v>
      </c>
      <c r="F1620" s="1079">
        <v>1</v>
      </c>
      <c r="G1620" s="1079">
        <v>10.199999999999999</v>
      </c>
      <c r="H1620" s="1079">
        <v>2.5499999999999998</v>
      </c>
      <c r="I1620" s="1079">
        <v>12.2</v>
      </c>
      <c r="J1620" s="1079">
        <v>2.94</v>
      </c>
      <c r="K1620" s="1079">
        <v>14.5</v>
      </c>
      <c r="L1620" s="1079">
        <v>3.5</v>
      </c>
      <c r="M1620" s="1079">
        <v>15.9</v>
      </c>
      <c r="N1620" s="1079">
        <v>3.8</v>
      </c>
      <c r="O1620" s="1079"/>
      <c r="P1620" s="1079"/>
      <c r="Q1620" s="1079">
        <v>13.9</v>
      </c>
      <c r="R1620" s="1079">
        <v>2.2999999999999998</v>
      </c>
      <c r="S1620" s="1079">
        <v>16.399999999999999</v>
      </c>
      <c r="T1620" s="1079">
        <v>2.7</v>
      </c>
      <c r="U1620" s="1079">
        <v>23.9</v>
      </c>
      <c r="V1620" s="1079">
        <v>3.6</v>
      </c>
      <c r="W1620" s="1079"/>
      <c r="X1620" s="1079"/>
      <c r="Y1620" s="1079"/>
      <c r="Z1620" s="1079"/>
      <c r="AA1620" s="1079"/>
      <c r="AB1620" s="1079"/>
      <c r="AC1620" s="1079"/>
      <c r="AD1620" s="1080"/>
    </row>
    <row r="1621" spans="1:30" x14ac:dyDescent="0.2">
      <c r="A1621">
        <f t="shared" si="59"/>
        <v>46</v>
      </c>
      <c r="B1621">
        <v>1612</v>
      </c>
      <c r="C1621" s="1078">
        <v>2</v>
      </c>
      <c r="D1621" s="1077" t="s">
        <v>3603</v>
      </c>
      <c r="E1621" s="1077" t="s">
        <v>5237</v>
      </c>
      <c r="F1621" s="1079">
        <v>1</v>
      </c>
      <c r="G1621" s="1079">
        <v>12.4</v>
      </c>
      <c r="H1621" s="1079">
        <v>2.25</v>
      </c>
      <c r="I1621" s="1079">
        <v>15</v>
      </c>
      <c r="J1621" s="1079">
        <v>2.59</v>
      </c>
      <c r="K1621" s="1079">
        <v>18.5</v>
      </c>
      <c r="L1621" s="1079">
        <v>3.2</v>
      </c>
      <c r="M1621" s="1079">
        <v>20.6</v>
      </c>
      <c r="N1621" s="1079">
        <v>3.4</v>
      </c>
      <c r="O1621" s="1079"/>
      <c r="P1621" s="1079"/>
      <c r="Q1621" s="1079">
        <v>16.3</v>
      </c>
      <c r="R1621" s="1079">
        <v>2.1</v>
      </c>
      <c r="S1621" s="1079">
        <v>22.3</v>
      </c>
      <c r="T1621" s="1079">
        <v>2.6</v>
      </c>
      <c r="U1621" s="1079">
        <v>24.6</v>
      </c>
      <c r="V1621" s="1079">
        <v>3</v>
      </c>
      <c r="W1621" s="1079"/>
      <c r="X1621" s="1079"/>
      <c r="Y1621" s="1079"/>
      <c r="Z1621" s="1079"/>
      <c r="AA1621" s="1079"/>
      <c r="AB1621" s="1079"/>
      <c r="AC1621" s="1079"/>
      <c r="AD1621" s="1080"/>
    </row>
    <row r="1622" spans="1:30" x14ac:dyDescent="0.2">
      <c r="A1622">
        <f t="shared" si="59"/>
        <v>46</v>
      </c>
      <c r="B1622">
        <v>1613</v>
      </c>
      <c r="C1622" s="1078">
        <v>2</v>
      </c>
      <c r="D1622" s="1077" t="s">
        <v>3603</v>
      </c>
      <c r="E1622" s="1077" t="s">
        <v>5238</v>
      </c>
      <c r="F1622" s="1079">
        <v>4</v>
      </c>
      <c r="G1622" s="1079">
        <v>4.24</v>
      </c>
      <c r="H1622" s="1079">
        <v>2.65</v>
      </c>
      <c r="I1622" s="1079">
        <v>5.5</v>
      </c>
      <c r="J1622" s="1079">
        <v>3.05</v>
      </c>
      <c r="K1622" s="1079">
        <v>5</v>
      </c>
      <c r="L1622" s="1079">
        <v>4.0599999999999996</v>
      </c>
      <c r="M1622" s="1079">
        <v>7.5</v>
      </c>
      <c r="N1622" s="1079">
        <v>5.12</v>
      </c>
      <c r="O1622" s="1079">
        <v>9.68</v>
      </c>
      <c r="P1622" s="1079">
        <v>6.92</v>
      </c>
      <c r="Q1622" s="1079">
        <v>4.42</v>
      </c>
      <c r="R1622" s="1079">
        <v>1.92</v>
      </c>
      <c r="S1622" s="1079">
        <v>6.47</v>
      </c>
      <c r="T1622" s="1079">
        <v>2.78</v>
      </c>
      <c r="U1622" s="1079">
        <v>9.84</v>
      </c>
      <c r="V1622" s="1079">
        <v>4.51</v>
      </c>
      <c r="W1622" s="1079"/>
      <c r="X1622" s="1079"/>
      <c r="Y1622" s="1079"/>
      <c r="Z1622" s="1079"/>
      <c r="AA1622" s="1079"/>
      <c r="AB1622" s="1079"/>
      <c r="AC1622" s="1079"/>
      <c r="AD1622" s="1080"/>
    </row>
    <row r="1623" spans="1:30" x14ac:dyDescent="0.2">
      <c r="A1623">
        <f t="shared" si="59"/>
        <v>46</v>
      </c>
      <c r="B1623">
        <v>1614</v>
      </c>
      <c r="C1623" s="1078">
        <v>2</v>
      </c>
      <c r="D1623" s="1077" t="s">
        <v>3603</v>
      </c>
      <c r="E1623" s="1077" t="s">
        <v>5239</v>
      </c>
      <c r="F1623" s="1079">
        <v>4</v>
      </c>
      <c r="G1623" s="1079">
        <v>5.07</v>
      </c>
      <c r="H1623" s="1079">
        <v>2.58</v>
      </c>
      <c r="I1623" s="1079">
        <v>7.03</v>
      </c>
      <c r="J1623" s="1079">
        <v>2.91</v>
      </c>
      <c r="K1623" s="1079">
        <v>6.23</v>
      </c>
      <c r="L1623" s="1079">
        <v>3.91</v>
      </c>
      <c r="M1623" s="1079">
        <v>9.92</v>
      </c>
      <c r="N1623" s="1079">
        <v>4.8</v>
      </c>
      <c r="O1623" s="1079">
        <v>13.29</v>
      </c>
      <c r="P1623" s="1079">
        <v>7.05</v>
      </c>
      <c r="Q1623" s="1079">
        <v>5.66</v>
      </c>
      <c r="R1623" s="1079">
        <v>2.0099999999999998</v>
      </c>
      <c r="S1623" s="1079">
        <v>8.8699999999999992</v>
      </c>
      <c r="T1623" s="1079">
        <v>2.89</v>
      </c>
      <c r="U1623" s="1079">
        <v>12.83</v>
      </c>
      <c r="V1623" s="1079">
        <v>4.3899999999999997</v>
      </c>
      <c r="W1623" s="1079"/>
      <c r="X1623" s="1079"/>
      <c r="Y1623" s="1079"/>
      <c r="Z1623" s="1079"/>
      <c r="AA1623" s="1079"/>
      <c r="AB1623" s="1079"/>
      <c r="AC1623" s="1079"/>
      <c r="AD1623" s="1080"/>
    </row>
    <row r="1624" spans="1:30" x14ac:dyDescent="0.2">
      <c r="A1624">
        <f t="shared" si="59"/>
        <v>46</v>
      </c>
      <c r="B1624">
        <v>1615</v>
      </c>
      <c r="C1624" s="1078">
        <v>2</v>
      </c>
      <c r="D1624" s="1077" t="s">
        <v>3603</v>
      </c>
      <c r="E1624" s="1077" t="s">
        <v>5343</v>
      </c>
      <c r="F1624" s="1079">
        <v>4</v>
      </c>
      <c r="G1624" s="1079">
        <v>5.87</v>
      </c>
      <c r="H1624" s="1079">
        <v>2.39</v>
      </c>
      <c r="I1624" s="1079">
        <v>7.9</v>
      </c>
      <c r="J1624" s="1079">
        <v>2.9</v>
      </c>
      <c r="K1624" s="1079">
        <v>7.1</v>
      </c>
      <c r="L1624" s="1079">
        <v>3.46</v>
      </c>
      <c r="M1624" s="1079">
        <v>10.4</v>
      </c>
      <c r="N1624" s="1079">
        <v>4.67</v>
      </c>
      <c r="O1624" s="1079">
        <v>16.420000000000002</v>
      </c>
      <c r="P1624" s="1079">
        <v>6.85</v>
      </c>
      <c r="Q1624" s="1079">
        <v>6.93</v>
      </c>
      <c r="R1624" s="1079">
        <v>1.99</v>
      </c>
      <c r="S1624" s="1079">
        <v>10.55</v>
      </c>
      <c r="T1624" s="1079">
        <v>2.92</v>
      </c>
      <c r="U1624" s="1079">
        <v>15.13</v>
      </c>
      <c r="V1624" s="1079">
        <v>4.12</v>
      </c>
      <c r="W1624" s="1079"/>
      <c r="X1624" s="1079"/>
      <c r="Y1624" s="1079"/>
      <c r="Z1624" s="1079"/>
      <c r="AA1624" s="1079"/>
      <c r="AB1624" s="1079"/>
      <c r="AC1624" s="1079"/>
      <c r="AD1624" s="1080"/>
    </row>
    <row r="1625" spans="1:30" x14ac:dyDescent="0.2">
      <c r="A1625">
        <f t="shared" si="59"/>
        <v>46</v>
      </c>
      <c r="B1625">
        <v>1616</v>
      </c>
      <c r="C1625" s="1078">
        <v>2</v>
      </c>
      <c r="D1625" s="1077" t="s">
        <v>3603</v>
      </c>
      <c r="E1625" s="1077" t="s">
        <v>4620</v>
      </c>
      <c r="F1625" s="1079">
        <v>4</v>
      </c>
      <c r="G1625" s="1079">
        <v>3.02</v>
      </c>
      <c r="H1625" s="1079">
        <v>2.33</v>
      </c>
      <c r="I1625" s="1079">
        <v>3.81</v>
      </c>
      <c r="J1625" s="1079">
        <v>2.91</v>
      </c>
      <c r="K1625" s="1079">
        <v>4.08</v>
      </c>
      <c r="L1625" s="1079">
        <v>3.57</v>
      </c>
      <c r="M1625" s="1079">
        <v>4.18</v>
      </c>
      <c r="N1625" s="1079">
        <v>4.5599999999999996</v>
      </c>
      <c r="O1625" s="1079">
        <v>6.47</v>
      </c>
      <c r="P1625" s="1079">
        <v>6.48</v>
      </c>
      <c r="Q1625" s="1079">
        <v>3.79</v>
      </c>
      <c r="R1625" s="1079">
        <v>1.95</v>
      </c>
      <c r="S1625" s="1079">
        <v>4.97</v>
      </c>
      <c r="T1625" s="1079">
        <v>2.64</v>
      </c>
      <c r="U1625" s="1079">
        <v>6.53</v>
      </c>
      <c r="V1625" s="1079">
        <v>3.54</v>
      </c>
      <c r="W1625" s="1079"/>
      <c r="X1625" s="1079"/>
      <c r="Y1625" s="1079"/>
      <c r="Z1625" s="1079"/>
      <c r="AA1625" s="1079"/>
      <c r="AB1625" s="1079"/>
      <c r="AC1625" s="1079"/>
      <c r="AD1625" s="1080"/>
    </row>
    <row r="1626" spans="1:30" x14ac:dyDescent="0.2">
      <c r="A1626">
        <f t="shared" si="59"/>
        <v>46</v>
      </c>
      <c r="B1626">
        <v>1617</v>
      </c>
      <c r="C1626" s="1078">
        <v>2</v>
      </c>
      <c r="D1626" s="1077" t="s">
        <v>3603</v>
      </c>
      <c r="E1626" s="1077" t="s">
        <v>4621</v>
      </c>
      <c r="F1626" s="1079">
        <v>4</v>
      </c>
      <c r="G1626" s="1079">
        <v>4.3499999999999996</v>
      </c>
      <c r="H1626" s="1079">
        <v>2.23</v>
      </c>
      <c r="I1626" s="1079">
        <v>5.53</v>
      </c>
      <c r="J1626" s="1079">
        <v>2.82</v>
      </c>
      <c r="K1626" s="1079">
        <v>5.54</v>
      </c>
      <c r="L1626" s="1079">
        <v>3.67</v>
      </c>
      <c r="M1626" s="1079">
        <v>6.3</v>
      </c>
      <c r="N1626" s="1079">
        <v>4.5999999999999996</v>
      </c>
      <c r="O1626" s="1079">
        <v>8.11</v>
      </c>
      <c r="P1626" s="1079">
        <v>6.23</v>
      </c>
      <c r="Q1626" s="1079">
        <v>5.56</v>
      </c>
      <c r="R1626" s="1079">
        <v>1.96</v>
      </c>
      <c r="S1626" s="1079">
        <v>6.16</v>
      </c>
      <c r="T1626" s="1079">
        <v>2.72</v>
      </c>
      <c r="U1626" s="1079">
        <v>7.57</v>
      </c>
      <c r="V1626" s="1079">
        <v>3.55</v>
      </c>
      <c r="W1626" s="1079"/>
      <c r="X1626" s="1079"/>
      <c r="Y1626" s="1079"/>
      <c r="Z1626" s="1079"/>
      <c r="AA1626" s="1079"/>
      <c r="AB1626" s="1079"/>
      <c r="AC1626" s="1079"/>
      <c r="AD1626" s="1080"/>
    </row>
    <row r="1627" spans="1:30" x14ac:dyDescent="0.2">
      <c r="A1627">
        <f t="shared" si="59"/>
        <v>46</v>
      </c>
      <c r="B1627">
        <v>1618</v>
      </c>
      <c r="C1627" s="1078">
        <v>2</v>
      </c>
      <c r="D1627" s="1077" t="s">
        <v>3603</v>
      </c>
      <c r="E1627" s="1077" t="s">
        <v>4622</v>
      </c>
      <c r="F1627" s="1079">
        <v>4</v>
      </c>
      <c r="G1627" s="1079">
        <v>5.23</v>
      </c>
      <c r="H1627" s="1079">
        <v>2.36</v>
      </c>
      <c r="I1627" s="1079">
        <v>6.67</v>
      </c>
      <c r="J1627" s="1079">
        <v>2.89</v>
      </c>
      <c r="K1627" s="1079">
        <v>6.99</v>
      </c>
      <c r="L1627" s="1079">
        <v>3.96</v>
      </c>
      <c r="M1627" s="1079">
        <v>7.54</v>
      </c>
      <c r="N1627" s="1079">
        <v>4.71</v>
      </c>
      <c r="O1627" s="1079">
        <v>10.45</v>
      </c>
      <c r="P1627" s="1079">
        <v>6.53</v>
      </c>
      <c r="Q1627" s="1079">
        <v>6.64</v>
      </c>
      <c r="R1627" s="1079">
        <v>2.12</v>
      </c>
      <c r="S1627" s="1079">
        <v>6.82</v>
      </c>
      <c r="T1627" s="1079">
        <v>2.75</v>
      </c>
      <c r="U1627" s="1079">
        <v>9.7799999999999994</v>
      </c>
      <c r="V1627" s="1079">
        <v>3.66</v>
      </c>
      <c r="W1627" s="1079"/>
      <c r="X1627" s="1079"/>
      <c r="Y1627" s="1079"/>
      <c r="Z1627" s="1079"/>
      <c r="AA1627" s="1079"/>
      <c r="AB1627" s="1079"/>
      <c r="AC1627" s="1079"/>
      <c r="AD1627" s="1080"/>
    </row>
    <row r="1628" spans="1:30" x14ac:dyDescent="0.2">
      <c r="A1628">
        <f t="shared" si="59"/>
        <v>46</v>
      </c>
      <c r="B1628">
        <v>1619</v>
      </c>
      <c r="C1628" s="1078">
        <v>2</v>
      </c>
      <c r="D1628" s="1077" t="s">
        <v>3603</v>
      </c>
      <c r="E1628" s="1077" t="s">
        <v>5240</v>
      </c>
      <c r="F1628" s="1079">
        <v>4</v>
      </c>
      <c r="G1628" s="1079">
        <v>6.26</v>
      </c>
      <c r="H1628" s="1079">
        <v>2.48</v>
      </c>
      <c r="I1628" s="1079">
        <v>8.35</v>
      </c>
      <c r="J1628" s="1079">
        <v>3.23</v>
      </c>
      <c r="K1628" s="1079">
        <v>9.5</v>
      </c>
      <c r="L1628" s="1079">
        <v>4.32</v>
      </c>
      <c r="M1628" s="1079">
        <v>11.6</v>
      </c>
      <c r="N1628" s="1079">
        <v>5.16</v>
      </c>
      <c r="O1628" s="1079">
        <v>15.04</v>
      </c>
      <c r="P1628" s="1079">
        <v>7.12</v>
      </c>
      <c r="Q1628" s="1079">
        <v>9.1</v>
      </c>
      <c r="R1628" s="1079">
        <v>2.21</v>
      </c>
      <c r="S1628" s="1079">
        <v>12.17</v>
      </c>
      <c r="T1628" s="1079">
        <v>7.95</v>
      </c>
      <c r="U1628" s="1079">
        <v>14.67</v>
      </c>
      <c r="V1628" s="1079">
        <v>3.91</v>
      </c>
      <c r="W1628" s="1079"/>
      <c r="X1628" s="1079"/>
      <c r="Y1628" s="1079"/>
      <c r="Z1628" s="1079"/>
      <c r="AA1628" s="1079"/>
      <c r="AB1628" s="1079"/>
      <c r="AC1628" s="1079"/>
      <c r="AD1628" s="1080"/>
    </row>
    <row r="1629" spans="1:30" x14ac:dyDescent="0.2">
      <c r="A1629">
        <f t="shared" si="59"/>
        <v>46</v>
      </c>
      <c r="B1629">
        <v>1620</v>
      </c>
      <c r="C1629" s="1078">
        <v>2</v>
      </c>
      <c r="D1629" s="1077" t="s">
        <v>3603</v>
      </c>
      <c r="E1629" s="1077" t="s">
        <v>4623</v>
      </c>
      <c r="F1629" s="1079">
        <v>4</v>
      </c>
      <c r="G1629" s="1079">
        <v>7.61</v>
      </c>
      <c r="H1629" s="1079">
        <v>2.4900000000000002</v>
      </c>
      <c r="I1629" s="1079">
        <v>10.09</v>
      </c>
      <c r="J1629" s="1079">
        <v>3.18</v>
      </c>
      <c r="K1629" s="1079">
        <v>10.09</v>
      </c>
      <c r="L1629" s="1079">
        <v>4.0999999999999996</v>
      </c>
      <c r="M1629" s="1079">
        <v>12.6</v>
      </c>
      <c r="N1629" s="1079">
        <v>5.01</v>
      </c>
      <c r="O1629" s="1079">
        <v>16.64</v>
      </c>
      <c r="P1629" s="1079">
        <v>7.22</v>
      </c>
      <c r="Q1629" s="1079">
        <v>10.08</v>
      </c>
      <c r="R1629" s="1079">
        <v>2.2200000000000002</v>
      </c>
      <c r="S1629" s="1079">
        <v>12.2</v>
      </c>
      <c r="T1629" s="1079">
        <v>2.96</v>
      </c>
      <c r="U1629" s="1079">
        <v>14.56</v>
      </c>
      <c r="V1629" s="1079">
        <v>3.99</v>
      </c>
      <c r="W1629" s="1079"/>
      <c r="X1629" s="1079"/>
      <c r="Y1629" s="1079"/>
      <c r="Z1629" s="1079"/>
      <c r="AA1629" s="1079"/>
      <c r="AB1629" s="1079"/>
      <c r="AC1629" s="1079"/>
      <c r="AD1629" s="1080"/>
    </row>
    <row r="1630" spans="1:30" x14ac:dyDescent="0.2">
      <c r="A1630">
        <f t="shared" si="59"/>
        <v>46</v>
      </c>
      <c r="B1630">
        <v>1621</v>
      </c>
      <c r="C1630" s="1078">
        <v>2</v>
      </c>
      <c r="D1630" s="1077" t="s">
        <v>3603</v>
      </c>
      <c r="E1630" s="1077" t="s">
        <v>4624</v>
      </c>
      <c r="F1630" s="1079">
        <v>4</v>
      </c>
      <c r="G1630" s="1079">
        <v>8.35</v>
      </c>
      <c r="H1630" s="1079">
        <v>2.4300000000000002</v>
      </c>
      <c r="I1630" s="1079">
        <v>10.74</v>
      </c>
      <c r="J1630" s="1079">
        <v>3</v>
      </c>
      <c r="K1630" s="1079">
        <v>10.64</v>
      </c>
      <c r="L1630" s="1079">
        <v>3.98</v>
      </c>
      <c r="M1630" s="1079">
        <v>13.7</v>
      </c>
      <c r="N1630" s="1079">
        <v>4.87</v>
      </c>
      <c r="O1630" s="1079">
        <v>17.53</v>
      </c>
      <c r="P1630" s="1079">
        <v>7.02</v>
      </c>
      <c r="Q1630" s="1079">
        <v>10.68</v>
      </c>
      <c r="R1630" s="1079">
        <v>2.21</v>
      </c>
      <c r="S1630" s="1079">
        <v>10.77</v>
      </c>
      <c r="T1630" s="1079">
        <v>2.86</v>
      </c>
      <c r="U1630" s="1079">
        <v>15.51</v>
      </c>
      <c r="V1630" s="1079">
        <v>3.98</v>
      </c>
      <c r="W1630" s="1079"/>
      <c r="X1630" s="1079"/>
      <c r="Y1630" s="1079"/>
      <c r="Z1630" s="1079"/>
      <c r="AA1630" s="1079"/>
      <c r="AB1630" s="1079"/>
      <c r="AC1630" s="1079"/>
      <c r="AD1630" s="1080"/>
    </row>
    <row r="1631" spans="1:30" x14ac:dyDescent="0.2">
      <c r="A1631">
        <f t="shared" si="59"/>
        <v>46</v>
      </c>
      <c r="B1631">
        <v>1622</v>
      </c>
      <c r="C1631" s="1078">
        <v>2</v>
      </c>
      <c r="D1631" s="1077" t="s">
        <v>3603</v>
      </c>
      <c r="E1631" s="1077" t="s">
        <v>4625</v>
      </c>
      <c r="F1631" s="1079">
        <v>4</v>
      </c>
      <c r="G1631" s="1079">
        <v>8.7799999999999994</v>
      </c>
      <c r="H1631" s="1079">
        <v>2.37</v>
      </c>
      <c r="I1631" s="1079">
        <v>11.6</v>
      </c>
      <c r="J1631" s="1079">
        <v>3</v>
      </c>
      <c r="K1631" s="1079">
        <v>11.18</v>
      </c>
      <c r="L1631" s="1079">
        <v>3.94</v>
      </c>
      <c r="M1631" s="1079">
        <v>14.7</v>
      </c>
      <c r="N1631" s="1079">
        <v>4.95</v>
      </c>
      <c r="O1631" s="1079">
        <v>18.38</v>
      </c>
      <c r="P1631" s="1079">
        <v>6.71</v>
      </c>
      <c r="Q1631" s="1079">
        <v>10.7</v>
      </c>
      <c r="R1631" s="1079">
        <v>2.2200000000000002</v>
      </c>
      <c r="S1631" s="1079">
        <v>11.16</v>
      </c>
      <c r="T1631" s="1079">
        <v>3</v>
      </c>
      <c r="U1631" s="1079">
        <v>16.440000000000001</v>
      </c>
      <c r="V1631" s="1079">
        <v>3.96</v>
      </c>
      <c r="W1631" s="1079"/>
      <c r="X1631" s="1079"/>
      <c r="Y1631" s="1079"/>
      <c r="Z1631" s="1079"/>
      <c r="AA1631" s="1079"/>
      <c r="AB1631" s="1079"/>
      <c r="AC1631" s="1079"/>
      <c r="AD1631" s="1080"/>
    </row>
    <row r="1632" spans="1:30" x14ac:dyDescent="0.2">
      <c r="A1632">
        <f t="shared" si="59"/>
        <v>46</v>
      </c>
      <c r="B1632">
        <v>1623</v>
      </c>
      <c r="C1632" s="1078">
        <v>2</v>
      </c>
      <c r="D1632" s="1077" t="s">
        <v>3603</v>
      </c>
      <c r="E1632" s="1077" t="s">
        <v>5241</v>
      </c>
      <c r="F1632" s="1079">
        <v>4</v>
      </c>
      <c r="G1632" s="1079">
        <v>4.24</v>
      </c>
      <c r="H1632" s="1079">
        <v>2.65</v>
      </c>
      <c r="I1632" s="1079">
        <v>5.5</v>
      </c>
      <c r="J1632" s="1079">
        <v>3.05</v>
      </c>
      <c r="K1632" s="1079">
        <v>5</v>
      </c>
      <c r="L1632" s="1079">
        <v>4.0599999999999996</v>
      </c>
      <c r="M1632" s="1079">
        <v>7.5</v>
      </c>
      <c r="N1632" s="1079">
        <v>5.12</v>
      </c>
      <c r="O1632" s="1079">
        <v>9.68</v>
      </c>
      <c r="P1632" s="1079">
        <v>6.92</v>
      </c>
      <c r="Q1632" s="1079">
        <v>4.42</v>
      </c>
      <c r="R1632" s="1079">
        <v>1.92</v>
      </c>
      <c r="S1632" s="1079">
        <v>6.47</v>
      </c>
      <c r="T1632" s="1079">
        <v>2.78</v>
      </c>
      <c r="U1632" s="1079">
        <v>9.84</v>
      </c>
      <c r="V1632" s="1079">
        <v>4.51</v>
      </c>
      <c r="W1632" s="1079"/>
      <c r="X1632" s="1079"/>
      <c r="Y1632" s="1079"/>
      <c r="Z1632" s="1079"/>
      <c r="AA1632" s="1079"/>
      <c r="AB1632" s="1079"/>
      <c r="AC1632" s="1079"/>
      <c r="AD1632" s="1080"/>
    </row>
    <row r="1633" spans="1:30" x14ac:dyDescent="0.2">
      <c r="A1633">
        <f t="shared" si="59"/>
        <v>46</v>
      </c>
      <c r="B1633">
        <v>1624</v>
      </c>
      <c r="C1633" s="1078">
        <v>2</v>
      </c>
      <c r="D1633" s="1077" t="s">
        <v>3603</v>
      </c>
      <c r="E1633" s="1077" t="s">
        <v>5242</v>
      </c>
      <c r="F1633" s="1079">
        <v>4</v>
      </c>
      <c r="G1633" s="1079">
        <v>5.07</v>
      </c>
      <c r="H1633" s="1079">
        <v>2.58</v>
      </c>
      <c r="I1633" s="1079">
        <v>7.03</v>
      </c>
      <c r="J1633" s="1079">
        <v>2.91</v>
      </c>
      <c r="K1633" s="1079">
        <v>6.23</v>
      </c>
      <c r="L1633" s="1079">
        <v>3.91</v>
      </c>
      <c r="M1633" s="1079">
        <v>9.92</v>
      </c>
      <c r="N1633" s="1079">
        <v>4.8</v>
      </c>
      <c r="O1633" s="1079">
        <v>13.29</v>
      </c>
      <c r="P1633" s="1079">
        <v>7.05</v>
      </c>
      <c r="Q1633" s="1079">
        <v>5.66</v>
      </c>
      <c r="R1633" s="1079">
        <v>2.0099999999999998</v>
      </c>
      <c r="S1633" s="1079">
        <v>8.8699999999999992</v>
      </c>
      <c r="T1633" s="1079">
        <v>2.89</v>
      </c>
      <c r="U1633" s="1079">
        <v>12.83</v>
      </c>
      <c r="V1633" s="1079">
        <v>4.3899999999999997</v>
      </c>
      <c r="W1633" s="1079"/>
      <c r="X1633" s="1079"/>
      <c r="Y1633" s="1079"/>
      <c r="Z1633" s="1079"/>
      <c r="AA1633" s="1079"/>
      <c r="AB1633" s="1079"/>
      <c r="AC1633" s="1079"/>
      <c r="AD1633" s="1080"/>
    </row>
    <row r="1634" spans="1:30" x14ac:dyDescent="0.2">
      <c r="A1634">
        <f t="shared" si="59"/>
        <v>46</v>
      </c>
      <c r="B1634">
        <v>1625</v>
      </c>
      <c r="C1634" s="1078">
        <v>2</v>
      </c>
      <c r="D1634" s="1077" t="s">
        <v>3603</v>
      </c>
      <c r="E1634" s="1077" t="s">
        <v>5344</v>
      </c>
      <c r="F1634" s="1079">
        <v>4</v>
      </c>
      <c r="G1634" s="1079">
        <v>5.87</v>
      </c>
      <c r="H1634" s="1079">
        <v>2.39</v>
      </c>
      <c r="I1634" s="1079">
        <v>7.9</v>
      </c>
      <c r="J1634" s="1079">
        <v>2.9</v>
      </c>
      <c r="K1634" s="1079">
        <v>7.1</v>
      </c>
      <c r="L1634" s="1079">
        <v>3.46</v>
      </c>
      <c r="M1634" s="1079">
        <v>10.4</v>
      </c>
      <c r="N1634" s="1079">
        <v>4.67</v>
      </c>
      <c r="O1634" s="1079">
        <v>16.420000000000002</v>
      </c>
      <c r="P1634" s="1079">
        <v>6.85</v>
      </c>
      <c r="Q1634" s="1079">
        <v>6.93</v>
      </c>
      <c r="R1634" s="1079">
        <v>1.99</v>
      </c>
      <c r="S1634" s="1079">
        <v>10.55</v>
      </c>
      <c r="T1634" s="1079">
        <v>2.92</v>
      </c>
      <c r="U1634" s="1079">
        <v>15.13</v>
      </c>
      <c r="V1634" s="1079">
        <v>4.12</v>
      </c>
      <c r="W1634" s="1079"/>
      <c r="X1634" s="1079"/>
      <c r="Y1634" s="1079"/>
      <c r="Z1634" s="1079"/>
      <c r="AA1634" s="1079"/>
      <c r="AB1634" s="1079"/>
      <c r="AC1634" s="1079"/>
      <c r="AD1634" s="1080"/>
    </row>
    <row r="1635" spans="1:30" x14ac:dyDescent="0.2">
      <c r="A1635">
        <f t="shared" si="59"/>
        <v>46</v>
      </c>
      <c r="B1635">
        <v>1626</v>
      </c>
      <c r="C1635" s="1078">
        <v>2</v>
      </c>
      <c r="D1635" s="1077" t="s">
        <v>3603</v>
      </c>
      <c r="E1635" s="1077" t="s">
        <v>4626</v>
      </c>
      <c r="F1635" s="1079">
        <v>4</v>
      </c>
      <c r="G1635" s="1079">
        <v>3.02</v>
      </c>
      <c r="H1635" s="1079">
        <v>2.33</v>
      </c>
      <c r="I1635" s="1079">
        <v>3.81</v>
      </c>
      <c r="J1635" s="1079">
        <v>2.91</v>
      </c>
      <c r="K1635" s="1079">
        <v>4.08</v>
      </c>
      <c r="L1635" s="1079">
        <v>3.57</v>
      </c>
      <c r="M1635" s="1079">
        <v>4.18</v>
      </c>
      <c r="N1635" s="1079">
        <v>4.5599999999999996</v>
      </c>
      <c r="O1635" s="1079">
        <v>6.47</v>
      </c>
      <c r="P1635" s="1079">
        <v>6.48</v>
      </c>
      <c r="Q1635" s="1079">
        <v>3.79</v>
      </c>
      <c r="R1635" s="1079">
        <v>1.95</v>
      </c>
      <c r="S1635" s="1079">
        <v>4.97</v>
      </c>
      <c r="T1635" s="1079">
        <v>2.64</v>
      </c>
      <c r="U1635" s="1079">
        <v>6.53</v>
      </c>
      <c r="V1635" s="1079">
        <v>3.54</v>
      </c>
      <c r="W1635" s="1079"/>
      <c r="X1635" s="1079"/>
      <c r="Y1635" s="1079"/>
      <c r="Z1635" s="1079"/>
      <c r="AA1635" s="1079"/>
      <c r="AB1635" s="1079"/>
      <c r="AC1635" s="1079"/>
      <c r="AD1635" s="1080"/>
    </row>
    <row r="1636" spans="1:30" x14ac:dyDescent="0.2">
      <c r="A1636">
        <f t="shared" si="59"/>
        <v>46</v>
      </c>
      <c r="B1636">
        <v>1627</v>
      </c>
      <c r="C1636" s="1078">
        <v>2</v>
      </c>
      <c r="D1636" s="1077" t="s">
        <v>3603</v>
      </c>
      <c r="E1636" s="1077" t="s">
        <v>4627</v>
      </c>
      <c r="F1636" s="1079">
        <v>4</v>
      </c>
      <c r="G1636" s="1079">
        <v>4.3499999999999996</v>
      </c>
      <c r="H1636" s="1079">
        <v>2.23</v>
      </c>
      <c r="I1636" s="1079">
        <v>5.53</v>
      </c>
      <c r="J1636" s="1079">
        <v>2.82</v>
      </c>
      <c r="K1636" s="1079">
        <v>5.54</v>
      </c>
      <c r="L1636" s="1079">
        <v>3.67</v>
      </c>
      <c r="M1636" s="1079">
        <v>6.3</v>
      </c>
      <c r="N1636" s="1079">
        <v>4.5999999999999996</v>
      </c>
      <c r="O1636" s="1079">
        <v>8.11</v>
      </c>
      <c r="P1636" s="1079">
        <v>6.23</v>
      </c>
      <c r="Q1636" s="1079">
        <v>5.56</v>
      </c>
      <c r="R1636" s="1079">
        <v>1.96</v>
      </c>
      <c r="S1636" s="1079">
        <v>6.16</v>
      </c>
      <c r="T1636" s="1079">
        <v>2.72</v>
      </c>
      <c r="U1636" s="1079">
        <v>7.57</v>
      </c>
      <c r="V1636" s="1079">
        <v>3.55</v>
      </c>
      <c r="W1636" s="1079"/>
      <c r="X1636" s="1079"/>
      <c r="Y1636" s="1079"/>
      <c r="Z1636" s="1079"/>
      <c r="AA1636" s="1079"/>
      <c r="AB1636" s="1079"/>
      <c r="AC1636" s="1079"/>
      <c r="AD1636" s="1080"/>
    </row>
    <row r="1637" spans="1:30" x14ac:dyDescent="0.2">
      <c r="A1637">
        <f t="shared" si="59"/>
        <v>46</v>
      </c>
      <c r="B1637">
        <v>1628</v>
      </c>
      <c r="C1637" s="1078">
        <v>2</v>
      </c>
      <c r="D1637" s="1077" t="s">
        <v>3603</v>
      </c>
      <c r="E1637" s="1077" t="s">
        <v>4628</v>
      </c>
      <c r="F1637" s="1079">
        <v>4</v>
      </c>
      <c r="G1637" s="1079">
        <v>5.23</v>
      </c>
      <c r="H1637" s="1079">
        <v>2.36</v>
      </c>
      <c r="I1637" s="1079">
        <v>6.67</v>
      </c>
      <c r="J1637" s="1079">
        <v>2.89</v>
      </c>
      <c r="K1637" s="1079">
        <v>6.99</v>
      </c>
      <c r="L1637" s="1079">
        <v>3.96</v>
      </c>
      <c r="M1637" s="1079">
        <v>7.54</v>
      </c>
      <c r="N1637" s="1079">
        <v>4.71</v>
      </c>
      <c r="O1637" s="1079">
        <v>10.45</v>
      </c>
      <c r="P1637" s="1079">
        <v>6.53</v>
      </c>
      <c r="Q1637" s="1079">
        <v>6.64</v>
      </c>
      <c r="R1637" s="1079">
        <v>2.12</v>
      </c>
      <c r="S1637" s="1079">
        <v>6.82</v>
      </c>
      <c r="T1637" s="1079">
        <v>2.75</v>
      </c>
      <c r="U1637" s="1079">
        <v>9.7799999999999994</v>
      </c>
      <c r="V1637" s="1079">
        <v>3.66</v>
      </c>
      <c r="W1637" s="1079"/>
      <c r="X1637" s="1079"/>
      <c r="Y1637" s="1079"/>
      <c r="Z1637" s="1079"/>
      <c r="AA1637" s="1079"/>
      <c r="AB1637" s="1079"/>
      <c r="AC1637" s="1079"/>
      <c r="AD1637" s="1080"/>
    </row>
    <row r="1638" spans="1:30" x14ac:dyDescent="0.2">
      <c r="A1638">
        <f t="shared" si="59"/>
        <v>46</v>
      </c>
      <c r="B1638">
        <v>1629</v>
      </c>
      <c r="C1638" s="1078">
        <v>2</v>
      </c>
      <c r="D1638" s="1077" t="s">
        <v>3603</v>
      </c>
      <c r="E1638" s="1077" t="s">
        <v>5243</v>
      </c>
      <c r="F1638" s="1079">
        <v>4</v>
      </c>
      <c r="G1638" s="1079">
        <v>6.26</v>
      </c>
      <c r="H1638" s="1079">
        <v>2.48</v>
      </c>
      <c r="I1638" s="1079">
        <v>8.35</v>
      </c>
      <c r="J1638" s="1079">
        <v>3.23</v>
      </c>
      <c r="K1638" s="1079">
        <v>9.5</v>
      </c>
      <c r="L1638" s="1079">
        <v>4.32</v>
      </c>
      <c r="M1638" s="1079">
        <v>11.6</v>
      </c>
      <c r="N1638" s="1079">
        <v>5.16</v>
      </c>
      <c r="O1638" s="1079">
        <v>15.04</v>
      </c>
      <c r="P1638" s="1079">
        <v>7.12</v>
      </c>
      <c r="Q1638" s="1079">
        <v>9.1</v>
      </c>
      <c r="R1638" s="1079">
        <v>2.21</v>
      </c>
      <c r="S1638" s="1079">
        <v>12.17</v>
      </c>
      <c r="T1638" s="1079">
        <v>7.95</v>
      </c>
      <c r="U1638" s="1079">
        <v>14.67</v>
      </c>
      <c r="V1638" s="1079">
        <v>3.91</v>
      </c>
      <c r="W1638" s="1079"/>
      <c r="X1638" s="1079"/>
      <c r="Y1638" s="1079"/>
      <c r="Z1638" s="1079"/>
      <c r="AA1638" s="1079"/>
      <c r="AB1638" s="1079"/>
      <c r="AC1638" s="1079"/>
      <c r="AD1638" s="1080"/>
    </row>
    <row r="1639" spans="1:30" x14ac:dyDescent="0.2">
      <c r="A1639">
        <f t="shared" si="59"/>
        <v>46</v>
      </c>
      <c r="B1639">
        <v>1630</v>
      </c>
      <c r="C1639" s="1078">
        <v>2</v>
      </c>
      <c r="D1639" s="1077" t="s">
        <v>3603</v>
      </c>
      <c r="E1639" s="1077" t="s">
        <v>4629</v>
      </c>
      <c r="F1639" s="1079">
        <v>4</v>
      </c>
      <c r="G1639" s="1079">
        <v>7.61</v>
      </c>
      <c r="H1639" s="1079">
        <v>2.4900000000000002</v>
      </c>
      <c r="I1639" s="1079">
        <v>10.09</v>
      </c>
      <c r="J1639" s="1079">
        <v>3.18</v>
      </c>
      <c r="K1639" s="1079">
        <v>10.09</v>
      </c>
      <c r="L1639" s="1079">
        <v>4.0999999999999996</v>
      </c>
      <c r="M1639" s="1079">
        <v>12.6</v>
      </c>
      <c r="N1639" s="1079">
        <v>5.01</v>
      </c>
      <c r="O1639" s="1079">
        <v>16.64</v>
      </c>
      <c r="P1639" s="1079">
        <v>7.22</v>
      </c>
      <c r="Q1639" s="1079">
        <v>10.08</v>
      </c>
      <c r="R1639" s="1079">
        <v>2.2200000000000002</v>
      </c>
      <c r="S1639" s="1079">
        <v>12.2</v>
      </c>
      <c r="T1639" s="1079">
        <v>2.96</v>
      </c>
      <c r="U1639" s="1079">
        <v>14.56</v>
      </c>
      <c r="V1639" s="1079">
        <v>3.99</v>
      </c>
      <c r="W1639" s="1079"/>
      <c r="X1639" s="1079"/>
      <c r="Y1639" s="1079"/>
      <c r="Z1639" s="1079"/>
      <c r="AA1639" s="1079"/>
      <c r="AB1639" s="1079"/>
      <c r="AC1639" s="1079"/>
      <c r="AD1639" s="1080"/>
    </row>
    <row r="1640" spans="1:30" x14ac:dyDescent="0.2">
      <c r="A1640">
        <f t="shared" si="59"/>
        <v>46</v>
      </c>
      <c r="B1640">
        <v>1631</v>
      </c>
      <c r="C1640" s="1078">
        <v>2</v>
      </c>
      <c r="D1640" s="1077" t="s">
        <v>3603</v>
      </c>
      <c r="E1640" s="1077" t="s">
        <v>4630</v>
      </c>
      <c r="F1640" s="1079">
        <v>4</v>
      </c>
      <c r="G1640" s="1079">
        <v>8.35</v>
      </c>
      <c r="H1640" s="1079">
        <v>2.4300000000000002</v>
      </c>
      <c r="I1640" s="1079">
        <v>10.74</v>
      </c>
      <c r="J1640" s="1079">
        <v>3</v>
      </c>
      <c r="K1640" s="1079">
        <v>10.64</v>
      </c>
      <c r="L1640" s="1079">
        <v>3.98</v>
      </c>
      <c r="M1640" s="1079">
        <v>13.7</v>
      </c>
      <c r="N1640" s="1079">
        <v>4.87</v>
      </c>
      <c r="O1640" s="1079">
        <v>17.53</v>
      </c>
      <c r="P1640" s="1079">
        <v>7.02</v>
      </c>
      <c r="Q1640" s="1079">
        <v>10.68</v>
      </c>
      <c r="R1640" s="1079">
        <v>2.21</v>
      </c>
      <c r="S1640" s="1079">
        <v>10.77</v>
      </c>
      <c r="T1640" s="1079">
        <v>2.86</v>
      </c>
      <c r="U1640" s="1079">
        <v>15.51</v>
      </c>
      <c r="V1640" s="1079">
        <v>3.98</v>
      </c>
      <c r="W1640" s="1079"/>
      <c r="X1640" s="1079"/>
      <c r="Y1640" s="1079"/>
      <c r="Z1640" s="1079"/>
      <c r="AA1640" s="1079"/>
      <c r="AB1640" s="1079"/>
      <c r="AC1640" s="1079"/>
      <c r="AD1640" s="1080"/>
    </row>
    <row r="1641" spans="1:30" x14ac:dyDescent="0.2">
      <c r="A1641">
        <f t="shared" si="59"/>
        <v>46</v>
      </c>
      <c r="B1641">
        <v>1632</v>
      </c>
      <c r="C1641" s="1078">
        <v>2</v>
      </c>
      <c r="D1641" s="1077" t="s">
        <v>3603</v>
      </c>
      <c r="E1641" s="1077" t="s">
        <v>4631</v>
      </c>
      <c r="F1641" s="1079">
        <v>4</v>
      </c>
      <c r="G1641" s="1079">
        <v>8.7799999999999994</v>
      </c>
      <c r="H1641" s="1079">
        <v>2.37</v>
      </c>
      <c r="I1641" s="1079">
        <v>11.6</v>
      </c>
      <c r="J1641" s="1079">
        <v>3</v>
      </c>
      <c r="K1641" s="1079">
        <v>11.18</v>
      </c>
      <c r="L1641" s="1079">
        <v>3.94</v>
      </c>
      <c r="M1641" s="1079">
        <v>14.7</v>
      </c>
      <c r="N1641" s="1079">
        <v>4.95</v>
      </c>
      <c r="O1641" s="1079">
        <v>18.38</v>
      </c>
      <c r="P1641" s="1079">
        <v>6.71</v>
      </c>
      <c r="Q1641" s="1079">
        <v>10.7</v>
      </c>
      <c r="R1641" s="1079">
        <v>2.2200000000000002</v>
      </c>
      <c r="S1641" s="1079">
        <v>11.16</v>
      </c>
      <c r="T1641" s="1079">
        <v>3</v>
      </c>
      <c r="U1641" s="1079">
        <v>16.440000000000001</v>
      </c>
      <c r="V1641" s="1079">
        <v>3.96</v>
      </c>
      <c r="W1641" s="1079"/>
      <c r="X1641" s="1079"/>
      <c r="Y1641" s="1079"/>
      <c r="Z1641" s="1079"/>
      <c r="AA1641" s="1079"/>
      <c r="AB1641" s="1079"/>
      <c r="AC1641" s="1079"/>
      <c r="AD1641" s="1080"/>
    </row>
    <row r="1642" spans="1:30" x14ac:dyDescent="0.2">
      <c r="A1642">
        <f t="shared" si="59"/>
        <v>46</v>
      </c>
      <c r="B1642">
        <v>1633</v>
      </c>
      <c r="C1642" s="1078">
        <v>2</v>
      </c>
      <c r="D1642" s="1077" t="s">
        <v>3603</v>
      </c>
      <c r="E1642" s="1077" t="s">
        <v>5345</v>
      </c>
      <c r="F1642" s="1079">
        <v>4</v>
      </c>
      <c r="G1642" s="1079">
        <v>3.02</v>
      </c>
      <c r="H1642" s="1079">
        <v>2.56</v>
      </c>
      <c r="I1642" s="1079">
        <v>3.83</v>
      </c>
      <c r="J1642" s="1079">
        <v>3.2</v>
      </c>
      <c r="K1642" s="1079">
        <v>4.46</v>
      </c>
      <c r="L1642" s="1079">
        <v>4</v>
      </c>
      <c r="M1642" s="1079">
        <v>4</v>
      </c>
      <c r="N1642" s="1079">
        <v>5.0999999999999996</v>
      </c>
      <c r="O1642" s="1079">
        <v>8.2799999999999994</v>
      </c>
      <c r="P1642" s="1079">
        <v>8.17</v>
      </c>
      <c r="Q1642" s="1079">
        <v>3.52</v>
      </c>
      <c r="R1642" s="1079">
        <v>2.23</v>
      </c>
      <c r="S1642" s="1079">
        <v>5.36</v>
      </c>
      <c r="T1642" s="1079">
        <v>3.13</v>
      </c>
      <c r="U1642" s="1079">
        <v>7.89</v>
      </c>
      <c r="V1642" s="1079">
        <v>4.6399999999999997</v>
      </c>
      <c r="W1642" s="1079"/>
      <c r="X1642" s="1079"/>
      <c r="Y1642" s="1079"/>
      <c r="Z1642" s="1079"/>
      <c r="AA1642" s="1079"/>
      <c r="AB1642" s="1079"/>
      <c r="AC1642" s="1079"/>
      <c r="AD1642" s="1080"/>
    </row>
    <row r="1643" spans="1:30" x14ac:dyDescent="0.2">
      <c r="A1643">
        <f t="shared" si="59"/>
        <v>46</v>
      </c>
      <c r="B1643">
        <v>1634</v>
      </c>
      <c r="C1643" s="1078">
        <v>2</v>
      </c>
      <c r="D1643" s="1077" t="s">
        <v>3603</v>
      </c>
      <c r="E1643" s="1077" t="s">
        <v>5346</v>
      </c>
      <c r="F1643" s="1079">
        <v>4</v>
      </c>
      <c r="G1643" s="1079">
        <v>4.4000000000000004</v>
      </c>
      <c r="H1643" s="1079">
        <v>2.44</v>
      </c>
      <c r="I1643" s="1079">
        <v>5.6</v>
      </c>
      <c r="J1643" s="1079">
        <v>3</v>
      </c>
      <c r="K1643" s="1079">
        <v>5.97</v>
      </c>
      <c r="L1643" s="1079">
        <v>4</v>
      </c>
      <c r="M1643" s="1079">
        <v>6</v>
      </c>
      <c r="N1643" s="1079">
        <v>5.0999999999999996</v>
      </c>
      <c r="O1643" s="1079">
        <v>11.45</v>
      </c>
      <c r="P1643" s="1079">
        <v>7.71</v>
      </c>
      <c r="Q1643" s="1079">
        <v>5.16</v>
      </c>
      <c r="R1643" s="1079">
        <v>2.16</v>
      </c>
      <c r="S1643" s="1079">
        <v>7.16</v>
      </c>
      <c r="T1643" s="1079">
        <v>3.17</v>
      </c>
      <c r="U1643" s="1079">
        <v>11.12</v>
      </c>
      <c r="V1643" s="1079">
        <v>4.6399999999999997</v>
      </c>
      <c r="W1643" s="1079"/>
      <c r="X1643" s="1079"/>
      <c r="Y1643" s="1079"/>
      <c r="Z1643" s="1079"/>
      <c r="AA1643" s="1079"/>
      <c r="AB1643" s="1079"/>
      <c r="AC1643" s="1079"/>
      <c r="AD1643" s="1080"/>
    </row>
    <row r="1644" spans="1:30" x14ac:dyDescent="0.2">
      <c r="A1644">
        <f t="shared" si="59"/>
        <v>46</v>
      </c>
      <c r="B1644">
        <v>1635</v>
      </c>
      <c r="C1644" s="1078">
        <v>2</v>
      </c>
      <c r="D1644" s="1077" t="s">
        <v>3603</v>
      </c>
      <c r="E1644" s="1077" t="s">
        <v>5347</v>
      </c>
      <c r="F1644" s="1079">
        <v>4</v>
      </c>
      <c r="G1644" s="1079">
        <v>5.23</v>
      </c>
      <c r="H1644" s="1079">
        <v>2.31</v>
      </c>
      <c r="I1644" s="1079">
        <v>6.5</v>
      </c>
      <c r="J1644" s="1079">
        <v>2.7</v>
      </c>
      <c r="K1644" s="1079">
        <v>6.79</v>
      </c>
      <c r="L1644" s="1079">
        <v>3.7</v>
      </c>
      <c r="M1644" s="1079">
        <v>8</v>
      </c>
      <c r="N1644" s="1079">
        <v>4.9000000000000004</v>
      </c>
      <c r="O1644" s="1079">
        <v>12.33</v>
      </c>
      <c r="P1644" s="1079">
        <v>7.17</v>
      </c>
      <c r="Q1644" s="1079">
        <v>6.18</v>
      </c>
      <c r="R1644" s="1079">
        <v>2.08</v>
      </c>
      <c r="S1644" s="1079">
        <v>8.3800000000000008</v>
      </c>
      <c r="T1644" s="1079">
        <v>3.14</v>
      </c>
      <c r="U1644" s="1079">
        <v>11.5</v>
      </c>
      <c r="V1644" s="1079">
        <v>4.5</v>
      </c>
      <c r="W1644" s="1079"/>
      <c r="X1644" s="1079"/>
      <c r="Y1644" s="1079"/>
      <c r="Z1644" s="1079"/>
      <c r="AA1644" s="1079"/>
      <c r="AB1644" s="1079"/>
      <c r="AC1644" s="1079"/>
      <c r="AD1644" s="1080"/>
    </row>
    <row r="1645" spans="1:30" x14ac:dyDescent="0.2">
      <c r="A1645">
        <f t="shared" si="59"/>
        <v>46</v>
      </c>
      <c r="B1645">
        <v>1636</v>
      </c>
      <c r="C1645" s="1078">
        <v>2</v>
      </c>
      <c r="D1645" s="1077" t="s">
        <v>3603</v>
      </c>
      <c r="E1645" s="1077" t="s">
        <v>5142</v>
      </c>
      <c r="F1645" s="1079">
        <v>4</v>
      </c>
      <c r="G1645" s="1079">
        <v>7.72</v>
      </c>
      <c r="H1645" s="1079">
        <v>2.66</v>
      </c>
      <c r="I1645" s="1079">
        <v>9.6999999999999993</v>
      </c>
      <c r="J1645" s="1079">
        <v>3.16</v>
      </c>
      <c r="K1645" s="1079">
        <v>10.97</v>
      </c>
      <c r="L1645" s="1079">
        <v>4.46</v>
      </c>
      <c r="M1645" s="1079">
        <v>11.95</v>
      </c>
      <c r="N1645" s="1079">
        <v>5.31</v>
      </c>
      <c r="O1645" s="1079">
        <v>20.73</v>
      </c>
      <c r="P1645" s="1079">
        <v>8.5500000000000007</v>
      </c>
      <c r="Q1645" s="1079">
        <v>9.18</v>
      </c>
      <c r="R1645" s="1079">
        <v>2.13</v>
      </c>
      <c r="S1645" s="1079">
        <v>11.86</v>
      </c>
      <c r="T1645" s="1079">
        <v>2.97</v>
      </c>
      <c r="U1645" s="1079">
        <v>19.690000000000001</v>
      </c>
      <c r="V1645" s="1079">
        <v>4.54</v>
      </c>
      <c r="W1645" s="1079"/>
      <c r="X1645" s="1079"/>
      <c r="Y1645" s="1079"/>
      <c r="Z1645" s="1079"/>
      <c r="AA1645" s="1079"/>
      <c r="AB1645" s="1079"/>
      <c r="AC1645" s="1079"/>
      <c r="AD1645" s="1080"/>
    </row>
    <row r="1646" spans="1:30" x14ac:dyDescent="0.2">
      <c r="A1646">
        <f t="shared" si="59"/>
        <v>46</v>
      </c>
      <c r="B1646">
        <v>1637</v>
      </c>
      <c r="C1646" s="1078">
        <v>2</v>
      </c>
      <c r="D1646" s="1077" t="s">
        <v>3603</v>
      </c>
      <c r="E1646" s="1077" t="s">
        <v>5143</v>
      </c>
      <c r="F1646" s="1079">
        <v>4</v>
      </c>
      <c r="G1646" s="1079">
        <v>8.9</v>
      </c>
      <c r="H1646" s="1079">
        <v>2.5299999999999998</v>
      </c>
      <c r="I1646" s="1079">
        <v>11.13</v>
      </c>
      <c r="J1646" s="1079">
        <v>2.97</v>
      </c>
      <c r="K1646" s="1079">
        <v>12.34</v>
      </c>
      <c r="L1646" s="1079">
        <v>3.98</v>
      </c>
      <c r="M1646" s="1079">
        <v>13.4</v>
      </c>
      <c r="N1646" s="1079">
        <v>5.21</v>
      </c>
      <c r="O1646" s="1079">
        <v>22.63</v>
      </c>
      <c r="P1646" s="1079">
        <v>8.17</v>
      </c>
      <c r="Q1646" s="1079">
        <v>10.6</v>
      </c>
      <c r="R1646" s="1079">
        <v>2.2999999999999998</v>
      </c>
      <c r="S1646" s="1079">
        <v>13.33</v>
      </c>
      <c r="T1646" s="1079">
        <v>3.4</v>
      </c>
      <c r="U1646" s="1079">
        <v>20.65</v>
      </c>
      <c r="V1646" s="1079">
        <v>4.8</v>
      </c>
      <c r="W1646" s="1079"/>
      <c r="X1646" s="1079"/>
      <c r="Y1646" s="1079"/>
      <c r="Z1646" s="1079"/>
      <c r="AA1646" s="1079"/>
      <c r="AB1646" s="1079"/>
      <c r="AC1646" s="1079"/>
      <c r="AD1646" s="1080"/>
    </row>
    <row r="1647" spans="1:30" x14ac:dyDescent="0.2">
      <c r="A1647">
        <f t="shared" si="59"/>
        <v>46</v>
      </c>
      <c r="B1647">
        <v>1638</v>
      </c>
      <c r="C1647" s="1078">
        <v>2</v>
      </c>
      <c r="D1647" s="1077" t="s">
        <v>3603</v>
      </c>
      <c r="E1647" s="1077" t="s">
        <v>5348</v>
      </c>
      <c r="F1647" s="1079">
        <v>4</v>
      </c>
      <c r="G1647" s="1079">
        <v>9</v>
      </c>
      <c r="H1647" s="1079">
        <v>2.4900000000000002</v>
      </c>
      <c r="I1647" s="1079">
        <v>11.7</v>
      </c>
      <c r="J1647" s="1079">
        <v>2.95</v>
      </c>
      <c r="K1647" s="1079">
        <v>12.75</v>
      </c>
      <c r="L1647" s="1079">
        <v>4.3</v>
      </c>
      <c r="M1647" s="1079">
        <v>17.100000000000001</v>
      </c>
      <c r="N1647" s="1079">
        <v>5.31</v>
      </c>
      <c r="O1647" s="1079">
        <v>22.45</v>
      </c>
      <c r="P1647" s="1079">
        <v>7.66</v>
      </c>
      <c r="Q1647" s="1079">
        <v>11.8</v>
      </c>
      <c r="R1647" s="1079">
        <v>2.2999999999999998</v>
      </c>
      <c r="S1647" s="1079">
        <v>15.69</v>
      </c>
      <c r="T1647" s="1079">
        <v>3.31</v>
      </c>
      <c r="U1647" s="1079">
        <v>22.54</v>
      </c>
      <c r="V1647" s="1079">
        <v>4.83</v>
      </c>
      <c r="W1647" s="1079"/>
      <c r="X1647" s="1079"/>
      <c r="Y1647" s="1079"/>
      <c r="Z1647" s="1079"/>
      <c r="AA1647" s="1079"/>
      <c r="AB1647" s="1079"/>
      <c r="AC1647" s="1079"/>
      <c r="AD1647" s="1080"/>
    </row>
    <row r="1648" spans="1:30" x14ac:dyDescent="0.2">
      <c r="A1648">
        <f t="shared" si="59"/>
        <v>46</v>
      </c>
      <c r="B1648">
        <v>1639</v>
      </c>
      <c r="C1648" s="1078">
        <v>2</v>
      </c>
      <c r="D1648" s="1077" t="s">
        <v>3603</v>
      </c>
      <c r="E1648" s="1077" t="s">
        <v>5349</v>
      </c>
      <c r="F1648" s="1079">
        <v>4</v>
      </c>
      <c r="G1648" s="1079">
        <v>9.2899999999999991</v>
      </c>
      <c r="H1648" s="1079">
        <v>2.46</v>
      </c>
      <c r="I1648" s="1079">
        <v>12.3</v>
      </c>
      <c r="J1648" s="1079">
        <v>2.87</v>
      </c>
      <c r="K1648" s="1079">
        <v>13.2</v>
      </c>
      <c r="L1648" s="1079">
        <v>4.0599999999999996</v>
      </c>
      <c r="M1648" s="1079">
        <v>18.5</v>
      </c>
      <c r="N1648" s="1079">
        <v>5.27</v>
      </c>
      <c r="O1648" s="1079">
        <v>25.66</v>
      </c>
      <c r="P1648" s="1079">
        <v>7.11</v>
      </c>
      <c r="Q1648" s="1079">
        <v>12.5</v>
      </c>
      <c r="R1648" s="1079">
        <v>2.2000000000000002</v>
      </c>
      <c r="S1648" s="1079">
        <v>16.03</v>
      </c>
      <c r="T1648" s="1079">
        <v>3.31</v>
      </c>
      <c r="U1648" s="1079">
        <v>26.52</v>
      </c>
      <c r="V1648" s="1079">
        <v>4.79</v>
      </c>
      <c r="W1648" s="1079"/>
      <c r="X1648" s="1079"/>
      <c r="Y1648" s="1079"/>
      <c r="Z1648" s="1079"/>
      <c r="AA1648" s="1079"/>
      <c r="AB1648" s="1079"/>
      <c r="AC1648" s="1079"/>
      <c r="AD1648" s="1080"/>
    </row>
    <row r="1649" spans="1:30" x14ac:dyDescent="0.2">
      <c r="A1649">
        <f t="shared" si="59"/>
        <v>46</v>
      </c>
      <c r="B1649">
        <v>1640</v>
      </c>
      <c r="C1649" s="1078">
        <v>2</v>
      </c>
      <c r="D1649" s="1077" t="s">
        <v>3603</v>
      </c>
      <c r="E1649" s="1077" t="s">
        <v>5402</v>
      </c>
      <c r="F1649" s="1079">
        <v>4</v>
      </c>
      <c r="G1649" s="1079">
        <v>22.7</v>
      </c>
      <c r="H1649" s="1079">
        <v>2.62</v>
      </c>
      <c r="I1649" s="1079">
        <v>25</v>
      </c>
      <c r="J1649" s="1079">
        <v>2.91</v>
      </c>
      <c r="K1649" s="1079">
        <v>29.1</v>
      </c>
      <c r="L1649" s="1079">
        <v>3.97</v>
      </c>
      <c r="M1649" s="1079">
        <v>39.5</v>
      </c>
      <c r="N1649" s="1079">
        <v>5.32</v>
      </c>
      <c r="O1649" s="1079">
        <v>44.2</v>
      </c>
      <c r="P1649" s="1079">
        <v>7.47</v>
      </c>
      <c r="Q1649" s="1079">
        <v>25.7</v>
      </c>
      <c r="R1649" s="1079">
        <v>2.2799999999999998</v>
      </c>
      <c r="S1649" s="1079">
        <v>37.799999999999997</v>
      </c>
      <c r="T1649" s="1079">
        <v>3.59</v>
      </c>
      <c r="U1649" s="1079">
        <v>43.94</v>
      </c>
      <c r="V1649" s="1079">
        <v>4.8600000000000003</v>
      </c>
      <c r="W1649" s="1079"/>
      <c r="X1649" s="1079"/>
      <c r="Y1649" s="1079"/>
      <c r="Z1649" s="1079"/>
      <c r="AA1649" s="1079"/>
      <c r="AB1649" s="1079"/>
      <c r="AC1649" s="1079"/>
      <c r="AD1649" s="1080"/>
    </row>
    <row r="1650" spans="1:30" x14ac:dyDescent="0.2">
      <c r="A1650">
        <f t="shared" si="59"/>
        <v>46</v>
      </c>
      <c r="B1650">
        <v>1641</v>
      </c>
      <c r="C1650" s="1078">
        <v>2</v>
      </c>
      <c r="D1650" s="1077" t="s">
        <v>3603</v>
      </c>
      <c r="E1650" s="1077" t="s">
        <v>5350</v>
      </c>
      <c r="F1650" s="1079">
        <v>4</v>
      </c>
      <c r="G1650" s="1079">
        <v>3.02</v>
      </c>
      <c r="H1650" s="1079">
        <v>2.56</v>
      </c>
      <c r="I1650" s="1079">
        <v>3.83</v>
      </c>
      <c r="J1650" s="1079">
        <v>3.2</v>
      </c>
      <c r="K1650" s="1079">
        <v>4.46</v>
      </c>
      <c r="L1650" s="1079">
        <v>4</v>
      </c>
      <c r="M1650" s="1079">
        <v>4</v>
      </c>
      <c r="N1650" s="1079">
        <v>5.0999999999999996</v>
      </c>
      <c r="O1650" s="1079">
        <v>8.2799999999999994</v>
      </c>
      <c r="P1650" s="1079">
        <v>8.17</v>
      </c>
      <c r="Q1650" s="1079">
        <v>3.52</v>
      </c>
      <c r="R1650" s="1079">
        <v>2.23</v>
      </c>
      <c r="S1650" s="1079">
        <v>5.36</v>
      </c>
      <c r="T1650" s="1079">
        <v>3.13</v>
      </c>
      <c r="U1650" s="1079">
        <v>7.89</v>
      </c>
      <c r="V1650" s="1079">
        <v>4.6399999999999997</v>
      </c>
      <c r="W1650" s="1079"/>
      <c r="X1650" s="1079"/>
      <c r="Y1650" s="1079"/>
      <c r="Z1650" s="1079"/>
      <c r="AA1650" s="1079"/>
      <c r="AB1650" s="1079"/>
      <c r="AC1650" s="1079"/>
      <c r="AD1650" s="1080"/>
    </row>
    <row r="1651" spans="1:30" x14ac:dyDescent="0.2">
      <c r="A1651">
        <f t="shared" si="59"/>
        <v>46</v>
      </c>
      <c r="B1651">
        <v>1642</v>
      </c>
      <c r="C1651" s="1078">
        <v>2</v>
      </c>
      <c r="D1651" s="1077" t="s">
        <v>3603</v>
      </c>
      <c r="E1651" s="1077" t="s">
        <v>5338</v>
      </c>
      <c r="F1651" s="1079">
        <v>4</v>
      </c>
      <c r="G1651" s="1079">
        <v>4.4000000000000004</v>
      </c>
      <c r="H1651" s="1079">
        <v>2.44</v>
      </c>
      <c r="I1651" s="1079">
        <v>5.6</v>
      </c>
      <c r="J1651" s="1079">
        <v>3</v>
      </c>
      <c r="K1651" s="1079">
        <v>5.97</v>
      </c>
      <c r="L1651" s="1079">
        <v>4</v>
      </c>
      <c r="M1651" s="1079">
        <v>6</v>
      </c>
      <c r="N1651" s="1079">
        <v>5.0999999999999996</v>
      </c>
      <c r="O1651" s="1079">
        <v>11.45</v>
      </c>
      <c r="P1651" s="1079">
        <v>7.71</v>
      </c>
      <c r="Q1651" s="1079">
        <v>5.16</v>
      </c>
      <c r="R1651" s="1079">
        <v>2.16</v>
      </c>
      <c r="S1651" s="1079">
        <v>7.16</v>
      </c>
      <c r="T1651" s="1079">
        <v>3.17</v>
      </c>
      <c r="U1651" s="1079">
        <v>11.12</v>
      </c>
      <c r="V1651" s="1079">
        <v>4.6399999999999997</v>
      </c>
      <c r="W1651" s="1079"/>
      <c r="X1651" s="1079"/>
      <c r="Y1651" s="1079"/>
      <c r="Z1651" s="1079"/>
      <c r="AA1651" s="1079"/>
      <c r="AB1651" s="1079"/>
      <c r="AC1651" s="1079"/>
      <c r="AD1651" s="1080"/>
    </row>
    <row r="1652" spans="1:30" x14ac:dyDescent="0.2">
      <c r="A1652">
        <f t="shared" si="59"/>
        <v>46</v>
      </c>
      <c r="B1652">
        <v>1643</v>
      </c>
      <c r="C1652" s="1078">
        <v>2</v>
      </c>
      <c r="D1652" s="1077" t="s">
        <v>3603</v>
      </c>
      <c r="E1652" s="1077" t="s">
        <v>5339</v>
      </c>
      <c r="F1652" s="1079">
        <v>4</v>
      </c>
      <c r="G1652" s="1079">
        <v>5.23</v>
      </c>
      <c r="H1652" s="1079">
        <v>2.31</v>
      </c>
      <c r="I1652" s="1079">
        <v>6.5</v>
      </c>
      <c r="J1652" s="1079">
        <v>2.7</v>
      </c>
      <c r="K1652" s="1079">
        <v>6.79</v>
      </c>
      <c r="L1652" s="1079">
        <v>3.7</v>
      </c>
      <c r="M1652" s="1079">
        <v>8</v>
      </c>
      <c r="N1652" s="1079">
        <v>4.9000000000000004</v>
      </c>
      <c r="O1652" s="1079">
        <v>12.33</v>
      </c>
      <c r="P1652" s="1079">
        <v>7.17</v>
      </c>
      <c r="Q1652" s="1079">
        <v>6.18</v>
      </c>
      <c r="R1652" s="1079">
        <v>2.08</v>
      </c>
      <c r="S1652" s="1079">
        <v>8.3800000000000008</v>
      </c>
      <c r="T1652" s="1079">
        <v>3.14</v>
      </c>
      <c r="U1652" s="1079">
        <v>11.5</v>
      </c>
      <c r="V1652" s="1079">
        <v>4.5</v>
      </c>
      <c r="W1652" s="1079"/>
      <c r="X1652" s="1079"/>
      <c r="Y1652" s="1079"/>
      <c r="Z1652" s="1079"/>
      <c r="AA1652" s="1079"/>
      <c r="AB1652" s="1079"/>
      <c r="AC1652" s="1079"/>
      <c r="AD1652" s="1080"/>
    </row>
    <row r="1653" spans="1:30" x14ac:dyDescent="0.2">
      <c r="A1653">
        <f t="shared" si="59"/>
        <v>46</v>
      </c>
      <c r="B1653">
        <v>1644</v>
      </c>
      <c r="C1653" s="1078">
        <v>2</v>
      </c>
      <c r="D1653" s="1077" t="s">
        <v>3603</v>
      </c>
      <c r="E1653" s="1077" t="s">
        <v>5144</v>
      </c>
      <c r="F1653" s="1079">
        <v>4</v>
      </c>
      <c r="G1653" s="1079">
        <v>7.72</v>
      </c>
      <c r="H1653" s="1079">
        <v>2.66</v>
      </c>
      <c r="I1653" s="1079">
        <v>9.6999999999999993</v>
      </c>
      <c r="J1653" s="1079">
        <v>3.16</v>
      </c>
      <c r="K1653" s="1079">
        <v>10.97</v>
      </c>
      <c r="L1653" s="1079">
        <v>4.46</v>
      </c>
      <c r="M1653" s="1079">
        <v>11.95</v>
      </c>
      <c r="N1653" s="1079">
        <v>5.31</v>
      </c>
      <c r="O1653" s="1079">
        <v>20.73</v>
      </c>
      <c r="P1653" s="1079">
        <v>8.5500000000000007</v>
      </c>
      <c r="Q1653" s="1079">
        <v>9.18</v>
      </c>
      <c r="R1653" s="1079">
        <v>2.13</v>
      </c>
      <c r="S1653" s="1079">
        <v>11.86</v>
      </c>
      <c r="T1653" s="1079">
        <v>2.97</v>
      </c>
      <c r="U1653" s="1079">
        <v>19.690000000000001</v>
      </c>
      <c r="V1653" s="1079">
        <v>4.54</v>
      </c>
      <c r="W1653" s="1079"/>
      <c r="X1653" s="1079"/>
      <c r="Y1653" s="1079"/>
      <c r="Z1653" s="1079"/>
      <c r="AA1653" s="1079"/>
      <c r="AB1653" s="1079"/>
      <c r="AC1653" s="1079"/>
      <c r="AD1653" s="1080"/>
    </row>
    <row r="1654" spans="1:30" x14ac:dyDescent="0.2">
      <c r="A1654">
        <f t="shared" si="59"/>
        <v>46</v>
      </c>
      <c r="B1654">
        <v>1645</v>
      </c>
      <c r="C1654" s="1078">
        <v>2</v>
      </c>
      <c r="D1654" s="1077" t="s">
        <v>3603</v>
      </c>
      <c r="E1654" s="1077" t="s">
        <v>5145</v>
      </c>
      <c r="F1654" s="1079">
        <v>4</v>
      </c>
      <c r="G1654" s="1079">
        <v>8.9</v>
      </c>
      <c r="H1654" s="1079">
        <v>2.5299999999999998</v>
      </c>
      <c r="I1654" s="1079">
        <v>11.13</v>
      </c>
      <c r="J1654" s="1079">
        <v>2.97</v>
      </c>
      <c r="K1654" s="1079">
        <v>12.34</v>
      </c>
      <c r="L1654" s="1079">
        <v>3.98</v>
      </c>
      <c r="M1654" s="1079">
        <v>13.4</v>
      </c>
      <c r="N1654" s="1079">
        <v>5.21</v>
      </c>
      <c r="O1654" s="1079">
        <v>22.63</v>
      </c>
      <c r="P1654" s="1079">
        <v>8.17</v>
      </c>
      <c r="Q1654" s="1079">
        <v>10.6</v>
      </c>
      <c r="R1654" s="1079">
        <v>2.2999999999999998</v>
      </c>
      <c r="S1654" s="1079">
        <v>13.33</v>
      </c>
      <c r="T1654" s="1079">
        <v>3.4</v>
      </c>
      <c r="U1654" s="1079">
        <v>20.65</v>
      </c>
      <c r="V1654" s="1079">
        <v>4.8</v>
      </c>
      <c r="W1654" s="1079"/>
      <c r="X1654" s="1079"/>
      <c r="Y1654" s="1079"/>
      <c r="Z1654" s="1079"/>
      <c r="AA1654" s="1079"/>
      <c r="AB1654" s="1079"/>
      <c r="AC1654" s="1079"/>
      <c r="AD1654" s="1080"/>
    </row>
    <row r="1655" spans="1:30" x14ac:dyDescent="0.2">
      <c r="A1655">
        <f t="shared" si="59"/>
        <v>46</v>
      </c>
      <c r="B1655">
        <v>1646</v>
      </c>
      <c r="C1655" s="1078">
        <v>2</v>
      </c>
      <c r="D1655" s="1077" t="s">
        <v>3603</v>
      </c>
      <c r="E1655" s="1077" t="s">
        <v>5340</v>
      </c>
      <c r="F1655" s="1079">
        <v>4</v>
      </c>
      <c r="G1655" s="1079">
        <v>9</v>
      </c>
      <c r="H1655" s="1079">
        <v>2.4900000000000002</v>
      </c>
      <c r="I1655" s="1079">
        <v>11.7</v>
      </c>
      <c r="J1655" s="1079">
        <v>2.95</v>
      </c>
      <c r="K1655" s="1079">
        <v>12.75</v>
      </c>
      <c r="L1655" s="1079">
        <v>4.3</v>
      </c>
      <c r="M1655" s="1079">
        <v>17.100000000000001</v>
      </c>
      <c r="N1655" s="1079">
        <v>5.31</v>
      </c>
      <c r="O1655" s="1079">
        <v>22.45</v>
      </c>
      <c r="P1655" s="1079">
        <v>7.66</v>
      </c>
      <c r="Q1655" s="1079">
        <v>11.8</v>
      </c>
      <c r="R1655" s="1079">
        <v>2.2999999999999998</v>
      </c>
      <c r="S1655" s="1079">
        <v>15.69</v>
      </c>
      <c r="T1655" s="1079">
        <v>3.31</v>
      </c>
      <c r="U1655" s="1079">
        <v>22.54</v>
      </c>
      <c r="V1655" s="1079">
        <v>4.83</v>
      </c>
      <c r="W1655" s="1079"/>
      <c r="X1655" s="1079"/>
      <c r="Y1655" s="1079"/>
      <c r="Z1655" s="1079"/>
      <c r="AA1655" s="1079"/>
      <c r="AB1655" s="1079"/>
      <c r="AC1655" s="1079"/>
      <c r="AD1655" s="1080"/>
    </row>
    <row r="1656" spans="1:30" x14ac:dyDescent="0.2">
      <c r="A1656">
        <f t="shared" si="59"/>
        <v>46</v>
      </c>
      <c r="B1656">
        <v>1647</v>
      </c>
      <c r="C1656" s="1078">
        <v>2</v>
      </c>
      <c r="D1656" s="1077" t="s">
        <v>3603</v>
      </c>
      <c r="E1656" s="1077" t="s">
        <v>5341</v>
      </c>
      <c r="F1656" s="1079">
        <v>4</v>
      </c>
      <c r="G1656" s="1079" t="s">
        <v>5401</v>
      </c>
      <c r="H1656" s="1079">
        <v>2.46</v>
      </c>
      <c r="I1656" s="1079">
        <v>12.3</v>
      </c>
      <c r="J1656" s="1079">
        <v>2.87</v>
      </c>
      <c r="K1656" s="1079">
        <v>13.2</v>
      </c>
      <c r="L1656" s="1079">
        <v>4.0599999999999996</v>
      </c>
      <c r="M1656" s="1079">
        <v>18.5</v>
      </c>
      <c r="N1656" s="1079">
        <v>5.27</v>
      </c>
      <c r="O1656" s="1079">
        <v>25.66</v>
      </c>
      <c r="P1656" s="1079">
        <v>7.11</v>
      </c>
      <c r="Q1656" s="1079">
        <v>12.5</v>
      </c>
      <c r="R1656" s="1079">
        <v>2.2000000000000002</v>
      </c>
      <c r="S1656" s="1079">
        <v>16.03</v>
      </c>
      <c r="T1656" s="1079">
        <v>3.31</v>
      </c>
      <c r="U1656" s="1079">
        <v>26.52</v>
      </c>
      <c r="V1656" s="1079">
        <v>4.79</v>
      </c>
      <c r="W1656" s="1079"/>
      <c r="X1656" s="1079"/>
      <c r="Y1656" s="1079"/>
      <c r="Z1656" s="1079"/>
      <c r="AA1656" s="1079"/>
      <c r="AB1656" s="1079"/>
      <c r="AC1656" s="1079"/>
      <c r="AD1656" s="1080"/>
    </row>
    <row r="1657" spans="1:30" x14ac:dyDescent="0.2">
      <c r="A1657">
        <f t="shared" si="59"/>
        <v>46</v>
      </c>
      <c r="B1657">
        <v>1648</v>
      </c>
      <c r="C1657" s="1078">
        <v>3</v>
      </c>
      <c r="D1657" s="1077" t="s">
        <v>3603</v>
      </c>
      <c r="E1657" s="1077" t="s">
        <v>4292</v>
      </c>
      <c r="F1657" s="1079">
        <v>1</v>
      </c>
      <c r="G1657" s="1079"/>
      <c r="H1657" s="1079"/>
      <c r="I1657" s="1079"/>
      <c r="J1657" s="1079"/>
      <c r="K1657" s="1079"/>
      <c r="L1657" s="1079"/>
      <c r="M1657" s="1079"/>
      <c r="N1657" s="1079"/>
      <c r="O1657" s="1079"/>
      <c r="P1657" s="1079"/>
      <c r="Q1657" s="1079"/>
      <c r="R1657" s="1079"/>
      <c r="S1657" s="1079"/>
      <c r="T1657" s="1079"/>
      <c r="U1657" s="1079"/>
      <c r="V1657" s="1079"/>
      <c r="W1657" s="1079">
        <v>21.2</v>
      </c>
      <c r="X1657" s="1079">
        <v>4.7300000000000004</v>
      </c>
      <c r="Y1657" s="1079">
        <v>19.28</v>
      </c>
      <c r="Z1657" s="1079">
        <v>2.83</v>
      </c>
      <c r="AA1657" s="1079">
        <v>28.1</v>
      </c>
      <c r="AB1657" s="1079">
        <v>8.94</v>
      </c>
      <c r="AC1657" s="1079">
        <v>24.92</v>
      </c>
      <c r="AD1657" s="1080">
        <v>3.66</v>
      </c>
    </row>
    <row r="1658" spans="1:30" x14ac:dyDescent="0.2">
      <c r="A1658">
        <f t="shared" si="59"/>
        <v>46</v>
      </c>
      <c r="B1658">
        <v>1649</v>
      </c>
      <c r="C1658" s="1078">
        <v>3</v>
      </c>
      <c r="D1658" s="1077" t="s">
        <v>3603</v>
      </c>
      <c r="E1658" s="1077" t="s">
        <v>4293</v>
      </c>
      <c r="F1658" s="1079">
        <v>1</v>
      </c>
      <c r="G1658" s="1079"/>
      <c r="H1658" s="1079"/>
      <c r="I1658" s="1079"/>
      <c r="J1658" s="1079"/>
      <c r="K1658" s="1079"/>
      <c r="L1658" s="1079"/>
      <c r="M1658" s="1079"/>
      <c r="N1658" s="1079"/>
      <c r="O1658" s="1079"/>
      <c r="P1658" s="1079"/>
      <c r="Q1658" s="1079"/>
      <c r="R1658" s="1079"/>
      <c r="S1658" s="1079"/>
      <c r="T1658" s="1079"/>
      <c r="U1658" s="1079"/>
      <c r="V1658" s="1079"/>
      <c r="W1658" s="1079">
        <v>28.8</v>
      </c>
      <c r="X1658" s="1079">
        <v>4.83</v>
      </c>
      <c r="Y1658" s="1079">
        <v>26.09</v>
      </c>
      <c r="Z1658" s="1079">
        <v>2.68</v>
      </c>
      <c r="AA1658" s="1079">
        <v>37.1</v>
      </c>
      <c r="AB1658" s="1079">
        <v>6</v>
      </c>
      <c r="AC1658" s="1079">
        <v>34.11</v>
      </c>
      <c r="AD1658" s="1080">
        <v>3.59</v>
      </c>
    </row>
    <row r="1659" spans="1:30" x14ac:dyDescent="0.2">
      <c r="A1659">
        <f t="shared" si="59"/>
        <v>46</v>
      </c>
      <c r="B1659">
        <v>1650</v>
      </c>
      <c r="C1659" s="1078">
        <v>3</v>
      </c>
      <c r="D1659" s="1077" t="s">
        <v>3603</v>
      </c>
      <c r="E1659" s="1077" t="s">
        <v>4294</v>
      </c>
      <c r="F1659" s="1079">
        <v>1</v>
      </c>
      <c r="G1659" s="1079"/>
      <c r="H1659" s="1079"/>
      <c r="I1659" s="1079"/>
      <c r="J1659" s="1079"/>
      <c r="K1659" s="1079"/>
      <c r="L1659" s="1079"/>
      <c r="M1659" s="1079"/>
      <c r="N1659" s="1079"/>
      <c r="O1659" s="1079"/>
      <c r="P1659" s="1079"/>
      <c r="Q1659" s="1079"/>
      <c r="R1659" s="1079"/>
      <c r="S1659" s="1079"/>
      <c r="T1659" s="1079"/>
      <c r="U1659" s="1079"/>
      <c r="V1659" s="1079"/>
      <c r="W1659" s="1079">
        <v>42.8</v>
      </c>
      <c r="X1659" s="1079">
        <v>4.5999999999999996</v>
      </c>
      <c r="Y1659" s="1079">
        <v>39.75</v>
      </c>
      <c r="Z1659" s="1079">
        <v>2.76</v>
      </c>
      <c r="AA1659" s="1079">
        <v>58.9</v>
      </c>
      <c r="AB1659" s="1079">
        <v>5.5</v>
      </c>
      <c r="AC1659" s="1079">
        <v>48.74</v>
      </c>
      <c r="AD1659" s="1080">
        <v>3.4</v>
      </c>
    </row>
    <row r="1660" spans="1:30" x14ac:dyDescent="0.2">
      <c r="A1660">
        <f t="shared" si="59"/>
        <v>46</v>
      </c>
      <c r="B1660">
        <v>1651</v>
      </c>
      <c r="C1660" s="1078">
        <v>3</v>
      </c>
      <c r="D1660" s="1077" t="s">
        <v>3603</v>
      </c>
      <c r="E1660" s="1077" t="s">
        <v>4632</v>
      </c>
      <c r="F1660" s="1079">
        <v>1</v>
      </c>
      <c r="G1660" s="1079"/>
      <c r="H1660" s="1079"/>
      <c r="I1660" s="1079"/>
      <c r="J1660" s="1079"/>
      <c r="K1660" s="1079"/>
      <c r="L1660" s="1079"/>
      <c r="M1660" s="1079"/>
      <c r="N1660" s="1079"/>
      <c r="O1660" s="1079"/>
      <c r="P1660" s="1079"/>
      <c r="Q1660" s="1079"/>
      <c r="R1660" s="1079"/>
      <c r="S1660" s="1079"/>
      <c r="T1660" s="1079"/>
      <c r="U1660" s="1079"/>
      <c r="V1660" s="1079"/>
      <c r="W1660" s="1079">
        <v>20.5</v>
      </c>
      <c r="X1660" s="1079">
        <v>4.8</v>
      </c>
      <c r="Y1660" s="1079">
        <v>20.6</v>
      </c>
      <c r="Z1660" s="1079">
        <v>3.3</v>
      </c>
      <c r="AA1660" s="1079">
        <v>25.4</v>
      </c>
      <c r="AB1660" s="1079">
        <v>5.7</v>
      </c>
      <c r="AC1660" s="1079">
        <v>26.2</v>
      </c>
      <c r="AD1660" s="1080">
        <v>4</v>
      </c>
    </row>
    <row r="1661" spans="1:30" x14ac:dyDescent="0.2">
      <c r="A1661">
        <f t="shared" si="59"/>
        <v>46</v>
      </c>
      <c r="B1661">
        <v>1652</v>
      </c>
      <c r="C1661" s="1078">
        <v>3</v>
      </c>
      <c r="D1661" s="1077" t="s">
        <v>3603</v>
      </c>
      <c r="E1661" s="1077" t="s">
        <v>4633</v>
      </c>
      <c r="F1661" s="1079">
        <v>1</v>
      </c>
      <c r="G1661" s="1079"/>
      <c r="H1661" s="1079"/>
      <c r="I1661" s="1079"/>
      <c r="J1661" s="1079"/>
      <c r="K1661" s="1079"/>
      <c r="L1661" s="1079"/>
      <c r="M1661" s="1079"/>
      <c r="N1661" s="1079"/>
      <c r="O1661" s="1079"/>
      <c r="P1661" s="1079"/>
      <c r="Q1661" s="1079"/>
      <c r="R1661" s="1079"/>
      <c r="S1661" s="1079"/>
      <c r="T1661" s="1079"/>
      <c r="U1661" s="1079"/>
      <c r="V1661" s="1079"/>
      <c r="W1661" s="1079">
        <v>28.7</v>
      </c>
      <c r="X1661" s="1079">
        <v>4.9000000000000004</v>
      </c>
      <c r="Y1661" s="1079">
        <v>29.9</v>
      </c>
      <c r="Z1661" s="1079">
        <v>3.3</v>
      </c>
      <c r="AA1661" s="1079">
        <v>34.700000000000003</v>
      </c>
      <c r="AB1661" s="1079">
        <v>6.1</v>
      </c>
      <c r="AC1661" s="1079">
        <v>35.700000000000003</v>
      </c>
      <c r="AD1661" s="1080">
        <v>4.0999999999999996</v>
      </c>
    </row>
    <row r="1662" spans="1:30" x14ac:dyDescent="0.2">
      <c r="A1662">
        <f t="shared" si="59"/>
        <v>46</v>
      </c>
      <c r="B1662">
        <v>1653</v>
      </c>
      <c r="C1662" s="1078">
        <v>3</v>
      </c>
      <c r="D1662" s="1077" t="s">
        <v>3603</v>
      </c>
      <c r="E1662" s="1077" t="s">
        <v>4634</v>
      </c>
      <c r="F1662" s="1079">
        <v>1</v>
      </c>
      <c r="G1662" s="1079"/>
      <c r="H1662" s="1079"/>
      <c r="I1662" s="1079"/>
      <c r="J1662" s="1079"/>
      <c r="K1662" s="1079"/>
      <c r="L1662" s="1079"/>
      <c r="M1662" s="1079"/>
      <c r="N1662" s="1079"/>
      <c r="O1662" s="1079"/>
      <c r="P1662" s="1079"/>
      <c r="Q1662" s="1079"/>
      <c r="R1662" s="1079"/>
      <c r="S1662" s="1079"/>
      <c r="T1662" s="1079"/>
      <c r="U1662" s="1079"/>
      <c r="V1662" s="1079"/>
      <c r="W1662" s="1079">
        <v>32.700000000000003</v>
      </c>
      <c r="X1662" s="1079">
        <v>5</v>
      </c>
      <c r="Y1662" s="1079">
        <v>34.200000000000003</v>
      </c>
      <c r="Z1662" s="1079">
        <v>3.3</v>
      </c>
      <c r="AA1662" s="1079">
        <v>42.2</v>
      </c>
      <c r="AB1662" s="1079">
        <v>6.2</v>
      </c>
      <c r="AC1662" s="1079">
        <v>42.5</v>
      </c>
      <c r="AD1662" s="1080">
        <v>4</v>
      </c>
    </row>
    <row r="1663" spans="1:30" x14ac:dyDescent="0.2">
      <c r="A1663">
        <f t="shared" si="59"/>
        <v>46</v>
      </c>
      <c r="B1663">
        <v>1654</v>
      </c>
      <c r="C1663" s="1078">
        <v>3</v>
      </c>
      <c r="D1663" s="1077" t="s">
        <v>3603</v>
      </c>
      <c r="E1663" s="1077" t="s">
        <v>4635</v>
      </c>
      <c r="F1663" s="1079">
        <v>1</v>
      </c>
      <c r="G1663" s="1079"/>
      <c r="H1663" s="1079"/>
      <c r="I1663" s="1079"/>
      <c r="J1663" s="1079"/>
      <c r="K1663" s="1079"/>
      <c r="L1663" s="1079"/>
      <c r="M1663" s="1079"/>
      <c r="N1663" s="1079"/>
      <c r="O1663" s="1079"/>
      <c r="P1663" s="1079"/>
      <c r="Q1663" s="1079"/>
      <c r="R1663" s="1079"/>
      <c r="S1663" s="1079"/>
      <c r="T1663" s="1079"/>
      <c r="U1663" s="1079"/>
      <c r="V1663" s="1079"/>
      <c r="W1663" s="1079">
        <v>42.3</v>
      </c>
      <c r="X1663" s="1079">
        <v>4.8</v>
      </c>
      <c r="Y1663" s="1079">
        <v>43.1</v>
      </c>
      <c r="Z1663" s="1079">
        <v>3.3</v>
      </c>
      <c r="AA1663" s="1079">
        <v>52.3</v>
      </c>
      <c r="AB1663" s="1079">
        <v>5.8</v>
      </c>
      <c r="AC1663" s="1079">
        <v>52.9</v>
      </c>
      <c r="AD1663" s="1080">
        <v>3.9</v>
      </c>
    </row>
    <row r="1664" spans="1:30" x14ac:dyDescent="0.2">
      <c r="A1664">
        <f t="shared" si="59"/>
        <v>46</v>
      </c>
      <c r="B1664">
        <v>1655</v>
      </c>
      <c r="C1664" s="1078">
        <v>3</v>
      </c>
      <c r="D1664" s="1077" t="s">
        <v>3603</v>
      </c>
      <c r="E1664" s="1077" t="s">
        <v>4636</v>
      </c>
      <c r="F1664" s="1079">
        <v>4</v>
      </c>
      <c r="G1664" s="1079"/>
      <c r="H1664" s="1079"/>
      <c r="I1664" s="1079"/>
      <c r="J1664" s="1079"/>
      <c r="K1664" s="1079"/>
      <c r="L1664" s="1079"/>
      <c r="M1664" s="1079"/>
      <c r="N1664" s="1079"/>
      <c r="O1664" s="1079"/>
      <c r="P1664" s="1079"/>
      <c r="Q1664" s="1079"/>
      <c r="R1664" s="1079"/>
      <c r="S1664" s="1079"/>
      <c r="T1664" s="1079"/>
      <c r="U1664" s="1079"/>
      <c r="V1664" s="1079"/>
      <c r="W1664" s="1079">
        <v>8.64</v>
      </c>
      <c r="X1664" s="1079">
        <v>4.7</v>
      </c>
      <c r="Y1664" s="1079">
        <v>8.09</v>
      </c>
      <c r="Z1664" s="1079">
        <v>2.73</v>
      </c>
      <c r="AA1664" s="1079">
        <v>11.12</v>
      </c>
      <c r="AB1664" s="1079">
        <v>6.35</v>
      </c>
      <c r="AC1664" s="1079">
        <v>10.3</v>
      </c>
      <c r="AD1664" s="1080">
        <v>3.58</v>
      </c>
    </row>
    <row r="1665" spans="1:30" x14ac:dyDescent="0.2">
      <c r="A1665">
        <f t="shared" si="59"/>
        <v>46</v>
      </c>
      <c r="B1665">
        <v>1656</v>
      </c>
      <c r="C1665" s="1078">
        <v>3</v>
      </c>
      <c r="D1665" s="1077" t="s">
        <v>3603</v>
      </c>
      <c r="E1665" s="1077" t="s">
        <v>4637</v>
      </c>
      <c r="F1665" s="1079">
        <v>4</v>
      </c>
      <c r="G1665" s="1079"/>
      <c r="H1665" s="1079"/>
      <c r="I1665" s="1079"/>
      <c r="J1665" s="1079"/>
      <c r="K1665" s="1079"/>
      <c r="L1665" s="1079"/>
      <c r="M1665" s="1079"/>
      <c r="N1665" s="1079"/>
      <c r="O1665" s="1079"/>
      <c r="P1665" s="1079"/>
      <c r="Q1665" s="1079"/>
      <c r="R1665" s="1079"/>
      <c r="S1665" s="1079"/>
      <c r="T1665" s="1079"/>
      <c r="U1665" s="1079"/>
      <c r="V1665" s="1079"/>
      <c r="W1665" s="1079">
        <v>11.37</v>
      </c>
      <c r="X1665" s="1079">
        <v>4.8</v>
      </c>
      <c r="Y1665" s="1079">
        <v>10.83</v>
      </c>
      <c r="Z1665" s="1079">
        <v>2.9</v>
      </c>
      <c r="AA1665" s="1079">
        <v>14.5</v>
      </c>
      <c r="AB1665" s="1079">
        <v>6.37</v>
      </c>
      <c r="AC1665" s="1079">
        <v>13.43</v>
      </c>
      <c r="AD1665" s="1080">
        <v>3.61</v>
      </c>
    </row>
    <row r="1666" spans="1:30" x14ac:dyDescent="0.2">
      <c r="A1666">
        <f t="shared" si="59"/>
        <v>46</v>
      </c>
      <c r="B1666">
        <v>1657</v>
      </c>
      <c r="C1666" s="1078">
        <v>3</v>
      </c>
      <c r="D1666" s="1077" t="s">
        <v>3603</v>
      </c>
      <c r="E1666" s="1077" t="s">
        <v>4714</v>
      </c>
      <c r="F1666" s="1079">
        <v>1</v>
      </c>
      <c r="G1666" s="1079"/>
      <c r="H1666" s="1079"/>
      <c r="I1666" s="1079"/>
      <c r="J1666" s="1079"/>
      <c r="K1666" s="1079"/>
      <c r="L1666" s="1079"/>
      <c r="M1666" s="1079"/>
      <c r="N1666" s="1079"/>
      <c r="O1666" s="1079"/>
      <c r="P1666" s="1079"/>
      <c r="Q1666" s="1079"/>
      <c r="R1666" s="1079"/>
      <c r="S1666" s="1079"/>
      <c r="T1666" s="1079"/>
      <c r="U1666" s="1079"/>
      <c r="V1666" s="1079"/>
      <c r="W1666" s="1079">
        <v>5.84</v>
      </c>
      <c r="X1666" s="1079">
        <v>4.5999999999999996</v>
      </c>
      <c r="Y1666" s="1079">
        <v>5.21</v>
      </c>
      <c r="Z1666" s="1079">
        <v>2.72</v>
      </c>
      <c r="AA1666" s="1079">
        <v>7.75</v>
      </c>
      <c r="AB1666" s="1079">
        <v>5.91</v>
      </c>
      <c r="AC1666" s="1079">
        <v>6.89</v>
      </c>
      <c r="AD1666" s="1080">
        <v>3.55</v>
      </c>
    </row>
    <row r="1667" spans="1:30" x14ac:dyDescent="0.2">
      <c r="A1667">
        <f t="shared" si="59"/>
        <v>46</v>
      </c>
      <c r="B1667">
        <v>1658</v>
      </c>
      <c r="C1667" s="1078">
        <v>3</v>
      </c>
      <c r="D1667" s="1077" t="s">
        <v>3603</v>
      </c>
      <c r="E1667" s="1077" t="s">
        <v>4715</v>
      </c>
      <c r="F1667" s="1079">
        <v>1</v>
      </c>
      <c r="G1667" s="1079"/>
      <c r="H1667" s="1079"/>
      <c r="I1667" s="1079"/>
      <c r="J1667" s="1079"/>
      <c r="K1667" s="1079"/>
      <c r="L1667" s="1079"/>
      <c r="M1667" s="1079"/>
      <c r="N1667" s="1079"/>
      <c r="O1667" s="1079"/>
      <c r="P1667" s="1079"/>
      <c r="Q1667" s="1079"/>
      <c r="R1667" s="1079"/>
      <c r="S1667" s="1079"/>
      <c r="T1667" s="1079"/>
      <c r="U1667" s="1079"/>
      <c r="V1667" s="1079"/>
      <c r="W1667" s="1079">
        <v>7.5</v>
      </c>
      <c r="X1667" s="1079">
        <v>4.6399999999999997</v>
      </c>
      <c r="Y1667" s="1079">
        <v>7.01</v>
      </c>
      <c r="Z1667" s="1079">
        <v>2.78</v>
      </c>
      <c r="AA1667" s="1079">
        <v>9.94</v>
      </c>
      <c r="AB1667" s="1079">
        <v>6.42</v>
      </c>
      <c r="AC1667" s="1079">
        <v>9.09</v>
      </c>
      <c r="AD1667" s="1080">
        <v>3.77</v>
      </c>
    </row>
    <row r="1668" spans="1:30" x14ac:dyDescent="0.2">
      <c r="A1668">
        <f t="shared" si="59"/>
        <v>46</v>
      </c>
      <c r="B1668">
        <v>1659</v>
      </c>
      <c r="C1668" s="1078">
        <v>3</v>
      </c>
      <c r="D1668" s="1077" t="s">
        <v>3603</v>
      </c>
      <c r="E1668" s="1077" t="s">
        <v>4716</v>
      </c>
      <c r="F1668" s="1079">
        <v>1</v>
      </c>
      <c r="G1668" s="1079"/>
      <c r="H1668" s="1079"/>
      <c r="I1668" s="1079"/>
      <c r="J1668" s="1079"/>
      <c r="K1668" s="1079"/>
      <c r="L1668" s="1079"/>
      <c r="M1668" s="1079"/>
      <c r="N1668" s="1079"/>
      <c r="O1668" s="1079"/>
      <c r="P1668" s="1079"/>
      <c r="Q1668" s="1079"/>
      <c r="R1668" s="1079"/>
      <c r="S1668" s="1079"/>
      <c r="T1668" s="1079"/>
      <c r="U1668" s="1079"/>
      <c r="V1668" s="1079"/>
      <c r="W1668" s="1079">
        <v>10.39</v>
      </c>
      <c r="X1668" s="1079">
        <v>4.84</v>
      </c>
      <c r="Y1668" s="1079">
        <v>9.5</v>
      </c>
      <c r="Z1668" s="1079">
        <v>3.01</v>
      </c>
      <c r="AA1668" s="1079">
        <v>13.6</v>
      </c>
      <c r="AB1668" s="1079">
        <v>6.53</v>
      </c>
      <c r="AC1668" s="1079">
        <v>12.42</v>
      </c>
      <c r="AD1668" s="1080">
        <v>3.91</v>
      </c>
    </row>
    <row r="1669" spans="1:30" x14ac:dyDescent="0.2">
      <c r="A1669">
        <f t="shared" si="59"/>
        <v>46</v>
      </c>
      <c r="B1669">
        <v>1660</v>
      </c>
      <c r="C1669" s="1078">
        <v>3</v>
      </c>
      <c r="D1669" s="1077" t="s">
        <v>3603</v>
      </c>
      <c r="E1669" s="1077" t="s">
        <v>4717</v>
      </c>
      <c r="F1669" s="1079">
        <v>1</v>
      </c>
      <c r="G1669" s="1079"/>
      <c r="H1669" s="1079"/>
      <c r="I1669" s="1079"/>
      <c r="J1669" s="1079"/>
      <c r="K1669" s="1079"/>
      <c r="L1669" s="1079"/>
      <c r="M1669" s="1079"/>
      <c r="N1669" s="1079"/>
      <c r="O1669" s="1079"/>
      <c r="P1669" s="1079"/>
      <c r="Q1669" s="1079"/>
      <c r="R1669" s="1079"/>
      <c r="S1669" s="1079"/>
      <c r="T1669" s="1079"/>
      <c r="U1669" s="1079"/>
      <c r="V1669" s="1079"/>
      <c r="W1669" s="1079">
        <v>13.1</v>
      </c>
      <c r="X1669" s="1079">
        <v>4.5999999999999996</v>
      </c>
      <c r="Y1669" s="1079">
        <v>11.95</v>
      </c>
      <c r="Z1669" s="1079">
        <v>2.89</v>
      </c>
      <c r="AA1669" s="1079">
        <v>16.850000000000001</v>
      </c>
      <c r="AB1669" s="1079">
        <v>6.03</v>
      </c>
      <c r="AC1669" s="1079">
        <v>15.47</v>
      </c>
      <c r="AD1669" s="1080">
        <v>3.72</v>
      </c>
    </row>
    <row r="1670" spans="1:30" x14ac:dyDescent="0.2">
      <c r="A1670">
        <f t="shared" si="59"/>
        <v>46</v>
      </c>
      <c r="B1670">
        <v>1661</v>
      </c>
      <c r="C1670" s="1078">
        <v>3</v>
      </c>
      <c r="D1670" s="1077" t="s">
        <v>3603</v>
      </c>
      <c r="E1670" s="1077" t="s">
        <v>4718</v>
      </c>
      <c r="F1670" s="1079">
        <v>1</v>
      </c>
      <c r="G1670" s="1079"/>
      <c r="H1670" s="1079"/>
      <c r="I1670" s="1079"/>
      <c r="J1670" s="1079"/>
      <c r="K1670" s="1079"/>
      <c r="L1670" s="1079"/>
      <c r="M1670" s="1079"/>
      <c r="N1670" s="1079"/>
      <c r="O1670" s="1079"/>
      <c r="P1670" s="1079"/>
      <c r="Q1670" s="1079"/>
      <c r="R1670" s="1079"/>
      <c r="S1670" s="1079"/>
      <c r="T1670" s="1079"/>
      <c r="U1670" s="1079"/>
      <c r="V1670" s="1079"/>
      <c r="W1670" s="1079">
        <v>17.18</v>
      </c>
      <c r="X1670" s="1079">
        <v>4.5199999999999996</v>
      </c>
      <c r="Y1670" s="1079">
        <v>16.03</v>
      </c>
      <c r="Z1670" s="1079">
        <v>3.01</v>
      </c>
      <c r="AA1670" s="1079">
        <v>22.58</v>
      </c>
      <c r="AB1670" s="1079">
        <v>5.89</v>
      </c>
      <c r="AC1670" s="1079">
        <v>20.79</v>
      </c>
      <c r="AD1670" s="1080">
        <v>3.82</v>
      </c>
    </row>
    <row r="1671" spans="1:30" x14ac:dyDescent="0.2">
      <c r="A1671">
        <f t="shared" si="59"/>
        <v>46</v>
      </c>
      <c r="B1671">
        <v>1662</v>
      </c>
      <c r="C1671" s="1078">
        <v>3</v>
      </c>
      <c r="D1671" s="1077" t="s">
        <v>3603</v>
      </c>
      <c r="E1671" s="1077" t="s">
        <v>4719</v>
      </c>
      <c r="F1671" s="1079">
        <v>4</v>
      </c>
      <c r="G1671" s="1079"/>
      <c r="H1671" s="1079"/>
      <c r="I1671" s="1079"/>
      <c r="J1671" s="1079"/>
      <c r="K1671" s="1079"/>
      <c r="L1671" s="1079"/>
      <c r="M1671" s="1079"/>
      <c r="N1671" s="1079"/>
      <c r="O1671" s="1079"/>
      <c r="P1671" s="1079"/>
      <c r="Q1671" s="1079"/>
      <c r="R1671" s="1079"/>
      <c r="S1671" s="1079"/>
      <c r="T1671" s="1079"/>
      <c r="U1671" s="1079"/>
      <c r="V1671" s="1079"/>
      <c r="W1671" s="1079">
        <v>8.64</v>
      </c>
      <c r="X1671" s="1079">
        <v>4.7</v>
      </c>
      <c r="Y1671" s="1079">
        <v>8.09</v>
      </c>
      <c r="Z1671" s="1079">
        <v>2.73</v>
      </c>
      <c r="AA1671" s="1079">
        <v>11.12</v>
      </c>
      <c r="AB1671" s="1079">
        <v>6.35</v>
      </c>
      <c r="AC1671" s="1079">
        <v>10.3</v>
      </c>
      <c r="AD1671" s="1080">
        <v>3.58</v>
      </c>
    </row>
    <row r="1672" spans="1:30" x14ac:dyDescent="0.2">
      <c r="A1672">
        <f t="shared" si="59"/>
        <v>46</v>
      </c>
      <c r="B1672">
        <v>1663</v>
      </c>
      <c r="C1672" s="1078">
        <v>3</v>
      </c>
      <c r="D1672" s="1077" t="s">
        <v>3603</v>
      </c>
      <c r="E1672" s="1077" t="s">
        <v>4720</v>
      </c>
      <c r="F1672" s="1079">
        <v>4</v>
      </c>
      <c r="G1672" s="1079"/>
      <c r="H1672" s="1079"/>
      <c r="I1672" s="1079"/>
      <c r="J1672" s="1079"/>
      <c r="K1672" s="1079"/>
      <c r="L1672" s="1079"/>
      <c r="M1672" s="1079"/>
      <c r="N1672" s="1079"/>
      <c r="O1672" s="1079"/>
      <c r="P1672" s="1079"/>
      <c r="Q1672" s="1079"/>
      <c r="R1672" s="1079"/>
      <c r="S1672" s="1079"/>
      <c r="T1672" s="1079"/>
      <c r="U1672" s="1079"/>
      <c r="V1672" s="1079"/>
      <c r="W1672" s="1079">
        <v>11.37</v>
      </c>
      <c r="X1672" s="1079">
        <v>4.8</v>
      </c>
      <c r="Y1672" s="1079">
        <v>10.83</v>
      </c>
      <c r="Z1672" s="1079">
        <v>2.9</v>
      </c>
      <c r="AA1672" s="1079">
        <v>14.5</v>
      </c>
      <c r="AB1672" s="1079">
        <v>6.37</v>
      </c>
      <c r="AC1672" s="1079">
        <v>13.43</v>
      </c>
      <c r="AD1672" s="1080">
        <v>3.61</v>
      </c>
    </row>
    <row r="1673" spans="1:30" x14ac:dyDescent="0.2">
      <c r="A1673">
        <f t="shared" si="59"/>
        <v>46</v>
      </c>
      <c r="B1673">
        <v>1664</v>
      </c>
      <c r="C1673" s="1078">
        <v>3</v>
      </c>
      <c r="D1673" s="1077" t="s">
        <v>3603</v>
      </c>
      <c r="E1673" s="1077" t="s">
        <v>4721</v>
      </c>
      <c r="F1673" s="1079">
        <v>4</v>
      </c>
      <c r="G1673" s="1079"/>
      <c r="H1673" s="1079"/>
      <c r="I1673" s="1079"/>
      <c r="J1673" s="1079"/>
      <c r="K1673" s="1079"/>
      <c r="L1673" s="1079"/>
      <c r="M1673" s="1079"/>
      <c r="N1673" s="1079"/>
      <c r="O1673" s="1079"/>
      <c r="P1673" s="1079"/>
      <c r="Q1673" s="1079"/>
      <c r="R1673" s="1079"/>
      <c r="S1673" s="1079"/>
      <c r="T1673" s="1079"/>
      <c r="U1673" s="1079"/>
      <c r="V1673" s="1079"/>
      <c r="W1673" s="1079">
        <v>15.85</v>
      </c>
      <c r="X1673" s="1079">
        <v>5</v>
      </c>
      <c r="Y1673" s="1079">
        <v>15.28</v>
      </c>
      <c r="Z1673" s="1079">
        <v>2.96</v>
      </c>
      <c r="AA1673" s="1079">
        <v>20.07</v>
      </c>
      <c r="AB1673" s="1079">
        <v>6.59</v>
      </c>
      <c r="AC1673" s="1079">
        <v>19.09</v>
      </c>
      <c r="AD1673" s="1080">
        <v>3.68</v>
      </c>
    </row>
    <row r="1674" spans="1:30" x14ac:dyDescent="0.2">
      <c r="A1674">
        <f t="shared" si="59"/>
        <v>46</v>
      </c>
      <c r="B1674">
        <v>1665</v>
      </c>
      <c r="C1674" s="1078">
        <v>2</v>
      </c>
      <c r="D1674" s="1077" t="s">
        <v>3603</v>
      </c>
      <c r="E1674" s="1077" t="s">
        <v>5561</v>
      </c>
      <c r="F1674" s="1079">
        <v>4</v>
      </c>
      <c r="G1674" s="1079">
        <v>3.02</v>
      </c>
      <c r="H1674" s="1079">
        <v>2.4300000000000002</v>
      </c>
      <c r="I1674" s="1079">
        <v>3.83</v>
      </c>
      <c r="J1674" s="1079">
        <v>3</v>
      </c>
      <c r="K1674" s="1079">
        <v>4.46</v>
      </c>
      <c r="L1674" s="1079">
        <v>3.77</v>
      </c>
      <c r="M1674" s="1079">
        <v>4</v>
      </c>
      <c r="N1674" s="1079">
        <v>4.97</v>
      </c>
      <c r="O1674" s="1079">
        <v>8.2799999999999994</v>
      </c>
      <c r="P1674" s="1079">
        <v>7.97</v>
      </c>
      <c r="Q1674" s="1079">
        <v>3.52</v>
      </c>
      <c r="R1674" s="1079">
        <v>2.16</v>
      </c>
      <c r="S1674" s="1079">
        <v>5.36</v>
      </c>
      <c r="T1674" s="1079">
        <v>2.97</v>
      </c>
      <c r="U1674" s="1079">
        <v>7.89</v>
      </c>
      <c r="V1674" s="1079">
        <v>4.3899999999999997</v>
      </c>
      <c r="W1674" s="1079"/>
      <c r="X1674" s="1079"/>
      <c r="Y1674" s="1079"/>
      <c r="Z1674" s="1079"/>
      <c r="AA1674" s="1079"/>
      <c r="AB1674" s="1079"/>
      <c r="AC1674" s="1079"/>
      <c r="AD1674" s="1080"/>
    </row>
    <row r="1675" spans="1:30" x14ac:dyDescent="0.2">
      <c r="A1675">
        <f t="shared" si="59"/>
        <v>46</v>
      </c>
      <c r="B1675">
        <v>1666</v>
      </c>
      <c r="C1675" s="1078">
        <v>2</v>
      </c>
      <c r="D1675" s="1077" t="s">
        <v>3603</v>
      </c>
      <c r="E1675" s="1077" t="s">
        <v>5562</v>
      </c>
      <c r="F1675" s="1079">
        <v>4</v>
      </c>
      <c r="G1675" s="1079">
        <v>4.4000000000000004</v>
      </c>
      <c r="H1675" s="1079">
        <v>2.3199999999999998</v>
      </c>
      <c r="I1675" s="1079">
        <v>5.6</v>
      </c>
      <c r="J1675" s="1079">
        <v>2.81</v>
      </c>
      <c r="K1675" s="1079">
        <v>5.97</v>
      </c>
      <c r="L1675" s="1079">
        <v>3.8</v>
      </c>
      <c r="M1675" s="1079">
        <v>6</v>
      </c>
      <c r="N1675" s="1079">
        <v>4.9000000000000004</v>
      </c>
      <c r="O1675" s="1079">
        <v>11.45</v>
      </c>
      <c r="P1675" s="1079">
        <v>7.32</v>
      </c>
      <c r="Q1675" s="1079">
        <v>5.16</v>
      </c>
      <c r="R1675" s="1079">
        <v>2.1</v>
      </c>
      <c r="S1675" s="1079">
        <v>7.16</v>
      </c>
      <c r="T1675" s="1079">
        <v>3.01</v>
      </c>
      <c r="U1675" s="1079">
        <v>11.2</v>
      </c>
      <c r="V1675" s="1079">
        <v>4.41</v>
      </c>
      <c r="W1675" s="1079"/>
      <c r="X1675" s="1079"/>
      <c r="Y1675" s="1079"/>
      <c r="Z1675" s="1079"/>
      <c r="AA1675" s="1079"/>
      <c r="AB1675" s="1079"/>
      <c r="AC1675" s="1079"/>
      <c r="AD1675" s="1080"/>
    </row>
    <row r="1676" spans="1:30" x14ac:dyDescent="0.2">
      <c r="A1676">
        <f t="shared" ref="A1676:A1739" si="60">A1675+(D1676&lt;&gt;D1675)*1</f>
        <v>46</v>
      </c>
      <c r="B1676">
        <v>1667</v>
      </c>
      <c r="C1676" s="1078">
        <v>2</v>
      </c>
      <c r="D1676" s="1077" t="s">
        <v>3603</v>
      </c>
      <c r="E1676" s="1077" t="s">
        <v>5563</v>
      </c>
      <c r="F1676" s="1079">
        <v>4</v>
      </c>
      <c r="G1676" s="1079">
        <v>5.23</v>
      </c>
      <c r="H1676" s="1079">
        <v>2.31</v>
      </c>
      <c r="I1676" s="1079">
        <v>6.5</v>
      </c>
      <c r="J1676" s="1079">
        <v>2.7</v>
      </c>
      <c r="K1676" s="1079">
        <v>6.79</v>
      </c>
      <c r="L1676" s="1079">
        <v>3.7</v>
      </c>
      <c r="M1676" s="1079">
        <v>8</v>
      </c>
      <c r="N1676" s="1079">
        <v>4.7</v>
      </c>
      <c r="O1676" s="1079">
        <v>12.33</v>
      </c>
      <c r="P1676" s="1079">
        <v>7.17</v>
      </c>
      <c r="Q1676" s="1079">
        <v>6.18</v>
      </c>
      <c r="R1676" s="1079">
        <v>2.02</v>
      </c>
      <c r="S1676" s="1079">
        <v>8.3800000000000008</v>
      </c>
      <c r="T1676" s="1079">
        <v>3.14</v>
      </c>
      <c r="U1676" s="1079">
        <v>11.5</v>
      </c>
      <c r="V1676" s="1079">
        <v>4.5</v>
      </c>
      <c r="W1676" s="1079"/>
      <c r="X1676" s="1079"/>
      <c r="Y1676" s="1079"/>
      <c r="Z1676" s="1079"/>
      <c r="AA1676" s="1079"/>
      <c r="AB1676" s="1079"/>
      <c r="AC1676" s="1079"/>
      <c r="AD1676" s="1080"/>
    </row>
    <row r="1677" spans="1:30" x14ac:dyDescent="0.2">
      <c r="A1677">
        <f t="shared" si="60"/>
        <v>46</v>
      </c>
      <c r="B1677">
        <v>1668</v>
      </c>
      <c r="C1677" s="1078">
        <v>2</v>
      </c>
      <c r="D1677" s="1077" t="s">
        <v>3603</v>
      </c>
      <c r="E1677" s="1077" t="s">
        <v>5564</v>
      </c>
      <c r="F1677" s="1079">
        <v>4</v>
      </c>
      <c r="G1677" s="1079">
        <v>7.72</v>
      </c>
      <c r="H1677" s="1079">
        <v>2.39</v>
      </c>
      <c r="I1677" s="1079">
        <v>9.6999999999999993</v>
      </c>
      <c r="J1677" s="1079">
        <v>3</v>
      </c>
      <c r="K1677" s="1079">
        <v>10.97</v>
      </c>
      <c r="L1677" s="1079">
        <v>4.0999999999999996</v>
      </c>
      <c r="M1677" s="1079">
        <v>11.95</v>
      </c>
      <c r="N1677" s="1079">
        <v>5</v>
      </c>
      <c r="O1677" s="1079">
        <v>20.73</v>
      </c>
      <c r="P1677" s="1079">
        <v>7.7</v>
      </c>
      <c r="Q1677" s="1079">
        <v>9.18</v>
      </c>
      <c r="R1677" s="1079">
        <v>1.92</v>
      </c>
      <c r="S1677" s="1079">
        <v>11.86</v>
      </c>
      <c r="T1677" s="1079">
        <v>2.67</v>
      </c>
      <c r="U1677" s="1079">
        <v>19.690000000000001</v>
      </c>
      <c r="V1677" s="1079">
        <v>4.08</v>
      </c>
      <c r="W1677" s="1079"/>
      <c r="X1677" s="1079"/>
      <c r="Y1677" s="1079"/>
      <c r="Z1677" s="1079"/>
      <c r="AA1677" s="1079"/>
      <c r="AB1677" s="1079"/>
      <c r="AC1677" s="1079"/>
      <c r="AD1677" s="1080"/>
    </row>
    <row r="1678" spans="1:30" x14ac:dyDescent="0.2">
      <c r="A1678">
        <f t="shared" si="60"/>
        <v>46</v>
      </c>
      <c r="B1678">
        <v>1669</v>
      </c>
      <c r="C1678" s="1078">
        <v>2</v>
      </c>
      <c r="D1678" s="1077" t="s">
        <v>3603</v>
      </c>
      <c r="E1678" s="1077" t="s">
        <v>5565</v>
      </c>
      <c r="F1678" s="1079">
        <v>4</v>
      </c>
      <c r="G1678" s="1079">
        <v>8.9</v>
      </c>
      <c r="H1678" s="1079">
        <v>3.27</v>
      </c>
      <c r="I1678" s="1079">
        <v>11.13</v>
      </c>
      <c r="J1678" s="1079">
        <v>2.8</v>
      </c>
      <c r="K1678" s="1079">
        <v>12.34</v>
      </c>
      <c r="L1678" s="1079">
        <v>3.8</v>
      </c>
      <c r="M1678" s="1079">
        <v>13.4</v>
      </c>
      <c r="N1678" s="1079">
        <v>4.9000000000000004</v>
      </c>
      <c r="O1678" s="1079">
        <v>22.63</v>
      </c>
      <c r="P1678" s="1079">
        <v>7.35</v>
      </c>
      <c r="Q1678" s="1079">
        <v>10.6</v>
      </c>
      <c r="R1678" s="1079">
        <v>2.0699999999999998</v>
      </c>
      <c r="S1678" s="1079">
        <v>13.33</v>
      </c>
      <c r="T1678" s="1079">
        <v>3.06</v>
      </c>
      <c r="U1678" s="1079">
        <v>20.65</v>
      </c>
      <c r="V1678" s="1079">
        <v>4.32</v>
      </c>
      <c r="W1678" s="1079"/>
      <c r="X1678" s="1079"/>
      <c r="Y1678" s="1079"/>
      <c r="Z1678" s="1079"/>
      <c r="AA1678" s="1079"/>
      <c r="AB1678" s="1079"/>
      <c r="AC1678" s="1079"/>
      <c r="AD1678" s="1080"/>
    </row>
    <row r="1679" spans="1:30" x14ac:dyDescent="0.2">
      <c r="A1679">
        <f t="shared" si="60"/>
        <v>46</v>
      </c>
      <c r="B1679">
        <v>1670</v>
      </c>
      <c r="C1679" s="1078">
        <v>2</v>
      </c>
      <c r="D1679" s="1077" t="s">
        <v>3603</v>
      </c>
      <c r="E1679" s="1077" t="s">
        <v>5566</v>
      </c>
      <c r="F1679" s="1079">
        <v>4</v>
      </c>
      <c r="G1679" s="1079">
        <v>9.74</v>
      </c>
      <c r="H1679" s="1079">
        <v>2.39</v>
      </c>
      <c r="I1679" s="1079">
        <v>12.39</v>
      </c>
      <c r="J1679" s="1079">
        <v>2.82</v>
      </c>
      <c r="K1679" s="1079">
        <v>13.7</v>
      </c>
      <c r="L1679" s="1079">
        <v>3.8</v>
      </c>
      <c r="M1679" s="1079">
        <v>14.9</v>
      </c>
      <c r="N1679" s="1079">
        <v>4.9000000000000004</v>
      </c>
      <c r="O1679" s="1079">
        <v>22.24</v>
      </c>
      <c r="P1679" s="1079">
        <v>7.18</v>
      </c>
      <c r="Q1679" s="1079">
        <v>8.9499999999999993</v>
      </c>
      <c r="R1679" s="1079">
        <v>1.93</v>
      </c>
      <c r="S1679" s="1079">
        <v>14.58</v>
      </c>
      <c r="T1679" s="1079">
        <v>3.35</v>
      </c>
      <c r="U1679" s="1079">
        <v>21.59</v>
      </c>
      <c r="V1679" s="1079">
        <v>4.71</v>
      </c>
      <c r="W1679" s="1079"/>
      <c r="X1679" s="1079"/>
      <c r="Y1679" s="1079"/>
      <c r="Z1679" s="1079"/>
      <c r="AA1679" s="1079"/>
      <c r="AB1679" s="1079"/>
      <c r="AC1679" s="1079"/>
      <c r="AD1679" s="1080"/>
    </row>
    <row r="1680" spans="1:30" x14ac:dyDescent="0.2">
      <c r="A1680">
        <f t="shared" si="60"/>
        <v>46</v>
      </c>
      <c r="B1680">
        <v>1671</v>
      </c>
      <c r="C1680" s="1078">
        <v>2</v>
      </c>
      <c r="D1680" s="1077" t="s">
        <v>3603</v>
      </c>
      <c r="E1680" s="1077" t="s">
        <v>5567</v>
      </c>
      <c r="F1680" s="1079">
        <v>4</v>
      </c>
      <c r="G1680" s="1079">
        <v>3.02</v>
      </c>
      <c r="H1680" s="1079">
        <v>2.4300000000000002</v>
      </c>
      <c r="I1680" s="1079">
        <v>3.83</v>
      </c>
      <c r="J1680" s="1079">
        <v>3</v>
      </c>
      <c r="K1680" s="1079">
        <v>4.46</v>
      </c>
      <c r="L1680" s="1079">
        <v>3.77</v>
      </c>
      <c r="M1680" s="1079">
        <v>4</v>
      </c>
      <c r="N1680" s="1079">
        <v>4.97</v>
      </c>
      <c r="O1680" s="1079">
        <v>8.2799999999999994</v>
      </c>
      <c r="P1680" s="1079">
        <v>7.97</v>
      </c>
      <c r="Q1680" s="1079">
        <v>3.52</v>
      </c>
      <c r="R1680" s="1079">
        <v>2.16</v>
      </c>
      <c r="S1680" s="1079">
        <v>5.36</v>
      </c>
      <c r="T1680" s="1079">
        <v>2.97</v>
      </c>
      <c r="U1680" s="1079">
        <v>7.89</v>
      </c>
      <c r="V1680" s="1079">
        <v>4.3899999999999997</v>
      </c>
      <c r="W1680" s="1079"/>
      <c r="X1680" s="1079"/>
      <c r="Y1680" s="1079"/>
      <c r="Z1680" s="1079"/>
      <c r="AA1680" s="1079"/>
      <c r="AB1680" s="1079"/>
      <c r="AC1680" s="1079"/>
      <c r="AD1680" s="1080"/>
    </row>
    <row r="1681" spans="1:30" x14ac:dyDescent="0.2">
      <c r="A1681">
        <f t="shared" si="60"/>
        <v>46</v>
      </c>
      <c r="B1681">
        <v>1672</v>
      </c>
      <c r="C1681" s="1078">
        <v>2</v>
      </c>
      <c r="D1681" s="1077" t="s">
        <v>3603</v>
      </c>
      <c r="E1681" s="1077" t="s">
        <v>5568</v>
      </c>
      <c r="F1681" s="1079">
        <v>4</v>
      </c>
      <c r="G1681" s="1079">
        <v>4.4000000000000004</v>
      </c>
      <c r="H1681" s="1079">
        <v>2.3199999999999998</v>
      </c>
      <c r="I1681" s="1079">
        <v>5.6</v>
      </c>
      <c r="J1681" s="1079">
        <v>2.81</v>
      </c>
      <c r="K1681" s="1079">
        <v>5.97</v>
      </c>
      <c r="L1681" s="1079">
        <v>3.8</v>
      </c>
      <c r="M1681" s="1079">
        <v>6</v>
      </c>
      <c r="N1681" s="1079">
        <v>4.9000000000000004</v>
      </c>
      <c r="O1681" s="1079">
        <v>11.45</v>
      </c>
      <c r="P1681" s="1079">
        <v>7.32</v>
      </c>
      <c r="Q1681" s="1079">
        <v>5.16</v>
      </c>
      <c r="R1681" s="1079">
        <v>2.1</v>
      </c>
      <c r="S1681" s="1079">
        <v>7.16</v>
      </c>
      <c r="T1681" s="1079">
        <v>3.01</v>
      </c>
      <c r="U1681" s="1079">
        <v>11.2</v>
      </c>
      <c r="V1681" s="1079">
        <v>4.41</v>
      </c>
      <c r="W1681" s="1079"/>
      <c r="X1681" s="1079"/>
      <c r="Y1681" s="1079"/>
      <c r="Z1681" s="1079"/>
      <c r="AA1681" s="1079"/>
      <c r="AB1681" s="1079"/>
      <c r="AC1681" s="1079"/>
      <c r="AD1681" s="1080"/>
    </row>
    <row r="1682" spans="1:30" x14ac:dyDescent="0.2">
      <c r="A1682">
        <f t="shared" si="60"/>
        <v>46</v>
      </c>
      <c r="B1682">
        <v>1673</v>
      </c>
      <c r="C1682" s="1078">
        <v>2</v>
      </c>
      <c r="D1682" s="1077" t="s">
        <v>3603</v>
      </c>
      <c r="E1682" s="1077" t="s">
        <v>5569</v>
      </c>
      <c r="F1682" s="1079">
        <v>4</v>
      </c>
      <c r="G1682" s="1079">
        <v>5.23</v>
      </c>
      <c r="H1682" s="1079">
        <v>2.31</v>
      </c>
      <c r="I1682" s="1079">
        <v>6.5</v>
      </c>
      <c r="J1682" s="1079">
        <v>2.7</v>
      </c>
      <c r="K1682" s="1079">
        <v>6.79</v>
      </c>
      <c r="L1682" s="1079">
        <v>3.7</v>
      </c>
      <c r="M1682" s="1079">
        <v>8</v>
      </c>
      <c r="N1682" s="1079">
        <v>4.7</v>
      </c>
      <c r="O1682" s="1079">
        <v>12.33</v>
      </c>
      <c r="P1682" s="1079">
        <v>7.17</v>
      </c>
      <c r="Q1682" s="1079">
        <v>6.18</v>
      </c>
      <c r="R1682" s="1079">
        <v>2.02</v>
      </c>
      <c r="S1682" s="1079">
        <v>8.3800000000000008</v>
      </c>
      <c r="T1682" s="1079">
        <v>3.14</v>
      </c>
      <c r="U1682" s="1079">
        <v>11.5</v>
      </c>
      <c r="V1682" s="1079">
        <v>4.5</v>
      </c>
      <c r="W1682" s="1079"/>
      <c r="X1682" s="1079"/>
      <c r="Y1682" s="1079"/>
      <c r="Z1682" s="1079"/>
      <c r="AA1682" s="1079"/>
      <c r="AB1682" s="1079"/>
      <c r="AC1682" s="1079"/>
      <c r="AD1682" s="1080"/>
    </row>
    <row r="1683" spans="1:30" x14ac:dyDescent="0.2">
      <c r="A1683">
        <f t="shared" si="60"/>
        <v>46</v>
      </c>
      <c r="B1683">
        <v>1674</v>
      </c>
      <c r="C1683" s="1078">
        <v>2</v>
      </c>
      <c r="D1683" s="1077" t="s">
        <v>3603</v>
      </c>
      <c r="E1683" s="1077" t="s">
        <v>5570</v>
      </c>
      <c r="F1683" s="1079">
        <v>4</v>
      </c>
      <c r="G1683" s="1079">
        <v>7.72</v>
      </c>
      <c r="H1683" s="1079">
        <v>2.39</v>
      </c>
      <c r="I1683" s="1079">
        <v>9.6999999999999993</v>
      </c>
      <c r="J1683" s="1079">
        <v>3</v>
      </c>
      <c r="K1683" s="1079">
        <v>10.97</v>
      </c>
      <c r="L1683" s="1079">
        <v>4.0999999999999996</v>
      </c>
      <c r="M1683" s="1079">
        <v>11.95</v>
      </c>
      <c r="N1683" s="1079">
        <v>5</v>
      </c>
      <c r="O1683" s="1079">
        <v>20.73</v>
      </c>
      <c r="P1683" s="1079">
        <v>7.7</v>
      </c>
      <c r="Q1683" s="1079">
        <v>9.18</v>
      </c>
      <c r="R1683" s="1079">
        <v>1.92</v>
      </c>
      <c r="S1683" s="1079">
        <v>11.86</v>
      </c>
      <c r="T1683" s="1079">
        <v>2.67</v>
      </c>
      <c r="U1683" s="1079">
        <v>19.690000000000001</v>
      </c>
      <c r="V1683" s="1079">
        <v>4.08</v>
      </c>
      <c r="W1683" s="1079"/>
      <c r="X1683" s="1079"/>
      <c r="Y1683" s="1079"/>
      <c r="Z1683" s="1079"/>
      <c r="AA1683" s="1079"/>
      <c r="AB1683" s="1079"/>
      <c r="AC1683" s="1079"/>
      <c r="AD1683" s="1080"/>
    </row>
    <row r="1684" spans="1:30" x14ac:dyDescent="0.2">
      <c r="A1684">
        <f t="shared" si="60"/>
        <v>46</v>
      </c>
      <c r="B1684">
        <v>1675</v>
      </c>
      <c r="C1684" s="1078">
        <v>2</v>
      </c>
      <c r="D1684" s="1077" t="s">
        <v>3603</v>
      </c>
      <c r="E1684" s="1077" t="s">
        <v>5571</v>
      </c>
      <c r="F1684" s="1079">
        <v>4</v>
      </c>
      <c r="G1684" s="1079">
        <v>8.9</v>
      </c>
      <c r="H1684" s="1079">
        <v>3.27</v>
      </c>
      <c r="I1684" s="1079">
        <v>11.13</v>
      </c>
      <c r="J1684" s="1079">
        <v>2.8</v>
      </c>
      <c r="K1684" s="1079">
        <v>12.34</v>
      </c>
      <c r="L1684" s="1079">
        <v>3.8</v>
      </c>
      <c r="M1684" s="1079">
        <v>13.4</v>
      </c>
      <c r="N1684" s="1079">
        <v>4.9000000000000004</v>
      </c>
      <c r="O1684" s="1079">
        <v>22.63</v>
      </c>
      <c r="P1684" s="1079">
        <v>7.35</v>
      </c>
      <c r="Q1684" s="1079">
        <v>10.6</v>
      </c>
      <c r="R1684" s="1079">
        <v>2.0699999999999998</v>
      </c>
      <c r="S1684" s="1079">
        <v>13.33</v>
      </c>
      <c r="T1684" s="1079">
        <v>3.06</v>
      </c>
      <c r="U1684" s="1079">
        <v>20.65</v>
      </c>
      <c r="V1684" s="1079">
        <v>4.32</v>
      </c>
      <c r="W1684" s="1079"/>
      <c r="X1684" s="1079"/>
      <c r="Y1684" s="1079"/>
      <c r="Z1684" s="1079"/>
      <c r="AA1684" s="1079"/>
      <c r="AB1684" s="1079"/>
      <c r="AC1684" s="1079"/>
      <c r="AD1684" s="1080"/>
    </row>
    <row r="1685" spans="1:30" x14ac:dyDescent="0.2">
      <c r="A1685">
        <f t="shared" si="60"/>
        <v>46</v>
      </c>
      <c r="B1685">
        <v>1676</v>
      </c>
      <c r="C1685" s="1078">
        <v>2</v>
      </c>
      <c r="D1685" s="1077" t="s">
        <v>3603</v>
      </c>
      <c r="E1685" s="1077" t="s">
        <v>5572</v>
      </c>
      <c r="F1685" s="1079">
        <v>4</v>
      </c>
      <c r="G1685" s="1079">
        <v>9.74</v>
      </c>
      <c r="H1685" s="1079">
        <v>2.39</v>
      </c>
      <c r="I1685" s="1079">
        <v>12.39</v>
      </c>
      <c r="J1685" s="1079">
        <v>2.82</v>
      </c>
      <c r="K1685" s="1079">
        <v>13.7</v>
      </c>
      <c r="L1685" s="1079">
        <v>3.8</v>
      </c>
      <c r="M1685" s="1079">
        <v>14.9</v>
      </c>
      <c r="N1685" s="1079">
        <v>4.9000000000000004</v>
      </c>
      <c r="O1685" s="1079">
        <v>22.24</v>
      </c>
      <c r="P1685" s="1079">
        <v>7.18</v>
      </c>
      <c r="Q1685" s="1079">
        <v>8.9499999999999993</v>
      </c>
      <c r="R1685" s="1079">
        <v>1.93</v>
      </c>
      <c r="S1685" s="1079">
        <v>14.58</v>
      </c>
      <c r="T1685" s="1079">
        <v>3.35</v>
      </c>
      <c r="U1685" s="1079">
        <v>21.59</v>
      </c>
      <c r="V1685" s="1079">
        <v>4.71</v>
      </c>
      <c r="W1685" s="1079"/>
      <c r="X1685" s="1079"/>
      <c r="Y1685" s="1079"/>
      <c r="Z1685" s="1079"/>
      <c r="AA1685" s="1079"/>
      <c r="AB1685" s="1079"/>
      <c r="AC1685" s="1079"/>
      <c r="AD1685" s="1080"/>
    </row>
    <row r="1686" spans="1:30" x14ac:dyDescent="0.2">
      <c r="A1686">
        <f t="shared" si="60"/>
        <v>47</v>
      </c>
      <c r="B1686">
        <v>1677</v>
      </c>
      <c r="C1686" s="1078">
        <v>2</v>
      </c>
      <c r="D1686" s="1077" t="s">
        <v>3604</v>
      </c>
      <c r="E1686" s="1077" t="s">
        <v>4295</v>
      </c>
      <c r="F1686" s="1079" t="s">
        <v>3920</v>
      </c>
      <c r="G1686" s="1079">
        <v>4.5</v>
      </c>
      <c r="H1686" s="1079">
        <v>2.14</v>
      </c>
      <c r="I1686" s="1079">
        <v>5.0999999999999996</v>
      </c>
      <c r="J1686" s="1079">
        <v>2.4900000000000002</v>
      </c>
      <c r="K1686" s="1079">
        <v>4.5999999999999996</v>
      </c>
      <c r="L1686" s="1079">
        <v>3.31</v>
      </c>
      <c r="M1686" s="1079">
        <v>5.8</v>
      </c>
      <c r="N1686" s="1079">
        <v>4.53</v>
      </c>
      <c r="O1686" s="1079"/>
      <c r="P1686" s="1079"/>
      <c r="Q1686" s="1079">
        <v>4.7</v>
      </c>
      <c r="R1686" s="1079">
        <v>1.63</v>
      </c>
      <c r="S1686" s="1079">
        <v>4.8</v>
      </c>
      <c r="T1686" s="1079">
        <v>2.64</v>
      </c>
      <c r="U1686" s="1079">
        <v>5.9</v>
      </c>
      <c r="V1686" s="1079">
        <v>3.1</v>
      </c>
      <c r="W1686" s="1079"/>
      <c r="X1686" s="1079"/>
      <c r="Y1686" s="1079"/>
      <c r="Z1686" s="1079"/>
      <c r="AA1686" s="1079"/>
      <c r="AB1686" s="1079"/>
      <c r="AC1686" s="1079"/>
      <c r="AD1686" s="1080"/>
    </row>
    <row r="1687" spans="1:30" x14ac:dyDescent="0.2">
      <c r="A1687">
        <f t="shared" si="60"/>
        <v>47</v>
      </c>
      <c r="B1687">
        <v>1678</v>
      </c>
      <c r="C1687" s="1078">
        <v>2</v>
      </c>
      <c r="D1687" s="1077" t="s">
        <v>3604</v>
      </c>
      <c r="E1687" s="1077" t="s">
        <v>4296</v>
      </c>
      <c r="F1687" s="1079" t="s">
        <v>3913</v>
      </c>
      <c r="G1687" s="1079">
        <v>3</v>
      </c>
      <c r="H1687" s="1079">
        <v>2.2000000000000002</v>
      </c>
      <c r="I1687" s="1079">
        <v>3.9</v>
      </c>
      <c r="J1687" s="1079">
        <v>2.9</v>
      </c>
      <c r="K1687" s="1079">
        <v>5.0999999999999996</v>
      </c>
      <c r="L1687" s="1079">
        <v>3.8</v>
      </c>
      <c r="M1687" s="1079">
        <v>6.4</v>
      </c>
      <c r="N1687" s="1079">
        <v>4.5999999999999996</v>
      </c>
      <c r="O1687" s="1079"/>
      <c r="P1687" s="1079"/>
      <c r="Q1687" s="1079">
        <v>3.6</v>
      </c>
      <c r="R1687" s="1079">
        <v>1.8</v>
      </c>
      <c r="S1687" s="1079">
        <v>5.7</v>
      </c>
      <c r="T1687" s="1079">
        <v>2.7</v>
      </c>
      <c r="U1687" s="1079">
        <v>7.3</v>
      </c>
      <c r="V1687" s="1079">
        <v>3.4</v>
      </c>
      <c r="W1687" s="1079"/>
      <c r="X1687" s="1079"/>
      <c r="Y1687" s="1079"/>
      <c r="Z1687" s="1079"/>
      <c r="AA1687" s="1079"/>
      <c r="AB1687" s="1079"/>
      <c r="AC1687" s="1079"/>
      <c r="AD1687" s="1080"/>
    </row>
    <row r="1688" spans="1:30" x14ac:dyDescent="0.2">
      <c r="A1688">
        <f t="shared" si="60"/>
        <v>47</v>
      </c>
      <c r="B1688">
        <v>1679</v>
      </c>
      <c r="C1688" s="1078">
        <v>2</v>
      </c>
      <c r="D1688" s="1077" t="s">
        <v>3604</v>
      </c>
      <c r="E1688" s="1077" t="s">
        <v>4297</v>
      </c>
      <c r="F1688" s="1079" t="s">
        <v>3913</v>
      </c>
      <c r="G1688" s="1079">
        <v>3</v>
      </c>
      <c r="H1688" s="1079">
        <v>2.2000000000000002</v>
      </c>
      <c r="I1688" s="1079">
        <v>4</v>
      </c>
      <c r="J1688" s="1079">
        <v>2.9</v>
      </c>
      <c r="K1688" s="1079">
        <v>5.0999999999999996</v>
      </c>
      <c r="L1688" s="1079">
        <v>3.8</v>
      </c>
      <c r="M1688" s="1079">
        <v>6.4</v>
      </c>
      <c r="N1688" s="1079">
        <v>4.5999999999999996</v>
      </c>
      <c r="O1688" s="1079"/>
      <c r="P1688" s="1079"/>
      <c r="Q1688" s="1079">
        <v>3.6</v>
      </c>
      <c r="R1688" s="1079">
        <v>1.8</v>
      </c>
      <c r="S1688" s="1079">
        <v>5.7</v>
      </c>
      <c r="T1688" s="1079">
        <v>2.7</v>
      </c>
      <c r="U1688" s="1079">
        <v>7.3</v>
      </c>
      <c r="V1688" s="1079">
        <v>3.4</v>
      </c>
      <c r="W1688" s="1079"/>
      <c r="X1688" s="1079"/>
      <c r="Y1688" s="1079"/>
      <c r="Z1688" s="1079"/>
      <c r="AA1688" s="1079"/>
      <c r="AB1688" s="1079"/>
      <c r="AC1688" s="1079"/>
      <c r="AD1688" s="1080"/>
    </row>
    <row r="1689" spans="1:30" x14ac:dyDescent="0.2">
      <c r="A1689">
        <f t="shared" si="60"/>
        <v>47</v>
      </c>
      <c r="B1689">
        <v>1680</v>
      </c>
      <c r="C1689" s="1078">
        <v>2</v>
      </c>
      <c r="D1689" s="1077" t="s">
        <v>3604</v>
      </c>
      <c r="E1689" s="1077" t="s">
        <v>4298</v>
      </c>
      <c r="F1689" s="1079" t="s">
        <v>3913</v>
      </c>
      <c r="G1689" s="1079">
        <v>4.3</v>
      </c>
      <c r="H1689" s="1079">
        <v>2.2999999999999998</v>
      </c>
      <c r="I1689" s="1079">
        <v>5.3</v>
      </c>
      <c r="J1689" s="1079">
        <v>2.8</v>
      </c>
      <c r="K1689" s="1079">
        <v>6.6</v>
      </c>
      <c r="L1689" s="1079">
        <v>3.5</v>
      </c>
      <c r="M1689" s="1079">
        <v>7.7</v>
      </c>
      <c r="N1689" s="1079">
        <v>4</v>
      </c>
      <c r="O1689" s="1079"/>
      <c r="P1689" s="1079"/>
      <c r="Q1689" s="1079">
        <v>4.9000000000000004</v>
      </c>
      <c r="R1689" s="1079">
        <v>1.8</v>
      </c>
      <c r="S1689" s="1079">
        <v>7.1</v>
      </c>
      <c r="T1689" s="1079">
        <v>2.5</v>
      </c>
      <c r="U1689" s="1079">
        <v>10.4</v>
      </c>
      <c r="V1689" s="1079">
        <v>3.6</v>
      </c>
      <c r="W1689" s="1079"/>
      <c r="X1689" s="1079"/>
      <c r="Y1689" s="1079"/>
      <c r="Z1689" s="1079"/>
      <c r="AA1689" s="1079"/>
      <c r="AB1689" s="1079"/>
      <c r="AC1689" s="1079"/>
      <c r="AD1689" s="1080"/>
    </row>
    <row r="1690" spans="1:30" x14ac:dyDescent="0.2">
      <c r="A1690">
        <f t="shared" si="60"/>
        <v>47</v>
      </c>
      <c r="B1690">
        <v>1681</v>
      </c>
      <c r="C1690" s="1078">
        <v>2</v>
      </c>
      <c r="D1690" s="1077" t="s">
        <v>3604</v>
      </c>
      <c r="E1690" s="1077" t="s">
        <v>4299</v>
      </c>
      <c r="F1690" s="1079" t="s">
        <v>3913</v>
      </c>
      <c r="G1690" s="1079">
        <v>4.3</v>
      </c>
      <c r="H1690" s="1079">
        <v>2.2999999999999998</v>
      </c>
      <c r="I1690" s="1079">
        <v>5.3</v>
      </c>
      <c r="J1690" s="1079">
        <v>2.8</v>
      </c>
      <c r="K1690" s="1079">
        <v>6.6</v>
      </c>
      <c r="L1690" s="1079">
        <v>3.5</v>
      </c>
      <c r="M1690" s="1079">
        <v>7.7</v>
      </c>
      <c r="N1690" s="1079">
        <v>4</v>
      </c>
      <c r="O1690" s="1079"/>
      <c r="P1690" s="1079"/>
      <c r="Q1690" s="1079">
        <v>4.9000000000000004</v>
      </c>
      <c r="R1690" s="1079">
        <v>1.8</v>
      </c>
      <c r="S1690" s="1079">
        <v>7.1</v>
      </c>
      <c r="T1690" s="1079">
        <v>2.5</v>
      </c>
      <c r="U1690" s="1079">
        <v>10.4</v>
      </c>
      <c r="V1690" s="1079">
        <v>3.6</v>
      </c>
      <c r="W1690" s="1079"/>
      <c r="X1690" s="1079"/>
      <c r="Y1690" s="1079"/>
      <c r="Z1690" s="1079"/>
      <c r="AA1690" s="1079"/>
      <c r="AB1690" s="1079"/>
      <c r="AC1690" s="1079"/>
      <c r="AD1690" s="1080"/>
    </row>
    <row r="1691" spans="1:30" x14ac:dyDescent="0.2">
      <c r="A1691">
        <f t="shared" si="60"/>
        <v>47</v>
      </c>
      <c r="B1691">
        <v>1682</v>
      </c>
      <c r="C1691" s="1078">
        <v>2</v>
      </c>
      <c r="D1691" s="1077" t="s">
        <v>3604</v>
      </c>
      <c r="E1691" s="1077" t="s">
        <v>4300</v>
      </c>
      <c r="F1691" s="1079" t="s">
        <v>3913</v>
      </c>
      <c r="G1691" s="1079">
        <v>4.2</v>
      </c>
      <c r="H1691" s="1079">
        <v>2.4</v>
      </c>
      <c r="I1691" s="1079">
        <v>5.4</v>
      </c>
      <c r="J1691" s="1079">
        <v>3</v>
      </c>
      <c r="K1691" s="1079">
        <v>6.8</v>
      </c>
      <c r="L1691" s="1079">
        <v>3.9</v>
      </c>
      <c r="M1691" s="1079">
        <v>8.5</v>
      </c>
      <c r="N1691" s="1079">
        <v>4.7</v>
      </c>
      <c r="O1691" s="1079"/>
      <c r="P1691" s="1079"/>
      <c r="Q1691" s="1079">
        <v>5</v>
      </c>
      <c r="R1691" s="1079">
        <v>1.9</v>
      </c>
      <c r="S1691" s="1079">
        <v>7.5</v>
      </c>
      <c r="T1691" s="1079">
        <v>2.9</v>
      </c>
      <c r="U1691" s="1079">
        <v>9.6</v>
      </c>
      <c r="V1691" s="1079">
        <v>3.5</v>
      </c>
      <c r="W1691" s="1079"/>
      <c r="X1691" s="1079"/>
      <c r="Y1691" s="1079"/>
      <c r="Z1691" s="1079"/>
      <c r="AA1691" s="1079"/>
      <c r="AB1691" s="1079"/>
      <c r="AC1691" s="1079"/>
      <c r="AD1691" s="1080"/>
    </row>
    <row r="1692" spans="1:30" x14ac:dyDescent="0.2">
      <c r="A1692">
        <f t="shared" si="60"/>
        <v>47</v>
      </c>
      <c r="B1692">
        <v>1683</v>
      </c>
      <c r="C1692" s="1078">
        <v>2</v>
      </c>
      <c r="D1692" s="1077" t="s">
        <v>3604</v>
      </c>
      <c r="E1692" s="1077" t="s">
        <v>4301</v>
      </c>
      <c r="F1692" s="1079" t="s">
        <v>3913</v>
      </c>
      <c r="G1692" s="1079">
        <v>4.2</v>
      </c>
      <c r="H1692" s="1079">
        <v>2.4</v>
      </c>
      <c r="I1692" s="1079">
        <v>5.4</v>
      </c>
      <c r="J1692" s="1079">
        <v>3</v>
      </c>
      <c r="K1692" s="1079">
        <v>6.8</v>
      </c>
      <c r="L1692" s="1079">
        <v>3.9</v>
      </c>
      <c r="M1692" s="1079">
        <v>8.5</v>
      </c>
      <c r="N1692" s="1079">
        <v>4.7</v>
      </c>
      <c r="O1692" s="1079"/>
      <c r="P1692" s="1079"/>
      <c r="Q1692" s="1079">
        <v>5</v>
      </c>
      <c r="R1692" s="1079">
        <v>1.9</v>
      </c>
      <c r="S1692" s="1079">
        <v>7.5</v>
      </c>
      <c r="T1692" s="1079">
        <v>2.9</v>
      </c>
      <c r="U1692" s="1079">
        <v>9.6</v>
      </c>
      <c r="V1692" s="1079">
        <v>3.5</v>
      </c>
      <c r="W1692" s="1079"/>
      <c r="X1692" s="1079"/>
      <c r="Y1692" s="1079"/>
      <c r="Z1692" s="1079"/>
      <c r="AA1692" s="1079"/>
      <c r="AB1692" s="1079"/>
      <c r="AC1692" s="1079"/>
      <c r="AD1692" s="1080"/>
    </row>
    <row r="1693" spans="1:30" x14ac:dyDescent="0.2">
      <c r="A1693">
        <f t="shared" si="60"/>
        <v>47</v>
      </c>
      <c r="B1693">
        <v>1684</v>
      </c>
      <c r="C1693" s="1078">
        <v>2</v>
      </c>
      <c r="D1693" s="1077" t="s">
        <v>3604</v>
      </c>
      <c r="E1693" s="1077" t="s">
        <v>4302</v>
      </c>
      <c r="F1693" s="1079" t="s">
        <v>3920</v>
      </c>
      <c r="G1693" s="1079">
        <v>7.6</v>
      </c>
      <c r="H1693" s="1079">
        <v>2.1</v>
      </c>
      <c r="I1693" s="1079">
        <v>8.6999999999999993</v>
      </c>
      <c r="J1693" s="1079">
        <v>2.4</v>
      </c>
      <c r="K1693" s="1079">
        <v>6.9</v>
      </c>
      <c r="L1693" s="1079">
        <v>3.5</v>
      </c>
      <c r="M1693" s="1079">
        <v>10</v>
      </c>
      <c r="N1693" s="1079">
        <v>4.4000000000000004</v>
      </c>
      <c r="O1693" s="1079"/>
      <c r="P1693" s="1079"/>
      <c r="Q1693" s="1079">
        <v>7.4</v>
      </c>
      <c r="R1693" s="1079">
        <v>1.7</v>
      </c>
      <c r="S1693" s="1079">
        <v>9</v>
      </c>
      <c r="T1693" s="1079">
        <v>2.7</v>
      </c>
      <c r="U1693" s="1079">
        <v>11.6</v>
      </c>
      <c r="V1693" s="1079">
        <v>3.1</v>
      </c>
      <c r="W1693" s="1079"/>
      <c r="X1693" s="1079"/>
      <c r="Y1693" s="1079"/>
      <c r="Z1693" s="1079"/>
      <c r="AA1693" s="1079"/>
      <c r="AB1693" s="1079"/>
      <c r="AC1693" s="1079"/>
      <c r="AD1693" s="1080"/>
    </row>
    <row r="1694" spans="1:30" x14ac:dyDescent="0.2">
      <c r="A1694">
        <f t="shared" si="60"/>
        <v>47</v>
      </c>
      <c r="B1694">
        <v>1685</v>
      </c>
      <c r="C1694" s="1078">
        <v>2</v>
      </c>
      <c r="D1694" s="1077" t="s">
        <v>3604</v>
      </c>
      <c r="E1694" s="1077" t="s">
        <v>4303</v>
      </c>
      <c r="F1694" s="1079" t="s">
        <v>3913</v>
      </c>
      <c r="G1694" s="1079">
        <v>4</v>
      </c>
      <c r="H1694" s="1079">
        <v>2.2999999999999998</v>
      </c>
      <c r="I1694" s="1079">
        <v>5.5</v>
      </c>
      <c r="J1694" s="1079">
        <v>2.8</v>
      </c>
      <c r="K1694" s="1079">
        <v>7.6</v>
      </c>
      <c r="L1694" s="1079">
        <v>3.7</v>
      </c>
      <c r="M1694" s="1079">
        <v>9.6</v>
      </c>
      <c r="N1694" s="1079">
        <v>4.3</v>
      </c>
      <c r="O1694" s="1079"/>
      <c r="P1694" s="1079"/>
      <c r="Q1694" s="1079">
        <v>3.9</v>
      </c>
      <c r="R1694" s="1079">
        <v>1.9</v>
      </c>
      <c r="S1694" s="1079">
        <v>7.2</v>
      </c>
      <c r="T1694" s="1079">
        <v>2.7</v>
      </c>
      <c r="U1694" s="1079">
        <v>9.9</v>
      </c>
      <c r="V1694" s="1079">
        <v>3.4</v>
      </c>
      <c r="W1694" s="1079"/>
      <c r="X1694" s="1079"/>
      <c r="Y1694" s="1079"/>
      <c r="Z1694" s="1079"/>
      <c r="AA1694" s="1079"/>
      <c r="AB1694" s="1079"/>
      <c r="AC1694" s="1079"/>
      <c r="AD1694" s="1080"/>
    </row>
    <row r="1695" spans="1:30" x14ac:dyDescent="0.2">
      <c r="A1695">
        <f t="shared" si="60"/>
        <v>47</v>
      </c>
      <c r="B1695">
        <v>1686</v>
      </c>
      <c r="C1695" s="1078">
        <v>2</v>
      </c>
      <c r="D1695" s="1077" t="s">
        <v>3604</v>
      </c>
      <c r="E1695" s="1077" t="s">
        <v>4304</v>
      </c>
      <c r="F1695" s="1079" t="s">
        <v>3913</v>
      </c>
      <c r="G1695" s="1079">
        <v>4</v>
      </c>
      <c r="H1695" s="1079">
        <v>2.2999999999999998</v>
      </c>
      <c r="I1695" s="1079">
        <v>5.5</v>
      </c>
      <c r="J1695" s="1079">
        <v>2.8</v>
      </c>
      <c r="K1695" s="1079">
        <v>7.6</v>
      </c>
      <c r="L1695" s="1079">
        <v>3.7</v>
      </c>
      <c r="M1695" s="1079">
        <v>9.6</v>
      </c>
      <c r="N1695" s="1079">
        <v>4.3</v>
      </c>
      <c r="O1695" s="1079"/>
      <c r="P1695" s="1079"/>
      <c r="Q1695" s="1079">
        <v>3.9</v>
      </c>
      <c r="R1695" s="1079">
        <v>1.9</v>
      </c>
      <c r="S1695" s="1079">
        <v>7.2</v>
      </c>
      <c r="T1695" s="1079">
        <v>2.7</v>
      </c>
      <c r="U1695" s="1079">
        <v>9.9</v>
      </c>
      <c r="V1695" s="1079">
        <v>3.4</v>
      </c>
      <c r="W1695" s="1079"/>
      <c r="X1695" s="1079"/>
      <c r="Y1695" s="1079"/>
      <c r="Z1695" s="1079"/>
      <c r="AA1695" s="1079"/>
      <c r="AB1695" s="1079"/>
      <c r="AC1695" s="1079"/>
      <c r="AD1695" s="1080"/>
    </row>
    <row r="1696" spans="1:30" x14ac:dyDescent="0.2">
      <c r="A1696">
        <f t="shared" si="60"/>
        <v>47</v>
      </c>
      <c r="B1696">
        <v>1687</v>
      </c>
      <c r="C1696" s="1078">
        <v>2</v>
      </c>
      <c r="D1696" s="1077" t="s">
        <v>3604</v>
      </c>
      <c r="E1696" s="1077" t="s">
        <v>4305</v>
      </c>
      <c r="F1696" s="1079" t="s">
        <v>3920</v>
      </c>
      <c r="G1696" s="1079">
        <v>9</v>
      </c>
      <c r="H1696" s="1079">
        <v>2.1800000000000002</v>
      </c>
      <c r="I1696" s="1079">
        <v>10.3</v>
      </c>
      <c r="J1696" s="1079">
        <v>2.57</v>
      </c>
      <c r="K1696" s="1079">
        <v>8.4</v>
      </c>
      <c r="L1696" s="1079">
        <v>3.65</v>
      </c>
      <c r="M1696" s="1079">
        <v>12.5</v>
      </c>
      <c r="N1696" s="1079">
        <v>4.63</v>
      </c>
      <c r="O1696" s="1079"/>
      <c r="P1696" s="1079"/>
      <c r="Q1696" s="1079">
        <v>9.5</v>
      </c>
      <c r="R1696" s="1079">
        <v>1.68</v>
      </c>
      <c r="S1696" s="1079">
        <v>10.5</v>
      </c>
      <c r="T1696" s="1079">
        <v>2.79</v>
      </c>
      <c r="U1696" s="1079">
        <v>13.1</v>
      </c>
      <c r="V1696" s="1079">
        <v>3.4</v>
      </c>
      <c r="W1696" s="1079"/>
      <c r="X1696" s="1079"/>
      <c r="Y1696" s="1079"/>
      <c r="Z1696" s="1079"/>
      <c r="AA1696" s="1079"/>
      <c r="AB1696" s="1079"/>
      <c r="AC1696" s="1079"/>
      <c r="AD1696" s="1080"/>
    </row>
    <row r="1697" spans="1:30" x14ac:dyDescent="0.2">
      <c r="A1697">
        <f t="shared" si="60"/>
        <v>47</v>
      </c>
      <c r="B1697">
        <v>1688</v>
      </c>
      <c r="C1697" s="1078">
        <v>2</v>
      </c>
      <c r="D1697" s="1077" t="s">
        <v>3604</v>
      </c>
      <c r="E1697" s="1077" t="s">
        <v>4306</v>
      </c>
      <c r="F1697" s="1079" t="s">
        <v>3913</v>
      </c>
      <c r="G1697" s="1079">
        <v>6.2</v>
      </c>
      <c r="H1697" s="1079">
        <v>2.2000000000000002</v>
      </c>
      <c r="I1697" s="1079">
        <v>7.9</v>
      </c>
      <c r="J1697" s="1079">
        <v>2.8</v>
      </c>
      <c r="K1697" s="1079">
        <v>9.4</v>
      </c>
      <c r="L1697" s="1079">
        <v>3.7</v>
      </c>
      <c r="M1697" s="1079">
        <v>11.2</v>
      </c>
      <c r="N1697" s="1079">
        <v>4.4000000000000004</v>
      </c>
      <c r="O1697" s="1079"/>
      <c r="P1697" s="1079"/>
      <c r="Q1697" s="1079">
        <v>6.9</v>
      </c>
      <c r="R1697" s="1079">
        <v>1.6</v>
      </c>
      <c r="S1697" s="1079">
        <v>9.3000000000000007</v>
      </c>
      <c r="T1697" s="1079">
        <v>2.4</v>
      </c>
      <c r="U1697" s="1079">
        <v>12.1</v>
      </c>
      <c r="V1697" s="1079">
        <v>3.1</v>
      </c>
      <c r="W1697" s="1079"/>
      <c r="X1697" s="1079"/>
      <c r="Y1697" s="1079"/>
      <c r="Z1697" s="1079"/>
      <c r="AA1697" s="1079"/>
      <c r="AB1697" s="1079"/>
      <c r="AC1697" s="1079"/>
      <c r="AD1697" s="1080"/>
    </row>
    <row r="1698" spans="1:30" x14ac:dyDescent="0.2">
      <c r="A1698">
        <f t="shared" si="60"/>
        <v>47</v>
      </c>
      <c r="B1698">
        <v>1689</v>
      </c>
      <c r="C1698" s="1078">
        <v>2</v>
      </c>
      <c r="D1698" s="1077" t="s">
        <v>3604</v>
      </c>
      <c r="E1698" s="1077" t="s">
        <v>4307</v>
      </c>
      <c r="F1698" s="1079" t="s">
        <v>3913</v>
      </c>
      <c r="G1698" s="1079">
        <v>5.7</v>
      </c>
      <c r="H1698" s="1079">
        <v>2.6</v>
      </c>
      <c r="I1698" s="1079">
        <v>7.2</v>
      </c>
      <c r="J1698" s="1079">
        <v>3.1</v>
      </c>
      <c r="K1698" s="1079">
        <v>9.4</v>
      </c>
      <c r="L1698" s="1079">
        <v>4.0999999999999996</v>
      </c>
      <c r="M1698" s="1079">
        <v>11.6</v>
      </c>
      <c r="N1698" s="1079">
        <v>4.9000000000000004</v>
      </c>
      <c r="O1698" s="1079"/>
      <c r="P1698" s="1079"/>
      <c r="Q1698" s="1079">
        <v>6.9</v>
      </c>
      <c r="R1698" s="1079">
        <v>2.1</v>
      </c>
      <c r="S1698" s="1079">
        <v>10.6</v>
      </c>
      <c r="T1698" s="1079">
        <v>3.1</v>
      </c>
      <c r="U1698" s="1079">
        <v>12.9</v>
      </c>
      <c r="V1698" s="1079">
        <v>3.6</v>
      </c>
      <c r="W1698" s="1079"/>
      <c r="X1698" s="1079"/>
      <c r="Y1698" s="1079"/>
      <c r="Z1698" s="1079"/>
      <c r="AA1698" s="1079"/>
      <c r="AB1698" s="1079"/>
      <c r="AC1698" s="1079"/>
      <c r="AD1698" s="1080"/>
    </row>
    <row r="1699" spans="1:30" x14ac:dyDescent="0.2">
      <c r="A1699">
        <f t="shared" si="60"/>
        <v>47</v>
      </c>
      <c r="B1699">
        <v>1690</v>
      </c>
      <c r="C1699" s="1078">
        <v>2</v>
      </c>
      <c r="D1699" s="1077" t="s">
        <v>3604</v>
      </c>
      <c r="E1699" s="1077" t="s">
        <v>4308</v>
      </c>
      <c r="F1699" s="1079" t="s">
        <v>3913</v>
      </c>
      <c r="G1699" s="1079">
        <v>6.2</v>
      </c>
      <c r="H1699" s="1079">
        <v>2.2000000000000002</v>
      </c>
      <c r="I1699" s="1079">
        <v>7.9</v>
      </c>
      <c r="J1699" s="1079">
        <v>2.8</v>
      </c>
      <c r="K1699" s="1079">
        <v>9.4</v>
      </c>
      <c r="L1699" s="1079">
        <v>3.7</v>
      </c>
      <c r="M1699" s="1079">
        <v>11.2</v>
      </c>
      <c r="N1699" s="1079">
        <v>4.4000000000000004</v>
      </c>
      <c r="O1699" s="1079"/>
      <c r="P1699" s="1079"/>
      <c r="Q1699" s="1079">
        <v>6.9</v>
      </c>
      <c r="R1699" s="1079">
        <v>1.6</v>
      </c>
      <c r="S1699" s="1079">
        <v>9.3000000000000007</v>
      </c>
      <c r="T1699" s="1079">
        <v>2.4</v>
      </c>
      <c r="U1699" s="1079">
        <v>12.1</v>
      </c>
      <c r="V1699" s="1079">
        <v>3.1</v>
      </c>
      <c r="W1699" s="1079"/>
      <c r="X1699" s="1079"/>
      <c r="Y1699" s="1079"/>
      <c r="Z1699" s="1079"/>
      <c r="AA1699" s="1079"/>
      <c r="AB1699" s="1079"/>
      <c r="AC1699" s="1079"/>
      <c r="AD1699" s="1080"/>
    </row>
    <row r="1700" spans="1:30" x14ac:dyDescent="0.2">
      <c r="A1700">
        <f t="shared" si="60"/>
        <v>47</v>
      </c>
      <c r="B1700">
        <v>1691</v>
      </c>
      <c r="C1700" s="1078">
        <v>2</v>
      </c>
      <c r="D1700" s="1077" t="s">
        <v>3604</v>
      </c>
      <c r="E1700" s="1077" t="s">
        <v>4309</v>
      </c>
      <c r="F1700" s="1079" t="s">
        <v>3913</v>
      </c>
      <c r="G1700" s="1079">
        <v>5.7</v>
      </c>
      <c r="H1700" s="1079">
        <v>2.6</v>
      </c>
      <c r="I1700" s="1079">
        <v>7.2</v>
      </c>
      <c r="J1700" s="1079">
        <v>3.1</v>
      </c>
      <c r="K1700" s="1079">
        <v>9.4</v>
      </c>
      <c r="L1700" s="1079">
        <v>4.0999999999999996</v>
      </c>
      <c r="M1700" s="1079">
        <v>11.6</v>
      </c>
      <c r="N1700" s="1079">
        <v>4.9000000000000004</v>
      </c>
      <c r="O1700" s="1079"/>
      <c r="P1700" s="1079"/>
      <c r="Q1700" s="1079">
        <v>6.94</v>
      </c>
      <c r="R1700" s="1079">
        <v>2.14</v>
      </c>
      <c r="S1700" s="1079">
        <v>10.62</v>
      </c>
      <c r="T1700" s="1079">
        <v>3.06</v>
      </c>
      <c r="U1700" s="1079">
        <v>12.88</v>
      </c>
      <c r="V1700" s="1079">
        <v>3.62</v>
      </c>
      <c r="W1700" s="1079"/>
      <c r="X1700" s="1079"/>
      <c r="Y1700" s="1079"/>
      <c r="Z1700" s="1079"/>
      <c r="AA1700" s="1079"/>
      <c r="AB1700" s="1079"/>
      <c r="AC1700" s="1079"/>
      <c r="AD1700" s="1080"/>
    </row>
    <row r="1701" spans="1:30" x14ac:dyDescent="0.2">
      <c r="A1701">
        <f t="shared" si="60"/>
        <v>47</v>
      </c>
      <c r="B1701">
        <v>1692</v>
      </c>
      <c r="C1701" s="1078">
        <v>2</v>
      </c>
      <c r="D1701" s="1077" t="s">
        <v>3604</v>
      </c>
      <c r="E1701" s="1077" t="s">
        <v>4310</v>
      </c>
      <c r="F1701" s="1079" t="s">
        <v>3920</v>
      </c>
      <c r="G1701" s="1079">
        <v>10.3</v>
      </c>
      <c r="H1701" s="1079">
        <v>2.17</v>
      </c>
      <c r="I1701" s="1079">
        <v>11.8</v>
      </c>
      <c r="J1701" s="1079">
        <v>2.5499999999999998</v>
      </c>
      <c r="K1701" s="1079">
        <v>11.2</v>
      </c>
      <c r="L1701" s="1079">
        <v>3.25</v>
      </c>
      <c r="M1701" s="1079">
        <v>14</v>
      </c>
      <c r="N1701" s="1079">
        <v>4.4400000000000004</v>
      </c>
      <c r="O1701" s="1079"/>
      <c r="P1701" s="1079"/>
      <c r="Q1701" s="1079">
        <v>10.199999999999999</v>
      </c>
      <c r="R1701" s="1079">
        <v>1.67</v>
      </c>
      <c r="S1701" s="1079">
        <v>12</v>
      </c>
      <c r="T1701" s="1079">
        <v>2.76</v>
      </c>
      <c r="U1701" s="1079">
        <v>15</v>
      </c>
      <c r="V1701" s="1079">
        <v>3.4</v>
      </c>
      <c r="W1701" s="1079"/>
      <c r="X1701" s="1079"/>
      <c r="Y1701" s="1079"/>
      <c r="Z1701" s="1079"/>
      <c r="AA1701" s="1079"/>
      <c r="AB1701" s="1079"/>
      <c r="AC1701" s="1079"/>
      <c r="AD1701" s="1080"/>
    </row>
    <row r="1702" spans="1:30" x14ac:dyDescent="0.2">
      <c r="A1702">
        <f t="shared" si="60"/>
        <v>47</v>
      </c>
      <c r="B1702">
        <v>1693</v>
      </c>
      <c r="C1702" s="1078">
        <v>2</v>
      </c>
      <c r="D1702" s="1077" t="s">
        <v>3604</v>
      </c>
      <c r="E1702" s="1077" t="s">
        <v>4311</v>
      </c>
      <c r="F1702" s="1079" t="s">
        <v>3920</v>
      </c>
      <c r="G1702" s="1079">
        <v>11.7</v>
      </c>
      <c r="H1702" s="1079">
        <v>2.12</v>
      </c>
      <c r="I1702" s="1079">
        <v>13.4</v>
      </c>
      <c r="J1702" s="1079">
        <v>2.5</v>
      </c>
      <c r="K1702" s="1079">
        <v>12.5</v>
      </c>
      <c r="L1702" s="1079">
        <v>3.14</v>
      </c>
      <c r="M1702" s="1079">
        <v>16</v>
      </c>
      <c r="N1702" s="1079">
        <v>4.26</v>
      </c>
      <c r="O1702" s="1079"/>
      <c r="P1702" s="1079"/>
      <c r="Q1702" s="1079">
        <v>10.8</v>
      </c>
      <c r="R1702" s="1079">
        <v>1.65</v>
      </c>
      <c r="S1702" s="1079">
        <v>14</v>
      </c>
      <c r="T1702" s="1079">
        <v>2.72</v>
      </c>
      <c r="U1702" s="1079">
        <v>17.899999999999999</v>
      </c>
      <c r="V1702" s="1079">
        <v>3.4</v>
      </c>
      <c r="W1702" s="1079"/>
      <c r="X1702" s="1079"/>
      <c r="Y1702" s="1079"/>
      <c r="Z1702" s="1079"/>
      <c r="AA1702" s="1079"/>
      <c r="AB1702" s="1079"/>
      <c r="AC1702" s="1079"/>
      <c r="AD1702" s="1080"/>
    </row>
    <row r="1703" spans="1:30" x14ac:dyDescent="0.2">
      <c r="A1703">
        <f t="shared" si="60"/>
        <v>47</v>
      </c>
      <c r="B1703">
        <v>1694</v>
      </c>
      <c r="C1703" s="1078">
        <v>2</v>
      </c>
      <c r="D1703" s="1077" t="s">
        <v>3604</v>
      </c>
      <c r="E1703" s="1077" t="s">
        <v>4312</v>
      </c>
      <c r="F1703" s="1079" t="s">
        <v>3914</v>
      </c>
      <c r="G1703" s="1079">
        <v>8.6999999999999993</v>
      </c>
      <c r="H1703" s="1079">
        <v>2.2999999999999998</v>
      </c>
      <c r="I1703" s="1079">
        <v>10.3</v>
      </c>
      <c r="J1703" s="1079">
        <v>2.7</v>
      </c>
      <c r="K1703" s="1079">
        <v>14.7</v>
      </c>
      <c r="L1703" s="1079">
        <v>3.7</v>
      </c>
      <c r="M1703" s="1079">
        <v>19.600000000000001</v>
      </c>
      <c r="N1703" s="1079">
        <v>4.4000000000000004</v>
      </c>
      <c r="O1703" s="1079"/>
      <c r="P1703" s="1079"/>
      <c r="Q1703" s="1079">
        <v>10</v>
      </c>
      <c r="R1703" s="1079">
        <v>1.7</v>
      </c>
      <c r="S1703" s="1079">
        <v>18.8</v>
      </c>
      <c r="T1703" s="1079">
        <v>2.9</v>
      </c>
      <c r="U1703" s="1079">
        <v>22.1</v>
      </c>
      <c r="V1703" s="1079">
        <v>3.4</v>
      </c>
      <c r="W1703" s="1079"/>
      <c r="X1703" s="1079"/>
      <c r="Y1703" s="1079"/>
      <c r="Z1703" s="1079"/>
      <c r="AA1703" s="1079"/>
      <c r="AB1703" s="1079"/>
      <c r="AC1703" s="1079"/>
      <c r="AD1703" s="1080"/>
    </row>
    <row r="1704" spans="1:30" x14ac:dyDescent="0.2">
      <c r="A1704">
        <f t="shared" si="60"/>
        <v>47</v>
      </c>
      <c r="B1704">
        <v>1695</v>
      </c>
      <c r="C1704" s="1078">
        <v>2</v>
      </c>
      <c r="D1704" s="1077" t="s">
        <v>3604</v>
      </c>
      <c r="E1704" s="1077" t="s">
        <v>4313</v>
      </c>
      <c r="F1704" s="1079" t="s">
        <v>3914</v>
      </c>
      <c r="G1704" s="1079">
        <v>8.6999999999999993</v>
      </c>
      <c r="H1704" s="1079">
        <v>2.2999999999999998</v>
      </c>
      <c r="I1704" s="1079">
        <v>10.3</v>
      </c>
      <c r="J1704" s="1079">
        <v>2.7</v>
      </c>
      <c r="K1704" s="1079">
        <v>14.7</v>
      </c>
      <c r="L1704" s="1079">
        <v>3.7</v>
      </c>
      <c r="M1704" s="1079">
        <v>19.600000000000001</v>
      </c>
      <c r="N1704" s="1079">
        <v>4.4000000000000004</v>
      </c>
      <c r="O1704" s="1079"/>
      <c r="P1704" s="1079"/>
      <c r="Q1704" s="1079">
        <v>10</v>
      </c>
      <c r="R1704" s="1079">
        <v>1.7</v>
      </c>
      <c r="S1704" s="1079">
        <v>18.8</v>
      </c>
      <c r="T1704" s="1079">
        <v>2.9</v>
      </c>
      <c r="U1704" s="1079">
        <v>22.1</v>
      </c>
      <c r="V1704" s="1079">
        <v>3.4</v>
      </c>
      <c r="W1704" s="1079"/>
      <c r="X1704" s="1079"/>
      <c r="Y1704" s="1079"/>
      <c r="Z1704" s="1079"/>
      <c r="AA1704" s="1079"/>
      <c r="AB1704" s="1079"/>
      <c r="AC1704" s="1079"/>
      <c r="AD1704" s="1080"/>
    </row>
    <row r="1705" spans="1:30" x14ac:dyDescent="0.2">
      <c r="A1705">
        <f t="shared" si="60"/>
        <v>47</v>
      </c>
      <c r="B1705">
        <v>1696</v>
      </c>
      <c r="C1705" s="1078">
        <v>2</v>
      </c>
      <c r="D1705" s="1077" t="s">
        <v>3604</v>
      </c>
      <c r="E1705" s="1077" t="s">
        <v>4314</v>
      </c>
      <c r="F1705" s="1079" t="s">
        <v>3914</v>
      </c>
      <c r="G1705" s="1079">
        <v>14.4</v>
      </c>
      <c r="H1705" s="1079">
        <v>2.5</v>
      </c>
      <c r="I1705" s="1079">
        <v>16.7</v>
      </c>
      <c r="J1705" s="1079">
        <v>3</v>
      </c>
      <c r="K1705" s="1079">
        <v>19.600000000000001</v>
      </c>
      <c r="L1705" s="1079">
        <v>3.7</v>
      </c>
      <c r="M1705" s="1079">
        <v>26.1</v>
      </c>
      <c r="N1705" s="1079">
        <v>4.4000000000000004</v>
      </c>
      <c r="O1705" s="1079"/>
      <c r="P1705" s="1079"/>
      <c r="Q1705" s="1079">
        <v>16</v>
      </c>
      <c r="R1705" s="1079">
        <v>2</v>
      </c>
      <c r="S1705" s="1079">
        <v>25</v>
      </c>
      <c r="T1705" s="1079">
        <v>2.9</v>
      </c>
      <c r="U1705" s="1079">
        <v>30.3</v>
      </c>
      <c r="V1705" s="1079">
        <v>3.3</v>
      </c>
      <c r="W1705" s="1079"/>
      <c r="X1705" s="1079"/>
      <c r="Y1705" s="1079"/>
      <c r="Z1705" s="1079"/>
      <c r="AA1705" s="1079"/>
      <c r="AB1705" s="1079"/>
      <c r="AC1705" s="1079"/>
      <c r="AD1705" s="1080"/>
    </row>
    <row r="1706" spans="1:30" x14ac:dyDescent="0.2">
      <c r="A1706">
        <f t="shared" si="60"/>
        <v>47</v>
      </c>
      <c r="B1706">
        <v>1697</v>
      </c>
      <c r="C1706" s="1078">
        <v>2</v>
      </c>
      <c r="D1706" s="1077" t="s">
        <v>3604</v>
      </c>
      <c r="E1706" s="1077" t="s">
        <v>4315</v>
      </c>
      <c r="F1706" s="1079" t="s">
        <v>3914</v>
      </c>
      <c r="G1706" s="1079">
        <v>14.4</v>
      </c>
      <c r="H1706" s="1079">
        <v>2.5</v>
      </c>
      <c r="I1706" s="1079">
        <v>16.7</v>
      </c>
      <c r="J1706" s="1079">
        <v>3</v>
      </c>
      <c r="K1706" s="1079">
        <v>19.600000000000001</v>
      </c>
      <c r="L1706" s="1079">
        <v>3.7</v>
      </c>
      <c r="M1706" s="1079">
        <v>26.1</v>
      </c>
      <c r="N1706" s="1079">
        <v>4.4000000000000004</v>
      </c>
      <c r="O1706" s="1079"/>
      <c r="P1706" s="1079"/>
      <c r="Q1706" s="1079">
        <v>16</v>
      </c>
      <c r="R1706" s="1079">
        <v>2</v>
      </c>
      <c r="S1706" s="1079">
        <v>25</v>
      </c>
      <c r="T1706" s="1079">
        <v>2.9</v>
      </c>
      <c r="U1706" s="1079">
        <v>30.3</v>
      </c>
      <c r="V1706" s="1079">
        <v>3.3</v>
      </c>
      <c r="W1706" s="1079"/>
      <c r="X1706" s="1079"/>
      <c r="Y1706" s="1079"/>
      <c r="Z1706" s="1079"/>
      <c r="AA1706" s="1079"/>
      <c r="AB1706" s="1079"/>
      <c r="AC1706" s="1079"/>
      <c r="AD1706" s="1080"/>
    </row>
    <row r="1707" spans="1:30" x14ac:dyDescent="0.2">
      <c r="A1707">
        <f t="shared" si="60"/>
        <v>47</v>
      </c>
      <c r="B1707">
        <v>1698</v>
      </c>
      <c r="C1707" s="1078">
        <v>2</v>
      </c>
      <c r="D1707" s="1077" t="s">
        <v>3604</v>
      </c>
      <c r="E1707" s="1077" t="s">
        <v>4316</v>
      </c>
      <c r="F1707" s="1079" t="s">
        <v>3914</v>
      </c>
      <c r="G1707" s="1079">
        <v>17.899999999999999</v>
      </c>
      <c r="H1707" s="1079">
        <v>2.2999999999999998</v>
      </c>
      <c r="I1707" s="1079">
        <v>23.3</v>
      </c>
      <c r="J1707" s="1079">
        <v>3</v>
      </c>
      <c r="K1707" s="1079">
        <v>28.1</v>
      </c>
      <c r="L1707" s="1079">
        <v>3.7</v>
      </c>
      <c r="M1707" s="1079">
        <v>34.700000000000003</v>
      </c>
      <c r="N1707" s="1079">
        <v>4.3</v>
      </c>
      <c r="O1707" s="1079"/>
      <c r="P1707" s="1079"/>
      <c r="Q1707" s="1079">
        <v>21.6</v>
      </c>
      <c r="R1707" s="1079">
        <v>1.8</v>
      </c>
      <c r="S1707" s="1079">
        <v>32</v>
      </c>
      <c r="T1707" s="1079">
        <v>2.6</v>
      </c>
      <c r="U1707" s="1079">
        <v>42.7</v>
      </c>
      <c r="V1707" s="1079">
        <v>3.3</v>
      </c>
      <c r="W1707" s="1079"/>
      <c r="X1707" s="1079"/>
      <c r="Y1707" s="1079"/>
      <c r="Z1707" s="1079"/>
      <c r="AA1707" s="1079"/>
      <c r="AB1707" s="1079"/>
      <c r="AC1707" s="1079"/>
      <c r="AD1707" s="1080"/>
    </row>
    <row r="1708" spans="1:30" x14ac:dyDescent="0.2">
      <c r="A1708">
        <f t="shared" si="60"/>
        <v>47</v>
      </c>
      <c r="B1708">
        <v>1699</v>
      </c>
      <c r="C1708" s="1078">
        <v>2</v>
      </c>
      <c r="D1708" s="1077" t="s">
        <v>3604</v>
      </c>
      <c r="E1708" s="1077" t="s">
        <v>4317</v>
      </c>
      <c r="F1708" s="1079" t="s">
        <v>3914</v>
      </c>
      <c r="G1708" s="1079">
        <v>17.899999999999999</v>
      </c>
      <c r="H1708" s="1079">
        <v>2.2999999999999998</v>
      </c>
      <c r="I1708" s="1079">
        <v>23.3</v>
      </c>
      <c r="J1708" s="1079">
        <v>3</v>
      </c>
      <c r="K1708" s="1079">
        <v>28.1</v>
      </c>
      <c r="L1708" s="1079">
        <v>3.7</v>
      </c>
      <c r="M1708" s="1079">
        <v>34.700000000000003</v>
      </c>
      <c r="N1708" s="1079">
        <v>4.3</v>
      </c>
      <c r="O1708" s="1079"/>
      <c r="P1708" s="1079"/>
      <c r="Q1708" s="1079">
        <v>21.6</v>
      </c>
      <c r="R1708" s="1079">
        <v>1.8</v>
      </c>
      <c r="S1708" s="1079">
        <v>32</v>
      </c>
      <c r="T1708" s="1079">
        <v>2.6</v>
      </c>
      <c r="U1708" s="1079">
        <v>42.7</v>
      </c>
      <c r="V1708" s="1079">
        <v>3.3</v>
      </c>
      <c r="W1708" s="1079"/>
      <c r="X1708" s="1079"/>
      <c r="Y1708" s="1079"/>
      <c r="Z1708" s="1079"/>
      <c r="AA1708" s="1079"/>
      <c r="AB1708" s="1079"/>
      <c r="AC1708" s="1079"/>
      <c r="AD1708" s="1080"/>
    </row>
    <row r="1709" spans="1:30" x14ac:dyDescent="0.2">
      <c r="A1709">
        <f t="shared" si="60"/>
        <v>47</v>
      </c>
      <c r="B1709">
        <v>1700</v>
      </c>
      <c r="C1709" s="1078">
        <v>3</v>
      </c>
      <c r="D1709" s="1077" t="s">
        <v>3604</v>
      </c>
      <c r="E1709" s="1077" t="s">
        <v>4318</v>
      </c>
      <c r="F1709" s="1079" t="s">
        <v>3913</v>
      </c>
      <c r="G1709" s="1079"/>
      <c r="H1709" s="1079"/>
      <c r="I1709" s="1079"/>
      <c r="J1709" s="1079"/>
      <c r="K1709" s="1079"/>
      <c r="L1709" s="1079"/>
      <c r="M1709" s="1079"/>
      <c r="N1709" s="1079"/>
      <c r="O1709" s="1079"/>
      <c r="P1709" s="1079"/>
      <c r="Q1709" s="1079"/>
      <c r="R1709" s="1079"/>
      <c r="S1709" s="1079"/>
      <c r="T1709" s="1079"/>
      <c r="U1709" s="1079"/>
      <c r="V1709" s="1079"/>
      <c r="W1709" s="1079">
        <v>6.1</v>
      </c>
      <c r="X1709" s="1079">
        <v>4.7</v>
      </c>
      <c r="Y1709" s="1079">
        <v>5.5</v>
      </c>
      <c r="Z1709" s="1079">
        <v>2.8</v>
      </c>
      <c r="AA1709" s="1079"/>
      <c r="AB1709" s="1079"/>
      <c r="AC1709" s="1079"/>
      <c r="AD1709" s="1080"/>
    </row>
    <row r="1710" spans="1:30" x14ac:dyDescent="0.2">
      <c r="A1710">
        <f t="shared" si="60"/>
        <v>47</v>
      </c>
      <c r="B1710">
        <v>1701</v>
      </c>
      <c r="C1710" s="1078">
        <v>3</v>
      </c>
      <c r="D1710" s="1077" t="s">
        <v>3604</v>
      </c>
      <c r="E1710" s="1077" t="s">
        <v>4319</v>
      </c>
      <c r="F1710" s="1079" t="s">
        <v>3913</v>
      </c>
      <c r="G1710" s="1079"/>
      <c r="H1710" s="1079"/>
      <c r="I1710" s="1079"/>
      <c r="J1710" s="1079"/>
      <c r="K1710" s="1079"/>
      <c r="L1710" s="1079"/>
      <c r="M1710" s="1079"/>
      <c r="N1710" s="1079"/>
      <c r="O1710" s="1079"/>
      <c r="P1710" s="1079"/>
      <c r="Q1710" s="1079"/>
      <c r="R1710" s="1079"/>
      <c r="S1710" s="1079"/>
      <c r="T1710" s="1079"/>
      <c r="U1710" s="1079"/>
      <c r="V1710" s="1079"/>
      <c r="W1710" s="1079">
        <v>6.1</v>
      </c>
      <c r="X1710" s="1079">
        <v>4.9000000000000004</v>
      </c>
      <c r="Y1710" s="1079">
        <v>5.5</v>
      </c>
      <c r="Z1710" s="1079">
        <v>2.9</v>
      </c>
      <c r="AA1710" s="1079"/>
      <c r="AB1710" s="1079"/>
      <c r="AC1710" s="1079"/>
      <c r="AD1710" s="1080"/>
    </row>
    <row r="1711" spans="1:30" x14ac:dyDescent="0.2">
      <c r="A1711">
        <f t="shared" si="60"/>
        <v>47</v>
      </c>
      <c r="B1711">
        <v>1702</v>
      </c>
      <c r="C1711" s="1078">
        <v>3</v>
      </c>
      <c r="D1711" s="1077" t="s">
        <v>3604</v>
      </c>
      <c r="E1711" s="1077" t="s">
        <v>4320</v>
      </c>
      <c r="F1711" s="1079" t="s">
        <v>3913</v>
      </c>
      <c r="G1711" s="1079"/>
      <c r="H1711" s="1079"/>
      <c r="I1711" s="1079"/>
      <c r="J1711" s="1079"/>
      <c r="K1711" s="1079"/>
      <c r="L1711" s="1079"/>
      <c r="M1711" s="1079"/>
      <c r="N1711" s="1079"/>
      <c r="O1711" s="1079"/>
      <c r="P1711" s="1079"/>
      <c r="Q1711" s="1079"/>
      <c r="R1711" s="1079"/>
      <c r="S1711" s="1079"/>
      <c r="T1711" s="1079"/>
      <c r="U1711" s="1079"/>
      <c r="V1711" s="1079"/>
      <c r="W1711" s="1079">
        <v>6.1</v>
      </c>
      <c r="X1711" s="1079">
        <v>4.7</v>
      </c>
      <c r="Y1711" s="1079">
        <v>5.5</v>
      </c>
      <c r="Z1711" s="1079">
        <v>2.8</v>
      </c>
      <c r="AA1711" s="1079"/>
      <c r="AB1711" s="1079"/>
      <c r="AC1711" s="1079"/>
      <c r="AD1711" s="1080"/>
    </row>
    <row r="1712" spans="1:30" x14ac:dyDescent="0.2">
      <c r="A1712">
        <f t="shared" si="60"/>
        <v>47</v>
      </c>
      <c r="B1712">
        <v>1703</v>
      </c>
      <c r="C1712" s="1078">
        <v>3</v>
      </c>
      <c r="D1712" s="1077" t="s">
        <v>3604</v>
      </c>
      <c r="E1712" s="1077" t="s">
        <v>4321</v>
      </c>
      <c r="F1712" s="1079" t="s">
        <v>3913</v>
      </c>
      <c r="G1712" s="1079"/>
      <c r="H1712" s="1079"/>
      <c r="I1712" s="1079"/>
      <c r="J1712" s="1079"/>
      <c r="K1712" s="1079"/>
      <c r="L1712" s="1079"/>
      <c r="M1712" s="1079"/>
      <c r="N1712" s="1079"/>
      <c r="O1712" s="1079"/>
      <c r="P1712" s="1079"/>
      <c r="Q1712" s="1079"/>
      <c r="R1712" s="1079"/>
      <c r="S1712" s="1079"/>
      <c r="T1712" s="1079"/>
      <c r="U1712" s="1079"/>
      <c r="V1712" s="1079"/>
      <c r="W1712" s="1079">
        <v>6.1</v>
      </c>
      <c r="X1712" s="1079">
        <v>4.9000000000000004</v>
      </c>
      <c r="Y1712" s="1079">
        <v>5.5</v>
      </c>
      <c r="Z1712" s="1079">
        <v>2.9</v>
      </c>
      <c r="AA1712" s="1079"/>
      <c r="AB1712" s="1079"/>
      <c r="AC1712" s="1079"/>
      <c r="AD1712" s="1080"/>
    </row>
    <row r="1713" spans="1:30" x14ac:dyDescent="0.2">
      <c r="A1713">
        <f t="shared" si="60"/>
        <v>47</v>
      </c>
      <c r="B1713">
        <v>1704</v>
      </c>
      <c r="C1713" s="1078">
        <v>3</v>
      </c>
      <c r="D1713" s="1077" t="s">
        <v>3604</v>
      </c>
      <c r="E1713" s="1077" t="s">
        <v>4322</v>
      </c>
      <c r="F1713" s="1079" t="s">
        <v>3913</v>
      </c>
      <c r="G1713" s="1079"/>
      <c r="H1713" s="1079"/>
      <c r="I1713" s="1079"/>
      <c r="J1713" s="1079"/>
      <c r="K1713" s="1079"/>
      <c r="L1713" s="1079"/>
      <c r="M1713" s="1079"/>
      <c r="N1713" s="1079"/>
      <c r="O1713" s="1079"/>
      <c r="P1713" s="1079"/>
      <c r="Q1713" s="1079"/>
      <c r="R1713" s="1079"/>
      <c r="S1713" s="1079"/>
      <c r="T1713" s="1079"/>
      <c r="U1713" s="1079"/>
      <c r="V1713" s="1079"/>
      <c r="W1713" s="1079">
        <v>6.4</v>
      </c>
      <c r="X1713" s="1079">
        <v>4.4000000000000004</v>
      </c>
      <c r="Y1713" s="1079">
        <v>5.9</v>
      </c>
      <c r="Z1713" s="1079">
        <v>2.8</v>
      </c>
      <c r="AA1713" s="1079"/>
      <c r="AB1713" s="1079"/>
      <c r="AC1713" s="1079"/>
      <c r="AD1713" s="1080"/>
    </row>
    <row r="1714" spans="1:30" x14ac:dyDescent="0.2">
      <c r="A1714">
        <f t="shared" si="60"/>
        <v>47</v>
      </c>
      <c r="B1714">
        <v>1705</v>
      </c>
      <c r="C1714" s="1078">
        <v>3</v>
      </c>
      <c r="D1714" s="1077" t="s">
        <v>3604</v>
      </c>
      <c r="E1714" s="1077" t="s">
        <v>4323</v>
      </c>
      <c r="F1714" s="1079" t="s">
        <v>3913</v>
      </c>
      <c r="G1714" s="1079"/>
      <c r="H1714" s="1079"/>
      <c r="I1714" s="1079"/>
      <c r="J1714" s="1079"/>
      <c r="K1714" s="1079"/>
      <c r="L1714" s="1079"/>
      <c r="M1714" s="1079"/>
      <c r="N1714" s="1079"/>
      <c r="O1714" s="1079"/>
      <c r="P1714" s="1079"/>
      <c r="Q1714" s="1079"/>
      <c r="R1714" s="1079"/>
      <c r="S1714" s="1079"/>
      <c r="T1714" s="1079"/>
      <c r="U1714" s="1079"/>
      <c r="V1714" s="1079"/>
      <c r="W1714" s="1079">
        <v>6.4</v>
      </c>
      <c r="X1714" s="1079">
        <v>4.4000000000000004</v>
      </c>
      <c r="Y1714" s="1079">
        <v>5.9</v>
      </c>
      <c r="Z1714" s="1079">
        <v>2.8</v>
      </c>
      <c r="AA1714" s="1079"/>
      <c r="AB1714" s="1079"/>
      <c r="AC1714" s="1079"/>
      <c r="AD1714" s="1080"/>
    </row>
    <row r="1715" spans="1:30" x14ac:dyDescent="0.2">
      <c r="A1715">
        <f t="shared" si="60"/>
        <v>47</v>
      </c>
      <c r="B1715">
        <v>1706</v>
      </c>
      <c r="C1715" s="1078">
        <v>3</v>
      </c>
      <c r="D1715" s="1077" t="s">
        <v>3604</v>
      </c>
      <c r="E1715" s="1077" t="s">
        <v>4324</v>
      </c>
      <c r="F1715" s="1079" t="s">
        <v>3913</v>
      </c>
      <c r="G1715" s="1079"/>
      <c r="H1715" s="1079"/>
      <c r="I1715" s="1079"/>
      <c r="J1715" s="1079"/>
      <c r="K1715" s="1079"/>
      <c r="L1715" s="1079"/>
      <c r="M1715" s="1079"/>
      <c r="N1715" s="1079"/>
      <c r="O1715" s="1079"/>
      <c r="P1715" s="1079"/>
      <c r="Q1715" s="1079"/>
      <c r="R1715" s="1079"/>
      <c r="S1715" s="1079"/>
      <c r="T1715" s="1079"/>
      <c r="U1715" s="1079"/>
      <c r="V1715" s="1079"/>
      <c r="W1715" s="1079">
        <v>8.1</v>
      </c>
      <c r="X1715" s="1079">
        <v>4.8</v>
      </c>
      <c r="Y1715" s="1079">
        <v>7.2</v>
      </c>
      <c r="Z1715" s="1079">
        <v>2.8</v>
      </c>
      <c r="AA1715" s="1079"/>
      <c r="AB1715" s="1079"/>
      <c r="AC1715" s="1079"/>
      <c r="AD1715" s="1080"/>
    </row>
    <row r="1716" spans="1:30" x14ac:dyDescent="0.2">
      <c r="A1716">
        <f t="shared" si="60"/>
        <v>47</v>
      </c>
      <c r="B1716">
        <v>1707</v>
      </c>
      <c r="C1716" s="1078">
        <v>3</v>
      </c>
      <c r="D1716" s="1077" t="s">
        <v>3604</v>
      </c>
      <c r="E1716" s="1077" t="s">
        <v>4325</v>
      </c>
      <c r="F1716" s="1079" t="s">
        <v>3913</v>
      </c>
      <c r="G1716" s="1079"/>
      <c r="H1716" s="1079"/>
      <c r="I1716" s="1079"/>
      <c r="J1716" s="1079"/>
      <c r="K1716" s="1079"/>
      <c r="L1716" s="1079"/>
      <c r="M1716" s="1079"/>
      <c r="N1716" s="1079"/>
      <c r="O1716" s="1079"/>
      <c r="P1716" s="1079"/>
      <c r="Q1716" s="1079"/>
      <c r="R1716" s="1079"/>
      <c r="S1716" s="1079"/>
      <c r="T1716" s="1079"/>
      <c r="U1716" s="1079"/>
      <c r="V1716" s="1079"/>
      <c r="W1716" s="1079">
        <v>8.1</v>
      </c>
      <c r="X1716" s="1079">
        <v>5</v>
      </c>
      <c r="Y1716" s="1079">
        <v>7.2</v>
      </c>
      <c r="Z1716" s="1079">
        <v>2.9</v>
      </c>
      <c r="AA1716" s="1079"/>
      <c r="AB1716" s="1079"/>
      <c r="AC1716" s="1079"/>
      <c r="AD1716" s="1080"/>
    </row>
    <row r="1717" spans="1:30" x14ac:dyDescent="0.2">
      <c r="A1717">
        <f t="shared" si="60"/>
        <v>47</v>
      </c>
      <c r="B1717">
        <v>1708</v>
      </c>
      <c r="C1717" s="1078">
        <v>3</v>
      </c>
      <c r="D1717" s="1077" t="s">
        <v>3604</v>
      </c>
      <c r="E1717" s="1077" t="s">
        <v>4326</v>
      </c>
      <c r="F1717" s="1079" t="s">
        <v>3913</v>
      </c>
      <c r="G1717" s="1079"/>
      <c r="H1717" s="1079"/>
      <c r="I1717" s="1079"/>
      <c r="J1717" s="1079"/>
      <c r="K1717" s="1079"/>
      <c r="L1717" s="1079"/>
      <c r="M1717" s="1079"/>
      <c r="N1717" s="1079"/>
      <c r="O1717" s="1079"/>
      <c r="P1717" s="1079"/>
      <c r="Q1717" s="1079"/>
      <c r="R1717" s="1079"/>
      <c r="S1717" s="1079"/>
      <c r="T1717" s="1079"/>
      <c r="U1717" s="1079"/>
      <c r="V1717" s="1079"/>
      <c r="W1717" s="1079">
        <v>8.1</v>
      </c>
      <c r="X1717" s="1079">
        <v>4.8</v>
      </c>
      <c r="Y1717" s="1079">
        <v>7.2</v>
      </c>
      <c r="Z1717" s="1079">
        <v>2.8</v>
      </c>
      <c r="AA1717" s="1079"/>
      <c r="AB1717" s="1079"/>
      <c r="AC1717" s="1079"/>
      <c r="AD1717" s="1080"/>
    </row>
    <row r="1718" spans="1:30" x14ac:dyDescent="0.2">
      <c r="A1718">
        <f t="shared" si="60"/>
        <v>47</v>
      </c>
      <c r="B1718">
        <v>1709</v>
      </c>
      <c r="C1718" s="1078">
        <v>3</v>
      </c>
      <c r="D1718" s="1077" t="s">
        <v>3604</v>
      </c>
      <c r="E1718" s="1077" t="s">
        <v>4327</v>
      </c>
      <c r="F1718" s="1079" t="s">
        <v>3913</v>
      </c>
      <c r="G1718" s="1079"/>
      <c r="H1718" s="1079"/>
      <c r="I1718" s="1079"/>
      <c r="J1718" s="1079"/>
      <c r="K1718" s="1079"/>
      <c r="L1718" s="1079"/>
      <c r="M1718" s="1079"/>
      <c r="N1718" s="1079"/>
      <c r="O1718" s="1079"/>
      <c r="P1718" s="1079"/>
      <c r="Q1718" s="1079"/>
      <c r="R1718" s="1079"/>
      <c r="S1718" s="1079"/>
      <c r="T1718" s="1079"/>
      <c r="U1718" s="1079"/>
      <c r="V1718" s="1079"/>
      <c r="W1718" s="1079">
        <v>8.1</v>
      </c>
      <c r="X1718" s="1079">
        <v>5</v>
      </c>
      <c r="Y1718" s="1079">
        <v>7.2</v>
      </c>
      <c r="Z1718" s="1079">
        <v>2.9</v>
      </c>
      <c r="AA1718" s="1079"/>
      <c r="AB1718" s="1079"/>
      <c r="AC1718" s="1079"/>
      <c r="AD1718" s="1080"/>
    </row>
    <row r="1719" spans="1:30" x14ac:dyDescent="0.2">
      <c r="A1719">
        <f t="shared" si="60"/>
        <v>47</v>
      </c>
      <c r="B1719">
        <v>1710</v>
      </c>
      <c r="C1719" s="1078">
        <v>3</v>
      </c>
      <c r="D1719" s="1077" t="s">
        <v>3604</v>
      </c>
      <c r="E1719" s="1077" t="s">
        <v>4328</v>
      </c>
      <c r="F1719" s="1079" t="s">
        <v>3913</v>
      </c>
      <c r="G1719" s="1079"/>
      <c r="H1719" s="1079"/>
      <c r="I1719" s="1079"/>
      <c r="J1719" s="1079"/>
      <c r="K1719" s="1079"/>
      <c r="L1719" s="1079"/>
      <c r="M1719" s="1079"/>
      <c r="N1719" s="1079"/>
      <c r="O1719" s="1079"/>
      <c r="P1719" s="1079"/>
      <c r="Q1719" s="1079"/>
      <c r="R1719" s="1079"/>
      <c r="S1719" s="1079"/>
      <c r="T1719" s="1079"/>
      <c r="U1719" s="1079"/>
      <c r="V1719" s="1079"/>
      <c r="W1719" s="1079">
        <v>9.1</v>
      </c>
      <c r="X1719" s="1079">
        <v>4.4000000000000004</v>
      </c>
      <c r="Y1719" s="1079">
        <v>8.6</v>
      </c>
      <c r="Z1719" s="1079">
        <v>2.7</v>
      </c>
      <c r="AA1719" s="1079"/>
      <c r="AB1719" s="1079"/>
      <c r="AC1719" s="1079"/>
      <c r="AD1719" s="1080"/>
    </row>
    <row r="1720" spans="1:30" x14ac:dyDescent="0.2">
      <c r="A1720">
        <f t="shared" si="60"/>
        <v>47</v>
      </c>
      <c r="B1720">
        <v>1711</v>
      </c>
      <c r="C1720" s="1078">
        <v>3</v>
      </c>
      <c r="D1720" s="1077" t="s">
        <v>3604</v>
      </c>
      <c r="E1720" s="1077" t="s">
        <v>4329</v>
      </c>
      <c r="F1720" s="1079" t="s">
        <v>3913</v>
      </c>
      <c r="G1720" s="1079"/>
      <c r="H1720" s="1079"/>
      <c r="I1720" s="1079"/>
      <c r="J1720" s="1079"/>
      <c r="K1720" s="1079"/>
      <c r="L1720" s="1079"/>
      <c r="M1720" s="1079"/>
      <c r="N1720" s="1079"/>
      <c r="O1720" s="1079"/>
      <c r="P1720" s="1079"/>
      <c r="Q1720" s="1079"/>
      <c r="R1720" s="1079"/>
      <c r="S1720" s="1079"/>
      <c r="T1720" s="1079"/>
      <c r="U1720" s="1079"/>
      <c r="V1720" s="1079"/>
      <c r="W1720" s="1079">
        <v>9.1</v>
      </c>
      <c r="X1720" s="1079">
        <v>4.4000000000000004</v>
      </c>
      <c r="Y1720" s="1079">
        <v>8.6</v>
      </c>
      <c r="Z1720" s="1079">
        <v>2.7</v>
      </c>
      <c r="AA1720" s="1079"/>
      <c r="AB1720" s="1079"/>
      <c r="AC1720" s="1079"/>
      <c r="AD1720" s="1080"/>
    </row>
    <row r="1721" spans="1:30" x14ac:dyDescent="0.2">
      <c r="A1721">
        <f t="shared" si="60"/>
        <v>47</v>
      </c>
      <c r="B1721">
        <v>1712</v>
      </c>
      <c r="C1721" s="1078">
        <v>3</v>
      </c>
      <c r="D1721" s="1077" t="s">
        <v>3604</v>
      </c>
      <c r="E1721" s="1077" t="s">
        <v>4330</v>
      </c>
      <c r="F1721" s="1079" t="s">
        <v>3913</v>
      </c>
      <c r="G1721" s="1079"/>
      <c r="H1721" s="1079"/>
      <c r="I1721" s="1079"/>
      <c r="J1721" s="1079"/>
      <c r="K1721" s="1079"/>
      <c r="L1721" s="1079"/>
      <c r="M1721" s="1079"/>
      <c r="N1721" s="1079"/>
      <c r="O1721" s="1079"/>
      <c r="P1721" s="1079"/>
      <c r="Q1721" s="1079"/>
      <c r="R1721" s="1079"/>
      <c r="S1721" s="1079"/>
      <c r="T1721" s="1079"/>
      <c r="U1721" s="1079"/>
      <c r="V1721" s="1079"/>
      <c r="W1721" s="1079">
        <v>10.9</v>
      </c>
      <c r="X1721" s="1079">
        <v>4.9000000000000004</v>
      </c>
      <c r="Y1721" s="1079">
        <v>10</v>
      </c>
      <c r="Z1721" s="1079">
        <v>2.9</v>
      </c>
      <c r="AA1721" s="1079"/>
      <c r="AB1721" s="1079"/>
      <c r="AC1721" s="1079"/>
      <c r="AD1721" s="1080"/>
    </row>
    <row r="1722" spans="1:30" x14ac:dyDescent="0.2">
      <c r="A1722">
        <f t="shared" si="60"/>
        <v>47</v>
      </c>
      <c r="B1722">
        <v>1713</v>
      </c>
      <c r="C1722" s="1078">
        <v>3</v>
      </c>
      <c r="D1722" s="1077" t="s">
        <v>3604</v>
      </c>
      <c r="E1722" s="1077" t="s">
        <v>4331</v>
      </c>
      <c r="F1722" s="1079" t="s">
        <v>3913</v>
      </c>
      <c r="G1722" s="1079"/>
      <c r="H1722" s="1079"/>
      <c r="I1722" s="1079"/>
      <c r="J1722" s="1079"/>
      <c r="K1722" s="1079"/>
      <c r="L1722" s="1079"/>
      <c r="M1722" s="1079"/>
      <c r="N1722" s="1079"/>
      <c r="O1722" s="1079"/>
      <c r="P1722" s="1079"/>
      <c r="Q1722" s="1079"/>
      <c r="R1722" s="1079"/>
      <c r="S1722" s="1079"/>
      <c r="T1722" s="1079"/>
      <c r="U1722" s="1079"/>
      <c r="V1722" s="1079"/>
      <c r="W1722" s="1079">
        <v>10.9</v>
      </c>
      <c r="X1722" s="1079">
        <v>4.5</v>
      </c>
      <c r="Y1722" s="1079">
        <v>10.4</v>
      </c>
      <c r="Z1722" s="1079">
        <v>2.9</v>
      </c>
      <c r="AA1722" s="1079"/>
      <c r="AB1722" s="1079"/>
      <c r="AC1722" s="1079"/>
      <c r="AD1722" s="1080"/>
    </row>
    <row r="1723" spans="1:30" x14ac:dyDescent="0.2">
      <c r="A1723">
        <f t="shared" si="60"/>
        <v>47</v>
      </c>
      <c r="B1723">
        <v>1714</v>
      </c>
      <c r="C1723" s="1078">
        <v>3</v>
      </c>
      <c r="D1723" s="1077" t="s">
        <v>3604</v>
      </c>
      <c r="E1723" s="1077" t="s">
        <v>4332</v>
      </c>
      <c r="F1723" s="1079" t="s">
        <v>3914</v>
      </c>
      <c r="G1723" s="1079"/>
      <c r="H1723" s="1079"/>
      <c r="I1723" s="1079"/>
      <c r="J1723" s="1079"/>
      <c r="K1723" s="1079"/>
      <c r="L1723" s="1079"/>
      <c r="M1723" s="1079"/>
      <c r="N1723" s="1079"/>
      <c r="O1723" s="1079"/>
      <c r="P1723" s="1079"/>
      <c r="Q1723" s="1079"/>
      <c r="R1723" s="1079"/>
      <c r="S1723" s="1079"/>
      <c r="T1723" s="1079"/>
      <c r="U1723" s="1079"/>
      <c r="V1723" s="1079"/>
      <c r="W1723" s="1079">
        <v>10.9</v>
      </c>
      <c r="X1723" s="1079">
        <v>4.9000000000000004</v>
      </c>
      <c r="Y1723" s="1079">
        <v>10</v>
      </c>
      <c r="Z1723" s="1079">
        <v>2.9</v>
      </c>
      <c r="AA1723" s="1079"/>
      <c r="AB1723" s="1079"/>
      <c r="AC1723" s="1079"/>
      <c r="AD1723" s="1080"/>
    </row>
    <row r="1724" spans="1:30" x14ac:dyDescent="0.2">
      <c r="A1724">
        <f t="shared" si="60"/>
        <v>47</v>
      </c>
      <c r="B1724">
        <v>1715</v>
      </c>
      <c r="C1724" s="1078">
        <v>3</v>
      </c>
      <c r="D1724" s="1077" t="s">
        <v>3604</v>
      </c>
      <c r="E1724" s="1077" t="s">
        <v>4333</v>
      </c>
      <c r="F1724" s="1079" t="s">
        <v>3913</v>
      </c>
      <c r="G1724" s="1079"/>
      <c r="H1724" s="1079"/>
      <c r="I1724" s="1079"/>
      <c r="J1724" s="1079"/>
      <c r="K1724" s="1079"/>
      <c r="L1724" s="1079"/>
      <c r="M1724" s="1079"/>
      <c r="N1724" s="1079"/>
      <c r="O1724" s="1079"/>
      <c r="P1724" s="1079"/>
      <c r="Q1724" s="1079"/>
      <c r="R1724" s="1079"/>
      <c r="S1724" s="1079"/>
      <c r="T1724" s="1079"/>
      <c r="U1724" s="1079"/>
      <c r="V1724" s="1079"/>
      <c r="W1724" s="1079">
        <v>10.9</v>
      </c>
      <c r="X1724" s="1079">
        <v>4.9000000000000004</v>
      </c>
      <c r="Y1724" s="1079">
        <v>10</v>
      </c>
      <c r="Z1724" s="1079">
        <v>2.9</v>
      </c>
      <c r="AA1724" s="1079"/>
      <c r="AB1724" s="1079"/>
      <c r="AC1724" s="1079"/>
      <c r="AD1724" s="1080"/>
    </row>
    <row r="1725" spans="1:30" x14ac:dyDescent="0.2">
      <c r="A1725">
        <f t="shared" si="60"/>
        <v>47</v>
      </c>
      <c r="B1725">
        <v>1716</v>
      </c>
      <c r="C1725" s="1078">
        <v>3</v>
      </c>
      <c r="D1725" s="1077" t="s">
        <v>3604</v>
      </c>
      <c r="E1725" s="1077" t="s">
        <v>4334</v>
      </c>
      <c r="F1725" s="1079" t="s">
        <v>3913</v>
      </c>
      <c r="G1725" s="1079"/>
      <c r="H1725" s="1079"/>
      <c r="I1725" s="1079"/>
      <c r="J1725" s="1079"/>
      <c r="K1725" s="1079"/>
      <c r="L1725" s="1079"/>
      <c r="M1725" s="1079"/>
      <c r="N1725" s="1079"/>
      <c r="O1725" s="1079"/>
      <c r="P1725" s="1079"/>
      <c r="Q1725" s="1079"/>
      <c r="R1725" s="1079"/>
      <c r="S1725" s="1079"/>
      <c r="T1725" s="1079"/>
      <c r="U1725" s="1079"/>
      <c r="V1725" s="1079"/>
      <c r="W1725" s="1079">
        <v>10.9</v>
      </c>
      <c r="X1725" s="1079">
        <v>5</v>
      </c>
      <c r="Y1725" s="1079">
        <v>10</v>
      </c>
      <c r="Z1725" s="1079">
        <v>2.9</v>
      </c>
      <c r="AA1725" s="1079"/>
      <c r="AB1725" s="1079"/>
      <c r="AC1725" s="1079"/>
      <c r="AD1725" s="1080"/>
    </row>
    <row r="1726" spans="1:30" x14ac:dyDescent="0.2">
      <c r="A1726">
        <f t="shared" si="60"/>
        <v>47</v>
      </c>
      <c r="B1726">
        <v>1717</v>
      </c>
      <c r="C1726" s="1078">
        <v>3</v>
      </c>
      <c r="D1726" s="1077" t="s">
        <v>3604</v>
      </c>
      <c r="E1726" s="1077" t="s">
        <v>4335</v>
      </c>
      <c r="F1726" s="1079" t="s">
        <v>3913</v>
      </c>
      <c r="G1726" s="1079"/>
      <c r="H1726" s="1079"/>
      <c r="I1726" s="1079"/>
      <c r="J1726" s="1079"/>
      <c r="K1726" s="1079"/>
      <c r="L1726" s="1079"/>
      <c r="M1726" s="1079"/>
      <c r="N1726" s="1079"/>
      <c r="O1726" s="1079"/>
      <c r="P1726" s="1079"/>
      <c r="Q1726" s="1079"/>
      <c r="R1726" s="1079"/>
      <c r="S1726" s="1079"/>
      <c r="T1726" s="1079"/>
      <c r="U1726" s="1079"/>
      <c r="V1726" s="1079"/>
      <c r="W1726" s="1079">
        <v>10.9</v>
      </c>
      <c r="X1726" s="1079">
        <v>4.5</v>
      </c>
      <c r="Y1726" s="1079">
        <v>10.4</v>
      </c>
      <c r="Z1726" s="1079">
        <v>2.9</v>
      </c>
      <c r="AA1726" s="1079"/>
      <c r="AB1726" s="1079"/>
      <c r="AC1726" s="1079"/>
      <c r="AD1726" s="1080"/>
    </row>
    <row r="1727" spans="1:30" x14ac:dyDescent="0.2">
      <c r="A1727">
        <f t="shared" si="60"/>
        <v>47</v>
      </c>
      <c r="B1727">
        <v>1718</v>
      </c>
      <c r="C1727" s="1078">
        <v>3</v>
      </c>
      <c r="D1727" s="1077" t="s">
        <v>3604</v>
      </c>
      <c r="E1727" s="1077" t="s">
        <v>4336</v>
      </c>
      <c r="F1727" s="1079" t="s">
        <v>3913</v>
      </c>
      <c r="G1727" s="1079"/>
      <c r="H1727" s="1079"/>
      <c r="I1727" s="1079"/>
      <c r="J1727" s="1079"/>
      <c r="K1727" s="1079"/>
      <c r="L1727" s="1079"/>
      <c r="M1727" s="1079"/>
      <c r="N1727" s="1079"/>
      <c r="O1727" s="1079"/>
      <c r="P1727" s="1079"/>
      <c r="Q1727" s="1079"/>
      <c r="R1727" s="1079"/>
      <c r="S1727" s="1079"/>
      <c r="T1727" s="1079"/>
      <c r="U1727" s="1079"/>
      <c r="V1727" s="1079"/>
      <c r="W1727" s="1079">
        <v>14</v>
      </c>
      <c r="X1727" s="1079">
        <v>5</v>
      </c>
      <c r="Y1727" s="1079">
        <v>12.8</v>
      </c>
      <c r="Z1727" s="1079">
        <v>3</v>
      </c>
      <c r="AA1727" s="1079"/>
      <c r="AB1727" s="1079"/>
      <c r="AC1727" s="1079"/>
      <c r="AD1727" s="1080"/>
    </row>
    <row r="1728" spans="1:30" x14ac:dyDescent="0.2">
      <c r="A1728">
        <f t="shared" si="60"/>
        <v>47</v>
      </c>
      <c r="B1728">
        <v>1719</v>
      </c>
      <c r="C1728" s="1078">
        <v>3</v>
      </c>
      <c r="D1728" s="1077" t="s">
        <v>3604</v>
      </c>
      <c r="E1728" s="1077" t="s">
        <v>4337</v>
      </c>
      <c r="F1728" s="1079" t="s">
        <v>3913</v>
      </c>
      <c r="G1728" s="1079"/>
      <c r="H1728" s="1079"/>
      <c r="I1728" s="1079"/>
      <c r="J1728" s="1079"/>
      <c r="K1728" s="1079"/>
      <c r="L1728" s="1079"/>
      <c r="M1728" s="1079"/>
      <c r="N1728" s="1079"/>
      <c r="O1728" s="1079"/>
      <c r="P1728" s="1079"/>
      <c r="Q1728" s="1079"/>
      <c r="R1728" s="1079"/>
      <c r="S1728" s="1079"/>
      <c r="T1728" s="1079"/>
      <c r="U1728" s="1079"/>
      <c r="V1728" s="1079"/>
      <c r="W1728" s="1079">
        <v>14</v>
      </c>
      <c r="X1728" s="1079">
        <v>5</v>
      </c>
      <c r="Y1728" s="1079">
        <v>12.8</v>
      </c>
      <c r="Z1728" s="1079">
        <v>3</v>
      </c>
      <c r="AA1728" s="1079"/>
      <c r="AB1728" s="1079"/>
      <c r="AC1728" s="1079"/>
      <c r="AD1728" s="1080"/>
    </row>
    <row r="1729" spans="1:30" x14ac:dyDescent="0.2">
      <c r="A1729">
        <f t="shared" si="60"/>
        <v>47</v>
      </c>
      <c r="B1729">
        <v>1720</v>
      </c>
      <c r="C1729" s="1078">
        <v>3</v>
      </c>
      <c r="D1729" s="1077" t="s">
        <v>3604</v>
      </c>
      <c r="E1729" s="1077" t="s">
        <v>4338</v>
      </c>
      <c r="F1729" s="1079" t="s">
        <v>3913</v>
      </c>
      <c r="G1729" s="1079"/>
      <c r="H1729" s="1079"/>
      <c r="I1729" s="1079"/>
      <c r="J1729" s="1079"/>
      <c r="K1729" s="1079"/>
      <c r="L1729" s="1079"/>
      <c r="M1729" s="1079"/>
      <c r="N1729" s="1079"/>
      <c r="O1729" s="1079"/>
      <c r="P1729" s="1079"/>
      <c r="Q1729" s="1079"/>
      <c r="R1729" s="1079"/>
      <c r="S1729" s="1079"/>
      <c r="T1729" s="1079"/>
      <c r="U1729" s="1079"/>
      <c r="V1729" s="1079"/>
      <c r="W1729" s="1079">
        <v>17.5</v>
      </c>
      <c r="X1729" s="1079">
        <v>4.7</v>
      </c>
      <c r="Y1729" s="1079">
        <v>16.5</v>
      </c>
      <c r="Z1729" s="1079">
        <v>2.9</v>
      </c>
      <c r="AA1729" s="1079"/>
      <c r="AB1729" s="1079"/>
      <c r="AC1729" s="1079"/>
      <c r="AD1729" s="1080"/>
    </row>
    <row r="1730" spans="1:30" x14ac:dyDescent="0.2">
      <c r="A1730">
        <f t="shared" si="60"/>
        <v>47</v>
      </c>
      <c r="B1730">
        <v>1721</v>
      </c>
      <c r="C1730" s="1078">
        <v>3</v>
      </c>
      <c r="D1730" s="1077" t="s">
        <v>3604</v>
      </c>
      <c r="E1730" s="1077" t="s">
        <v>4339</v>
      </c>
      <c r="F1730" s="1079" t="s">
        <v>3913</v>
      </c>
      <c r="G1730" s="1079"/>
      <c r="H1730" s="1079"/>
      <c r="I1730" s="1079"/>
      <c r="J1730" s="1079"/>
      <c r="K1730" s="1079"/>
      <c r="L1730" s="1079"/>
      <c r="M1730" s="1079"/>
      <c r="N1730" s="1079"/>
      <c r="O1730" s="1079"/>
      <c r="P1730" s="1079"/>
      <c r="Q1730" s="1079"/>
      <c r="R1730" s="1079"/>
      <c r="S1730" s="1079"/>
      <c r="T1730" s="1079"/>
      <c r="U1730" s="1079"/>
      <c r="V1730" s="1079"/>
      <c r="W1730" s="1079">
        <v>17.5</v>
      </c>
      <c r="X1730" s="1079">
        <v>4.7</v>
      </c>
      <c r="Y1730" s="1079">
        <v>16.5</v>
      </c>
      <c r="Z1730" s="1079">
        <v>2.9</v>
      </c>
      <c r="AA1730" s="1079"/>
      <c r="AB1730" s="1079"/>
      <c r="AC1730" s="1079"/>
      <c r="AD1730" s="1080"/>
    </row>
    <row r="1731" spans="1:30" x14ac:dyDescent="0.2">
      <c r="A1731">
        <f t="shared" si="60"/>
        <v>47</v>
      </c>
      <c r="B1731">
        <v>1722</v>
      </c>
      <c r="C1731" s="1078">
        <v>3</v>
      </c>
      <c r="D1731" s="1077" t="s">
        <v>3604</v>
      </c>
      <c r="E1731" s="1077" t="s">
        <v>4340</v>
      </c>
      <c r="F1731" s="1079" t="s">
        <v>3914</v>
      </c>
      <c r="G1731" s="1079"/>
      <c r="H1731" s="1079"/>
      <c r="I1731" s="1079"/>
      <c r="J1731" s="1079"/>
      <c r="K1731" s="1079"/>
      <c r="L1731" s="1079"/>
      <c r="M1731" s="1079"/>
      <c r="N1731" s="1079"/>
      <c r="O1731" s="1079"/>
      <c r="P1731" s="1079"/>
      <c r="Q1731" s="1079"/>
      <c r="R1731" s="1079"/>
      <c r="S1731" s="1079"/>
      <c r="T1731" s="1079"/>
      <c r="U1731" s="1079"/>
      <c r="V1731" s="1079"/>
      <c r="W1731" s="1079">
        <v>21.3</v>
      </c>
      <c r="X1731" s="1079">
        <v>4.4000000000000004</v>
      </c>
      <c r="Y1731" s="1079">
        <v>20.399999999999999</v>
      </c>
      <c r="Z1731" s="1079">
        <v>2.8</v>
      </c>
      <c r="AA1731" s="1079"/>
      <c r="AB1731" s="1079"/>
      <c r="AC1731" s="1079"/>
      <c r="AD1731" s="1080"/>
    </row>
    <row r="1732" spans="1:30" x14ac:dyDescent="0.2">
      <c r="A1732">
        <f t="shared" si="60"/>
        <v>47</v>
      </c>
      <c r="B1732">
        <v>1723</v>
      </c>
      <c r="C1732" s="1078">
        <v>3</v>
      </c>
      <c r="D1732" s="1077" t="s">
        <v>3604</v>
      </c>
      <c r="E1732" s="1077" t="s">
        <v>4341</v>
      </c>
      <c r="F1732" s="1079" t="s">
        <v>3914</v>
      </c>
      <c r="G1732" s="1079"/>
      <c r="H1732" s="1079"/>
      <c r="I1732" s="1079"/>
      <c r="J1732" s="1079"/>
      <c r="K1732" s="1079"/>
      <c r="L1732" s="1079"/>
      <c r="M1732" s="1079"/>
      <c r="N1732" s="1079"/>
      <c r="O1732" s="1079"/>
      <c r="P1732" s="1079"/>
      <c r="Q1732" s="1079"/>
      <c r="R1732" s="1079"/>
      <c r="S1732" s="1079"/>
      <c r="T1732" s="1079"/>
      <c r="U1732" s="1079"/>
      <c r="V1732" s="1079"/>
      <c r="W1732" s="1079">
        <v>21.3</v>
      </c>
      <c r="X1732" s="1079">
        <v>4.4000000000000004</v>
      </c>
      <c r="Y1732" s="1079">
        <v>20.399999999999999</v>
      </c>
      <c r="Z1732" s="1079">
        <v>2.8</v>
      </c>
      <c r="AA1732" s="1079"/>
      <c r="AB1732" s="1079"/>
      <c r="AC1732" s="1079"/>
      <c r="AD1732" s="1080"/>
    </row>
    <row r="1733" spans="1:30" x14ac:dyDescent="0.2">
      <c r="A1733">
        <f t="shared" si="60"/>
        <v>47</v>
      </c>
      <c r="B1733">
        <v>1724</v>
      </c>
      <c r="C1733" s="1078">
        <v>3</v>
      </c>
      <c r="D1733" s="1077" t="s">
        <v>3604</v>
      </c>
      <c r="E1733" s="1077" t="s">
        <v>4342</v>
      </c>
      <c r="F1733" s="1079" t="s">
        <v>3914</v>
      </c>
      <c r="G1733" s="1079"/>
      <c r="H1733" s="1079"/>
      <c r="I1733" s="1079"/>
      <c r="J1733" s="1079"/>
      <c r="K1733" s="1079"/>
      <c r="L1733" s="1079"/>
      <c r="M1733" s="1079"/>
      <c r="N1733" s="1079"/>
      <c r="O1733" s="1079"/>
      <c r="P1733" s="1079"/>
      <c r="Q1733" s="1079"/>
      <c r="R1733" s="1079"/>
      <c r="S1733" s="1079"/>
      <c r="T1733" s="1079"/>
      <c r="U1733" s="1079"/>
      <c r="V1733" s="1079"/>
      <c r="W1733" s="1079">
        <v>26.7</v>
      </c>
      <c r="X1733" s="1079">
        <v>4.9000000000000004</v>
      </c>
      <c r="Y1733" s="1079">
        <v>24.7</v>
      </c>
      <c r="Z1733" s="1079">
        <v>3.1</v>
      </c>
      <c r="AA1733" s="1079"/>
      <c r="AB1733" s="1079"/>
      <c r="AC1733" s="1079"/>
      <c r="AD1733" s="1080"/>
    </row>
    <row r="1734" spans="1:30" x14ac:dyDescent="0.2">
      <c r="A1734">
        <f t="shared" si="60"/>
        <v>47</v>
      </c>
      <c r="B1734">
        <v>1725</v>
      </c>
      <c r="C1734" s="1078">
        <v>3</v>
      </c>
      <c r="D1734" s="1077" t="s">
        <v>3604</v>
      </c>
      <c r="E1734" s="1077" t="s">
        <v>4343</v>
      </c>
      <c r="F1734" s="1079" t="s">
        <v>3914</v>
      </c>
      <c r="G1734" s="1079"/>
      <c r="H1734" s="1079"/>
      <c r="I1734" s="1079"/>
      <c r="J1734" s="1079"/>
      <c r="K1734" s="1079"/>
      <c r="L1734" s="1079"/>
      <c r="M1734" s="1079"/>
      <c r="N1734" s="1079"/>
      <c r="O1734" s="1079"/>
      <c r="P1734" s="1079"/>
      <c r="Q1734" s="1079"/>
      <c r="R1734" s="1079"/>
      <c r="S1734" s="1079"/>
      <c r="T1734" s="1079"/>
      <c r="U1734" s="1079"/>
      <c r="V1734" s="1079"/>
      <c r="W1734" s="1079">
        <v>26.7</v>
      </c>
      <c r="X1734" s="1079">
        <v>4.9000000000000004</v>
      </c>
      <c r="Y1734" s="1079">
        <v>24.7</v>
      </c>
      <c r="Z1734" s="1079">
        <v>3.1</v>
      </c>
      <c r="AA1734" s="1079"/>
      <c r="AB1734" s="1079"/>
      <c r="AC1734" s="1079"/>
      <c r="AD1734" s="1080"/>
    </row>
    <row r="1735" spans="1:30" x14ac:dyDescent="0.2">
      <c r="A1735">
        <f t="shared" si="60"/>
        <v>47</v>
      </c>
      <c r="B1735">
        <v>1726</v>
      </c>
      <c r="C1735" s="1078">
        <v>3</v>
      </c>
      <c r="D1735" s="1077" t="s">
        <v>3604</v>
      </c>
      <c r="E1735" s="1077" t="s">
        <v>4344</v>
      </c>
      <c r="F1735" s="1079" t="s">
        <v>3914</v>
      </c>
      <c r="G1735" s="1079"/>
      <c r="H1735" s="1079"/>
      <c r="I1735" s="1079"/>
      <c r="J1735" s="1079"/>
      <c r="K1735" s="1079"/>
      <c r="L1735" s="1079"/>
      <c r="M1735" s="1079"/>
      <c r="N1735" s="1079"/>
      <c r="O1735" s="1079"/>
      <c r="P1735" s="1079"/>
      <c r="Q1735" s="1079"/>
      <c r="R1735" s="1079"/>
      <c r="S1735" s="1079"/>
      <c r="T1735" s="1079"/>
      <c r="U1735" s="1079"/>
      <c r="V1735" s="1079"/>
      <c r="W1735" s="1079">
        <v>30.3</v>
      </c>
      <c r="X1735" s="1079">
        <v>4.4000000000000004</v>
      </c>
      <c r="Y1735" s="1079">
        <v>27.4</v>
      </c>
      <c r="Z1735" s="1079">
        <v>2.6</v>
      </c>
      <c r="AA1735" s="1079"/>
      <c r="AB1735" s="1079"/>
      <c r="AC1735" s="1079"/>
      <c r="AD1735" s="1080"/>
    </row>
    <row r="1736" spans="1:30" x14ac:dyDescent="0.2">
      <c r="A1736">
        <f t="shared" si="60"/>
        <v>47</v>
      </c>
      <c r="B1736">
        <v>1727</v>
      </c>
      <c r="C1736" s="1078">
        <v>3</v>
      </c>
      <c r="D1736" s="1077" t="s">
        <v>3604</v>
      </c>
      <c r="E1736" s="1077" t="s">
        <v>4345</v>
      </c>
      <c r="F1736" s="1079" t="s">
        <v>3914</v>
      </c>
      <c r="G1736" s="1079"/>
      <c r="H1736" s="1079"/>
      <c r="I1736" s="1079"/>
      <c r="J1736" s="1079"/>
      <c r="K1736" s="1079"/>
      <c r="L1736" s="1079"/>
      <c r="M1736" s="1079"/>
      <c r="N1736" s="1079"/>
      <c r="O1736" s="1079"/>
      <c r="P1736" s="1079"/>
      <c r="Q1736" s="1079"/>
      <c r="R1736" s="1079"/>
      <c r="S1736" s="1079"/>
      <c r="T1736" s="1079"/>
      <c r="U1736" s="1079"/>
      <c r="V1736" s="1079"/>
      <c r="W1736" s="1079">
        <v>30.3</v>
      </c>
      <c r="X1736" s="1079">
        <v>4.4000000000000004</v>
      </c>
      <c r="Y1736" s="1079">
        <v>27.4</v>
      </c>
      <c r="Z1736" s="1079">
        <v>2.6</v>
      </c>
      <c r="AA1736" s="1079"/>
      <c r="AB1736" s="1079"/>
      <c r="AC1736" s="1079"/>
      <c r="AD1736" s="1080"/>
    </row>
    <row r="1737" spans="1:30" x14ac:dyDescent="0.2">
      <c r="A1737">
        <f t="shared" si="60"/>
        <v>47</v>
      </c>
      <c r="B1737">
        <v>1728</v>
      </c>
      <c r="C1737" s="1078">
        <v>3</v>
      </c>
      <c r="D1737" s="1077" t="s">
        <v>3604</v>
      </c>
      <c r="E1737" s="1077" t="s">
        <v>4346</v>
      </c>
      <c r="F1737" s="1079" t="s">
        <v>3914</v>
      </c>
      <c r="G1737" s="1079"/>
      <c r="H1737" s="1079"/>
      <c r="I1737" s="1079"/>
      <c r="J1737" s="1079"/>
      <c r="K1737" s="1079"/>
      <c r="L1737" s="1079"/>
      <c r="M1737" s="1079"/>
      <c r="N1737" s="1079"/>
      <c r="O1737" s="1079"/>
      <c r="P1737" s="1079"/>
      <c r="Q1737" s="1079"/>
      <c r="R1737" s="1079"/>
      <c r="S1737" s="1079"/>
      <c r="T1737" s="1079"/>
      <c r="U1737" s="1079"/>
      <c r="V1737" s="1079"/>
      <c r="W1737" s="1079">
        <v>34.200000000000003</v>
      </c>
      <c r="X1737" s="1079">
        <v>4.0999999999999996</v>
      </c>
      <c r="Y1737" s="1079">
        <v>29.2</v>
      </c>
      <c r="Z1737" s="1079">
        <v>2.5</v>
      </c>
      <c r="AA1737" s="1079"/>
      <c r="AB1737" s="1079"/>
      <c r="AC1737" s="1079"/>
      <c r="AD1737" s="1080"/>
    </row>
    <row r="1738" spans="1:30" x14ac:dyDescent="0.2">
      <c r="A1738">
        <f t="shared" si="60"/>
        <v>47</v>
      </c>
      <c r="B1738">
        <v>1729</v>
      </c>
      <c r="C1738" s="1078">
        <v>3</v>
      </c>
      <c r="D1738" s="1077" t="s">
        <v>3604</v>
      </c>
      <c r="E1738" s="1077" t="s">
        <v>4347</v>
      </c>
      <c r="F1738" s="1079" t="s">
        <v>3914</v>
      </c>
      <c r="G1738" s="1079"/>
      <c r="H1738" s="1079"/>
      <c r="I1738" s="1079"/>
      <c r="J1738" s="1079"/>
      <c r="K1738" s="1079"/>
      <c r="L1738" s="1079"/>
      <c r="M1738" s="1079"/>
      <c r="N1738" s="1079"/>
      <c r="O1738" s="1079"/>
      <c r="P1738" s="1079"/>
      <c r="Q1738" s="1079"/>
      <c r="R1738" s="1079"/>
      <c r="S1738" s="1079"/>
      <c r="T1738" s="1079"/>
      <c r="U1738" s="1079"/>
      <c r="V1738" s="1079"/>
      <c r="W1738" s="1079">
        <v>34.200000000000003</v>
      </c>
      <c r="X1738" s="1079">
        <v>4.0999999999999996</v>
      </c>
      <c r="Y1738" s="1079">
        <v>29.2</v>
      </c>
      <c r="Z1738" s="1079">
        <v>2.5</v>
      </c>
      <c r="AA1738" s="1079"/>
      <c r="AB1738" s="1079"/>
      <c r="AC1738" s="1079"/>
      <c r="AD1738" s="1080"/>
    </row>
    <row r="1739" spans="1:30" x14ac:dyDescent="0.2">
      <c r="A1739">
        <f t="shared" si="60"/>
        <v>47</v>
      </c>
      <c r="B1739">
        <v>1730</v>
      </c>
      <c r="C1739" s="1078">
        <v>3</v>
      </c>
      <c r="D1739" s="1077" t="s">
        <v>3604</v>
      </c>
      <c r="E1739" s="1077" t="s">
        <v>4348</v>
      </c>
      <c r="F1739" s="1079" t="s">
        <v>3914</v>
      </c>
      <c r="G1739" s="1079"/>
      <c r="H1739" s="1079"/>
      <c r="I1739" s="1079"/>
      <c r="J1739" s="1079"/>
      <c r="K1739" s="1079"/>
      <c r="L1739" s="1079"/>
      <c r="M1739" s="1079"/>
      <c r="N1739" s="1079"/>
      <c r="O1739" s="1079"/>
      <c r="P1739" s="1079"/>
      <c r="Q1739" s="1079"/>
      <c r="R1739" s="1079"/>
      <c r="S1739" s="1079"/>
      <c r="T1739" s="1079"/>
      <c r="U1739" s="1079"/>
      <c r="V1739" s="1079"/>
      <c r="W1739" s="1079">
        <v>34.799999999999997</v>
      </c>
      <c r="X1739" s="1079">
        <v>4.8</v>
      </c>
      <c r="Y1739" s="1079">
        <v>32.1</v>
      </c>
      <c r="Z1739" s="1079">
        <v>3</v>
      </c>
      <c r="AA1739" s="1079"/>
      <c r="AB1739" s="1079"/>
      <c r="AC1739" s="1079"/>
      <c r="AD1739" s="1080"/>
    </row>
    <row r="1740" spans="1:30" x14ac:dyDescent="0.2">
      <c r="A1740">
        <f t="shared" ref="A1740:A1803" si="61">A1739+(D1740&lt;&gt;D1739)*1</f>
        <v>47</v>
      </c>
      <c r="B1740">
        <v>1731</v>
      </c>
      <c r="C1740" s="1078">
        <v>3</v>
      </c>
      <c r="D1740" s="1077" t="s">
        <v>3604</v>
      </c>
      <c r="E1740" s="1077" t="s">
        <v>4349</v>
      </c>
      <c r="F1740" s="1079" t="s">
        <v>3914</v>
      </c>
      <c r="G1740" s="1079"/>
      <c r="H1740" s="1079"/>
      <c r="I1740" s="1079"/>
      <c r="J1740" s="1079"/>
      <c r="K1740" s="1079"/>
      <c r="L1740" s="1079"/>
      <c r="M1740" s="1079"/>
      <c r="N1740" s="1079"/>
      <c r="O1740" s="1079"/>
      <c r="P1740" s="1079"/>
      <c r="Q1740" s="1079"/>
      <c r="R1740" s="1079"/>
      <c r="S1740" s="1079"/>
      <c r="T1740" s="1079"/>
      <c r="U1740" s="1079"/>
      <c r="V1740" s="1079"/>
      <c r="W1740" s="1079">
        <v>34.799999999999997</v>
      </c>
      <c r="X1740" s="1079">
        <v>4.8</v>
      </c>
      <c r="Y1740" s="1079">
        <v>32.1</v>
      </c>
      <c r="Z1740" s="1079">
        <v>3</v>
      </c>
      <c r="AA1740" s="1079"/>
      <c r="AB1740" s="1079"/>
      <c r="AC1740" s="1079"/>
      <c r="AD1740" s="1080"/>
    </row>
    <row r="1741" spans="1:30" x14ac:dyDescent="0.2">
      <c r="A1741">
        <f t="shared" si="61"/>
        <v>47</v>
      </c>
      <c r="B1741">
        <v>1732</v>
      </c>
      <c r="C1741" s="1078">
        <v>3</v>
      </c>
      <c r="D1741" s="1077" t="s">
        <v>3604</v>
      </c>
      <c r="E1741" s="1077" t="s">
        <v>4350</v>
      </c>
      <c r="F1741" s="1079" t="s">
        <v>3914</v>
      </c>
      <c r="G1741" s="1079"/>
      <c r="H1741" s="1079"/>
      <c r="I1741" s="1079"/>
      <c r="J1741" s="1079"/>
      <c r="K1741" s="1079"/>
      <c r="L1741" s="1079"/>
      <c r="M1741" s="1079"/>
      <c r="N1741" s="1079"/>
      <c r="O1741" s="1079"/>
      <c r="P1741" s="1079"/>
      <c r="Q1741" s="1079"/>
      <c r="R1741" s="1079"/>
      <c r="S1741" s="1079"/>
      <c r="T1741" s="1079"/>
      <c r="U1741" s="1079"/>
      <c r="V1741" s="1079"/>
      <c r="W1741" s="1079">
        <v>35.5</v>
      </c>
      <c r="X1741" s="1079">
        <v>4.4000000000000004</v>
      </c>
      <c r="Y1741" s="1079">
        <v>31.9</v>
      </c>
      <c r="Z1741" s="1079">
        <v>2.6</v>
      </c>
      <c r="AA1741" s="1079"/>
      <c r="AB1741" s="1079"/>
      <c r="AC1741" s="1079"/>
      <c r="AD1741" s="1080"/>
    </row>
    <row r="1742" spans="1:30" x14ac:dyDescent="0.2">
      <c r="A1742">
        <f t="shared" si="61"/>
        <v>47</v>
      </c>
      <c r="B1742">
        <v>1733</v>
      </c>
      <c r="C1742" s="1078">
        <v>3</v>
      </c>
      <c r="D1742" s="1077" t="s">
        <v>3604</v>
      </c>
      <c r="E1742" s="1077" t="s">
        <v>4351</v>
      </c>
      <c r="F1742" s="1079" t="s">
        <v>3914</v>
      </c>
      <c r="G1742" s="1079"/>
      <c r="H1742" s="1079"/>
      <c r="I1742" s="1079"/>
      <c r="J1742" s="1079"/>
      <c r="K1742" s="1079"/>
      <c r="L1742" s="1079"/>
      <c r="M1742" s="1079"/>
      <c r="N1742" s="1079"/>
      <c r="O1742" s="1079"/>
      <c r="P1742" s="1079"/>
      <c r="Q1742" s="1079"/>
      <c r="R1742" s="1079"/>
      <c r="S1742" s="1079"/>
      <c r="T1742" s="1079"/>
      <c r="U1742" s="1079"/>
      <c r="V1742" s="1079"/>
      <c r="W1742" s="1079">
        <v>45.8</v>
      </c>
      <c r="X1742" s="1079">
        <v>4.3</v>
      </c>
      <c r="Y1742" s="1079">
        <v>41.3</v>
      </c>
      <c r="Z1742" s="1079">
        <v>2.5</v>
      </c>
      <c r="AA1742" s="1079"/>
      <c r="AB1742" s="1079"/>
      <c r="AC1742" s="1079"/>
      <c r="AD1742" s="1080"/>
    </row>
    <row r="1743" spans="1:30" x14ac:dyDescent="0.2">
      <c r="A1743">
        <f t="shared" si="61"/>
        <v>47</v>
      </c>
      <c r="B1743">
        <v>1734</v>
      </c>
      <c r="C1743" s="1078">
        <v>3</v>
      </c>
      <c r="D1743" s="1077" t="s">
        <v>3604</v>
      </c>
      <c r="E1743" s="1077" t="s">
        <v>4352</v>
      </c>
      <c r="F1743" s="1079" t="s">
        <v>3914</v>
      </c>
      <c r="G1743" s="1079"/>
      <c r="H1743" s="1079"/>
      <c r="I1743" s="1079"/>
      <c r="J1743" s="1079"/>
      <c r="K1743" s="1079"/>
      <c r="L1743" s="1079"/>
      <c r="M1743" s="1079"/>
      <c r="N1743" s="1079"/>
      <c r="O1743" s="1079"/>
      <c r="P1743" s="1079"/>
      <c r="Q1743" s="1079"/>
      <c r="R1743" s="1079"/>
      <c r="S1743" s="1079"/>
      <c r="T1743" s="1079"/>
      <c r="U1743" s="1079"/>
      <c r="V1743" s="1079"/>
      <c r="W1743" s="1079">
        <v>45.8</v>
      </c>
      <c r="X1743" s="1079">
        <v>4.3</v>
      </c>
      <c r="Y1743" s="1079">
        <v>41.3</v>
      </c>
      <c r="Z1743" s="1079">
        <v>2.5</v>
      </c>
      <c r="AA1743" s="1079"/>
      <c r="AB1743" s="1079"/>
      <c r="AC1743" s="1079"/>
      <c r="AD1743" s="1080"/>
    </row>
    <row r="1744" spans="1:30" x14ac:dyDescent="0.2">
      <c r="A1744">
        <f t="shared" si="61"/>
        <v>47</v>
      </c>
      <c r="B1744">
        <v>1735</v>
      </c>
      <c r="C1744" s="1078">
        <v>3</v>
      </c>
      <c r="D1744" s="1077" t="s">
        <v>3604</v>
      </c>
      <c r="E1744" s="1077" t="s">
        <v>4353</v>
      </c>
      <c r="F1744" s="1079" t="s">
        <v>3914</v>
      </c>
      <c r="G1744" s="1079"/>
      <c r="H1744" s="1079"/>
      <c r="I1744" s="1079"/>
      <c r="J1744" s="1079"/>
      <c r="K1744" s="1079"/>
      <c r="L1744" s="1079"/>
      <c r="M1744" s="1079"/>
      <c r="N1744" s="1079"/>
      <c r="O1744" s="1079"/>
      <c r="P1744" s="1079"/>
      <c r="Q1744" s="1079"/>
      <c r="R1744" s="1079"/>
      <c r="S1744" s="1079"/>
      <c r="T1744" s="1079"/>
      <c r="U1744" s="1079"/>
      <c r="V1744" s="1079"/>
      <c r="W1744" s="1079">
        <v>52</v>
      </c>
      <c r="X1744" s="1079">
        <v>5</v>
      </c>
      <c r="Y1744" s="1079">
        <v>44.1</v>
      </c>
      <c r="Z1744" s="1079">
        <v>2.8</v>
      </c>
      <c r="AA1744" s="1079"/>
      <c r="AB1744" s="1079"/>
      <c r="AC1744" s="1079"/>
      <c r="AD1744" s="1080"/>
    </row>
    <row r="1745" spans="1:30" x14ac:dyDescent="0.2">
      <c r="A1745">
        <f t="shared" si="61"/>
        <v>47</v>
      </c>
      <c r="B1745">
        <v>1736</v>
      </c>
      <c r="C1745" s="1078">
        <v>3</v>
      </c>
      <c r="D1745" s="1077" t="s">
        <v>3604</v>
      </c>
      <c r="E1745" s="1077" t="s">
        <v>4354</v>
      </c>
      <c r="F1745" s="1079" t="s">
        <v>3914</v>
      </c>
      <c r="G1745" s="1079"/>
      <c r="H1745" s="1079"/>
      <c r="I1745" s="1079"/>
      <c r="J1745" s="1079"/>
      <c r="K1745" s="1079"/>
      <c r="L1745" s="1079"/>
      <c r="M1745" s="1079"/>
      <c r="N1745" s="1079"/>
      <c r="O1745" s="1079"/>
      <c r="P1745" s="1079"/>
      <c r="Q1745" s="1079"/>
      <c r="R1745" s="1079"/>
      <c r="S1745" s="1079"/>
      <c r="T1745" s="1079"/>
      <c r="U1745" s="1079"/>
      <c r="V1745" s="1079"/>
      <c r="W1745" s="1079">
        <v>52</v>
      </c>
      <c r="X1745" s="1079">
        <v>5</v>
      </c>
      <c r="Y1745" s="1079">
        <v>44.1</v>
      </c>
      <c r="Z1745" s="1079">
        <v>2.8</v>
      </c>
      <c r="AA1745" s="1079"/>
      <c r="AB1745" s="1079"/>
      <c r="AC1745" s="1079"/>
      <c r="AD1745" s="1080"/>
    </row>
    <row r="1746" spans="1:30" x14ac:dyDescent="0.2">
      <c r="A1746">
        <f t="shared" si="61"/>
        <v>47</v>
      </c>
      <c r="B1746">
        <v>1737</v>
      </c>
      <c r="C1746" s="1078">
        <v>3</v>
      </c>
      <c r="D1746" s="1077" t="s">
        <v>3604</v>
      </c>
      <c r="E1746" s="1077" t="s">
        <v>4355</v>
      </c>
      <c r="F1746" s="1079" t="s">
        <v>3914</v>
      </c>
      <c r="G1746" s="1079"/>
      <c r="H1746" s="1079"/>
      <c r="I1746" s="1079"/>
      <c r="J1746" s="1079"/>
      <c r="K1746" s="1079"/>
      <c r="L1746" s="1079"/>
      <c r="M1746" s="1079"/>
      <c r="N1746" s="1079"/>
      <c r="O1746" s="1079"/>
      <c r="P1746" s="1079"/>
      <c r="Q1746" s="1079"/>
      <c r="R1746" s="1079"/>
      <c r="S1746" s="1079"/>
      <c r="T1746" s="1079"/>
      <c r="U1746" s="1079"/>
      <c r="V1746" s="1079"/>
      <c r="W1746" s="1079">
        <v>73.5</v>
      </c>
      <c r="X1746" s="1079">
        <v>4.8</v>
      </c>
      <c r="Y1746" s="1079">
        <v>67.3</v>
      </c>
      <c r="Z1746" s="1079">
        <v>3</v>
      </c>
      <c r="AA1746" s="1079"/>
      <c r="AB1746" s="1079"/>
      <c r="AC1746" s="1079"/>
      <c r="AD1746" s="1080"/>
    </row>
    <row r="1747" spans="1:30" x14ac:dyDescent="0.2">
      <c r="A1747">
        <f t="shared" si="61"/>
        <v>47</v>
      </c>
      <c r="B1747">
        <v>1738</v>
      </c>
      <c r="C1747" s="1078">
        <v>3</v>
      </c>
      <c r="D1747" s="1077" t="s">
        <v>3604</v>
      </c>
      <c r="E1747" s="1077" t="s">
        <v>4356</v>
      </c>
      <c r="F1747" s="1079" t="s">
        <v>3914</v>
      </c>
      <c r="G1747" s="1079"/>
      <c r="H1747" s="1079"/>
      <c r="I1747" s="1079"/>
      <c r="J1747" s="1079"/>
      <c r="K1747" s="1079"/>
      <c r="L1747" s="1079"/>
      <c r="M1747" s="1079"/>
      <c r="N1747" s="1079"/>
      <c r="O1747" s="1079"/>
      <c r="P1747" s="1079"/>
      <c r="Q1747" s="1079"/>
      <c r="R1747" s="1079"/>
      <c r="S1747" s="1079"/>
      <c r="T1747" s="1079"/>
      <c r="U1747" s="1079"/>
      <c r="V1747" s="1079"/>
      <c r="W1747" s="1079">
        <v>73.599999999999994</v>
      </c>
      <c r="X1747" s="1079">
        <v>4.8</v>
      </c>
      <c r="Y1747" s="1079">
        <v>67.3</v>
      </c>
      <c r="Z1747" s="1079">
        <v>3</v>
      </c>
      <c r="AA1747" s="1079"/>
      <c r="AB1747" s="1079"/>
      <c r="AC1747" s="1079"/>
      <c r="AD1747" s="1080"/>
    </row>
    <row r="1748" spans="1:30" x14ac:dyDescent="0.2">
      <c r="A1748">
        <f t="shared" si="61"/>
        <v>47</v>
      </c>
      <c r="B1748">
        <v>1739</v>
      </c>
      <c r="C1748" s="1078">
        <v>3</v>
      </c>
      <c r="D1748" s="1077" t="s">
        <v>3604</v>
      </c>
      <c r="E1748" s="1077" t="s">
        <v>4357</v>
      </c>
      <c r="F1748" s="1079" t="s">
        <v>3914</v>
      </c>
      <c r="G1748" s="1079"/>
      <c r="H1748" s="1079"/>
      <c r="I1748" s="1079"/>
      <c r="J1748" s="1079"/>
      <c r="K1748" s="1079"/>
      <c r="L1748" s="1079"/>
      <c r="M1748" s="1079"/>
      <c r="N1748" s="1079"/>
      <c r="O1748" s="1079"/>
      <c r="P1748" s="1079"/>
      <c r="Q1748" s="1079"/>
      <c r="R1748" s="1079"/>
      <c r="S1748" s="1079"/>
      <c r="T1748" s="1079"/>
      <c r="U1748" s="1079"/>
      <c r="V1748" s="1079"/>
      <c r="W1748" s="1079">
        <v>92.3</v>
      </c>
      <c r="X1748" s="1079">
        <v>4.4000000000000004</v>
      </c>
      <c r="Y1748" s="1079">
        <v>85.2</v>
      </c>
      <c r="Z1748" s="1079">
        <v>2.7</v>
      </c>
      <c r="AA1748" s="1079"/>
      <c r="AB1748" s="1079"/>
      <c r="AC1748" s="1079"/>
      <c r="AD1748" s="1080"/>
    </row>
    <row r="1749" spans="1:30" x14ac:dyDescent="0.2">
      <c r="A1749">
        <f t="shared" si="61"/>
        <v>47</v>
      </c>
      <c r="B1749">
        <v>1740</v>
      </c>
      <c r="C1749" s="1078">
        <v>3</v>
      </c>
      <c r="D1749" s="1077" t="s">
        <v>3604</v>
      </c>
      <c r="E1749" s="1077" t="s">
        <v>4358</v>
      </c>
      <c r="F1749" s="1079" t="s">
        <v>3914</v>
      </c>
      <c r="G1749" s="1079"/>
      <c r="H1749" s="1079"/>
      <c r="I1749" s="1079"/>
      <c r="J1749" s="1079"/>
      <c r="K1749" s="1079"/>
      <c r="L1749" s="1079"/>
      <c r="M1749" s="1079"/>
      <c r="N1749" s="1079"/>
      <c r="O1749" s="1079"/>
      <c r="P1749" s="1079"/>
      <c r="Q1749" s="1079"/>
      <c r="R1749" s="1079"/>
      <c r="S1749" s="1079"/>
      <c r="T1749" s="1079"/>
      <c r="U1749" s="1079"/>
      <c r="V1749" s="1079"/>
      <c r="W1749" s="1079">
        <v>92.3</v>
      </c>
      <c r="X1749" s="1079">
        <v>4.4000000000000004</v>
      </c>
      <c r="Y1749" s="1079">
        <v>85.2</v>
      </c>
      <c r="Z1749" s="1079">
        <v>2.6</v>
      </c>
      <c r="AA1749" s="1079"/>
      <c r="AB1749" s="1079"/>
      <c r="AC1749" s="1079"/>
      <c r="AD1749" s="1080"/>
    </row>
    <row r="1750" spans="1:30" x14ac:dyDescent="0.2">
      <c r="A1750">
        <f t="shared" si="61"/>
        <v>47</v>
      </c>
      <c r="B1750">
        <v>1741</v>
      </c>
      <c r="C1750" s="1078">
        <v>4</v>
      </c>
      <c r="D1750" s="1077" t="s">
        <v>3604</v>
      </c>
      <c r="E1750" s="1077" t="s">
        <v>4359</v>
      </c>
      <c r="F1750" s="1079" t="s">
        <v>3913</v>
      </c>
      <c r="G1750" s="1079"/>
      <c r="H1750" s="1079"/>
      <c r="I1750" s="1079"/>
      <c r="J1750" s="1079"/>
      <c r="K1750" s="1079"/>
      <c r="L1750" s="1079"/>
      <c r="M1750" s="1079"/>
      <c r="N1750" s="1079"/>
      <c r="O1750" s="1079"/>
      <c r="P1750" s="1079"/>
      <c r="Q1750" s="1079"/>
      <c r="R1750" s="1079"/>
      <c r="S1750" s="1079"/>
      <c r="T1750" s="1079"/>
      <c r="U1750" s="1079"/>
      <c r="V1750" s="1079"/>
      <c r="W1750" s="1079"/>
      <c r="X1750" s="1079"/>
      <c r="Y1750" s="1079"/>
      <c r="Z1750" s="1079"/>
      <c r="AA1750" s="1079">
        <v>9.6999999999999993</v>
      </c>
      <c r="AB1750" s="1079">
        <v>5.9</v>
      </c>
      <c r="AC1750" s="1079">
        <v>8.4</v>
      </c>
      <c r="AD1750" s="1080">
        <v>3.2</v>
      </c>
    </row>
    <row r="1751" spans="1:30" x14ac:dyDescent="0.2">
      <c r="A1751">
        <f t="shared" si="61"/>
        <v>47</v>
      </c>
      <c r="B1751">
        <v>1742</v>
      </c>
      <c r="C1751" s="1078">
        <v>4</v>
      </c>
      <c r="D1751" s="1077" t="s">
        <v>3604</v>
      </c>
      <c r="E1751" s="1077" t="s">
        <v>4360</v>
      </c>
      <c r="F1751" s="1079" t="s">
        <v>3913</v>
      </c>
      <c r="G1751" s="1079"/>
      <c r="H1751" s="1079"/>
      <c r="I1751" s="1079"/>
      <c r="J1751" s="1079"/>
      <c r="K1751" s="1079"/>
      <c r="L1751" s="1079"/>
      <c r="M1751" s="1079"/>
      <c r="N1751" s="1079"/>
      <c r="O1751" s="1079"/>
      <c r="P1751" s="1079"/>
      <c r="Q1751" s="1079"/>
      <c r="R1751" s="1079"/>
      <c r="S1751" s="1079"/>
      <c r="T1751" s="1079"/>
      <c r="U1751" s="1079"/>
      <c r="V1751" s="1079"/>
      <c r="W1751" s="1079"/>
      <c r="X1751" s="1079"/>
      <c r="Y1751" s="1079"/>
      <c r="Z1751" s="1079"/>
      <c r="AA1751" s="1079">
        <v>9.6999999999999993</v>
      </c>
      <c r="AB1751" s="1079">
        <v>5.9</v>
      </c>
      <c r="AC1751" s="1079">
        <v>8.4</v>
      </c>
      <c r="AD1751" s="1080">
        <v>3.2</v>
      </c>
    </row>
    <row r="1752" spans="1:30" x14ac:dyDescent="0.2">
      <c r="A1752">
        <f t="shared" si="61"/>
        <v>47</v>
      </c>
      <c r="B1752">
        <v>1743</v>
      </c>
      <c r="C1752" s="1078">
        <v>4</v>
      </c>
      <c r="D1752" s="1077" t="s">
        <v>3604</v>
      </c>
      <c r="E1752" s="1077" t="s">
        <v>4361</v>
      </c>
      <c r="F1752" s="1079" t="s">
        <v>3913</v>
      </c>
      <c r="G1752" s="1079"/>
      <c r="H1752" s="1079"/>
      <c r="I1752" s="1079"/>
      <c r="J1752" s="1079"/>
      <c r="K1752" s="1079"/>
      <c r="L1752" s="1079"/>
      <c r="M1752" s="1079"/>
      <c r="N1752" s="1079"/>
      <c r="O1752" s="1079"/>
      <c r="P1752" s="1079"/>
      <c r="Q1752" s="1079"/>
      <c r="R1752" s="1079"/>
      <c r="S1752" s="1079"/>
      <c r="T1752" s="1079"/>
      <c r="U1752" s="1079"/>
      <c r="V1752" s="1079"/>
      <c r="W1752" s="1079"/>
      <c r="X1752" s="1079"/>
      <c r="Y1752" s="1079"/>
      <c r="Z1752" s="1079"/>
      <c r="AA1752" s="1079">
        <v>13.3</v>
      </c>
      <c r="AB1752" s="1079">
        <v>6.1</v>
      </c>
      <c r="AC1752" s="1079">
        <v>11.5</v>
      </c>
      <c r="AD1752" s="1080">
        <v>3.3</v>
      </c>
    </row>
    <row r="1753" spans="1:30" x14ac:dyDescent="0.2">
      <c r="A1753">
        <f t="shared" si="61"/>
        <v>47</v>
      </c>
      <c r="B1753">
        <v>1744</v>
      </c>
      <c r="C1753" s="1078">
        <v>4</v>
      </c>
      <c r="D1753" s="1077" t="s">
        <v>3604</v>
      </c>
      <c r="E1753" s="1077" t="s">
        <v>4362</v>
      </c>
      <c r="F1753" s="1079" t="s">
        <v>3913</v>
      </c>
      <c r="G1753" s="1079"/>
      <c r="H1753" s="1079"/>
      <c r="I1753" s="1079"/>
      <c r="J1753" s="1079"/>
      <c r="K1753" s="1079"/>
      <c r="L1753" s="1079"/>
      <c r="M1753" s="1079"/>
      <c r="N1753" s="1079"/>
      <c r="O1753" s="1079"/>
      <c r="P1753" s="1079"/>
      <c r="Q1753" s="1079"/>
      <c r="R1753" s="1079"/>
      <c r="S1753" s="1079"/>
      <c r="T1753" s="1079"/>
      <c r="U1753" s="1079"/>
      <c r="V1753" s="1079"/>
      <c r="W1753" s="1079"/>
      <c r="X1753" s="1079"/>
      <c r="Y1753" s="1079"/>
      <c r="Z1753" s="1079"/>
      <c r="AA1753" s="1079">
        <v>13.3</v>
      </c>
      <c r="AB1753" s="1079">
        <v>6.1</v>
      </c>
      <c r="AC1753" s="1079">
        <v>11.5</v>
      </c>
      <c r="AD1753" s="1080">
        <v>3.3</v>
      </c>
    </row>
    <row r="1754" spans="1:30" x14ac:dyDescent="0.2">
      <c r="A1754">
        <f t="shared" si="61"/>
        <v>47</v>
      </c>
      <c r="B1754">
        <v>1745</v>
      </c>
      <c r="C1754" s="1078">
        <v>4</v>
      </c>
      <c r="D1754" s="1077" t="s">
        <v>3604</v>
      </c>
      <c r="E1754" s="1077" t="s">
        <v>4363</v>
      </c>
      <c r="F1754" s="1079" t="s">
        <v>3913</v>
      </c>
      <c r="G1754" s="1079"/>
      <c r="H1754" s="1079"/>
      <c r="I1754" s="1079"/>
      <c r="J1754" s="1079"/>
      <c r="K1754" s="1079"/>
      <c r="L1754" s="1079"/>
      <c r="M1754" s="1079"/>
      <c r="N1754" s="1079"/>
      <c r="O1754" s="1079"/>
      <c r="P1754" s="1079"/>
      <c r="Q1754" s="1079"/>
      <c r="R1754" s="1079"/>
      <c r="S1754" s="1079"/>
      <c r="T1754" s="1079"/>
      <c r="U1754" s="1079"/>
      <c r="V1754" s="1079"/>
      <c r="W1754" s="1079"/>
      <c r="X1754" s="1079"/>
      <c r="Y1754" s="1079"/>
      <c r="Z1754" s="1079"/>
      <c r="AA1754" s="1079">
        <v>17.100000000000001</v>
      </c>
      <c r="AB1754" s="1079">
        <v>5.8</v>
      </c>
      <c r="AC1754" s="1079">
        <v>15.1</v>
      </c>
      <c r="AD1754" s="1080">
        <v>3.6</v>
      </c>
    </row>
    <row r="1755" spans="1:30" x14ac:dyDescent="0.2">
      <c r="A1755">
        <f t="shared" si="61"/>
        <v>47</v>
      </c>
      <c r="B1755">
        <v>1746</v>
      </c>
      <c r="C1755" s="1078">
        <v>4</v>
      </c>
      <c r="D1755" s="1077" t="s">
        <v>3604</v>
      </c>
      <c r="E1755" s="1077" t="s">
        <v>4364</v>
      </c>
      <c r="F1755" s="1079" t="s">
        <v>3913</v>
      </c>
      <c r="G1755" s="1079"/>
      <c r="H1755" s="1079"/>
      <c r="I1755" s="1079"/>
      <c r="J1755" s="1079"/>
      <c r="K1755" s="1079"/>
      <c r="L1755" s="1079"/>
      <c r="M1755" s="1079"/>
      <c r="N1755" s="1079"/>
      <c r="O1755" s="1079"/>
      <c r="P1755" s="1079"/>
      <c r="Q1755" s="1079"/>
      <c r="R1755" s="1079"/>
      <c r="S1755" s="1079"/>
      <c r="T1755" s="1079"/>
      <c r="U1755" s="1079"/>
      <c r="V1755" s="1079"/>
      <c r="W1755" s="1079"/>
      <c r="X1755" s="1079"/>
      <c r="Y1755" s="1079"/>
      <c r="Z1755" s="1079"/>
      <c r="AA1755" s="1079">
        <v>17.100000000000001</v>
      </c>
      <c r="AB1755" s="1079">
        <v>5.8</v>
      </c>
      <c r="AC1755" s="1079">
        <v>15.1</v>
      </c>
      <c r="AD1755" s="1080">
        <v>3.6</v>
      </c>
    </row>
    <row r="1756" spans="1:30" x14ac:dyDescent="0.2">
      <c r="A1756">
        <f t="shared" si="61"/>
        <v>47</v>
      </c>
      <c r="B1756">
        <v>1747</v>
      </c>
      <c r="C1756" s="1078">
        <v>4</v>
      </c>
      <c r="D1756" s="1077" t="s">
        <v>3604</v>
      </c>
      <c r="E1756" s="1077" t="s">
        <v>4365</v>
      </c>
      <c r="F1756" s="1079" t="s">
        <v>3913</v>
      </c>
      <c r="G1756" s="1079"/>
      <c r="H1756" s="1079"/>
      <c r="I1756" s="1079"/>
      <c r="J1756" s="1079"/>
      <c r="K1756" s="1079"/>
      <c r="L1756" s="1079"/>
      <c r="M1756" s="1079"/>
      <c r="N1756" s="1079"/>
      <c r="O1756" s="1079"/>
      <c r="P1756" s="1079"/>
      <c r="Q1756" s="1079"/>
      <c r="R1756" s="1079"/>
      <c r="S1756" s="1079"/>
      <c r="T1756" s="1079"/>
      <c r="U1756" s="1079"/>
      <c r="V1756" s="1079"/>
      <c r="W1756" s="1079"/>
      <c r="X1756" s="1079"/>
      <c r="Y1756" s="1079"/>
      <c r="Z1756" s="1079"/>
      <c r="AA1756" s="1079">
        <v>22.3</v>
      </c>
      <c r="AB1756" s="1079">
        <v>5.7</v>
      </c>
      <c r="AC1756" s="1079">
        <v>20</v>
      </c>
      <c r="AD1756" s="1080">
        <v>3.6</v>
      </c>
    </row>
    <row r="1757" spans="1:30" x14ac:dyDescent="0.2">
      <c r="A1757">
        <f t="shared" si="61"/>
        <v>47</v>
      </c>
      <c r="B1757">
        <v>1748</v>
      </c>
      <c r="C1757" s="1078">
        <v>4</v>
      </c>
      <c r="D1757" s="1077" t="s">
        <v>3604</v>
      </c>
      <c r="E1757" s="1077" t="s">
        <v>4366</v>
      </c>
      <c r="F1757" s="1079" t="s">
        <v>3913</v>
      </c>
      <c r="G1757" s="1079"/>
      <c r="H1757" s="1079"/>
      <c r="I1757" s="1079"/>
      <c r="J1757" s="1079"/>
      <c r="K1757" s="1079"/>
      <c r="L1757" s="1079"/>
      <c r="M1757" s="1079"/>
      <c r="N1757" s="1079"/>
      <c r="O1757" s="1079"/>
      <c r="P1757" s="1079"/>
      <c r="Q1757" s="1079"/>
      <c r="R1757" s="1079"/>
      <c r="S1757" s="1079"/>
      <c r="T1757" s="1079"/>
      <c r="U1757" s="1079"/>
      <c r="V1757" s="1079"/>
      <c r="W1757" s="1079"/>
      <c r="X1757" s="1079"/>
      <c r="Y1757" s="1079"/>
      <c r="Z1757" s="1079"/>
      <c r="AA1757" s="1079">
        <v>22.3</v>
      </c>
      <c r="AB1757" s="1079">
        <v>5.7</v>
      </c>
      <c r="AC1757" s="1079">
        <v>20</v>
      </c>
      <c r="AD1757" s="1080">
        <v>3.6</v>
      </c>
    </row>
    <row r="1758" spans="1:30" x14ac:dyDescent="0.2">
      <c r="A1758">
        <f t="shared" si="61"/>
        <v>47</v>
      </c>
      <c r="B1758">
        <v>1749</v>
      </c>
      <c r="C1758" s="1078">
        <v>4</v>
      </c>
      <c r="D1758" s="1077" t="s">
        <v>3604</v>
      </c>
      <c r="E1758" s="1077" t="s">
        <v>4367</v>
      </c>
      <c r="F1758" s="1079" t="s">
        <v>3914</v>
      </c>
      <c r="G1758" s="1079"/>
      <c r="H1758" s="1079"/>
      <c r="I1758" s="1079"/>
      <c r="J1758" s="1079"/>
      <c r="K1758" s="1079"/>
      <c r="L1758" s="1079"/>
      <c r="M1758" s="1079"/>
      <c r="N1758" s="1079"/>
      <c r="O1758" s="1079"/>
      <c r="P1758" s="1079"/>
      <c r="Q1758" s="1079"/>
      <c r="R1758" s="1079"/>
      <c r="S1758" s="1079"/>
      <c r="T1758" s="1079"/>
      <c r="U1758" s="1079"/>
      <c r="V1758" s="1079"/>
      <c r="W1758" s="1079"/>
      <c r="X1758" s="1079"/>
      <c r="Y1758" s="1079"/>
      <c r="Z1758" s="1079"/>
      <c r="AA1758" s="1079">
        <v>35.6</v>
      </c>
      <c r="AB1758" s="1079">
        <v>6.2</v>
      </c>
      <c r="AC1758" s="1079">
        <v>32.200000000000003</v>
      </c>
      <c r="AD1758" s="1080">
        <v>3.8</v>
      </c>
    </row>
    <row r="1759" spans="1:30" x14ac:dyDescent="0.2">
      <c r="A1759">
        <f t="shared" si="61"/>
        <v>47</v>
      </c>
      <c r="B1759">
        <v>1750</v>
      </c>
      <c r="C1759" s="1078">
        <v>4</v>
      </c>
      <c r="D1759" s="1077" t="s">
        <v>3604</v>
      </c>
      <c r="E1759" s="1077" t="s">
        <v>4368</v>
      </c>
      <c r="F1759" s="1079" t="s">
        <v>3914</v>
      </c>
      <c r="G1759" s="1079"/>
      <c r="H1759" s="1079"/>
      <c r="I1759" s="1079"/>
      <c r="J1759" s="1079"/>
      <c r="K1759" s="1079"/>
      <c r="L1759" s="1079"/>
      <c r="M1759" s="1079"/>
      <c r="N1759" s="1079"/>
      <c r="O1759" s="1079"/>
      <c r="P1759" s="1079"/>
      <c r="Q1759" s="1079"/>
      <c r="R1759" s="1079"/>
      <c r="S1759" s="1079"/>
      <c r="T1759" s="1079"/>
      <c r="U1759" s="1079"/>
      <c r="V1759" s="1079"/>
      <c r="W1759" s="1079"/>
      <c r="X1759" s="1079"/>
      <c r="Y1759" s="1079"/>
      <c r="Z1759" s="1079"/>
      <c r="AA1759" s="1079">
        <v>35.6</v>
      </c>
      <c r="AB1759" s="1079">
        <v>6.2</v>
      </c>
      <c r="AC1759" s="1079">
        <v>32.200000000000003</v>
      </c>
      <c r="AD1759" s="1080">
        <v>3.8</v>
      </c>
    </row>
    <row r="1760" spans="1:30" x14ac:dyDescent="0.2">
      <c r="A1760">
        <f t="shared" si="61"/>
        <v>47</v>
      </c>
      <c r="B1760">
        <v>1751</v>
      </c>
      <c r="C1760" s="1078">
        <v>4</v>
      </c>
      <c r="D1760" s="1077" t="s">
        <v>3604</v>
      </c>
      <c r="E1760" s="1077" t="s">
        <v>4369</v>
      </c>
      <c r="F1760" s="1079" t="s">
        <v>3914</v>
      </c>
      <c r="G1760" s="1079"/>
      <c r="H1760" s="1079"/>
      <c r="I1760" s="1079"/>
      <c r="J1760" s="1079"/>
      <c r="K1760" s="1079"/>
      <c r="L1760" s="1079"/>
      <c r="M1760" s="1079"/>
      <c r="N1760" s="1079"/>
      <c r="O1760" s="1079"/>
      <c r="P1760" s="1079"/>
      <c r="Q1760" s="1079"/>
      <c r="R1760" s="1079"/>
      <c r="S1760" s="1079"/>
      <c r="T1760" s="1079"/>
      <c r="U1760" s="1079"/>
      <c r="V1760" s="1079"/>
      <c r="W1760" s="1079"/>
      <c r="X1760" s="1079"/>
      <c r="Y1760" s="1079"/>
      <c r="Z1760" s="1079"/>
      <c r="AA1760" s="1079">
        <v>46.2</v>
      </c>
      <c r="AB1760" s="1079">
        <v>5.8</v>
      </c>
      <c r="AC1760" s="1079">
        <v>42.5</v>
      </c>
      <c r="AD1760" s="1080">
        <v>3.7</v>
      </c>
    </row>
    <row r="1761" spans="1:30" x14ac:dyDescent="0.2">
      <c r="A1761">
        <f t="shared" si="61"/>
        <v>47</v>
      </c>
      <c r="B1761">
        <v>1752</v>
      </c>
      <c r="C1761" s="1078">
        <v>4</v>
      </c>
      <c r="D1761" s="1077" t="s">
        <v>3604</v>
      </c>
      <c r="E1761" s="1077" t="s">
        <v>4370</v>
      </c>
      <c r="F1761" s="1079" t="s">
        <v>3914</v>
      </c>
      <c r="G1761" s="1079"/>
      <c r="H1761" s="1079"/>
      <c r="I1761" s="1079"/>
      <c r="J1761" s="1079"/>
      <c r="K1761" s="1079"/>
      <c r="L1761" s="1079"/>
      <c r="M1761" s="1079"/>
      <c r="N1761" s="1079"/>
      <c r="O1761" s="1079"/>
      <c r="P1761" s="1079"/>
      <c r="Q1761" s="1079"/>
      <c r="R1761" s="1079"/>
      <c r="S1761" s="1079"/>
      <c r="T1761" s="1079"/>
      <c r="U1761" s="1079"/>
      <c r="V1761" s="1079"/>
      <c r="W1761" s="1079"/>
      <c r="X1761" s="1079"/>
      <c r="Y1761" s="1079"/>
      <c r="Z1761" s="1079"/>
      <c r="AA1761" s="1079">
        <v>46.2</v>
      </c>
      <c r="AB1761" s="1079">
        <v>5.8</v>
      </c>
      <c r="AC1761" s="1079">
        <v>42.5</v>
      </c>
      <c r="AD1761" s="1080">
        <v>3.7</v>
      </c>
    </row>
    <row r="1762" spans="1:30" x14ac:dyDescent="0.2">
      <c r="A1762">
        <f t="shared" si="61"/>
        <v>47</v>
      </c>
      <c r="B1762">
        <v>1753</v>
      </c>
      <c r="C1762" s="1078">
        <v>4</v>
      </c>
      <c r="D1762" s="1077" t="s">
        <v>3604</v>
      </c>
      <c r="E1762" s="1077" t="s">
        <v>4371</v>
      </c>
      <c r="F1762" s="1079" t="s">
        <v>3913</v>
      </c>
      <c r="G1762" s="1079"/>
      <c r="H1762" s="1079"/>
      <c r="I1762" s="1079"/>
      <c r="J1762" s="1079"/>
      <c r="K1762" s="1079"/>
      <c r="L1762" s="1079"/>
      <c r="M1762" s="1079"/>
      <c r="N1762" s="1079"/>
      <c r="O1762" s="1079"/>
      <c r="P1762" s="1079"/>
      <c r="Q1762" s="1079"/>
      <c r="R1762" s="1079"/>
      <c r="S1762" s="1079"/>
      <c r="T1762" s="1079"/>
      <c r="U1762" s="1079"/>
      <c r="V1762" s="1079"/>
      <c r="W1762" s="1079"/>
      <c r="X1762" s="1079"/>
      <c r="Y1762" s="1079"/>
      <c r="Z1762" s="1079"/>
      <c r="AA1762" s="1079">
        <v>47.6</v>
      </c>
      <c r="AB1762" s="1079">
        <v>5.7</v>
      </c>
      <c r="AC1762" s="1079">
        <v>41</v>
      </c>
      <c r="AD1762" s="1080">
        <v>3.2</v>
      </c>
    </row>
    <row r="1763" spans="1:30" x14ac:dyDescent="0.2">
      <c r="A1763">
        <f t="shared" si="61"/>
        <v>47</v>
      </c>
      <c r="B1763">
        <v>1754</v>
      </c>
      <c r="C1763" s="1078">
        <v>4</v>
      </c>
      <c r="D1763" s="1077" t="s">
        <v>3604</v>
      </c>
      <c r="E1763" s="1077" t="s">
        <v>4372</v>
      </c>
      <c r="F1763" s="1079" t="s">
        <v>3913</v>
      </c>
      <c r="G1763" s="1079"/>
      <c r="H1763" s="1079"/>
      <c r="I1763" s="1079"/>
      <c r="J1763" s="1079"/>
      <c r="K1763" s="1079"/>
      <c r="L1763" s="1079"/>
      <c r="M1763" s="1079"/>
      <c r="N1763" s="1079"/>
      <c r="O1763" s="1079"/>
      <c r="P1763" s="1079"/>
      <c r="Q1763" s="1079"/>
      <c r="R1763" s="1079"/>
      <c r="S1763" s="1079"/>
      <c r="T1763" s="1079"/>
      <c r="U1763" s="1079"/>
      <c r="V1763" s="1079"/>
      <c r="W1763" s="1079"/>
      <c r="X1763" s="1079"/>
      <c r="Y1763" s="1079"/>
      <c r="Z1763" s="1079"/>
      <c r="AA1763" s="1079">
        <v>47.6</v>
      </c>
      <c r="AB1763" s="1079">
        <v>5.7</v>
      </c>
      <c r="AC1763" s="1079">
        <v>41</v>
      </c>
      <c r="AD1763" s="1080">
        <v>3.2</v>
      </c>
    </row>
    <row r="1764" spans="1:30" x14ac:dyDescent="0.2">
      <c r="A1764">
        <f t="shared" si="61"/>
        <v>47</v>
      </c>
      <c r="B1764">
        <v>1755</v>
      </c>
      <c r="C1764" s="1078">
        <v>4</v>
      </c>
      <c r="D1764" s="1077" t="s">
        <v>3604</v>
      </c>
      <c r="E1764" s="1077" t="s">
        <v>4373</v>
      </c>
      <c r="F1764" s="1079" t="s">
        <v>3914</v>
      </c>
      <c r="G1764" s="1079"/>
      <c r="H1764" s="1079"/>
      <c r="I1764" s="1079"/>
      <c r="J1764" s="1079"/>
      <c r="K1764" s="1079"/>
      <c r="L1764" s="1079"/>
      <c r="M1764" s="1079"/>
      <c r="N1764" s="1079"/>
      <c r="O1764" s="1079"/>
      <c r="P1764" s="1079"/>
      <c r="Q1764" s="1079"/>
      <c r="R1764" s="1079"/>
      <c r="S1764" s="1079"/>
      <c r="T1764" s="1079"/>
      <c r="U1764" s="1079"/>
      <c r="V1764" s="1079"/>
      <c r="W1764" s="1079"/>
      <c r="X1764" s="1079"/>
      <c r="Y1764" s="1079"/>
      <c r="Z1764" s="1079"/>
      <c r="AA1764" s="1079">
        <v>68.900000000000006</v>
      </c>
      <c r="AB1764" s="1079">
        <v>6.2</v>
      </c>
      <c r="AC1764" s="1079">
        <v>59.9</v>
      </c>
      <c r="AD1764" s="1080">
        <v>3.7</v>
      </c>
    </row>
    <row r="1765" spans="1:30" x14ac:dyDescent="0.2">
      <c r="A1765">
        <f t="shared" si="61"/>
        <v>47</v>
      </c>
      <c r="B1765">
        <v>1756</v>
      </c>
      <c r="C1765" s="1078">
        <v>4</v>
      </c>
      <c r="D1765" s="1077" t="s">
        <v>3604</v>
      </c>
      <c r="E1765" s="1077" t="s">
        <v>4374</v>
      </c>
      <c r="F1765" s="1079" t="s">
        <v>3914</v>
      </c>
      <c r="G1765" s="1079"/>
      <c r="H1765" s="1079"/>
      <c r="I1765" s="1079"/>
      <c r="J1765" s="1079"/>
      <c r="K1765" s="1079"/>
      <c r="L1765" s="1079"/>
      <c r="M1765" s="1079"/>
      <c r="N1765" s="1079"/>
      <c r="O1765" s="1079"/>
      <c r="P1765" s="1079"/>
      <c r="Q1765" s="1079"/>
      <c r="R1765" s="1079"/>
      <c r="S1765" s="1079"/>
      <c r="T1765" s="1079"/>
      <c r="U1765" s="1079"/>
      <c r="V1765" s="1079"/>
      <c r="W1765" s="1079"/>
      <c r="X1765" s="1079"/>
      <c r="Y1765" s="1079"/>
      <c r="Z1765" s="1079"/>
      <c r="AA1765" s="1079">
        <v>68.900000000000006</v>
      </c>
      <c r="AB1765" s="1079">
        <v>6.2</v>
      </c>
      <c r="AC1765" s="1079">
        <v>59.9</v>
      </c>
      <c r="AD1765" s="1080">
        <v>3.7</v>
      </c>
    </row>
    <row r="1766" spans="1:30" x14ac:dyDescent="0.2">
      <c r="A1766">
        <f t="shared" si="61"/>
        <v>47</v>
      </c>
      <c r="B1766">
        <v>1757</v>
      </c>
      <c r="C1766" s="1078">
        <v>4</v>
      </c>
      <c r="D1766" s="1077" t="s">
        <v>3604</v>
      </c>
      <c r="E1766" s="1077" t="s">
        <v>4375</v>
      </c>
      <c r="F1766" s="1079" t="s">
        <v>3914</v>
      </c>
      <c r="G1766" s="1079"/>
      <c r="H1766" s="1079"/>
      <c r="I1766" s="1079"/>
      <c r="J1766" s="1079"/>
      <c r="K1766" s="1079"/>
      <c r="L1766" s="1079"/>
      <c r="M1766" s="1079"/>
      <c r="N1766" s="1079"/>
      <c r="O1766" s="1079"/>
      <c r="P1766" s="1079"/>
      <c r="Q1766" s="1079"/>
      <c r="R1766" s="1079"/>
      <c r="S1766" s="1079"/>
      <c r="T1766" s="1079"/>
      <c r="U1766" s="1079"/>
      <c r="V1766" s="1079"/>
      <c r="W1766" s="1079"/>
      <c r="X1766" s="1079"/>
      <c r="Y1766" s="1079"/>
      <c r="Z1766" s="1079"/>
      <c r="AA1766" s="1079">
        <v>98.9</v>
      </c>
      <c r="AB1766" s="1079">
        <v>5.9</v>
      </c>
      <c r="AC1766" s="1079">
        <v>89.9</v>
      </c>
      <c r="AD1766" s="1080">
        <v>3.7</v>
      </c>
    </row>
    <row r="1767" spans="1:30" x14ac:dyDescent="0.2">
      <c r="A1767">
        <f t="shared" si="61"/>
        <v>47</v>
      </c>
      <c r="B1767">
        <v>1758</v>
      </c>
      <c r="C1767" s="1078">
        <v>4</v>
      </c>
      <c r="D1767" s="1077" t="s">
        <v>3604</v>
      </c>
      <c r="E1767" s="1077" t="s">
        <v>4376</v>
      </c>
      <c r="F1767" s="1079" t="s">
        <v>3914</v>
      </c>
      <c r="G1767" s="1079"/>
      <c r="H1767" s="1079"/>
      <c r="I1767" s="1079"/>
      <c r="J1767" s="1079"/>
      <c r="K1767" s="1079"/>
      <c r="L1767" s="1079"/>
      <c r="M1767" s="1079"/>
      <c r="N1767" s="1079"/>
      <c r="O1767" s="1079"/>
      <c r="P1767" s="1079"/>
      <c r="Q1767" s="1079"/>
      <c r="R1767" s="1079"/>
      <c r="S1767" s="1079"/>
      <c r="T1767" s="1079"/>
      <c r="U1767" s="1079"/>
      <c r="V1767" s="1079"/>
      <c r="W1767" s="1079"/>
      <c r="X1767" s="1079"/>
      <c r="Y1767" s="1079"/>
      <c r="Z1767" s="1079"/>
      <c r="AA1767" s="1079">
        <v>98.9</v>
      </c>
      <c r="AB1767" s="1079">
        <v>5.9</v>
      </c>
      <c r="AC1767" s="1079">
        <v>101.1</v>
      </c>
      <c r="AD1767" s="1080">
        <v>4.2</v>
      </c>
    </row>
    <row r="1768" spans="1:30" x14ac:dyDescent="0.2">
      <c r="A1768">
        <f t="shared" si="61"/>
        <v>48</v>
      </c>
      <c r="B1768">
        <v>1759</v>
      </c>
      <c r="C1768" s="1078">
        <v>2</v>
      </c>
      <c r="D1768" s="1077" t="s">
        <v>3605</v>
      </c>
      <c r="E1768" s="1077" t="s">
        <v>4400</v>
      </c>
      <c r="F1768" s="1079"/>
      <c r="G1768" s="1079"/>
      <c r="H1768" s="1079"/>
      <c r="I1768" s="1079">
        <v>6.8</v>
      </c>
      <c r="J1768" s="1079">
        <v>2.5</v>
      </c>
      <c r="K1768" s="1079">
        <v>6.7</v>
      </c>
      <c r="L1768" s="1079">
        <v>3.6</v>
      </c>
      <c r="M1768" s="1079">
        <v>7.7</v>
      </c>
      <c r="N1768" s="1079">
        <v>4.4000000000000004</v>
      </c>
      <c r="O1768" s="1079"/>
      <c r="P1768" s="1079"/>
      <c r="Q1768" s="1079">
        <v>4.9000000000000004</v>
      </c>
      <c r="R1768" s="1079">
        <v>1.4</v>
      </c>
      <c r="S1768" s="1079">
        <v>6.5</v>
      </c>
      <c r="T1768" s="1079">
        <v>2.5</v>
      </c>
      <c r="U1768" s="1079"/>
      <c r="V1768" s="1079"/>
      <c r="W1768" s="1079"/>
      <c r="X1768" s="1079"/>
      <c r="Y1768" s="1079"/>
      <c r="Z1768" s="1079"/>
      <c r="AA1768" s="1079"/>
      <c r="AB1768" s="1079"/>
      <c r="AC1768" s="1079"/>
      <c r="AD1768" s="1080"/>
    </row>
    <row r="1769" spans="1:30" x14ac:dyDescent="0.2">
      <c r="A1769">
        <f t="shared" si="61"/>
        <v>48</v>
      </c>
      <c r="B1769">
        <v>1760</v>
      </c>
      <c r="C1769" s="1078">
        <v>2</v>
      </c>
      <c r="D1769" s="1077" t="s">
        <v>3605</v>
      </c>
      <c r="E1769" s="1077" t="s">
        <v>4401</v>
      </c>
      <c r="F1769" s="1079"/>
      <c r="G1769" s="1079"/>
      <c r="H1769" s="1079"/>
      <c r="I1769" s="1079">
        <v>6.8</v>
      </c>
      <c r="J1769" s="1079">
        <v>2.5</v>
      </c>
      <c r="K1769" s="1079">
        <v>6.7</v>
      </c>
      <c r="L1769" s="1079">
        <v>3.6</v>
      </c>
      <c r="M1769" s="1079">
        <v>7.7</v>
      </c>
      <c r="N1769" s="1079">
        <v>4.4000000000000004</v>
      </c>
      <c r="O1769" s="1079"/>
      <c r="P1769" s="1079"/>
      <c r="Q1769" s="1079">
        <v>4.9000000000000004</v>
      </c>
      <c r="R1769" s="1079">
        <v>1.4</v>
      </c>
      <c r="S1769" s="1079">
        <v>6.5</v>
      </c>
      <c r="T1769" s="1079">
        <v>2.5</v>
      </c>
      <c r="U1769" s="1079"/>
      <c r="V1769" s="1079"/>
      <c r="W1769" s="1079"/>
      <c r="X1769" s="1079"/>
      <c r="Y1769" s="1079"/>
      <c r="Z1769" s="1079"/>
      <c r="AA1769" s="1079"/>
      <c r="AB1769" s="1079"/>
      <c r="AC1769" s="1079"/>
      <c r="AD1769" s="1080"/>
    </row>
    <row r="1770" spans="1:30" x14ac:dyDescent="0.2">
      <c r="A1770">
        <f t="shared" si="61"/>
        <v>48</v>
      </c>
      <c r="B1770">
        <v>1761</v>
      </c>
      <c r="C1770" s="1078">
        <v>2</v>
      </c>
      <c r="D1770" s="1077" t="s">
        <v>3605</v>
      </c>
      <c r="E1770" s="1077" t="s">
        <v>4402</v>
      </c>
      <c r="F1770" s="1079"/>
      <c r="G1770" s="1079">
        <v>5.6</v>
      </c>
      <c r="H1770" s="1079">
        <v>1.8</v>
      </c>
      <c r="I1770" s="1079">
        <v>7.3</v>
      </c>
      <c r="J1770" s="1079">
        <v>2.6</v>
      </c>
      <c r="K1770" s="1079">
        <v>8.1999999999999993</v>
      </c>
      <c r="L1770" s="1079">
        <v>3.6</v>
      </c>
      <c r="M1770" s="1079">
        <v>9.5</v>
      </c>
      <c r="N1770" s="1079">
        <v>4.8</v>
      </c>
      <c r="O1770" s="1079"/>
      <c r="P1770" s="1079"/>
      <c r="Q1770" s="1079">
        <v>4.7</v>
      </c>
      <c r="R1770" s="1079">
        <v>1.2</v>
      </c>
      <c r="S1770" s="1079">
        <v>7.4</v>
      </c>
      <c r="T1770" s="1079">
        <v>2.5</v>
      </c>
      <c r="U1770" s="1079">
        <v>12</v>
      </c>
      <c r="V1770" s="1079">
        <v>3.7</v>
      </c>
      <c r="W1770" s="1079"/>
      <c r="X1770" s="1079"/>
      <c r="Y1770" s="1079"/>
      <c r="Z1770" s="1079"/>
      <c r="AA1770" s="1079"/>
      <c r="AB1770" s="1079"/>
      <c r="AC1770" s="1079"/>
      <c r="AD1770" s="1080"/>
    </row>
    <row r="1771" spans="1:30" x14ac:dyDescent="0.2">
      <c r="A1771">
        <f t="shared" si="61"/>
        <v>48</v>
      </c>
      <c r="B1771">
        <v>1762</v>
      </c>
      <c r="C1771" s="1078">
        <v>2</v>
      </c>
      <c r="D1771" s="1077" t="s">
        <v>3605</v>
      </c>
      <c r="E1771" s="1077" t="s">
        <v>4403</v>
      </c>
      <c r="F1771" s="1079"/>
      <c r="G1771" s="1079">
        <v>5.6</v>
      </c>
      <c r="H1771" s="1079">
        <v>1.8</v>
      </c>
      <c r="I1771" s="1079">
        <v>7.3</v>
      </c>
      <c r="J1771" s="1079">
        <v>2.6</v>
      </c>
      <c r="K1771" s="1079">
        <v>8.1999999999999993</v>
      </c>
      <c r="L1771" s="1079">
        <v>3.6</v>
      </c>
      <c r="M1771" s="1079">
        <v>9.5</v>
      </c>
      <c r="N1771" s="1079">
        <v>4.8</v>
      </c>
      <c r="O1771" s="1079"/>
      <c r="P1771" s="1079"/>
      <c r="Q1771" s="1079">
        <v>4.7</v>
      </c>
      <c r="R1771" s="1079">
        <v>1.2</v>
      </c>
      <c r="S1771" s="1079">
        <v>7.4</v>
      </c>
      <c r="T1771" s="1079">
        <v>2.5</v>
      </c>
      <c r="U1771" s="1079">
        <v>12</v>
      </c>
      <c r="V1771" s="1079">
        <v>3.7</v>
      </c>
      <c r="W1771" s="1079"/>
      <c r="X1771" s="1079"/>
      <c r="Y1771" s="1079"/>
      <c r="Z1771" s="1079"/>
      <c r="AA1771" s="1079"/>
      <c r="AB1771" s="1079"/>
      <c r="AC1771" s="1079"/>
      <c r="AD1771" s="1080"/>
    </row>
    <row r="1772" spans="1:30" x14ac:dyDescent="0.2">
      <c r="A1772">
        <f t="shared" si="61"/>
        <v>48</v>
      </c>
      <c r="B1772">
        <v>1763</v>
      </c>
      <c r="C1772" s="1078">
        <v>2</v>
      </c>
      <c r="D1772" s="1077" t="s">
        <v>3605</v>
      </c>
      <c r="E1772" s="1077" t="s">
        <v>4404</v>
      </c>
      <c r="F1772" s="1079"/>
      <c r="G1772" s="1079"/>
      <c r="H1772" s="1079"/>
      <c r="I1772" s="1079">
        <v>13.8</v>
      </c>
      <c r="J1772" s="1079">
        <v>3.1</v>
      </c>
      <c r="K1772" s="1079">
        <v>8.1999999999999993</v>
      </c>
      <c r="L1772" s="1079">
        <v>4.2</v>
      </c>
      <c r="M1772" s="1079">
        <v>7.7</v>
      </c>
      <c r="N1772" s="1079">
        <v>4.8</v>
      </c>
      <c r="O1772" s="1079"/>
      <c r="P1772" s="1079"/>
      <c r="Q1772" s="1079">
        <v>14.9</v>
      </c>
      <c r="R1772" s="1079">
        <v>2.4</v>
      </c>
      <c r="S1772" s="1079">
        <v>8.8000000000000007</v>
      </c>
      <c r="T1772" s="1079">
        <v>3.3</v>
      </c>
      <c r="U1772" s="1079"/>
      <c r="V1772" s="1079"/>
      <c r="W1772" s="1079"/>
      <c r="X1772" s="1079"/>
      <c r="Y1772" s="1079"/>
      <c r="Z1772" s="1079"/>
      <c r="AA1772" s="1079"/>
      <c r="AB1772" s="1079"/>
      <c r="AC1772" s="1079"/>
      <c r="AD1772" s="1080"/>
    </row>
    <row r="1773" spans="1:30" x14ac:dyDescent="0.2">
      <c r="A1773">
        <f t="shared" si="61"/>
        <v>48</v>
      </c>
      <c r="B1773">
        <v>1764</v>
      </c>
      <c r="C1773" s="1078">
        <v>2</v>
      </c>
      <c r="D1773" s="1077" t="s">
        <v>3605</v>
      </c>
      <c r="E1773" s="1077" t="s">
        <v>4405</v>
      </c>
      <c r="F1773" s="1079"/>
      <c r="G1773" s="1079">
        <v>5.6</v>
      </c>
      <c r="H1773" s="1079">
        <v>1.8</v>
      </c>
      <c r="I1773" s="1079">
        <v>7.3</v>
      </c>
      <c r="J1773" s="1079">
        <v>2.6</v>
      </c>
      <c r="K1773" s="1079">
        <v>8.1999999999999993</v>
      </c>
      <c r="L1773" s="1079">
        <v>3.6</v>
      </c>
      <c r="M1773" s="1079">
        <v>9.5</v>
      </c>
      <c r="N1773" s="1079">
        <v>4.8</v>
      </c>
      <c r="O1773" s="1079">
        <v>10.9</v>
      </c>
      <c r="P1773" s="1079">
        <v>6.4</v>
      </c>
      <c r="Q1773" s="1079">
        <v>4.7</v>
      </c>
      <c r="R1773" s="1079">
        <v>1.2</v>
      </c>
      <c r="S1773" s="1079">
        <v>7.4</v>
      </c>
      <c r="T1773" s="1079">
        <v>2.5</v>
      </c>
      <c r="U1773" s="1079">
        <v>12</v>
      </c>
      <c r="V1773" s="1079">
        <v>3.7</v>
      </c>
      <c r="W1773" s="1079"/>
      <c r="X1773" s="1079"/>
      <c r="Y1773" s="1079"/>
      <c r="Z1773" s="1079"/>
      <c r="AA1773" s="1079"/>
      <c r="AB1773" s="1079"/>
      <c r="AC1773" s="1079"/>
      <c r="AD1773" s="1080"/>
    </row>
    <row r="1774" spans="1:30" x14ac:dyDescent="0.2">
      <c r="A1774">
        <f t="shared" si="61"/>
        <v>48</v>
      </c>
      <c r="B1774">
        <v>1765</v>
      </c>
      <c r="C1774" s="1078">
        <v>2</v>
      </c>
      <c r="D1774" s="1077" t="s">
        <v>3605</v>
      </c>
      <c r="E1774" s="1077" t="s">
        <v>4406</v>
      </c>
      <c r="F1774" s="1079"/>
      <c r="G1774" s="1079"/>
      <c r="H1774" s="1079"/>
      <c r="I1774" s="1079">
        <v>11.2</v>
      </c>
      <c r="J1774" s="1079">
        <v>2.8</v>
      </c>
      <c r="K1774" s="1079">
        <v>11.2</v>
      </c>
      <c r="L1774" s="1079">
        <v>3.3</v>
      </c>
      <c r="M1774" s="1079">
        <v>11.2</v>
      </c>
      <c r="N1774" s="1079">
        <v>4.5</v>
      </c>
      <c r="O1774" s="1079"/>
      <c r="P1774" s="1079"/>
      <c r="Q1774" s="1079">
        <v>8</v>
      </c>
      <c r="R1774" s="1079">
        <v>1.9</v>
      </c>
      <c r="S1774" s="1079">
        <v>8</v>
      </c>
      <c r="T1774" s="1079">
        <v>2.7</v>
      </c>
      <c r="U1774" s="1079"/>
      <c r="V1774" s="1079"/>
      <c r="W1774" s="1079"/>
      <c r="X1774" s="1079"/>
      <c r="Y1774" s="1079"/>
      <c r="Z1774" s="1079"/>
      <c r="AA1774" s="1079"/>
      <c r="AB1774" s="1079"/>
      <c r="AC1774" s="1079"/>
      <c r="AD1774" s="1080"/>
    </row>
    <row r="1775" spans="1:30" x14ac:dyDescent="0.2">
      <c r="A1775">
        <f t="shared" si="61"/>
        <v>48</v>
      </c>
      <c r="B1775">
        <v>1766</v>
      </c>
      <c r="C1775" s="1078">
        <v>2</v>
      </c>
      <c r="D1775" s="1077" t="s">
        <v>3605</v>
      </c>
      <c r="E1775" s="1077" t="s">
        <v>4407</v>
      </c>
      <c r="F1775" s="1079"/>
      <c r="G1775" s="1079"/>
      <c r="H1775" s="1079"/>
      <c r="I1775" s="1079">
        <v>14</v>
      </c>
      <c r="J1775" s="1079">
        <v>2.6</v>
      </c>
      <c r="K1775" s="1079">
        <v>14</v>
      </c>
      <c r="L1775" s="1079">
        <v>3</v>
      </c>
      <c r="M1775" s="1079">
        <v>14</v>
      </c>
      <c r="N1775" s="1079">
        <v>4.2</v>
      </c>
      <c r="O1775" s="1079"/>
      <c r="P1775" s="1079"/>
      <c r="Q1775" s="1079">
        <v>14</v>
      </c>
      <c r="R1775" s="1079">
        <v>1.6</v>
      </c>
      <c r="S1775" s="1079">
        <v>14</v>
      </c>
      <c r="T1775" s="1079">
        <v>2.4</v>
      </c>
      <c r="U1775" s="1079"/>
      <c r="V1775" s="1079"/>
      <c r="W1775" s="1079"/>
      <c r="X1775" s="1079"/>
      <c r="Y1775" s="1079"/>
      <c r="Z1775" s="1079"/>
      <c r="AA1775" s="1079"/>
      <c r="AB1775" s="1079"/>
      <c r="AC1775" s="1079"/>
      <c r="AD1775" s="1080"/>
    </row>
    <row r="1776" spans="1:30" x14ac:dyDescent="0.2">
      <c r="A1776">
        <f t="shared" si="61"/>
        <v>48</v>
      </c>
      <c r="B1776">
        <v>1767</v>
      </c>
      <c r="C1776" s="1078">
        <v>3</v>
      </c>
      <c r="D1776" s="1077" t="s">
        <v>3605</v>
      </c>
      <c r="E1776" s="1077" t="s">
        <v>4408</v>
      </c>
      <c r="F1776" s="1079">
        <v>1</v>
      </c>
      <c r="G1776" s="1079"/>
      <c r="H1776" s="1079"/>
      <c r="I1776" s="1079"/>
      <c r="J1776" s="1079"/>
      <c r="K1776" s="1079"/>
      <c r="L1776" s="1079"/>
      <c r="M1776" s="1079"/>
      <c r="N1776" s="1079"/>
      <c r="O1776" s="1079"/>
      <c r="P1776" s="1079"/>
      <c r="Q1776" s="1079"/>
      <c r="R1776" s="1079"/>
      <c r="S1776" s="1079"/>
      <c r="T1776" s="1079"/>
      <c r="U1776" s="1079"/>
      <c r="V1776" s="1079"/>
      <c r="W1776" s="1079">
        <v>5.9</v>
      </c>
      <c r="X1776" s="1079">
        <v>4.7</v>
      </c>
      <c r="Y1776" s="1079">
        <v>5.5</v>
      </c>
      <c r="Z1776" s="1079">
        <v>2.7</v>
      </c>
      <c r="AA1776" s="1079">
        <v>7.6</v>
      </c>
      <c r="AB1776" s="1079">
        <v>6.2</v>
      </c>
      <c r="AC1776" s="1079">
        <v>7</v>
      </c>
      <c r="AD1776" s="1080">
        <v>3.4</v>
      </c>
    </row>
    <row r="1777" spans="1:30" x14ac:dyDescent="0.2">
      <c r="A1777">
        <f t="shared" si="61"/>
        <v>48</v>
      </c>
      <c r="B1777">
        <v>1768</v>
      </c>
      <c r="C1777" s="1078">
        <v>3</v>
      </c>
      <c r="D1777" s="1077" t="s">
        <v>3605</v>
      </c>
      <c r="E1777" s="1077" t="s">
        <v>4409</v>
      </c>
      <c r="F1777" s="1079">
        <v>1</v>
      </c>
      <c r="G1777" s="1079"/>
      <c r="H1777" s="1079"/>
      <c r="I1777" s="1079"/>
      <c r="J1777" s="1079"/>
      <c r="K1777" s="1079"/>
      <c r="L1777" s="1079"/>
      <c r="M1777" s="1079"/>
      <c r="N1777" s="1079"/>
      <c r="O1777" s="1079"/>
      <c r="P1777" s="1079"/>
      <c r="Q1777" s="1079"/>
      <c r="R1777" s="1079"/>
      <c r="S1777" s="1079"/>
      <c r="T1777" s="1079"/>
      <c r="U1777" s="1079"/>
      <c r="V1777" s="1079"/>
      <c r="W1777" s="1079">
        <v>5.9</v>
      </c>
      <c r="X1777" s="1079">
        <v>4.7</v>
      </c>
      <c r="Y1777" s="1079">
        <v>5.5</v>
      </c>
      <c r="Z1777" s="1079">
        <v>2.7</v>
      </c>
      <c r="AA1777" s="1079">
        <v>8.1</v>
      </c>
      <c r="AB1777" s="1079">
        <v>6.4</v>
      </c>
      <c r="AC1777" s="1079">
        <v>7.3</v>
      </c>
      <c r="AD1777" s="1080">
        <v>3.6</v>
      </c>
    </row>
    <row r="1778" spans="1:30" x14ac:dyDescent="0.2">
      <c r="A1778">
        <f t="shared" si="61"/>
        <v>48</v>
      </c>
      <c r="B1778">
        <v>1769</v>
      </c>
      <c r="C1778" s="1078">
        <v>3</v>
      </c>
      <c r="D1778" s="1077" t="s">
        <v>3605</v>
      </c>
      <c r="E1778" s="1077" t="s">
        <v>4410</v>
      </c>
      <c r="F1778" s="1079">
        <v>1</v>
      </c>
      <c r="G1778" s="1079"/>
      <c r="H1778" s="1079"/>
      <c r="I1778" s="1079"/>
      <c r="J1778" s="1079"/>
      <c r="K1778" s="1079"/>
      <c r="L1778" s="1079"/>
      <c r="M1778" s="1079"/>
      <c r="N1778" s="1079"/>
      <c r="O1778" s="1079"/>
      <c r="P1778" s="1079"/>
      <c r="Q1778" s="1079"/>
      <c r="R1778" s="1079"/>
      <c r="S1778" s="1079"/>
      <c r="T1778" s="1079"/>
      <c r="U1778" s="1079"/>
      <c r="V1778" s="1079"/>
      <c r="W1778" s="1079">
        <v>6</v>
      </c>
      <c r="X1778" s="1079">
        <v>4.7</v>
      </c>
      <c r="Y1778" s="1079">
        <v>5.6</v>
      </c>
      <c r="Z1778" s="1079">
        <v>2.8</v>
      </c>
      <c r="AA1778" s="1079">
        <v>8.1</v>
      </c>
      <c r="AB1778" s="1079">
        <v>6.3</v>
      </c>
      <c r="AC1778" s="1079">
        <v>7.3</v>
      </c>
      <c r="AD1778" s="1080">
        <v>3.6</v>
      </c>
    </row>
    <row r="1779" spans="1:30" x14ac:dyDescent="0.2">
      <c r="A1779">
        <f t="shared" si="61"/>
        <v>48</v>
      </c>
      <c r="B1779">
        <v>1770</v>
      </c>
      <c r="C1779" s="1078">
        <v>3</v>
      </c>
      <c r="D1779" s="1077" t="s">
        <v>3605</v>
      </c>
      <c r="E1779" s="1077" t="s">
        <v>4411</v>
      </c>
      <c r="F1779" s="1079">
        <v>1</v>
      </c>
      <c r="G1779" s="1079"/>
      <c r="H1779" s="1079"/>
      <c r="I1779" s="1079"/>
      <c r="J1779" s="1079"/>
      <c r="K1779" s="1079"/>
      <c r="L1779" s="1079"/>
      <c r="M1779" s="1079"/>
      <c r="N1779" s="1079"/>
      <c r="O1779" s="1079"/>
      <c r="P1779" s="1079"/>
      <c r="Q1779" s="1079"/>
      <c r="R1779" s="1079"/>
      <c r="S1779" s="1079"/>
      <c r="T1779" s="1079"/>
      <c r="U1779" s="1079"/>
      <c r="V1779" s="1079"/>
      <c r="W1779" s="1079">
        <v>6</v>
      </c>
      <c r="X1779" s="1079">
        <v>4.7</v>
      </c>
      <c r="Y1779" s="1079">
        <v>5.6</v>
      </c>
      <c r="Z1779" s="1079">
        <v>2.8</v>
      </c>
      <c r="AA1779" s="1079">
        <v>9.4</v>
      </c>
      <c r="AB1779" s="1079">
        <v>6.5</v>
      </c>
      <c r="AC1779" s="1079">
        <v>8.5</v>
      </c>
      <c r="AD1779" s="1080">
        <v>3.6</v>
      </c>
    </row>
    <row r="1780" spans="1:30" x14ac:dyDescent="0.2">
      <c r="A1780">
        <f t="shared" si="61"/>
        <v>48</v>
      </c>
      <c r="B1780">
        <v>1771</v>
      </c>
      <c r="C1780" s="1078">
        <v>3</v>
      </c>
      <c r="D1780" s="1077" t="s">
        <v>3605</v>
      </c>
      <c r="E1780" s="1077" t="s">
        <v>4412</v>
      </c>
      <c r="F1780" s="1079">
        <v>1</v>
      </c>
      <c r="G1780" s="1079"/>
      <c r="H1780" s="1079"/>
      <c r="I1780" s="1079"/>
      <c r="J1780" s="1079"/>
      <c r="K1780" s="1079"/>
      <c r="L1780" s="1079"/>
      <c r="M1780" s="1079"/>
      <c r="N1780" s="1079"/>
      <c r="O1780" s="1079"/>
      <c r="P1780" s="1079"/>
      <c r="Q1780" s="1079"/>
      <c r="R1780" s="1079"/>
      <c r="S1780" s="1079"/>
      <c r="T1780" s="1079"/>
      <c r="U1780" s="1079"/>
      <c r="V1780" s="1079"/>
      <c r="W1780" s="1079">
        <v>7.3</v>
      </c>
      <c r="X1780" s="1079">
        <v>4.9000000000000004</v>
      </c>
      <c r="Y1780" s="1079">
        <v>6.6</v>
      </c>
      <c r="Z1780" s="1079">
        <v>2.7</v>
      </c>
      <c r="AA1780" s="1079">
        <v>9.4</v>
      </c>
      <c r="AB1780" s="1079">
        <v>6.5</v>
      </c>
      <c r="AC1780" s="1079">
        <v>8.5</v>
      </c>
      <c r="AD1780" s="1080">
        <v>3.6</v>
      </c>
    </row>
    <row r="1781" spans="1:30" x14ac:dyDescent="0.2">
      <c r="A1781">
        <f t="shared" si="61"/>
        <v>48</v>
      </c>
      <c r="B1781">
        <v>1772</v>
      </c>
      <c r="C1781" s="1078">
        <v>3</v>
      </c>
      <c r="D1781" s="1077" t="s">
        <v>3605</v>
      </c>
      <c r="E1781" s="1077" t="s">
        <v>4413</v>
      </c>
      <c r="F1781" s="1079">
        <v>1</v>
      </c>
      <c r="G1781" s="1079"/>
      <c r="H1781" s="1079"/>
      <c r="I1781" s="1079"/>
      <c r="J1781" s="1079"/>
      <c r="K1781" s="1079"/>
      <c r="L1781" s="1079"/>
      <c r="M1781" s="1079"/>
      <c r="N1781" s="1079"/>
      <c r="O1781" s="1079"/>
      <c r="P1781" s="1079"/>
      <c r="Q1781" s="1079"/>
      <c r="R1781" s="1079"/>
      <c r="S1781" s="1079"/>
      <c r="T1781" s="1079"/>
      <c r="U1781" s="1079"/>
      <c r="V1781" s="1079"/>
      <c r="W1781" s="1079">
        <v>7.3</v>
      </c>
      <c r="X1781" s="1079">
        <v>4.9000000000000004</v>
      </c>
      <c r="Y1781" s="1079">
        <v>6.6</v>
      </c>
      <c r="Z1781" s="1079">
        <v>2.7</v>
      </c>
      <c r="AA1781" s="1079">
        <v>10.5</v>
      </c>
      <c r="AB1781" s="1079">
        <v>6.4</v>
      </c>
      <c r="AC1781" s="1079">
        <v>9.8000000000000007</v>
      </c>
      <c r="AD1781" s="1080">
        <v>3.6</v>
      </c>
    </row>
    <row r="1782" spans="1:30" x14ac:dyDescent="0.2">
      <c r="A1782">
        <f t="shared" si="61"/>
        <v>48</v>
      </c>
      <c r="B1782">
        <v>1773</v>
      </c>
      <c r="C1782" s="1078">
        <v>3</v>
      </c>
      <c r="D1782" s="1077" t="s">
        <v>3605</v>
      </c>
      <c r="E1782" s="1077" t="s">
        <v>4414</v>
      </c>
      <c r="F1782" s="1079">
        <v>1</v>
      </c>
      <c r="G1782" s="1079"/>
      <c r="H1782" s="1079"/>
      <c r="I1782" s="1079"/>
      <c r="J1782" s="1079"/>
      <c r="K1782" s="1079"/>
      <c r="L1782" s="1079"/>
      <c r="M1782" s="1079"/>
      <c r="N1782" s="1079"/>
      <c r="O1782" s="1079"/>
      <c r="P1782" s="1079"/>
      <c r="Q1782" s="1079"/>
      <c r="R1782" s="1079"/>
      <c r="S1782" s="1079"/>
      <c r="T1782" s="1079"/>
      <c r="U1782" s="1079"/>
      <c r="V1782" s="1079"/>
      <c r="W1782" s="1079">
        <v>7.9</v>
      </c>
      <c r="X1782" s="1079">
        <v>4.9000000000000004</v>
      </c>
      <c r="Y1782" s="1079">
        <v>7.4</v>
      </c>
      <c r="Z1782" s="1079">
        <v>2.9</v>
      </c>
      <c r="AA1782" s="1079">
        <v>10.5</v>
      </c>
      <c r="AB1782" s="1079">
        <v>6.4</v>
      </c>
      <c r="AC1782" s="1079">
        <v>9.5</v>
      </c>
      <c r="AD1782" s="1080">
        <v>3.6</v>
      </c>
    </row>
    <row r="1783" spans="1:30" x14ac:dyDescent="0.2">
      <c r="A1783">
        <f t="shared" si="61"/>
        <v>48</v>
      </c>
      <c r="B1783">
        <v>1774</v>
      </c>
      <c r="C1783" s="1078">
        <v>3</v>
      </c>
      <c r="D1783" s="1077" t="s">
        <v>3605</v>
      </c>
      <c r="E1783" s="1077" t="s">
        <v>4415</v>
      </c>
      <c r="F1783" s="1079">
        <v>1</v>
      </c>
      <c r="G1783" s="1079"/>
      <c r="H1783" s="1079"/>
      <c r="I1783" s="1079"/>
      <c r="J1783" s="1079"/>
      <c r="K1783" s="1079"/>
      <c r="L1783" s="1079"/>
      <c r="M1783" s="1079"/>
      <c r="N1783" s="1079"/>
      <c r="O1783" s="1079"/>
      <c r="P1783" s="1079"/>
      <c r="Q1783" s="1079"/>
      <c r="R1783" s="1079"/>
      <c r="S1783" s="1079"/>
      <c r="T1783" s="1079"/>
      <c r="U1783" s="1079"/>
      <c r="V1783" s="1079"/>
      <c r="W1783" s="1079">
        <v>7.9</v>
      </c>
      <c r="X1783" s="1079">
        <v>4.9000000000000004</v>
      </c>
      <c r="Y1783" s="1079">
        <v>7.4</v>
      </c>
      <c r="Z1783" s="1079">
        <v>2.9</v>
      </c>
      <c r="AA1783" s="1079">
        <v>11.8</v>
      </c>
      <c r="AB1783" s="1079">
        <v>6.5</v>
      </c>
      <c r="AC1783" s="1079">
        <v>10.7</v>
      </c>
      <c r="AD1783" s="1080">
        <v>3.7</v>
      </c>
    </row>
    <row r="1784" spans="1:30" x14ac:dyDescent="0.2">
      <c r="A1784">
        <f t="shared" si="61"/>
        <v>48</v>
      </c>
      <c r="B1784">
        <v>1775</v>
      </c>
      <c r="C1784" s="1078">
        <v>2</v>
      </c>
      <c r="D1784" s="1077" t="s">
        <v>3605</v>
      </c>
      <c r="E1784" s="1077" t="s">
        <v>4416</v>
      </c>
      <c r="F1784" s="1079">
        <v>1</v>
      </c>
      <c r="G1784" s="1079"/>
      <c r="H1784" s="1079"/>
      <c r="I1784" s="1079"/>
      <c r="J1784" s="1079"/>
      <c r="K1784" s="1079"/>
      <c r="L1784" s="1079"/>
      <c r="M1784" s="1079"/>
      <c r="N1784" s="1079"/>
      <c r="O1784" s="1079"/>
      <c r="P1784" s="1079"/>
      <c r="Q1784" s="1079"/>
      <c r="R1784" s="1079"/>
      <c r="S1784" s="1079"/>
      <c r="T1784" s="1079"/>
      <c r="U1784" s="1079"/>
      <c r="V1784" s="1079"/>
      <c r="W1784" s="1079">
        <v>9.1999999999999993</v>
      </c>
      <c r="X1784" s="1079">
        <v>5</v>
      </c>
      <c r="Y1784" s="1079">
        <v>8.5</v>
      </c>
      <c r="Z1784" s="1079">
        <v>2.8</v>
      </c>
      <c r="AA1784" s="1079">
        <v>11.8</v>
      </c>
      <c r="AB1784" s="1079">
        <v>6.5</v>
      </c>
      <c r="AC1784" s="1079">
        <v>10.7</v>
      </c>
      <c r="AD1784" s="1080">
        <v>3.7</v>
      </c>
    </row>
    <row r="1785" spans="1:30" x14ac:dyDescent="0.2">
      <c r="A1785">
        <f t="shared" si="61"/>
        <v>48</v>
      </c>
      <c r="B1785">
        <v>1776</v>
      </c>
      <c r="C1785" s="1078">
        <v>2</v>
      </c>
      <c r="D1785" s="1077" t="s">
        <v>3605</v>
      </c>
      <c r="E1785" s="1077" t="s">
        <v>4417</v>
      </c>
      <c r="F1785" s="1079">
        <v>1</v>
      </c>
      <c r="G1785" s="1079"/>
      <c r="H1785" s="1079"/>
      <c r="I1785" s="1079"/>
      <c r="J1785" s="1079"/>
      <c r="K1785" s="1079"/>
      <c r="L1785" s="1079"/>
      <c r="M1785" s="1079"/>
      <c r="N1785" s="1079"/>
      <c r="O1785" s="1079"/>
      <c r="P1785" s="1079"/>
      <c r="Q1785" s="1079"/>
      <c r="R1785" s="1079"/>
      <c r="S1785" s="1079"/>
      <c r="T1785" s="1079"/>
      <c r="U1785" s="1079"/>
      <c r="V1785" s="1079"/>
      <c r="W1785" s="1079">
        <v>9.1999999999999993</v>
      </c>
      <c r="X1785" s="1079">
        <v>5</v>
      </c>
      <c r="Y1785" s="1079">
        <v>8.5</v>
      </c>
      <c r="Z1785" s="1079">
        <v>2.8</v>
      </c>
      <c r="AA1785" s="1079">
        <v>13.3</v>
      </c>
      <c r="AB1785" s="1079">
        <v>6.5</v>
      </c>
      <c r="AC1785" s="1079">
        <v>11.9</v>
      </c>
      <c r="AD1785" s="1080">
        <v>3.5</v>
      </c>
    </row>
    <row r="1786" spans="1:30" x14ac:dyDescent="0.2">
      <c r="A1786">
        <f t="shared" si="61"/>
        <v>48</v>
      </c>
      <c r="B1786">
        <v>1777</v>
      </c>
      <c r="C1786" s="1078">
        <v>2</v>
      </c>
      <c r="D1786" s="1077" t="s">
        <v>3605</v>
      </c>
      <c r="E1786" s="1077" t="s">
        <v>4418</v>
      </c>
      <c r="F1786" s="1079">
        <v>1</v>
      </c>
      <c r="G1786" s="1079"/>
      <c r="H1786" s="1079"/>
      <c r="I1786" s="1079"/>
      <c r="J1786" s="1079"/>
      <c r="K1786" s="1079"/>
      <c r="L1786" s="1079"/>
      <c r="M1786" s="1079"/>
      <c r="N1786" s="1079"/>
      <c r="O1786" s="1079"/>
      <c r="P1786" s="1079"/>
      <c r="Q1786" s="1079"/>
      <c r="R1786" s="1079"/>
      <c r="S1786" s="1079"/>
      <c r="T1786" s="1079"/>
      <c r="U1786" s="1079"/>
      <c r="V1786" s="1079"/>
      <c r="W1786" s="1079">
        <v>10.3</v>
      </c>
      <c r="X1786" s="1079">
        <v>4.9000000000000004</v>
      </c>
      <c r="Y1786" s="1079">
        <v>9.3000000000000007</v>
      </c>
      <c r="Z1786" s="1079">
        <v>2.7</v>
      </c>
      <c r="AA1786" s="1079">
        <v>13.3</v>
      </c>
      <c r="AB1786" s="1079">
        <v>6.5</v>
      </c>
      <c r="AC1786" s="1079">
        <v>11.9</v>
      </c>
      <c r="AD1786" s="1080">
        <v>3.5</v>
      </c>
    </row>
    <row r="1787" spans="1:30" x14ac:dyDescent="0.2">
      <c r="A1787">
        <f t="shared" si="61"/>
        <v>48</v>
      </c>
      <c r="B1787">
        <v>1778</v>
      </c>
      <c r="C1787" s="1078">
        <v>3</v>
      </c>
      <c r="D1787" s="1077" t="s">
        <v>3605</v>
      </c>
      <c r="E1787" s="1077" t="s">
        <v>4419</v>
      </c>
      <c r="F1787" s="1079">
        <v>1</v>
      </c>
      <c r="G1787" s="1079"/>
      <c r="H1787" s="1079"/>
      <c r="I1787" s="1079"/>
      <c r="J1787" s="1079"/>
      <c r="K1787" s="1079"/>
      <c r="L1787" s="1079"/>
      <c r="M1787" s="1079"/>
      <c r="N1787" s="1079"/>
      <c r="O1787" s="1079"/>
      <c r="P1787" s="1079"/>
      <c r="Q1787" s="1079"/>
      <c r="R1787" s="1079"/>
      <c r="S1787" s="1079"/>
      <c r="T1787" s="1079"/>
      <c r="U1787" s="1079"/>
      <c r="V1787" s="1079"/>
      <c r="W1787" s="1079">
        <v>10.3</v>
      </c>
      <c r="X1787" s="1079">
        <v>4.9000000000000004</v>
      </c>
      <c r="Y1787" s="1079">
        <v>9.3000000000000007</v>
      </c>
      <c r="Z1787" s="1079">
        <v>2.7</v>
      </c>
      <c r="AA1787" s="1079">
        <v>14</v>
      </c>
      <c r="AB1787" s="1079">
        <v>6.5</v>
      </c>
      <c r="AC1787" s="1079">
        <v>12.6</v>
      </c>
      <c r="AD1787" s="1080">
        <v>3.7</v>
      </c>
    </row>
    <row r="1788" spans="1:30" x14ac:dyDescent="0.2">
      <c r="A1788">
        <f t="shared" si="61"/>
        <v>48</v>
      </c>
      <c r="B1788">
        <v>1779</v>
      </c>
      <c r="C1788" s="1078">
        <v>4</v>
      </c>
      <c r="D1788" s="1077" t="s">
        <v>3605</v>
      </c>
      <c r="E1788" s="1077" t="s">
        <v>4420</v>
      </c>
      <c r="F1788" s="1079">
        <v>1</v>
      </c>
      <c r="G1788" s="1079"/>
      <c r="H1788" s="1079"/>
      <c r="I1788" s="1079"/>
      <c r="J1788" s="1079"/>
      <c r="K1788" s="1079"/>
      <c r="L1788" s="1079"/>
      <c r="M1788" s="1079"/>
      <c r="N1788" s="1079"/>
      <c r="O1788" s="1079"/>
      <c r="P1788" s="1079"/>
      <c r="Q1788" s="1079"/>
      <c r="R1788" s="1079"/>
      <c r="S1788" s="1079"/>
      <c r="T1788" s="1079"/>
      <c r="U1788" s="1079"/>
      <c r="V1788" s="1079"/>
      <c r="W1788" s="1079">
        <v>10.6</v>
      </c>
      <c r="X1788" s="1079">
        <v>5.0999999999999996</v>
      </c>
      <c r="Y1788" s="1079">
        <v>9.1999999999999993</v>
      </c>
      <c r="Z1788" s="1079">
        <v>2.8</v>
      </c>
      <c r="AA1788" s="1079">
        <v>14</v>
      </c>
      <c r="AB1788" s="1079">
        <v>6.5</v>
      </c>
      <c r="AC1788" s="1079">
        <v>12.5</v>
      </c>
      <c r="AD1788" s="1080">
        <v>3.8</v>
      </c>
    </row>
    <row r="1789" spans="1:30" x14ac:dyDescent="0.2">
      <c r="A1789">
        <f t="shared" si="61"/>
        <v>48</v>
      </c>
      <c r="B1789">
        <v>1780</v>
      </c>
      <c r="C1789" s="1078">
        <v>3</v>
      </c>
      <c r="D1789" s="1077" t="s">
        <v>3605</v>
      </c>
      <c r="E1789" s="1077" t="s">
        <v>4421</v>
      </c>
      <c r="F1789" s="1079">
        <v>1</v>
      </c>
      <c r="G1789" s="1079"/>
      <c r="H1789" s="1079"/>
      <c r="I1789" s="1079"/>
      <c r="J1789" s="1079"/>
      <c r="K1789" s="1079"/>
      <c r="L1789" s="1079"/>
      <c r="M1789" s="1079"/>
      <c r="N1789" s="1079"/>
      <c r="O1789" s="1079"/>
      <c r="P1789" s="1079"/>
      <c r="Q1789" s="1079"/>
      <c r="R1789" s="1079"/>
      <c r="S1789" s="1079"/>
      <c r="T1789" s="1079"/>
      <c r="U1789" s="1079"/>
      <c r="V1789" s="1079"/>
      <c r="W1789" s="1079">
        <v>10.6</v>
      </c>
      <c r="X1789" s="1079">
        <v>5.0999999999999996</v>
      </c>
      <c r="Y1789" s="1079">
        <v>9</v>
      </c>
      <c r="Z1789" s="1079">
        <v>2.7</v>
      </c>
      <c r="AA1789" s="1079">
        <v>17.100000000000001</v>
      </c>
      <c r="AB1789" s="1079">
        <v>6.7</v>
      </c>
      <c r="AC1789" s="1079">
        <v>15.5</v>
      </c>
      <c r="AD1789" s="1080">
        <v>3.7</v>
      </c>
    </row>
    <row r="1790" spans="1:30" x14ac:dyDescent="0.2">
      <c r="A1790">
        <f t="shared" si="61"/>
        <v>48</v>
      </c>
      <c r="B1790">
        <v>1781</v>
      </c>
      <c r="C1790" s="1078">
        <v>3</v>
      </c>
      <c r="D1790" s="1077" t="s">
        <v>3605</v>
      </c>
      <c r="E1790" s="1077" t="s">
        <v>4422</v>
      </c>
      <c r="F1790" s="1079">
        <v>1</v>
      </c>
      <c r="G1790" s="1079"/>
      <c r="H1790" s="1079"/>
      <c r="I1790" s="1079"/>
      <c r="J1790" s="1079"/>
      <c r="K1790" s="1079"/>
      <c r="L1790" s="1079"/>
      <c r="M1790" s="1079"/>
      <c r="N1790" s="1079"/>
      <c r="O1790" s="1079"/>
      <c r="P1790" s="1079"/>
      <c r="Q1790" s="1079"/>
      <c r="R1790" s="1079"/>
      <c r="S1790" s="1079"/>
      <c r="T1790" s="1079"/>
      <c r="U1790" s="1079"/>
      <c r="V1790" s="1079"/>
      <c r="W1790" s="1079">
        <v>13.3</v>
      </c>
      <c r="X1790" s="1079">
        <v>5</v>
      </c>
      <c r="Y1790" s="1079">
        <v>12.3</v>
      </c>
      <c r="Z1790" s="1079">
        <v>2.8</v>
      </c>
      <c r="AA1790" s="1079">
        <v>17.100000000000001</v>
      </c>
      <c r="AB1790" s="1079">
        <v>6.7</v>
      </c>
      <c r="AC1790" s="1079">
        <v>15.5</v>
      </c>
      <c r="AD1790" s="1080">
        <v>3.7</v>
      </c>
    </row>
    <row r="1791" spans="1:30" x14ac:dyDescent="0.2">
      <c r="A1791">
        <f t="shared" si="61"/>
        <v>48</v>
      </c>
      <c r="B1791">
        <v>1782</v>
      </c>
      <c r="C1791" s="1078">
        <v>3</v>
      </c>
      <c r="D1791" s="1077" t="s">
        <v>3605</v>
      </c>
      <c r="E1791" s="1077" t="s">
        <v>4423</v>
      </c>
      <c r="F1791" s="1079">
        <v>1</v>
      </c>
      <c r="G1791" s="1079"/>
      <c r="H1791" s="1079"/>
      <c r="I1791" s="1079"/>
      <c r="J1791" s="1079"/>
      <c r="K1791" s="1079"/>
      <c r="L1791" s="1079"/>
      <c r="M1791" s="1079"/>
      <c r="N1791" s="1079"/>
      <c r="O1791" s="1079"/>
      <c r="P1791" s="1079"/>
      <c r="Q1791" s="1079"/>
      <c r="R1791" s="1079"/>
      <c r="S1791" s="1079"/>
      <c r="T1791" s="1079"/>
      <c r="U1791" s="1079"/>
      <c r="V1791" s="1079"/>
      <c r="W1791" s="1079">
        <v>13.8</v>
      </c>
      <c r="X1791" s="1079">
        <v>5</v>
      </c>
      <c r="Y1791" s="1079">
        <v>12.8</v>
      </c>
      <c r="Z1791" s="1079">
        <v>3</v>
      </c>
      <c r="AA1791" s="1079">
        <v>18</v>
      </c>
      <c r="AB1791" s="1079">
        <v>6.3</v>
      </c>
      <c r="AC1791" s="1079">
        <v>16.3</v>
      </c>
      <c r="AD1791" s="1080">
        <v>3.7</v>
      </c>
    </row>
    <row r="1792" spans="1:30" x14ac:dyDescent="0.2">
      <c r="A1792">
        <f t="shared" si="61"/>
        <v>48</v>
      </c>
      <c r="B1792">
        <v>1783</v>
      </c>
      <c r="C1792" s="1078">
        <v>3</v>
      </c>
      <c r="D1792" s="1077" t="s">
        <v>3605</v>
      </c>
      <c r="E1792" s="1077" t="s">
        <v>4424</v>
      </c>
      <c r="F1792" s="1079">
        <v>1</v>
      </c>
      <c r="G1792" s="1079"/>
      <c r="H1792" s="1079"/>
      <c r="I1792" s="1079"/>
      <c r="J1792" s="1079"/>
      <c r="K1792" s="1079"/>
      <c r="L1792" s="1079"/>
      <c r="M1792" s="1079"/>
      <c r="N1792" s="1079"/>
      <c r="O1792" s="1079"/>
      <c r="P1792" s="1079"/>
      <c r="Q1792" s="1079"/>
      <c r="R1792" s="1079"/>
      <c r="S1792" s="1079"/>
      <c r="T1792" s="1079"/>
      <c r="U1792" s="1079"/>
      <c r="V1792" s="1079"/>
      <c r="W1792" s="1079">
        <v>13.8</v>
      </c>
      <c r="X1792" s="1079">
        <v>5</v>
      </c>
      <c r="Y1792" s="1079">
        <v>12.8</v>
      </c>
      <c r="Z1792" s="1079">
        <v>3</v>
      </c>
      <c r="AA1792" s="1079">
        <v>18</v>
      </c>
      <c r="AB1792" s="1079">
        <v>6.3</v>
      </c>
      <c r="AC1792" s="1079">
        <v>16.3</v>
      </c>
      <c r="AD1792" s="1080">
        <v>3.7</v>
      </c>
    </row>
    <row r="1793" spans="1:30" x14ac:dyDescent="0.2">
      <c r="A1793">
        <f t="shared" si="61"/>
        <v>48</v>
      </c>
      <c r="B1793">
        <v>1784</v>
      </c>
      <c r="C1793" s="1078">
        <v>3</v>
      </c>
      <c r="D1793" s="1077" t="s">
        <v>3605</v>
      </c>
      <c r="E1793" s="1077" t="s">
        <v>4425</v>
      </c>
      <c r="F1793" s="1079">
        <v>1</v>
      </c>
      <c r="G1793" s="1079"/>
      <c r="H1793" s="1079"/>
      <c r="I1793" s="1079"/>
      <c r="J1793" s="1079"/>
      <c r="K1793" s="1079"/>
      <c r="L1793" s="1079"/>
      <c r="M1793" s="1079"/>
      <c r="N1793" s="1079"/>
      <c r="O1793" s="1079"/>
      <c r="P1793" s="1079"/>
      <c r="Q1793" s="1079"/>
      <c r="R1793" s="1079"/>
      <c r="S1793" s="1079"/>
      <c r="T1793" s="1079"/>
      <c r="U1793" s="1079"/>
      <c r="V1793" s="1079"/>
      <c r="W1793" s="1079">
        <v>15</v>
      </c>
      <c r="X1793" s="1079">
        <v>4.7</v>
      </c>
      <c r="Y1793" s="1079">
        <v>13.7</v>
      </c>
      <c r="Z1793" s="1079">
        <v>2.8</v>
      </c>
      <c r="AA1793" s="1079">
        <v>19.2</v>
      </c>
      <c r="AB1793" s="1079">
        <v>6.2</v>
      </c>
      <c r="AC1793" s="1079">
        <v>17.399999999999999</v>
      </c>
      <c r="AD1793" s="1080">
        <v>3.6</v>
      </c>
    </row>
    <row r="1794" spans="1:30" x14ac:dyDescent="0.2">
      <c r="A1794">
        <f t="shared" si="61"/>
        <v>48</v>
      </c>
      <c r="B1794">
        <v>1785</v>
      </c>
      <c r="C1794" s="1078">
        <v>3</v>
      </c>
      <c r="D1794" s="1077" t="s">
        <v>3605</v>
      </c>
      <c r="E1794" s="1077" t="s">
        <v>4426</v>
      </c>
      <c r="F1794" s="1079">
        <v>1</v>
      </c>
      <c r="G1794" s="1079"/>
      <c r="H1794" s="1079"/>
      <c r="I1794" s="1079"/>
      <c r="J1794" s="1079"/>
      <c r="K1794" s="1079"/>
      <c r="L1794" s="1079"/>
      <c r="M1794" s="1079"/>
      <c r="N1794" s="1079"/>
      <c r="O1794" s="1079"/>
      <c r="P1794" s="1079"/>
      <c r="Q1794" s="1079"/>
      <c r="R1794" s="1079"/>
      <c r="S1794" s="1079"/>
      <c r="T1794" s="1079"/>
      <c r="U1794" s="1079"/>
      <c r="V1794" s="1079"/>
      <c r="W1794" s="1079">
        <v>15</v>
      </c>
      <c r="X1794" s="1079">
        <v>4.7</v>
      </c>
      <c r="Y1794" s="1079">
        <v>13.7</v>
      </c>
      <c r="Z1794" s="1079">
        <v>2.8</v>
      </c>
      <c r="AA1794" s="1079">
        <v>19.2</v>
      </c>
      <c r="AB1794" s="1079">
        <v>6.2</v>
      </c>
      <c r="AC1794" s="1079">
        <v>17.399999999999999</v>
      </c>
      <c r="AD1794" s="1080">
        <v>3.6</v>
      </c>
    </row>
    <row r="1795" spans="1:30" x14ac:dyDescent="0.2">
      <c r="A1795">
        <f t="shared" si="61"/>
        <v>48</v>
      </c>
      <c r="B1795">
        <v>1786</v>
      </c>
      <c r="C1795" s="1078">
        <v>3</v>
      </c>
      <c r="D1795" s="1077" t="s">
        <v>3605</v>
      </c>
      <c r="E1795" s="1077" t="s">
        <v>4427</v>
      </c>
      <c r="F1795" s="1079">
        <v>1</v>
      </c>
      <c r="G1795" s="1079"/>
      <c r="H1795" s="1079"/>
      <c r="I1795" s="1079"/>
      <c r="J1795" s="1079"/>
      <c r="K1795" s="1079"/>
      <c r="L1795" s="1079"/>
      <c r="M1795" s="1079"/>
      <c r="N1795" s="1079"/>
      <c r="O1795" s="1079"/>
      <c r="P1795" s="1079"/>
      <c r="Q1795" s="1079"/>
      <c r="R1795" s="1079"/>
      <c r="S1795" s="1079"/>
      <c r="T1795" s="1079"/>
      <c r="U1795" s="1079"/>
      <c r="V1795" s="1079"/>
      <c r="W1795" s="1079">
        <v>17.399999999999999</v>
      </c>
      <c r="X1795" s="1079">
        <v>4.8</v>
      </c>
      <c r="Y1795" s="1079">
        <v>16.2</v>
      </c>
      <c r="Z1795" s="1079">
        <v>2.8</v>
      </c>
      <c r="AA1795" s="1079">
        <v>22.2</v>
      </c>
      <c r="AB1795" s="1079">
        <v>6.1</v>
      </c>
      <c r="AC1795" s="1079">
        <v>20.2</v>
      </c>
      <c r="AD1795" s="1080">
        <v>3.5</v>
      </c>
    </row>
    <row r="1796" spans="1:30" x14ac:dyDescent="0.2">
      <c r="A1796">
        <f t="shared" si="61"/>
        <v>48</v>
      </c>
      <c r="B1796">
        <v>1787</v>
      </c>
      <c r="C1796" s="1078">
        <v>3</v>
      </c>
      <c r="D1796" s="1077" t="s">
        <v>3605</v>
      </c>
      <c r="E1796" s="1077" t="s">
        <v>4428</v>
      </c>
      <c r="F1796" s="1079">
        <v>1</v>
      </c>
      <c r="G1796" s="1079"/>
      <c r="H1796" s="1079"/>
      <c r="I1796" s="1079"/>
      <c r="J1796" s="1079"/>
      <c r="K1796" s="1079"/>
      <c r="L1796" s="1079"/>
      <c r="M1796" s="1079"/>
      <c r="N1796" s="1079"/>
      <c r="O1796" s="1079"/>
      <c r="P1796" s="1079"/>
      <c r="Q1796" s="1079"/>
      <c r="R1796" s="1079"/>
      <c r="S1796" s="1079"/>
      <c r="T1796" s="1079"/>
      <c r="U1796" s="1079"/>
      <c r="V1796" s="1079"/>
      <c r="W1796" s="1079">
        <v>17.399999999999999</v>
      </c>
      <c r="X1796" s="1079">
        <v>4.8</v>
      </c>
      <c r="Y1796" s="1079">
        <v>16.2</v>
      </c>
      <c r="Z1796" s="1079">
        <v>2.8</v>
      </c>
      <c r="AA1796" s="1079">
        <v>22.2</v>
      </c>
      <c r="AB1796" s="1079">
        <v>6.1</v>
      </c>
      <c r="AC1796" s="1079">
        <v>20.2</v>
      </c>
      <c r="AD1796" s="1080">
        <v>3.5</v>
      </c>
    </row>
    <row r="1797" spans="1:30" x14ac:dyDescent="0.2">
      <c r="A1797">
        <f t="shared" si="61"/>
        <v>48</v>
      </c>
      <c r="B1797">
        <v>1788</v>
      </c>
      <c r="C1797" s="1078">
        <v>3</v>
      </c>
      <c r="D1797" s="1077" t="s">
        <v>3605</v>
      </c>
      <c r="E1797" s="1077" t="s">
        <v>4429</v>
      </c>
      <c r="F1797" s="1079">
        <v>1</v>
      </c>
      <c r="G1797" s="1079"/>
      <c r="H1797" s="1079"/>
      <c r="I1797" s="1079"/>
      <c r="J1797" s="1079"/>
      <c r="K1797" s="1079"/>
      <c r="L1797" s="1079"/>
      <c r="M1797" s="1079"/>
      <c r="N1797" s="1079"/>
      <c r="O1797" s="1079"/>
      <c r="P1797" s="1079"/>
      <c r="Q1797" s="1079"/>
      <c r="R1797" s="1079"/>
      <c r="S1797" s="1079"/>
      <c r="T1797" s="1079"/>
      <c r="U1797" s="1079"/>
      <c r="V1797" s="1079"/>
      <c r="W1797" s="1079">
        <v>19.7</v>
      </c>
      <c r="X1797" s="1079">
        <v>4.8</v>
      </c>
      <c r="Y1797" s="1079">
        <v>18.399999999999999</v>
      </c>
      <c r="Z1797" s="1079">
        <v>2.8</v>
      </c>
      <c r="AA1797" s="1079">
        <v>25.1</v>
      </c>
      <c r="AB1797" s="1079">
        <v>6</v>
      </c>
      <c r="AC1797" s="1079">
        <v>23</v>
      </c>
      <c r="AD1797" s="1080">
        <v>3.4</v>
      </c>
    </row>
    <row r="1798" spans="1:30" x14ac:dyDescent="0.2">
      <c r="A1798">
        <f t="shared" si="61"/>
        <v>48</v>
      </c>
      <c r="B1798">
        <v>1789</v>
      </c>
      <c r="C1798" s="1078">
        <v>3</v>
      </c>
      <c r="D1798" s="1077" t="s">
        <v>3605</v>
      </c>
      <c r="E1798" s="1077" t="s">
        <v>4430</v>
      </c>
      <c r="F1798" s="1079">
        <v>1</v>
      </c>
      <c r="G1798" s="1079"/>
      <c r="H1798" s="1079"/>
      <c r="I1798" s="1079"/>
      <c r="J1798" s="1079"/>
      <c r="K1798" s="1079"/>
      <c r="L1798" s="1079"/>
      <c r="M1798" s="1079"/>
      <c r="N1798" s="1079"/>
      <c r="O1798" s="1079"/>
      <c r="P1798" s="1079"/>
      <c r="Q1798" s="1079"/>
      <c r="R1798" s="1079"/>
      <c r="S1798" s="1079"/>
      <c r="T1798" s="1079"/>
      <c r="U1798" s="1079"/>
      <c r="V1798" s="1079"/>
      <c r="W1798" s="1079">
        <v>19.7</v>
      </c>
      <c r="X1798" s="1079">
        <v>4.8</v>
      </c>
      <c r="Y1798" s="1079">
        <v>18.399999999999999</v>
      </c>
      <c r="Z1798" s="1079">
        <v>2.8</v>
      </c>
      <c r="AA1798" s="1079">
        <v>26.3</v>
      </c>
      <c r="AB1798" s="1079">
        <v>6</v>
      </c>
      <c r="AC1798" s="1079">
        <v>23</v>
      </c>
      <c r="AD1798" s="1080">
        <v>3.4</v>
      </c>
    </row>
    <row r="1799" spans="1:30" x14ac:dyDescent="0.2">
      <c r="A1799">
        <f t="shared" si="61"/>
        <v>49</v>
      </c>
      <c r="B1799">
        <v>1790</v>
      </c>
      <c r="C1799" s="1078">
        <v>2</v>
      </c>
      <c r="D1799" s="1077" t="s">
        <v>4673</v>
      </c>
      <c r="E1799" s="1077" t="s">
        <v>5377</v>
      </c>
      <c r="F1799" s="1079">
        <v>4</v>
      </c>
      <c r="G1799" s="1186">
        <v>6.56</v>
      </c>
      <c r="H1799" s="1186">
        <v>2.5299999999999998</v>
      </c>
      <c r="I1799" s="1186">
        <v>7.8</v>
      </c>
      <c r="J1799" s="1186">
        <v>3.1</v>
      </c>
      <c r="K1799" s="1186">
        <v>4.9000000000000004</v>
      </c>
      <c r="L1799" s="1186">
        <v>4.3</v>
      </c>
      <c r="M1799" s="1186">
        <v>4.9000000000000004</v>
      </c>
      <c r="N1799" s="1186">
        <v>5</v>
      </c>
      <c r="O1799" s="1186">
        <v>5.0199999999999996</v>
      </c>
      <c r="P1799" s="1186">
        <v>6.62</v>
      </c>
      <c r="Q1799" s="1186">
        <v>7.7</v>
      </c>
      <c r="R1799" s="1186">
        <v>2.2999999999999998</v>
      </c>
      <c r="S1799" s="1186">
        <v>4.9000000000000004</v>
      </c>
      <c r="T1799" s="1186">
        <v>3.2</v>
      </c>
      <c r="U1799" s="1186">
        <v>5.14</v>
      </c>
      <c r="V1799" s="1186">
        <v>3.84</v>
      </c>
      <c r="W1799" s="1079"/>
      <c r="X1799" s="1079"/>
      <c r="Y1799" s="1079"/>
      <c r="Z1799" s="1079"/>
      <c r="AA1799" s="1079"/>
      <c r="AB1799" s="1079"/>
      <c r="AC1799" s="1079"/>
      <c r="AD1799" s="1080"/>
    </row>
    <row r="1800" spans="1:30" x14ac:dyDescent="0.2">
      <c r="A1800">
        <f t="shared" si="61"/>
        <v>49</v>
      </c>
      <c r="B1800">
        <v>1791</v>
      </c>
      <c r="C1800" s="1078">
        <v>2</v>
      </c>
      <c r="D1800" s="1077" t="s">
        <v>4673</v>
      </c>
      <c r="E1800" s="1077" t="s">
        <v>5378</v>
      </c>
      <c r="F1800" s="1079">
        <v>4</v>
      </c>
      <c r="G1800" s="1186">
        <v>12.28</v>
      </c>
      <c r="H1800" s="1186">
        <v>2.78</v>
      </c>
      <c r="I1800" s="1186">
        <v>13.9</v>
      </c>
      <c r="J1800" s="1186">
        <v>3.1</v>
      </c>
      <c r="K1800" s="1186">
        <v>9.9</v>
      </c>
      <c r="L1800" s="1186">
        <v>4.4000000000000004</v>
      </c>
      <c r="M1800" s="1186">
        <v>9.9</v>
      </c>
      <c r="N1800" s="1186">
        <v>5.2</v>
      </c>
      <c r="O1800" s="1186">
        <v>9.7420000000000009</v>
      </c>
      <c r="P1800" s="1186">
        <v>7.29</v>
      </c>
      <c r="Q1800" s="1186">
        <v>15.4</v>
      </c>
      <c r="R1800" s="1186">
        <v>2.5</v>
      </c>
      <c r="S1800" s="1186">
        <v>9.8000000000000007</v>
      </c>
      <c r="T1800" s="1186">
        <v>3.3</v>
      </c>
      <c r="U1800" s="1186">
        <v>11.1</v>
      </c>
      <c r="V1800" s="1186">
        <v>4.2699999999999996</v>
      </c>
      <c r="W1800" s="1079"/>
      <c r="X1800" s="1079"/>
      <c r="Y1800" s="1079"/>
      <c r="Z1800" s="1079"/>
      <c r="AA1800" s="1079"/>
      <c r="AB1800" s="1079"/>
      <c r="AC1800" s="1079"/>
      <c r="AD1800" s="1080"/>
    </row>
    <row r="1801" spans="1:30" x14ac:dyDescent="0.2">
      <c r="A1801">
        <f t="shared" si="61"/>
        <v>49</v>
      </c>
      <c r="B1801">
        <v>1792</v>
      </c>
      <c r="C1801" s="1078">
        <v>2</v>
      </c>
      <c r="D1801" s="1077" t="s">
        <v>4673</v>
      </c>
      <c r="E1801" s="1077" t="s">
        <v>5379</v>
      </c>
      <c r="F1801" s="1079">
        <v>4</v>
      </c>
      <c r="G1801" s="1186">
        <v>3.51</v>
      </c>
      <c r="H1801" s="1186">
        <v>2.39</v>
      </c>
      <c r="I1801" s="1186">
        <v>4.68</v>
      </c>
      <c r="J1801" s="1186">
        <v>3.15</v>
      </c>
      <c r="K1801" s="1186">
        <v>3.58</v>
      </c>
      <c r="L1801" s="1186">
        <v>4.13</v>
      </c>
      <c r="M1801" s="1186">
        <v>3.35</v>
      </c>
      <c r="N1801" s="1186">
        <v>4.95</v>
      </c>
      <c r="O1801" s="1186">
        <v>2.1</v>
      </c>
      <c r="P1801" s="1186">
        <v>5.43</v>
      </c>
      <c r="Q1801" s="1186">
        <v>3.87</v>
      </c>
      <c r="R1801" s="1186">
        <v>1.82</v>
      </c>
      <c r="S1801" s="1186">
        <v>4.91</v>
      </c>
      <c r="T1801" s="1186">
        <v>2.94</v>
      </c>
      <c r="U1801" s="1186">
        <v>1.99</v>
      </c>
      <c r="V1801" s="1186">
        <v>3.22</v>
      </c>
      <c r="W1801" s="1079"/>
      <c r="X1801" s="1079"/>
      <c r="Y1801" s="1079"/>
      <c r="Z1801" s="1079"/>
      <c r="AA1801" s="1079"/>
      <c r="AB1801" s="1079"/>
      <c r="AC1801" s="1079"/>
      <c r="AD1801" s="1080"/>
    </row>
    <row r="1802" spans="1:30" x14ac:dyDescent="0.2">
      <c r="A1802">
        <f t="shared" si="61"/>
        <v>49</v>
      </c>
      <c r="B1802">
        <v>1793</v>
      </c>
      <c r="C1802" s="1078">
        <v>2</v>
      </c>
      <c r="D1802" s="1077" t="s">
        <v>4673</v>
      </c>
      <c r="E1802" s="1077" t="s">
        <v>5380</v>
      </c>
      <c r="F1802" s="1079">
        <v>4</v>
      </c>
      <c r="G1802" s="1186">
        <v>3.58</v>
      </c>
      <c r="H1802" s="1186">
        <v>1.83</v>
      </c>
      <c r="I1802" s="1186">
        <v>5.91</v>
      </c>
      <c r="J1802" s="1186">
        <v>3.03</v>
      </c>
      <c r="K1802" s="1186">
        <v>5.04</v>
      </c>
      <c r="L1802" s="1186">
        <v>3.76</v>
      </c>
      <c r="M1802" s="1186">
        <v>5.91</v>
      </c>
      <c r="N1802" s="1186">
        <v>4.6900000000000004</v>
      </c>
      <c r="O1802" s="1186">
        <v>2.7</v>
      </c>
      <c r="P1802" s="1186">
        <v>7.42</v>
      </c>
      <c r="Q1802" s="1186">
        <v>5.2</v>
      </c>
      <c r="R1802" s="1186">
        <v>1.9</v>
      </c>
      <c r="S1802" s="1186">
        <v>5.6</v>
      </c>
      <c r="T1802" s="1186">
        <v>2.76</v>
      </c>
      <c r="U1802" s="1186">
        <v>1.99</v>
      </c>
      <c r="V1802" s="1186">
        <v>3.22</v>
      </c>
      <c r="W1802" s="1079"/>
      <c r="X1802" s="1079"/>
      <c r="Y1802" s="1079"/>
      <c r="Z1802" s="1079"/>
      <c r="AA1802" s="1079"/>
      <c r="AB1802" s="1079"/>
      <c r="AC1802" s="1079"/>
      <c r="AD1802" s="1080"/>
    </row>
    <row r="1803" spans="1:30" x14ac:dyDescent="0.2">
      <c r="A1803">
        <f t="shared" si="61"/>
        <v>49</v>
      </c>
      <c r="B1803">
        <v>1794</v>
      </c>
      <c r="C1803" s="1078">
        <v>2</v>
      </c>
      <c r="D1803" s="1077" t="s">
        <v>4673</v>
      </c>
      <c r="E1803" s="1077" t="s">
        <v>5381</v>
      </c>
      <c r="F1803" s="1079">
        <v>4</v>
      </c>
      <c r="G1803" s="1186">
        <v>5.5</v>
      </c>
      <c r="H1803" s="1186">
        <v>2.2000000000000002</v>
      </c>
      <c r="I1803" s="1186">
        <v>7.39</v>
      </c>
      <c r="J1803" s="1186">
        <v>3.24</v>
      </c>
      <c r="K1803" s="1186">
        <v>3.65</v>
      </c>
      <c r="L1803" s="1186">
        <v>4.03</v>
      </c>
      <c r="M1803" s="1186">
        <v>7.39</v>
      </c>
      <c r="N1803" s="1186">
        <v>4.8600000000000003</v>
      </c>
      <c r="O1803" s="1186">
        <v>2.7</v>
      </c>
      <c r="P1803" s="1186">
        <v>7.42</v>
      </c>
      <c r="Q1803" s="1186">
        <v>5.2</v>
      </c>
      <c r="R1803" s="1186">
        <v>1.9</v>
      </c>
      <c r="S1803" s="1186">
        <v>5.6</v>
      </c>
      <c r="T1803" s="1186">
        <v>2.76</v>
      </c>
      <c r="U1803" s="1186">
        <v>2.4500000000000002</v>
      </c>
      <c r="V1803" s="1186">
        <v>3.36</v>
      </c>
      <c r="W1803" s="1079"/>
      <c r="X1803" s="1079"/>
      <c r="Y1803" s="1079"/>
      <c r="Z1803" s="1079"/>
      <c r="AA1803" s="1079"/>
      <c r="AB1803" s="1079"/>
      <c r="AC1803" s="1079"/>
      <c r="AD1803" s="1080"/>
    </row>
    <row r="1804" spans="1:30" x14ac:dyDescent="0.2">
      <c r="A1804">
        <f t="shared" ref="A1804:A1867" si="62">A1803+(D1804&lt;&gt;D1803)*1</f>
        <v>49</v>
      </c>
      <c r="B1804">
        <v>1795</v>
      </c>
      <c r="C1804" s="1078">
        <v>2</v>
      </c>
      <c r="D1804" s="1077" t="s">
        <v>4673</v>
      </c>
      <c r="E1804" s="1077" t="s">
        <v>5382</v>
      </c>
      <c r="F1804" s="1079">
        <v>4</v>
      </c>
      <c r="G1804" s="1186">
        <v>4.92</v>
      </c>
      <c r="H1804" s="1186">
        <v>2.21</v>
      </c>
      <c r="I1804" s="1186">
        <v>9.57</v>
      </c>
      <c r="J1804" s="1186">
        <v>2.74</v>
      </c>
      <c r="K1804" s="1186">
        <v>7.6</v>
      </c>
      <c r="L1804" s="1186">
        <v>3.79</v>
      </c>
      <c r="M1804" s="1186">
        <v>10.23</v>
      </c>
      <c r="N1804" s="1186">
        <v>4.95</v>
      </c>
      <c r="O1804" s="1186">
        <v>12.84</v>
      </c>
      <c r="P1804" s="1186">
        <v>5.95</v>
      </c>
      <c r="Q1804" s="1186">
        <v>5.05</v>
      </c>
      <c r="R1804" s="1186">
        <v>1.68</v>
      </c>
      <c r="S1804" s="1186">
        <v>8.26</v>
      </c>
      <c r="T1804" s="1186">
        <v>2.42</v>
      </c>
      <c r="U1804" s="1186">
        <v>10.28</v>
      </c>
      <c r="V1804" s="1186">
        <v>3.35</v>
      </c>
      <c r="W1804" s="1079"/>
      <c r="X1804" s="1079"/>
      <c r="Y1804" s="1079"/>
      <c r="Z1804" s="1079"/>
      <c r="AA1804" s="1079"/>
      <c r="AB1804" s="1079"/>
      <c r="AC1804" s="1079"/>
      <c r="AD1804" s="1080"/>
    </row>
    <row r="1805" spans="1:30" x14ac:dyDescent="0.2">
      <c r="A1805">
        <f t="shared" si="62"/>
        <v>49</v>
      </c>
      <c r="B1805">
        <v>1796</v>
      </c>
      <c r="C1805" s="1078">
        <v>2</v>
      </c>
      <c r="D1805" s="1077" t="s">
        <v>4673</v>
      </c>
      <c r="E1805" s="1077" t="s">
        <v>5383</v>
      </c>
      <c r="F1805" s="1079">
        <v>4</v>
      </c>
      <c r="G1805" s="1186">
        <v>5.79</v>
      </c>
      <c r="H1805" s="1186">
        <v>2.46</v>
      </c>
      <c r="I1805" s="1186">
        <v>10.6</v>
      </c>
      <c r="J1805" s="1186">
        <v>2.65</v>
      </c>
      <c r="K1805" s="1186">
        <v>8.8000000000000007</v>
      </c>
      <c r="L1805" s="1186">
        <v>3.72</v>
      </c>
      <c r="M1805" s="1186">
        <v>11.7</v>
      </c>
      <c r="N1805" s="1186">
        <v>4.54</v>
      </c>
      <c r="O1805" s="1186">
        <v>14.89</v>
      </c>
      <c r="P1805" s="1186">
        <v>6.11</v>
      </c>
      <c r="Q1805" s="1186">
        <v>6.53</v>
      </c>
      <c r="R1805" s="1186">
        <v>1.92</v>
      </c>
      <c r="S1805" s="1186">
        <v>9.89</v>
      </c>
      <c r="T1805" s="1186">
        <v>2.71</v>
      </c>
      <c r="U1805" s="1186">
        <v>12.28</v>
      </c>
      <c r="V1805" s="1186">
        <v>3.3</v>
      </c>
      <c r="W1805" s="1079"/>
      <c r="X1805" s="1079"/>
      <c r="Y1805" s="1079"/>
      <c r="Z1805" s="1079"/>
      <c r="AA1805" s="1079"/>
      <c r="AB1805" s="1079"/>
      <c r="AC1805" s="1079"/>
      <c r="AD1805" s="1080"/>
    </row>
    <row r="1806" spans="1:30" x14ac:dyDescent="0.2">
      <c r="A1806">
        <f t="shared" si="62"/>
        <v>49</v>
      </c>
      <c r="B1806">
        <v>1797</v>
      </c>
      <c r="C1806" s="1078">
        <v>2</v>
      </c>
      <c r="D1806" s="1077" t="s">
        <v>4673</v>
      </c>
      <c r="E1806" s="1077" t="s">
        <v>5384</v>
      </c>
      <c r="F1806" s="1079">
        <v>4</v>
      </c>
      <c r="G1806" s="1186">
        <v>8.81</v>
      </c>
      <c r="H1806" s="1186">
        <v>2.2000000000000002</v>
      </c>
      <c r="I1806" s="1186">
        <v>13.3</v>
      </c>
      <c r="J1806" s="1186">
        <v>2.58</v>
      </c>
      <c r="K1806" s="1186">
        <v>10.89</v>
      </c>
      <c r="L1806" s="1186">
        <v>3.38</v>
      </c>
      <c r="M1806" s="1186">
        <v>15.7</v>
      </c>
      <c r="N1806" s="1186">
        <v>4.17</v>
      </c>
      <c r="O1806" s="1186">
        <v>22.36</v>
      </c>
      <c r="P1806" s="1186">
        <v>5.22</v>
      </c>
      <c r="Q1806" s="1186">
        <v>9.42</v>
      </c>
      <c r="R1806" s="1186">
        <v>1.85</v>
      </c>
      <c r="S1806" s="1186">
        <v>12.97</v>
      </c>
      <c r="T1806" s="1186">
        <v>2.66</v>
      </c>
      <c r="U1806" s="1186">
        <v>15.44</v>
      </c>
      <c r="V1806" s="1186">
        <v>3.3</v>
      </c>
      <c r="W1806" s="1079"/>
      <c r="X1806" s="1079"/>
      <c r="Y1806" s="1079"/>
      <c r="Z1806" s="1079"/>
      <c r="AA1806" s="1079"/>
      <c r="AB1806" s="1079"/>
      <c r="AC1806" s="1079"/>
      <c r="AD1806" s="1080"/>
    </row>
    <row r="1807" spans="1:30" x14ac:dyDescent="0.2">
      <c r="A1807">
        <f t="shared" si="62"/>
        <v>49</v>
      </c>
      <c r="B1807">
        <v>1798</v>
      </c>
      <c r="C1807" s="1078">
        <v>2</v>
      </c>
      <c r="D1807" s="1077" t="s">
        <v>4673</v>
      </c>
      <c r="E1807" s="1077" t="s">
        <v>5585</v>
      </c>
      <c r="F1807" s="1079">
        <v>4</v>
      </c>
      <c r="G1807" s="1186">
        <v>3.89</v>
      </c>
      <c r="H1807" s="1186">
        <v>2.36</v>
      </c>
      <c r="I1807" s="1186">
        <v>4.93</v>
      </c>
      <c r="J1807" s="1186">
        <v>2.91</v>
      </c>
      <c r="K1807" s="1186">
        <v>4.01</v>
      </c>
      <c r="L1807" s="1186">
        <v>4.0199999999999996</v>
      </c>
      <c r="M1807" s="1186">
        <v>4.0599999999999996</v>
      </c>
      <c r="N1807" s="1186">
        <v>4.8899999999999997</v>
      </c>
      <c r="O1807" s="1186">
        <v>2.74</v>
      </c>
      <c r="P1807" s="1186">
        <v>5.01</v>
      </c>
      <c r="Q1807" s="1186">
        <v>4.51</v>
      </c>
      <c r="R1807" s="1186">
        <v>2.0499999999999998</v>
      </c>
      <c r="S1807" s="1186">
        <v>3.97</v>
      </c>
      <c r="T1807" s="1186">
        <v>3.01</v>
      </c>
      <c r="U1807" s="1186">
        <v>2.48</v>
      </c>
      <c r="V1807" s="1186">
        <v>3.22</v>
      </c>
      <c r="W1807" s="1079"/>
      <c r="X1807" s="1079"/>
      <c r="Y1807" s="1079"/>
      <c r="Z1807" s="1079"/>
      <c r="AA1807" s="1079"/>
      <c r="AB1807" s="1079"/>
      <c r="AC1807" s="1079"/>
      <c r="AD1807" s="1080"/>
    </row>
    <row r="1808" spans="1:30" x14ac:dyDescent="0.2">
      <c r="A1808">
        <f t="shared" si="62"/>
        <v>49</v>
      </c>
      <c r="B1808">
        <v>1799</v>
      </c>
      <c r="C1808" s="1078">
        <v>2</v>
      </c>
      <c r="D1808" s="1077" t="s">
        <v>4673</v>
      </c>
      <c r="E1808" s="1077" t="s">
        <v>5586</v>
      </c>
      <c r="F1808" s="1079">
        <v>4</v>
      </c>
      <c r="G1808" s="1186">
        <v>4.57</v>
      </c>
      <c r="H1808" s="1186">
        <v>2.2799999999999998</v>
      </c>
      <c r="I1808" s="1186">
        <v>5.84</v>
      </c>
      <c r="J1808" s="1186">
        <v>2.82</v>
      </c>
      <c r="K1808" s="1186">
        <v>5.23</v>
      </c>
      <c r="L1808" s="1186">
        <v>3.9</v>
      </c>
      <c r="M1808" s="1186">
        <v>4.9800000000000004</v>
      </c>
      <c r="N1808" s="1186">
        <v>4.88</v>
      </c>
      <c r="O1808" s="1186">
        <v>2.74</v>
      </c>
      <c r="P1808" s="1186">
        <v>5.01</v>
      </c>
      <c r="Q1808" s="1186">
        <v>5.38</v>
      </c>
      <c r="R1808" s="1186">
        <v>2</v>
      </c>
      <c r="S1808" s="1186">
        <v>4.38</v>
      </c>
      <c r="T1808" s="1186">
        <v>2.99</v>
      </c>
      <c r="U1808" s="1186">
        <v>2.48</v>
      </c>
      <c r="V1808" s="1186">
        <v>3.22</v>
      </c>
      <c r="W1808" s="1079"/>
      <c r="X1808" s="1079"/>
      <c r="Y1808" s="1079"/>
      <c r="Z1808" s="1079"/>
      <c r="AA1808" s="1079"/>
      <c r="AB1808" s="1079"/>
      <c r="AC1808" s="1079"/>
      <c r="AD1808" s="1080"/>
    </row>
    <row r="1809" spans="1:30" x14ac:dyDescent="0.2">
      <c r="A1809">
        <f t="shared" si="62"/>
        <v>49</v>
      </c>
      <c r="B1809">
        <v>1800</v>
      </c>
      <c r="C1809" s="1078">
        <v>2</v>
      </c>
      <c r="D1809" s="1077" t="s">
        <v>4673</v>
      </c>
      <c r="E1809" s="1077" t="s">
        <v>5587</v>
      </c>
      <c r="F1809" s="1079">
        <v>4</v>
      </c>
      <c r="G1809" s="1186">
        <v>7.11</v>
      </c>
      <c r="H1809" s="1186">
        <v>2.56</v>
      </c>
      <c r="I1809" s="1186">
        <v>8.69</v>
      </c>
      <c r="J1809" s="1186">
        <v>3.05</v>
      </c>
      <c r="K1809" s="1186">
        <v>5.86</v>
      </c>
      <c r="L1809" s="1186">
        <v>3.86</v>
      </c>
      <c r="M1809" s="1186">
        <v>6.87</v>
      </c>
      <c r="N1809" s="1186">
        <v>4.12</v>
      </c>
      <c r="O1809" s="1186">
        <v>3.29</v>
      </c>
      <c r="P1809" s="1186">
        <v>4.63</v>
      </c>
      <c r="Q1809" s="1186">
        <v>8.31</v>
      </c>
      <c r="R1809" s="1186">
        <v>2.25</v>
      </c>
      <c r="S1809" s="1186">
        <v>6.87</v>
      </c>
      <c r="T1809" s="1186">
        <v>3.12</v>
      </c>
      <c r="U1809" s="1186">
        <v>3.27</v>
      </c>
      <c r="V1809" s="1186">
        <v>3.36</v>
      </c>
      <c r="W1809" s="1079"/>
      <c r="X1809" s="1079"/>
      <c r="Y1809" s="1079"/>
      <c r="Z1809" s="1079"/>
      <c r="AA1809" s="1079"/>
      <c r="AB1809" s="1079"/>
      <c r="AC1809" s="1079"/>
      <c r="AD1809" s="1080"/>
    </row>
    <row r="1810" spans="1:30" x14ac:dyDescent="0.2">
      <c r="A1810">
        <f t="shared" si="62"/>
        <v>49</v>
      </c>
      <c r="B1810">
        <v>1801</v>
      </c>
      <c r="C1810" s="1078">
        <v>2</v>
      </c>
      <c r="D1810" s="1077" t="s">
        <v>4673</v>
      </c>
      <c r="E1810" s="1077" t="s">
        <v>4674</v>
      </c>
      <c r="F1810" s="1079">
        <v>2</v>
      </c>
      <c r="G1810" s="1186">
        <v>7.95</v>
      </c>
      <c r="H1810" s="1186">
        <v>2.52</v>
      </c>
      <c r="I1810" s="1186">
        <v>11.04</v>
      </c>
      <c r="J1810" s="1186">
        <v>3.28</v>
      </c>
      <c r="K1810" s="1186">
        <v>7.2549999999999999</v>
      </c>
      <c r="L1810" s="1186">
        <v>4.1900000000000004</v>
      </c>
      <c r="M1810" s="1186">
        <v>8.266</v>
      </c>
      <c r="N1810" s="1186">
        <v>4.8</v>
      </c>
      <c r="O1810" s="1186">
        <v>11.04</v>
      </c>
      <c r="P1810" s="1186">
        <v>6.56</v>
      </c>
      <c r="Q1810" s="1186">
        <v>10.76</v>
      </c>
      <c r="R1810" s="1186">
        <v>2.1800000000000002</v>
      </c>
      <c r="S1810" s="1186">
        <v>7.74</v>
      </c>
      <c r="T1810" s="1186">
        <v>3.11</v>
      </c>
      <c r="U1810" s="1186">
        <v>9.6999999999999993</v>
      </c>
      <c r="V1810" s="1186">
        <v>3.85</v>
      </c>
      <c r="W1810" s="1079"/>
      <c r="X1810" s="1079"/>
      <c r="Y1810" s="1079"/>
      <c r="Z1810" s="1079"/>
      <c r="AA1810" s="1079"/>
      <c r="AB1810" s="1079"/>
      <c r="AC1810" s="1079"/>
      <c r="AD1810" s="1080"/>
    </row>
    <row r="1811" spans="1:30" x14ac:dyDescent="0.2">
      <c r="A1811">
        <f t="shared" si="62"/>
        <v>49</v>
      </c>
      <c r="B1811">
        <v>1802</v>
      </c>
      <c r="C1811" s="1078">
        <v>2</v>
      </c>
      <c r="D1811" s="1077" t="s">
        <v>4673</v>
      </c>
      <c r="E1811" s="1077" t="s">
        <v>4676</v>
      </c>
      <c r="F1811" s="1079">
        <v>2</v>
      </c>
      <c r="G1811" s="1186">
        <v>18.600000000000001</v>
      </c>
      <c r="H1811" s="1186">
        <v>2.2999999999999998</v>
      </c>
      <c r="I1811" s="1186">
        <v>22.6</v>
      </c>
      <c r="J1811" s="1186">
        <v>2.9</v>
      </c>
      <c r="K1811" s="1186">
        <v>27.6</v>
      </c>
      <c r="L1811" s="1186">
        <v>3.6</v>
      </c>
      <c r="M1811" s="1186">
        <v>32.700000000000003</v>
      </c>
      <c r="N1811" s="1186">
        <v>4.0999999999999996</v>
      </c>
      <c r="O1811" s="1186">
        <v>43.5</v>
      </c>
      <c r="P1811" s="1186">
        <v>5</v>
      </c>
      <c r="Q1811" s="1186">
        <v>21.2</v>
      </c>
      <c r="R1811" s="1186">
        <v>1.7</v>
      </c>
      <c r="S1811" s="1186">
        <v>31.6</v>
      </c>
      <c r="T1811" s="1186">
        <v>2.7</v>
      </c>
      <c r="U1811" s="1186">
        <v>40.799999999999997</v>
      </c>
      <c r="V1811" s="1186">
        <v>3.3</v>
      </c>
      <c r="W1811" s="1079"/>
      <c r="X1811" s="1079"/>
      <c r="Y1811" s="1079"/>
      <c r="Z1811" s="1079"/>
      <c r="AA1811" s="1079"/>
      <c r="AB1811" s="1079"/>
      <c r="AC1811" s="1079"/>
      <c r="AD1811" s="1080"/>
    </row>
    <row r="1812" spans="1:30" x14ac:dyDescent="0.2">
      <c r="A1812">
        <f t="shared" si="62"/>
        <v>49</v>
      </c>
      <c r="B1812">
        <v>1803</v>
      </c>
      <c r="C1812" s="1078">
        <v>2</v>
      </c>
      <c r="D1812" s="1077" t="s">
        <v>4673</v>
      </c>
      <c r="E1812" s="1077" t="s">
        <v>5385</v>
      </c>
      <c r="F1812" s="1079">
        <v>2</v>
      </c>
      <c r="G1812" s="1186">
        <v>31.7</v>
      </c>
      <c r="H1812" s="1186">
        <v>2.6</v>
      </c>
      <c r="I1812" s="1186">
        <v>38</v>
      </c>
      <c r="J1812" s="1186">
        <v>3</v>
      </c>
      <c r="K1812" s="1186">
        <v>26.6</v>
      </c>
      <c r="L1812" s="1186">
        <v>3.6</v>
      </c>
      <c r="M1812" s="1186">
        <v>35.299999999999997</v>
      </c>
      <c r="N1812" s="1186">
        <v>4.5</v>
      </c>
      <c r="O1812" s="1186">
        <v>44.4</v>
      </c>
      <c r="P1812" s="1186">
        <v>5.25</v>
      </c>
      <c r="Q1812" s="1186">
        <v>36.799999999999997</v>
      </c>
      <c r="R1812" s="1186">
        <v>2.2999999999999998</v>
      </c>
      <c r="S1812" s="1186">
        <v>31.7</v>
      </c>
      <c r="T1812" s="1186">
        <v>3.2</v>
      </c>
      <c r="U1812" s="1186">
        <v>40.5</v>
      </c>
      <c r="V1812" s="1186">
        <v>3.9</v>
      </c>
      <c r="W1812" s="1079"/>
      <c r="X1812" s="1079"/>
      <c r="Y1812" s="1079"/>
      <c r="Z1812" s="1079"/>
      <c r="AA1812" s="1079"/>
      <c r="AB1812" s="1079"/>
      <c r="AC1812" s="1079"/>
      <c r="AD1812" s="1080"/>
    </row>
    <row r="1813" spans="1:30" x14ac:dyDescent="0.2">
      <c r="A1813">
        <f t="shared" si="62"/>
        <v>49</v>
      </c>
      <c r="B1813">
        <v>1804</v>
      </c>
      <c r="C1813" s="1078">
        <v>2</v>
      </c>
      <c r="D1813" s="1077" t="s">
        <v>4673</v>
      </c>
      <c r="E1813" s="1077" t="s">
        <v>4675</v>
      </c>
      <c r="F1813" s="1079">
        <v>1</v>
      </c>
      <c r="G1813" s="1186">
        <v>5.7</v>
      </c>
      <c r="H1813" s="1186">
        <v>2.2000000000000002</v>
      </c>
      <c r="I1813" s="1186">
        <v>7.1</v>
      </c>
      <c r="J1813" s="1186">
        <v>3.1</v>
      </c>
      <c r="K1813" s="1186">
        <v>9.4</v>
      </c>
      <c r="L1813" s="1186">
        <v>4</v>
      </c>
      <c r="M1813" s="1186">
        <v>11.5</v>
      </c>
      <c r="N1813" s="1186">
        <v>4.8</v>
      </c>
      <c r="O1813" s="1186">
        <v>14.3</v>
      </c>
      <c r="P1813" s="1186">
        <v>6</v>
      </c>
      <c r="Q1813" s="1186">
        <v>6.5</v>
      </c>
      <c r="R1813" s="1186">
        <v>2</v>
      </c>
      <c r="S1813" s="1186">
        <v>10.3</v>
      </c>
      <c r="T1813" s="1186">
        <v>3.1</v>
      </c>
      <c r="U1813" s="1186">
        <v>12.9</v>
      </c>
      <c r="V1813" s="1186">
        <v>3.6</v>
      </c>
      <c r="W1813" s="1079"/>
      <c r="X1813" s="1079"/>
      <c r="Y1813" s="1079"/>
      <c r="Z1813" s="1079"/>
      <c r="AA1813" s="1079"/>
      <c r="AB1813" s="1079"/>
      <c r="AC1813" s="1079"/>
      <c r="AD1813" s="1080"/>
    </row>
    <row r="1814" spans="1:30" x14ac:dyDescent="0.2">
      <c r="A1814">
        <f t="shared" si="62"/>
        <v>49</v>
      </c>
      <c r="B1814">
        <v>1805</v>
      </c>
      <c r="C1814" s="1078">
        <v>2</v>
      </c>
      <c r="D1814" s="1077" t="s">
        <v>4673</v>
      </c>
      <c r="E1814" s="1077" t="s">
        <v>4918</v>
      </c>
      <c r="F1814" s="1079">
        <v>4</v>
      </c>
      <c r="G1814" s="1186">
        <v>8.6</v>
      </c>
      <c r="H1814" s="1186">
        <v>2.2000000000000002</v>
      </c>
      <c r="I1814" s="1186">
        <v>10.7</v>
      </c>
      <c r="J1814" s="1186">
        <v>2.7</v>
      </c>
      <c r="K1814" s="1186">
        <v>13.4</v>
      </c>
      <c r="L1814" s="1186">
        <v>3.3</v>
      </c>
      <c r="M1814" s="1186">
        <v>16.399999999999999</v>
      </c>
      <c r="N1814" s="1186">
        <v>4</v>
      </c>
      <c r="O1814" s="1186">
        <v>22.4</v>
      </c>
      <c r="P1814" s="1186">
        <v>5.2</v>
      </c>
      <c r="Q1814" s="1186">
        <v>9.1999999999999993</v>
      </c>
      <c r="R1814" s="1186">
        <v>1.6</v>
      </c>
      <c r="S1814" s="1186">
        <v>15.3</v>
      </c>
      <c r="T1814" s="1186">
        <v>2.5</v>
      </c>
      <c r="U1814" s="1186">
        <v>21.4</v>
      </c>
      <c r="V1814" s="1186">
        <v>3.5</v>
      </c>
      <c r="W1814" s="1079"/>
      <c r="X1814" s="1079"/>
      <c r="Y1814" s="1079"/>
      <c r="Z1814" s="1079"/>
      <c r="AA1814" s="1079"/>
      <c r="AB1814" s="1079"/>
      <c r="AC1814" s="1079"/>
      <c r="AD1814" s="1080"/>
    </row>
    <row r="1815" spans="1:30" x14ac:dyDescent="0.2">
      <c r="A1815">
        <f t="shared" si="62"/>
        <v>49</v>
      </c>
      <c r="B1815">
        <v>1806</v>
      </c>
      <c r="C1815" s="1078">
        <v>2</v>
      </c>
      <c r="D1815" s="1077" t="s">
        <v>4673</v>
      </c>
      <c r="E1815" s="1077" t="s">
        <v>5588</v>
      </c>
      <c r="F1815" s="1079">
        <v>2</v>
      </c>
      <c r="G1815" s="1186">
        <v>11.39</v>
      </c>
      <c r="H1815" s="1186">
        <v>2.67</v>
      </c>
      <c r="I1815" s="1186">
        <v>13.89</v>
      </c>
      <c r="J1815" s="1186">
        <v>3.11</v>
      </c>
      <c r="K1815" s="1186">
        <v>15.86</v>
      </c>
      <c r="L1815" s="1186">
        <v>3.7</v>
      </c>
      <c r="M1815" s="1186">
        <v>11.67</v>
      </c>
      <c r="N1815" s="1186">
        <v>5.04</v>
      </c>
      <c r="O1815" s="1186">
        <v>13.57</v>
      </c>
      <c r="P1815" s="1186">
        <v>5.93</v>
      </c>
      <c r="Q1815" s="1186">
        <v>13.19</v>
      </c>
      <c r="R1815" s="1186">
        <v>2.25</v>
      </c>
      <c r="S1815" s="1186">
        <v>10.79</v>
      </c>
      <c r="T1815" s="1186">
        <v>3.17</v>
      </c>
      <c r="U1815" s="1186">
        <v>12.23</v>
      </c>
      <c r="V1815" s="1186">
        <v>3.63</v>
      </c>
      <c r="W1815" s="1079"/>
      <c r="X1815" s="1079"/>
      <c r="Y1815" s="1079"/>
      <c r="Z1815" s="1079"/>
      <c r="AA1815" s="1079"/>
      <c r="AB1815" s="1079"/>
      <c r="AC1815" s="1079"/>
      <c r="AD1815" s="1080"/>
    </row>
    <row r="1816" spans="1:30" x14ac:dyDescent="0.2">
      <c r="A1816">
        <f t="shared" si="62"/>
        <v>49</v>
      </c>
      <c r="B1816">
        <v>1807</v>
      </c>
      <c r="C1816" s="1078">
        <v>2</v>
      </c>
      <c r="D1816" s="1077" t="s">
        <v>4673</v>
      </c>
      <c r="E1816" s="1077" t="s">
        <v>5589</v>
      </c>
      <c r="F1816" s="1079">
        <v>2</v>
      </c>
      <c r="G1816" s="1186">
        <v>13.74</v>
      </c>
      <c r="H1816" s="1186">
        <v>2.6</v>
      </c>
      <c r="I1816" s="1186">
        <v>18.350000000000001</v>
      </c>
      <c r="J1816" s="1186">
        <v>3.24</v>
      </c>
      <c r="K1816" s="1186">
        <v>18.63</v>
      </c>
      <c r="L1816" s="1186">
        <v>3.65</v>
      </c>
      <c r="M1816" s="1186">
        <v>14.17</v>
      </c>
      <c r="N1816" s="1186">
        <v>4.8099999999999996</v>
      </c>
      <c r="O1816" s="1186">
        <v>17.989999999999998</v>
      </c>
      <c r="P1816" s="1186">
        <v>6.2</v>
      </c>
      <c r="Q1816" s="1186">
        <v>18.190000000000001</v>
      </c>
      <c r="R1816" s="1186">
        <v>2.31</v>
      </c>
      <c r="S1816" s="1186">
        <v>13.05</v>
      </c>
      <c r="T1816" s="1186">
        <v>3.08</v>
      </c>
      <c r="U1816" s="1186">
        <v>16.38</v>
      </c>
      <c r="V1816" s="1186">
        <v>3.86</v>
      </c>
      <c r="W1816" s="1079"/>
      <c r="X1816" s="1079"/>
      <c r="Y1816" s="1079"/>
      <c r="Z1816" s="1079"/>
      <c r="AA1816" s="1079"/>
      <c r="AB1816" s="1079"/>
      <c r="AC1816" s="1079"/>
      <c r="AD1816" s="1080"/>
    </row>
    <row r="1817" spans="1:30" x14ac:dyDescent="0.2">
      <c r="A1817">
        <f t="shared" si="62"/>
        <v>49</v>
      </c>
      <c r="B1817">
        <v>1808</v>
      </c>
      <c r="C1817" s="1078">
        <v>3</v>
      </c>
      <c r="D1817" s="1077" t="s">
        <v>4673</v>
      </c>
      <c r="E1817" s="1077" t="s">
        <v>5386</v>
      </c>
      <c r="F1817" s="1079">
        <v>4</v>
      </c>
      <c r="G1817" s="1079"/>
      <c r="H1817" s="1079"/>
      <c r="I1817" s="1079"/>
      <c r="J1817" s="1079"/>
      <c r="K1817" s="1079"/>
      <c r="L1817" s="1079"/>
      <c r="M1817" s="1079"/>
      <c r="N1817" s="1079"/>
      <c r="O1817" s="1079"/>
      <c r="P1817" s="1079"/>
      <c r="Q1817" s="1079"/>
      <c r="R1817" s="1079"/>
      <c r="S1817" s="1079"/>
      <c r="T1817" s="1079"/>
      <c r="U1817" s="1079"/>
      <c r="V1817" s="1079"/>
      <c r="W1817" s="1186">
        <v>8.6</v>
      </c>
      <c r="X1817" s="1186">
        <v>4.5999999999999996</v>
      </c>
      <c r="Y1817" s="1186">
        <v>8.6</v>
      </c>
      <c r="Z1817" s="1186">
        <v>3.5</v>
      </c>
      <c r="AA1817" s="1186"/>
      <c r="AB1817" s="1186"/>
      <c r="AC1817" s="1186"/>
      <c r="AD1817" s="1187"/>
    </row>
    <row r="1818" spans="1:30" x14ac:dyDescent="0.2">
      <c r="A1818">
        <f t="shared" si="62"/>
        <v>49</v>
      </c>
      <c r="B1818">
        <v>1809</v>
      </c>
      <c r="C1818" s="1078">
        <v>3</v>
      </c>
      <c r="D1818" s="1077" t="s">
        <v>4673</v>
      </c>
      <c r="E1818" s="1077" t="s">
        <v>5387</v>
      </c>
      <c r="F1818" s="1079">
        <v>4</v>
      </c>
      <c r="G1818" s="1079"/>
      <c r="H1818" s="1079"/>
      <c r="I1818" s="1079"/>
      <c r="J1818" s="1079"/>
      <c r="K1818" s="1079"/>
      <c r="L1818" s="1079"/>
      <c r="M1818" s="1079"/>
      <c r="N1818" s="1079"/>
      <c r="O1818" s="1079"/>
      <c r="P1818" s="1079"/>
      <c r="Q1818" s="1079"/>
      <c r="R1818" s="1079"/>
      <c r="S1818" s="1079"/>
      <c r="T1818" s="1079"/>
      <c r="U1818" s="1079"/>
      <c r="V1818" s="1079"/>
      <c r="W1818" s="1186">
        <v>13.7</v>
      </c>
      <c r="X1818" s="1186">
        <v>4.5999999999999996</v>
      </c>
      <c r="Y1818" s="1186">
        <v>13.4</v>
      </c>
      <c r="Z1818" s="1186">
        <v>3.6</v>
      </c>
      <c r="AA1818" s="1186"/>
      <c r="AB1818" s="1186"/>
      <c r="AC1818" s="1186"/>
      <c r="AD1818" s="1187"/>
    </row>
    <row r="1819" spans="1:30" x14ac:dyDescent="0.2">
      <c r="A1819">
        <f t="shared" si="62"/>
        <v>49</v>
      </c>
      <c r="B1819">
        <v>1810</v>
      </c>
      <c r="C1819" s="1078">
        <v>3</v>
      </c>
      <c r="D1819" s="1077" t="s">
        <v>4673</v>
      </c>
      <c r="E1819" s="1077" t="s">
        <v>5590</v>
      </c>
      <c r="F1819" s="1079">
        <v>4</v>
      </c>
      <c r="G1819" s="1079"/>
      <c r="H1819" s="1079"/>
      <c r="I1819" s="1079"/>
      <c r="J1819" s="1079"/>
      <c r="K1819" s="1079"/>
      <c r="L1819" s="1079"/>
      <c r="M1819" s="1079"/>
      <c r="N1819" s="1079"/>
      <c r="O1819" s="1079"/>
      <c r="P1819" s="1079"/>
      <c r="Q1819" s="1079"/>
      <c r="R1819" s="1079"/>
      <c r="S1819" s="1079"/>
      <c r="T1819" s="1079"/>
      <c r="U1819" s="1079"/>
      <c r="V1819" s="1079"/>
      <c r="W1819" s="1186">
        <v>20.5</v>
      </c>
      <c r="X1819" s="1186">
        <v>4.8</v>
      </c>
      <c r="Y1819" s="1186">
        <v>20.5</v>
      </c>
      <c r="Z1819" s="1186">
        <v>3.8</v>
      </c>
      <c r="AA1819" s="1186"/>
      <c r="AB1819" s="1186"/>
      <c r="AC1819" s="1186"/>
      <c r="AD1819" s="1187"/>
    </row>
    <row r="1820" spans="1:30" x14ac:dyDescent="0.2">
      <c r="A1820">
        <f t="shared" si="62"/>
        <v>49</v>
      </c>
      <c r="B1820">
        <v>1811</v>
      </c>
      <c r="C1820" s="1078">
        <v>3</v>
      </c>
      <c r="D1820" s="1077" t="s">
        <v>4673</v>
      </c>
      <c r="E1820" s="1077" t="s">
        <v>4677</v>
      </c>
      <c r="F1820" s="1079">
        <v>1</v>
      </c>
      <c r="G1820" s="1079"/>
      <c r="H1820" s="1079"/>
      <c r="I1820" s="1079"/>
      <c r="J1820" s="1079"/>
      <c r="K1820" s="1079"/>
      <c r="L1820" s="1079"/>
      <c r="M1820" s="1079"/>
      <c r="N1820" s="1079"/>
      <c r="O1820" s="1079"/>
      <c r="P1820" s="1079"/>
      <c r="Q1820" s="1079"/>
      <c r="R1820" s="1079"/>
      <c r="S1820" s="1079"/>
      <c r="T1820" s="1079"/>
      <c r="U1820" s="1079"/>
      <c r="V1820" s="1079"/>
      <c r="W1820" s="1186">
        <v>17.5</v>
      </c>
      <c r="X1820" s="1186">
        <v>4.7</v>
      </c>
      <c r="Y1820" s="1186">
        <v>16.5</v>
      </c>
      <c r="Z1820" s="1186">
        <v>2.9</v>
      </c>
      <c r="AA1820" s="1186"/>
      <c r="AB1820" s="1186"/>
      <c r="AC1820" s="1186"/>
      <c r="AD1820" s="1187"/>
    </row>
    <row r="1821" spans="1:30" x14ac:dyDescent="0.2">
      <c r="A1821">
        <f t="shared" si="62"/>
        <v>49</v>
      </c>
      <c r="B1821">
        <v>1812</v>
      </c>
      <c r="C1821" s="1078">
        <v>3</v>
      </c>
      <c r="D1821" s="1077" t="s">
        <v>4673</v>
      </c>
      <c r="E1821" s="1077" t="s">
        <v>4678</v>
      </c>
      <c r="F1821" s="1079">
        <v>2</v>
      </c>
      <c r="G1821" s="1079"/>
      <c r="H1821" s="1079"/>
      <c r="I1821" s="1079"/>
      <c r="J1821" s="1079"/>
      <c r="K1821" s="1079"/>
      <c r="L1821" s="1079"/>
      <c r="M1821" s="1079"/>
      <c r="N1821" s="1079"/>
      <c r="O1821" s="1079"/>
      <c r="P1821" s="1079"/>
      <c r="Q1821" s="1079"/>
      <c r="R1821" s="1079"/>
      <c r="S1821" s="1079"/>
      <c r="T1821" s="1079"/>
      <c r="U1821" s="1079"/>
      <c r="V1821" s="1079"/>
      <c r="W1821" s="1186">
        <v>26.7</v>
      </c>
      <c r="X1821" s="1186">
        <v>4.9000000000000004</v>
      </c>
      <c r="Y1821" s="1186">
        <v>24.7</v>
      </c>
      <c r="Z1821" s="1186">
        <v>3.1</v>
      </c>
      <c r="AA1821" s="1186"/>
      <c r="AB1821" s="1186"/>
      <c r="AC1821" s="1186"/>
      <c r="AD1821" s="1187"/>
    </row>
    <row r="1822" spans="1:30" x14ac:dyDescent="0.2">
      <c r="A1822">
        <f t="shared" si="62"/>
        <v>49</v>
      </c>
      <c r="B1822">
        <v>1813</v>
      </c>
      <c r="C1822" s="1078">
        <v>3</v>
      </c>
      <c r="D1822" s="1077" t="s">
        <v>4673</v>
      </c>
      <c r="E1822" s="1077" t="s">
        <v>4679</v>
      </c>
      <c r="F1822" s="1079">
        <v>2</v>
      </c>
      <c r="G1822" s="1079"/>
      <c r="H1822" s="1079"/>
      <c r="I1822" s="1079"/>
      <c r="J1822" s="1079"/>
      <c r="K1822" s="1079"/>
      <c r="L1822" s="1079"/>
      <c r="M1822" s="1079"/>
      <c r="N1822" s="1079"/>
      <c r="O1822" s="1079"/>
      <c r="P1822" s="1079"/>
      <c r="Q1822" s="1079"/>
      <c r="R1822" s="1079"/>
      <c r="S1822" s="1079"/>
      <c r="T1822" s="1079"/>
      <c r="U1822" s="1079"/>
      <c r="V1822" s="1079"/>
      <c r="W1822" s="1186">
        <v>34.799999999999997</v>
      </c>
      <c r="X1822" s="1186">
        <v>4.8</v>
      </c>
      <c r="Y1822" s="1186">
        <v>32.1</v>
      </c>
      <c r="Z1822" s="1186">
        <v>3</v>
      </c>
      <c r="AA1822" s="1186"/>
      <c r="AB1822" s="1186"/>
      <c r="AC1822" s="1186"/>
      <c r="AD1822" s="1187"/>
    </row>
    <row r="1823" spans="1:30" x14ac:dyDescent="0.2">
      <c r="A1823">
        <f t="shared" si="62"/>
        <v>49</v>
      </c>
      <c r="B1823">
        <v>1814</v>
      </c>
      <c r="C1823" s="1078">
        <v>3</v>
      </c>
      <c r="D1823" s="1077" t="s">
        <v>4673</v>
      </c>
      <c r="E1823" s="1077" t="s">
        <v>4680</v>
      </c>
      <c r="F1823" s="1079">
        <v>2</v>
      </c>
      <c r="G1823" s="1079"/>
      <c r="H1823" s="1079"/>
      <c r="I1823" s="1079"/>
      <c r="J1823" s="1079"/>
      <c r="K1823" s="1079"/>
      <c r="L1823" s="1079"/>
      <c r="M1823" s="1079"/>
      <c r="N1823" s="1079"/>
      <c r="O1823" s="1079"/>
      <c r="P1823" s="1079"/>
      <c r="Q1823" s="1079"/>
      <c r="R1823" s="1079"/>
      <c r="S1823" s="1079"/>
      <c r="T1823" s="1079"/>
      <c r="U1823" s="1079"/>
      <c r="V1823" s="1079"/>
      <c r="W1823" s="1186">
        <v>52</v>
      </c>
      <c r="X1823" s="1186">
        <v>5</v>
      </c>
      <c r="Y1823" s="1186">
        <v>44.1</v>
      </c>
      <c r="Z1823" s="1186">
        <v>2.8</v>
      </c>
      <c r="AA1823" s="1186"/>
      <c r="AB1823" s="1186"/>
      <c r="AC1823" s="1186"/>
      <c r="AD1823" s="1187"/>
    </row>
    <row r="1824" spans="1:30" x14ac:dyDescent="0.2">
      <c r="A1824">
        <f t="shared" si="62"/>
        <v>49</v>
      </c>
      <c r="B1824">
        <v>1815</v>
      </c>
      <c r="C1824" s="1078">
        <v>3</v>
      </c>
      <c r="D1824" s="1077" t="s">
        <v>4673</v>
      </c>
      <c r="E1824" s="1077" t="s">
        <v>4681</v>
      </c>
      <c r="F1824" s="1079">
        <v>2</v>
      </c>
      <c r="G1824" s="1079"/>
      <c r="H1824" s="1079"/>
      <c r="I1824" s="1079"/>
      <c r="J1824" s="1079"/>
      <c r="K1824" s="1079"/>
      <c r="L1824" s="1079"/>
      <c r="M1824" s="1079"/>
      <c r="N1824" s="1079"/>
      <c r="O1824" s="1079"/>
      <c r="P1824" s="1079"/>
      <c r="Q1824" s="1079"/>
      <c r="R1824" s="1079"/>
      <c r="S1824" s="1079"/>
      <c r="T1824" s="1079"/>
      <c r="U1824" s="1079"/>
      <c r="V1824" s="1079"/>
      <c r="W1824" s="1186">
        <v>73.5</v>
      </c>
      <c r="X1824" s="1186">
        <v>4.8</v>
      </c>
      <c r="Y1824" s="1186">
        <v>67.3</v>
      </c>
      <c r="Z1824" s="1186">
        <v>3</v>
      </c>
      <c r="AA1824" s="1186"/>
      <c r="AB1824" s="1186"/>
      <c r="AC1824" s="1186"/>
      <c r="AD1824" s="1187"/>
    </row>
    <row r="1825" spans="1:30" x14ac:dyDescent="0.2">
      <c r="A1825">
        <f t="shared" si="62"/>
        <v>49</v>
      </c>
      <c r="B1825">
        <v>1816</v>
      </c>
      <c r="C1825" s="1078">
        <v>3</v>
      </c>
      <c r="D1825" s="1077" t="s">
        <v>4673</v>
      </c>
      <c r="E1825" s="1077" t="s">
        <v>4682</v>
      </c>
      <c r="F1825" s="1079">
        <v>2</v>
      </c>
      <c r="G1825" s="1079"/>
      <c r="H1825" s="1079"/>
      <c r="I1825" s="1079"/>
      <c r="J1825" s="1079"/>
      <c r="K1825" s="1079"/>
      <c r="L1825" s="1079"/>
      <c r="M1825" s="1079"/>
      <c r="N1825" s="1079"/>
      <c r="O1825" s="1079"/>
      <c r="P1825" s="1079"/>
      <c r="Q1825" s="1079"/>
      <c r="R1825" s="1079"/>
      <c r="S1825" s="1079"/>
      <c r="T1825" s="1079"/>
      <c r="U1825" s="1079"/>
      <c r="V1825" s="1079"/>
      <c r="W1825" s="1186">
        <v>86</v>
      </c>
      <c r="X1825" s="1186">
        <v>4.7</v>
      </c>
      <c r="Y1825" s="1186">
        <v>78.900000000000006</v>
      </c>
      <c r="Z1825" s="1186">
        <v>3</v>
      </c>
      <c r="AA1825" s="1186"/>
      <c r="AB1825" s="1186"/>
      <c r="AC1825" s="1186"/>
      <c r="AD1825" s="1187"/>
    </row>
    <row r="1826" spans="1:30" x14ac:dyDescent="0.2">
      <c r="A1826">
        <f t="shared" si="62"/>
        <v>49</v>
      </c>
      <c r="B1826">
        <v>1817</v>
      </c>
      <c r="C1826" s="1078">
        <v>3</v>
      </c>
      <c r="D1826" s="1077" t="s">
        <v>4673</v>
      </c>
      <c r="E1826" s="1077" t="s">
        <v>4683</v>
      </c>
      <c r="F1826" s="1079">
        <v>2</v>
      </c>
      <c r="G1826" s="1079"/>
      <c r="H1826" s="1079"/>
      <c r="I1826" s="1079"/>
      <c r="J1826" s="1079"/>
      <c r="K1826" s="1079"/>
      <c r="L1826" s="1079"/>
      <c r="M1826" s="1079"/>
      <c r="N1826" s="1079"/>
      <c r="O1826" s="1079"/>
      <c r="P1826" s="1079"/>
      <c r="Q1826" s="1079"/>
      <c r="R1826" s="1079"/>
      <c r="S1826" s="1079"/>
      <c r="T1826" s="1079"/>
      <c r="U1826" s="1079"/>
      <c r="V1826" s="1079"/>
      <c r="W1826" s="1186">
        <v>88.6</v>
      </c>
      <c r="X1826" s="1186">
        <v>4.3</v>
      </c>
      <c r="Y1826" s="1186">
        <v>84.1</v>
      </c>
      <c r="Z1826" s="1186">
        <v>2.4</v>
      </c>
      <c r="AA1826" s="1186"/>
      <c r="AB1826" s="1186"/>
      <c r="AC1826" s="1186"/>
      <c r="AD1826" s="1187"/>
    </row>
    <row r="1827" spans="1:30" x14ac:dyDescent="0.2">
      <c r="A1827">
        <f t="shared" si="62"/>
        <v>49</v>
      </c>
      <c r="B1827">
        <v>1818</v>
      </c>
      <c r="C1827" s="1078">
        <v>3</v>
      </c>
      <c r="D1827" s="1077" t="s">
        <v>4673</v>
      </c>
      <c r="E1827" s="1077" t="s">
        <v>4684</v>
      </c>
      <c r="F1827" s="1079">
        <v>2</v>
      </c>
      <c r="G1827" s="1079"/>
      <c r="H1827" s="1079"/>
      <c r="I1827" s="1079"/>
      <c r="J1827" s="1079"/>
      <c r="K1827" s="1079"/>
      <c r="L1827" s="1079"/>
      <c r="M1827" s="1079"/>
      <c r="N1827" s="1079"/>
      <c r="O1827" s="1079"/>
      <c r="P1827" s="1079"/>
      <c r="Q1827" s="1079"/>
      <c r="R1827" s="1079"/>
      <c r="S1827" s="1079"/>
      <c r="T1827" s="1079"/>
      <c r="U1827" s="1079"/>
      <c r="V1827" s="1079"/>
      <c r="W1827" s="1186">
        <v>138.1</v>
      </c>
      <c r="X1827" s="1186">
        <v>4.5999999999999996</v>
      </c>
      <c r="Y1827" s="1186">
        <v>129.6</v>
      </c>
      <c r="Z1827" s="1186">
        <v>3.1</v>
      </c>
      <c r="AA1827" s="1186"/>
      <c r="AB1827" s="1186"/>
      <c r="AC1827" s="1186"/>
      <c r="AD1827" s="1187"/>
    </row>
    <row r="1828" spans="1:30" x14ac:dyDescent="0.2">
      <c r="A1828">
        <f t="shared" si="62"/>
        <v>49</v>
      </c>
      <c r="B1828">
        <v>1819</v>
      </c>
      <c r="C1828" s="1078">
        <v>4</v>
      </c>
      <c r="D1828" s="1077" t="s">
        <v>4673</v>
      </c>
      <c r="E1828" s="1077" t="s">
        <v>4685</v>
      </c>
      <c r="F1828" s="1079">
        <v>1</v>
      </c>
      <c r="G1828" s="1079"/>
      <c r="H1828" s="1079"/>
      <c r="I1828" s="1079"/>
      <c r="J1828" s="1079"/>
      <c r="K1828" s="1079"/>
      <c r="L1828" s="1079"/>
      <c r="M1828" s="1079"/>
      <c r="N1828" s="1079"/>
      <c r="O1828" s="1079"/>
      <c r="P1828" s="1079"/>
      <c r="Q1828" s="1079"/>
      <c r="R1828" s="1079"/>
      <c r="S1828" s="1079"/>
      <c r="T1828" s="1079"/>
      <c r="U1828" s="1079"/>
      <c r="V1828" s="1079"/>
      <c r="W1828" s="1186"/>
      <c r="X1828" s="1186"/>
      <c r="Y1828" s="1186"/>
      <c r="Z1828" s="1186"/>
      <c r="AA1828" s="1186">
        <v>9.6</v>
      </c>
      <c r="AB1828" s="1186">
        <v>5.9</v>
      </c>
      <c r="AC1828" s="1186">
        <v>8.4</v>
      </c>
      <c r="AD1828" s="1187">
        <v>3.2</v>
      </c>
    </row>
    <row r="1829" spans="1:30" x14ac:dyDescent="0.2">
      <c r="A1829">
        <f t="shared" si="62"/>
        <v>49</v>
      </c>
      <c r="B1829">
        <v>1820</v>
      </c>
      <c r="C1829" s="1078">
        <v>4</v>
      </c>
      <c r="D1829" s="1077" t="s">
        <v>4673</v>
      </c>
      <c r="E1829" s="1077" t="s">
        <v>4686</v>
      </c>
      <c r="F1829" s="1079">
        <v>1</v>
      </c>
      <c r="G1829" s="1079"/>
      <c r="H1829" s="1079"/>
      <c r="I1829" s="1079"/>
      <c r="J1829" s="1079"/>
      <c r="K1829" s="1079"/>
      <c r="L1829" s="1079"/>
      <c r="M1829" s="1079"/>
      <c r="N1829" s="1079"/>
      <c r="O1829" s="1079"/>
      <c r="P1829" s="1079"/>
      <c r="Q1829" s="1079"/>
      <c r="R1829" s="1079"/>
      <c r="S1829" s="1079"/>
      <c r="T1829" s="1079"/>
      <c r="U1829" s="1079"/>
      <c r="V1829" s="1079"/>
      <c r="W1829" s="1186"/>
      <c r="X1829" s="1186"/>
      <c r="Y1829" s="1186"/>
      <c r="Z1829" s="1186"/>
      <c r="AA1829" s="1186">
        <v>13.3</v>
      </c>
      <c r="AB1829" s="1186">
        <v>6.1</v>
      </c>
      <c r="AC1829" s="1186">
        <v>11.5</v>
      </c>
      <c r="AD1829" s="1187">
        <v>3.3</v>
      </c>
    </row>
    <row r="1830" spans="1:30" x14ac:dyDescent="0.2">
      <c r="A1830">
        <f t="shared" si="62"/>
        <v>49</v>
      </c>
      <c r="B1830">
        <v>1821</v>
      </c>
      <c r="C1830" s="1078">
        <v>4</v>
      </c>
      <c r="D1830" s="1077" t="s">
        <v>4673</v>
      </c>
      <c r="E1830" s="1077" t="s">
        <v>4687</v>
      </c>
      <c r="F1830" s="1079">
        <v>1</v>
      </c>
      <c r="G1830" s="1079"/>
      <c r="H1830" s="1079"/>
      <c r="I1830" s="1079"/>
      <c r="J1830" s="1079"/>
      <c r="K1830" s="1079"/>
      <c r="L1830" s="1079"/>
      <c r="M1830" s="1079"/>
      <c r="N1830" s="1079"/>
      <c r="O1830" s="1079"/>
      <c r="P1830" s="1079"/>
      <c r="Q1830" s="1079"/>
      <c r="R1830" s="1079"/>
      <c r="S1830" s="1079"/>
      <c r="T1830" s="1079"/>
      <c r="U1830" s="1079"/>
      <c r="V1830" s="1079"/>
      <c r="W1830" s="1186"/>
      <c r="X1830" s="1186"/>
      <c r="Y1830" s="1186"/>
      <c r="Z1830" s="1186"/>
      <c r="AA1830" s="1186">
        <v>17.100000000000001</v>
      </c>
      <c r="AB1830" s="1186">
        <v>5.8</v>
      </c>
      <c r="AC1830" s="1186">
        <v>15.1</v>
      </c>
      <c r="AD1830" s="1187">
        <v>3.6</v>
      </c>
    </row>
    <row r="1831" spans="1:30" x14ac:dyDescent="0.2">
      <c r="A1831">
        <f t="shared" si="62"/>
        <v>49</v>
      </c>
      <c r="B1831">
        <v>1822</v>
      </c>
      <c r="C1831" s="1078">
        <v>4</v>
      </c>
      <c r="D1831" s="1077" t="s">
        <v>4673</v>
      </c>
      <c r="E1831" s="1077" t="s">
        <v>4688</v>
      </c>
      <c r="F1831" s="1079">
        <v>1</v>
      </c>
      <c r="G1831" s="1079"/>
      <c r="H1831" s="1079"/>
      <c r="I1831" s="1079"/>
      <c r="J1831" s="1079"/>
      <c r="K1831" s="1079"/>
      <c r="L1831" s="1079"/>
      <c r="M1831" s="1079"/>
      <c r="N1831" s="1079"/>
      <c r="O1831" s="1079"/>
      <c r="P1831" s="1079"/>
      <c r="Q1831" s="1079"/>
      <c r="R1831" s="1079"/>
      <c r="S1831" s="1079"/>
      <c r="T1831" s="1079"/>
      <c r="U1831" s="1079"/>
      <c r="V1831" s="1079"/>
      <c r="W1831" s="1186"/>
      <c r="X1831" s="1186"/>
      <c r="Y1831" s="1186"/>
      <c r="Z1831" s="1186"/>
      <c r="AA1831" s="1186">
        <v>22.3</v>
      </c>
      <c r="AB1831" s="1186">
        <v>5.7</v>
      </c>
      <c r="AC1831" s="1186">
        <v>20</v>
      </c>
      <c r="AD1831" s="1187">
        <v>3.6</v>
      </c>
    </row>
    <row r="1832" spans="1:30" x14ac:dyDescent="0.2">
      <c r="A1832">
        <f t="shared" si="62"/>
        <v>49</v>
      </c>
      <c r="B1832">
        <v>1823</v>
      </c>
      <c r="C1832" s="1078">
        <v>4</v>
      </c>
      <c r="D1832" s="1077" t="s">
        <v>4673</v>
      </c>
      <c r="E1832" s="1077" t="s">
        <v>4689</v>
      </c>
      <c r="F1832" s="1079">
        <v>2</v>
      </c>
      <c r="G1832" s="1079"/>
      <c r="H1832" s="1079"/>
      <c r="I1832" s="1079"/>
      <c r="J1832" s="1079"/>
      <c r="K1832" s="1079"/>
      <c r="L1832" s="1079"/>
      <c r="M1832" s="1079"/>
      <c r="N1832" s="1079"/>
      <c r="O1832" s="1079"/>
      <c r="P1832" s="1079"/>
      <c r="Q1832" s="1079"/>
      <c r="R1832" s="1079"/>
      <c r="S1832" s="1079"/>
      <c r="T1832" s="1079"/>
      <c r="U1832" s="1079"/>
      <c r="V1832" s="1079"/>
      <c r="W1832" s="1186"/>
      <c r="X1832" s="1186"/>
      <c r="Y1832" s="1186"/>
      <c r="Z1832" s="1186"/>
      <c r="AA1832" s="1186">
        <v>35.6</v>
      </c>
      <c r="AB1832" s="1186">
        <v>6.2</v>
      </c>
      <c r="AC1832" s="1186">
        <v>32.200000000000003</v>
      </c>
      <c r="AD1832" s="1187">
        <v>3.8</v>
      </c>
    </row>
    <row r="1833" spans="1:30" x14ac:dyDescent="0.2">
      <c r="A1833">
        <f t="shared" si="62"/>
        <v>49</v>
      </c>
      <c r="B1833">
        <v>1824</v>
      </c>
      <c r="C1833" s="1078">
        <v>4</v>
      </c>
      <c r="D1833" s="1077" t="s">
        <v>4673</v>
      </c>
      <c r="E1833" s="1077" t="s">
        <v>4690</v>
      </c>
      <c r="F1833" s="1079">
        <v>2</v>
      </c>
      <c r="G1833" s="1079"/>
      <c r="H1833" s="1079"/>
      <c r="I1833" s="1079"/>
      <c r="J1833" s="1079"/>
      <c r="K1833" s="1079"/>
      <c r="L1833" s="1079"/>
      <c r="M1833" s="1079"/>
      <c r="N1833" s="1079"/>
      <c r="O1833" s="1079"/>
      <c r="P1833" s="1079"/>
      <c r="Q1833" s="1079"/>
      <c r="R1833" s="1079"/>
      <c r="S1833" s="1079"/>
      <c r="T1833" s="1079"/>
      <c r="U1833" s="1079"/>
      <c r="V1833" s="1079"/>
      <c r="W1833" s="1186"/>
      <c r="X1833" s="1186"/>
      <c r="Y1833" s="1186"/>
      <c r="Z1833" s="1186"/>
      <c r="AA1833" s="1186">
        <v>46.2</v>
      </c>
      <c r="AB1833" s="1186">
        <v>5.8</v>
      </c>
      <c r="AC1833" s="1186">
        <v>42.5</v>
      </c>
      <c r="AD1833" s="1187">
        <v>3.7</v>
      </c>
    </row>
    <row r="1834" spans="1:30" x14ac:dyDescent="0.2">
      <c r="A1834">
        <f t="shared" si="62"/>
        <v>49</v>
      </c>
      <c r="B1834">
        <v>1825</v>
      </c>
      <c r="C1834" s="1078">
        <v>4</v>
      </c>
      <c r="D1834" s="1077" t="s">
        <v>4673</v>
      </c>
      <c r="E1834" s="1077" t="s">
        <v>4691</v>
      </c>
      <c r="F1834" s="1079">
        <v>2</v>
      </c>
      <c r="G1834" s="1079"/>
      <c r="H1834" s="1079"/>
      <c r="I1834" s="1079"/>
      <c r="J1834" s="1079"/>
      <c r="K1834" s="1079"/>
      <c r="L1834" s="1079"/>
      <c r="M1834" s="1079"/>
      <c r="N1834" s="1079"/>
      <c r="O1834" s="1079"/>
      <c r="P1834" s="1079"/>
      <c r="Q1834" s="1079"/>
      <c r="R1834" s="1079"/>
      <c r="S1834" s="1079"/>
      <c r="T1834" s="1079"/>
      <c r="U1834" s="1079"/>
      <c r="V1834" s="1079"/>
      <c r="W1834" s="1186"/>
      <c r="X1834" s="1186"/>
      <c r="Y1834" s="1186"/>
      <c r="Z1834" s="1186"/>
      <c r="AA1834" s="1186">
        <v>68.900000000000006</v>
      </c>
      <c r="AB1834" s="1186">
        <v>6.2</v>
      </c>
      <c r="AC1834" s="1186">
        <v>59.9</v>
      </c>
      <c r="AD1834" s="1187">
        <v>3.7</v>
      </c>
    </row>
    <row r="1835" spans="1:30" x14ac:dyDescent="0.2">
      <c r="A1835">
        <f t="shared" si="62"/>
        <v>49</v>
      </c>
      <c r="B1835">
        <v>1826</v>
      </c>
      <c r="C1835" s="1078">
        <v>4</v>
      </c>
      <c r="D1835" s="1077" t="s">
        <v>4673</v>
      </c>
      <c r="E1835" s="1077" t="s">
        <v>4692</v>
      </c>
      <c r="F1835" s="1079">
        <v>2</v>
      </c>
      <c r="G1835" s="1079"/>
      <c r="H1835" s="1079"/>
      <c r="I1835" s="1079"/>
      <c r="J1835" s="1079"/>
      <c r="K1835" s="1079"/>
      <c r="L1835" s="1079"/>
      <c r="M1835" s="1079"/>
      <c r="N1835" s="1079"/>
      <c r="O1835" s="1079"/>
      <c r="P1835" s="1079"/>
      <c r="Q1835" s="1079"/>
      <c r="R1835" s="1079"/>
      <c r="S1835" s="1079"/>
      <c r="T1835" s="1079"/>
      <c r="U1835" s="1079"/>
      <c r="V1835" s="1079"/>
      <c r="W1835" s="1186"/>
      <c r="X1835" s="1186"/>
      <c r="Y1835" s="1186"/>
      <c r="Z1835" s="1186"/>
      <c r="AA1835" s="1186">
        <v>98.9</v>
      </c>
      <c r="AB1835" s="1186">
        <v>5.9</v>
      </c>
      <c r="AC1835" s="1186">
        <v>89.9</v>
      </c>
      <c r="AD1835" s="1187">
        <v>3.7</v>
      </c>
    </row>
    <row r="1836" spans="1:30" x14ac:dyDescent="0.2">
      <c r="A1836">
        <f t="shared" si="62"/>
        <v>50</v>
      </c>
      <c r="B1836">
        <v>1827</v>
      </c>
      <c r="C1836" s="1078">
        <v>2</v>
      </c>
      <c r="D1836" s="1077" t="s">
        <v>3598</v>
      </c>
      <c r="E1836" s="1077" t="s">
        <v>4431</v>
      </c>
      <c r="F1836" s="1079">
        <v>1</v>
      </c>
      <c r="G1836" s="1079"/>
      <c r="H1836" s="1079"/>
      <c r="I1836" s="1079">
        <v>7.5</v>
      </c>
      <c r="J1836" s="1079">
        <v>3.6</v>
      </c>
      <c r="K1836" s="1079">
        <v>9.1999999999999993</v>
      </c>
      <c r="L1836" s="1079">
        <v>4.3</v>
      </c>
      <c r="M1836" s="1079">
        <v>10.3</v>
      </c>
      <c r="N1836" s="1079">
        <v>4.8</v>
      </c>
      <c r="O1836" s="1079"/>
      <c r="P1836" s="1079"/>
      <c r="Q1836" s="1079">
        <v>7.8</v>
      </c>
      <c r="R1836" s="1079">
        <v>2.6</v>
      </c>
      <c r="S1836" s="1079">
        <v>10.5</v>
      </c>
      <c r="T1836" s="1079">
        <v>3.3</v>
      </c>
      <c r="U1836" s="1079"/>
      <c r="V1836" s="1079"/>
      <c r="W1836" s="1079"/>
      <c r="X1836" s="1079"/>
      <c r="Y1836" s="1079"/>
      <c r="Z1836" s="1079"/>
      <c r="AA1836" s="1079"/>
      <c r="AB1836" s="1079"/>
      <c r="AC1836" s="1079"/>
      <c r="AD1836" s="1080"/>
    </row>
    <row r="1837" spans="1:30" x14ac:dyDescent="0.2">
      <c r="A1837">
        <f t="shared" si="62"/>
        <v>50</v>
      </c>
      <c r="B1837">
        <v>1828</v>
      </c>
      <c r="C1837" s="1078">
        <v>2</v>
      </c>
      <c r="D1837" s="1077" t="s">
        <v>3598</v>
      </c>
      <c r="E1837" s="1077" t="s">
        <v>4432</v>
      </c>
      <c r="F1837" s="1079">
        <v>1</v>
      </c>
      <c r="G1837" s="1079">
        <v>9</v>
      </c>
      <c r="H1837" s="1079">
        <v>3</v>
      </c>
      <c r="I1837" s="1079">
        <v>10.9</v>
      </c>
      <c r="J1837" s="1079">
        <v>3.6</v>
      </c>
      <c r="K1837" s="1079">
        <v>14</v>
      </c>
      <c r="L1837" s="1079">
        <v>4.4000000000000004</v>
      </c>
      <c r="M1837" s="1079">
        <v>16</v>
      </c>
      <c r="N1837" s="1079">
        <v>5</v>
      </c>
      <c r="O1837" s="1079"/>
      <c r="P1837" s="1079"/>
      <c r="Q1837" s="1079">
        <v>11.1</v>
      </c>
      <c r="R1837" s="1079">
        <v>2.7</v>
      </c>
      <c r="S1837" s="1079">
        <v>11.4</v>
      </c>
      <c r="T1837" s="1079">
        <v>2.8</v>
      </c>
      <c r="U1837" s="1079"/>
      <c r="V1837" s="1079"/>
      <c r="W1837" s="1079"/>
      <c r="X1837" s="1079"/>
      <c r="Y1837" s="1079"/>
      <c r="Z1837" s="1079"/>
      <c r="AA1837" s="1079"/>
      <c r="AB1837" s="1079"/>
      <c r="AC1837" s="1079"/>
      <c r="AD1837" s="1080"/>
    </row>
    <row r="1838" spans="1:30" x14ac:dyDescent="0.2">
      <c r="A1838">
        <f t="shared" si="62"/>
        <v>50</v>
      </c>
      <c r="B1838">
        <v>1829</v>
      </c>
      <c r="C1838" s="1078">
        <v>2</v>
      </c>
      <c r="D1838" s="1077" t="s">
        <v>3598</v>
      </c>
      <c r="E1838" s="1077" t="s">
        <v>4433</v>
      </c>
      <c r="F1838" s="1079">
        <v>1</v>
      </c>
      <c r="G1838" s="1079"/>
      <c r="H1838" s="1079"/>
      <c r="I1838" s="1079">
        <v>15</v>
      </c>
      <c r="J1838" s="1079">
        <v>3.5</v>
      </c>
      <c r="K1838" s="1079">
        <v>18.5</v>
      </c>
      <c r="L1838" s="1079">
        <v>4.3</v>
      </c>
      <c r="M1838" s="1079">
        <v>20.7</v>
      </c>
      <c r="N1838" s="1079">
        <v>4.8</v>
      </c>
      <c r="O1838" s="1079"/>
      <c r="P1838" s="1079"/>
      <c r="Q1838" s="1079">
        <v>15.6</v>
      </c>
      <c r="R1838" s="1079">
        <v>2.6</v>
      </c>
      <c r="S1838" s="1079">
        <v>21</v>
      </c>
      <c r="T1838" s="1079">
        <v>3.3</v>
      </c>
      <c r="U1838" s="1079"/>
      <c r="V1838" s="1079"/>
      <c r="W1838" s="1079"/>
      <c r="X1838" s="1079"/>
      <c r="Y1838" s="1079"/>
      <c r="Z1838" s="1079"/>
      <c r="AA1838" s="1079"/>
      <c r="AB1838" s="1079"/>
      <c r="AC1838" s="1079"/>
      <c r="AD1838" s="1080"/>
    </row>
    <row r="1839" spans="1:30" x14ac:dyDescent="0.2">
      <c r="A1839">
        <f t="shared" si="62"/>
        <v>50</v>
      </c>
      <c r="B1839">
        <v>1830</v>
      </c>
      <c r="C1839" s="1078">
        <v>3</v>
      </c>
      <c r="D1839" s="1077" t="s">
        <v>3598</v>
      </c>
      <c r="E1839" s="1077" t="s">
        <v>4434</v>
      </c>
      <c r="F1839" s="1079">
        <v>1</v>
      </c>
      <c r="G1839" s="1079"/>
      <c r="H1839" s="1079"/>
      <c r="I1839" s="1079"/>
      <c r="J1839" s="1079"/>
      <c r="K1839" s="1079"/>
      <c r="L1839" s="1079"/>
      <c r="M1839" s="1079"/>
      <c r="N1839" s="1079"/>
      <c r="O1839" s="1079"/>
      <c r="P1839" s="1079"/>
      <c r="Q1839" s="1079"/>
      <c r="R1839" s="1079"/>
      <c r="S1839" s="1079"/>
      <c r="T1839" s="1079"/>
      <c r="U1839" s="1079"/>
      <c r="V1839" s="1079"/>
      <c r="W1839" s="1079">
        <v>6.9</v>
      </c>
      <c r="X1839" s="1079">
        <v>4.5</v>
      </c>
      <c r="Y1839" s="1079">
        <v>6.3</v>
      </c>
      <c r="Z1839" s="1079">
        <v>2.4</v>
      </c>
      <c r="AA1839" s="1079">
        <v>9</v>
      </c>
      <c r="AB1839" s="1079">
        <v>6.2</v>
      </c>
      <c r="AC1839" s="1079">
        <v>7.9</v>
      </c>
      <c r="AD1839" s="1080">
        <v>3.2</v>
      </c>
    </row>
    <row r="1840" spans="1:30" x14ac:dyDescent="0.2">
      <c r="A1840">
        <f t="shared" si="62"/>
        <v>50</v>
      </c>
      <c r="B1840">
        <v>1831</v>
      </c>
      <c r="C1840" s="1078">
        <v>3</v>
      </c>
      <c r="D1840" s="1077" t="s">
        <v>3598</v>
      </c>
      <c r="E1840" s="1077" t="s">
        <v>4435</v>
      </c>
      <c r="F1840" s="1079">
        <v>1</v>
      </c>
      <c r="G1840" s="1079"/>
      <c r="H1840" s="1079"/>
      <c r="I1840" s="1079"/>
      <c r="J1840" s="1079"/>
      <c r="K1840" s="1079"/>
      <c r="L1840" s="1079"/>
      <c r="M1840" s="1079"/>
      <c r="N1840" s="1079"/>
      <c r="O1840" s="1079"/>
      <c r="P1840" s="1079"/>
      <c r="Q1840" s="1079"/>
      <c r="R1840" s="1079"/>
      <c r="S1840" s="1079"/>
      <c r="T1840" s="1079"/>
      <c r="U1840" s="1079"/>
      <c r="V1840" s="1079"/>
      <c r="W1840" s="1079">
        <v>6.9</v>
      </c>
      <c r="X1840" s="1079">
        <v>4.5</v>
      </c>
      <c r="Y1840" s="1079">
        <v>6.3</v>
      </c>
      <c r="Z1840" s="1079">
        <v>2.4</v>
      </c>
      <c r="AA1840" s="1079">
        <v>9</v>
      </c>
      <c r="AB1840" s="1079">
        <v>6.2</v>
      </c>
      <c r="AC1840" s="1079">
        <v>7.9</v>
      </c>
      <c r="AD1840" s="1080">
        <v>3.2</v>
      </c>
    </row>
    <row r="1841" spans="1:30" x14ac:dyDescent="0.2">
      <c r="A1841">
        <f t="shared" si="62"/>
        <v>51</v>
      </c>
      <c r="B1841">
        <v>1832</v>
      </c>
      <c r="C1841" s="1078">
        <v>2</v>
      </c>
      <c r="D1841" s="1077" t="s">
        <v>5651</v>
      </c>
      <c r="E1841" s="1077" t="s">
        <v>5652</v>
      </c>
      <c r="F1841" s="1079">
        <v>4</v>
      </c>
      <c r="G1841" s="1079">
        <v>7.47</v>
      </c>
      <c r="H1841" s="1079">
        <v>2.85</v>
      </c>
      <c r="I1841" s="1079">
        <v>8.34</v>
      </c>
      <c r="J1841" s="1079">
        <v>3.18</v>
      </c>
      <c r="K1841" s="1079">
        <v>8.7899999999999991</v>
      </c>
      <c r="L1841" s="1079">
        <v>4.1500000000000004</v>
      </c>
      <c r="M1841" s="1079">
        <v>9</v>
      </c>
      <c r="N1841" s="1079">
        <v>5.25</v>
      </c>
      <c r="O1841" s="1079">
        <v>9.01</v>
      </c>
      <c r="P1841" s="1079">
        <v>7.47</v>
      </c>
      <c r="Q1841" s="1079">
        <v>8.67</v>
      </c>
      <c r="R1841" s="1079">
        <v>2.46</v>
      </c>
      <c r="S1841" s="1079">
        <v>9.01</v>
      </c>
      <c r="T1841" s="1079">
        <v>3.54</v>
      </c>
      <c r="U1841" s="1079">
        <v>9</v>
      </c>
      <c r="V1841" s="1079">
        <v>4.72</v>
      </c>
      <c r="W1841" s="1079"/>
      <c r="X1841" s="1079"/>
      <c r="Y1841" s="1079"/>
      <c r="Z1841" s="1079"/>
      <c r="AA1841" s="1079"/>
      <c r="AB1841" s="1079"/>
      <c r="AC1841" s="1079"/>
      <c r="AD1841" s="1080"/>
    </row>
    <row r="1842" spans="1:30" x14ac:dyDescent="0.2">
      <c r="A1842">
        <f t="shared" si="62"/>
        <v>51</v>
      </c>
      <c r="B1842">
        <v>1833</v>
      </c>
      <c r="C1842" s="1078">
        <v>2</v>
      </c>
      <c r="D1842" s="1077" t="s">
        <v>5651</v>
      </c>
      <c r="E1842" s="1077" t="s">
        <v>5653</v>
      </c>
      <c r="F1842" s="1079">
        <v>4</v>
      </c>
      <c r="G1842" s="1079">
        <v>10.19</v>
      </c>
      <c r="H1842" s="1079">
        <v>2.94</v>
      </c>
      <c r="I1842" s="1079">
        <v>11</v>
      </c>
      <c r="J1842" s="1079">
        <v>3.15</v>
      </c>
      <c r="K1842" s="1079">
        <v>11.6</v>
      </c>
      <c r="L1842" s="1079">
        <v>4.17</v>
      </c>
      <c r="M1842" s="1079">
        <v>12.02</v>
      </c>
      <c r="N1842" s="1079">
        <v>5.47</v>
      </c>
      <c r="O1842" s="1079">
        <v>12</v>
      </c>
      <c r="P1842" s="1079">
        <v>7.58</v>
      </c>
      <c r="Q1842" s="1079">
        <v>11.41</v>
      </c>
      <c r="R1842" s="1079">
        <v>2.4</v>
      </c>
      <c r="S1842" s="1079">
        <v>12.01</v>
      </c>
      <c r="T1842" s="1079">
        <v>3.66</v>
      </c>
      <c r="U1842" s="1079">
        <v>12.01</v>
      </c>
      <c r="V1842" s="1079">
        <v>4.84</v>
      </c>
      <c r="W1842" s="1079"/>
      <c r="X1842" s="1079"/>
      <c r="Y1842" s="1079"/>
      <c r="Z1842" s="1079"/>
      <c r="AA1842" s="1079"/>
      <c r="AB1842" s="1079"/>
      <c r="AC1842" s="1079"/>
      <c r="AD1842" s="1080"/>
    </row>
    <row r="1843" spans="1:30" x14ac:dyDescent="0.2">
      <c r="A1843">
        <f t="shared" si="62"/>
        <v>51</v>
      </c>
      <c r="B1843">
        <v>1834</v>
      </c>
      <c r="C1843" s="1078">
        <v>2</v>
      </c>
      <c r="D1843" s="1077" t="s">
        <v>5651</v>
      </c>
      <c r="E1843" s="1077" t="s">
        <v>5654</v>
      </c>
      <c r="F1843" s="1079">
        <v>4</v>
      </c>
      <c r="G1843" s="1079">
        <v>14.35</v>
      </c>
      <c r="H1843" s="1079">
        <v>2.82</v>
      </c>
      <c r="I1843" s="1079">
        <v>16.149999999999999</v>
      </c>
      <c r="J1843" s="1079">
        <v>3.06</v>
      </c>
      <c r="K1843" s="1079">
        <v>17.579999999999998</v>
      </c>
      <c r="L1843" s="1079">
        <v>3.64</v>
      </c>
      <c r="M1843" s="1079">
        <v>18</v>
      </c>
      <c r="N1843" s="1079">
        <v>5.01</v>
      </c>
      <c r="O1843" s="1079">
        <v>18.04</v>
      </c>
      <c r="P1843" s="1079">
        <v>6.98</v>
      </c>
      <c r="Q1843" s="1079">
        <v>15.78</v>
      </c>
      <c r="R1843" s="1079">
        <v>2.29</v>
      </c>
      <c r="S1843" s="1079">
        <v>18.02</v>
      </c>
      <c r="T1843" s="1079">
        <v>3.46</v>
      </c>
      <c r="U1843" s="1079">
        <v>18.04</v>
      </c>
      <c r="V1843" s="1079">
        <v>4.5999999999999996</v>
      </c>
      <c r="W1843" s="1079"/>
      <c r="X1843" s="1079"/>
      <c r="Y1843" s="1079"/>
      <c r="Z1843" s="1079"/>
      <c r="AA1843" s="1079"/>
      <c r="AB1843" s="1079"/>
      <c r="AC1843" s="1079"/>
      <c r="AD1843" s="1080"/>
    </row>
    <row r="1844" spans="1:30" x14ac:dyDescent="0.2">
      <c r="A1844">
        <f t="shared" si="62"/>
        <v>51</v>
      </c>
      <c r="B1844">
        <v>1835</v>
      </c>
      <c r="C1844" s="1078">
        <v>2</v>
      </c>
      <c r="D1844" s="1077" t="s">
        <v>5651</v>
      </c>
      <c r="E1844" s="1077" t="s">
        <v>5655</v>
      </c>
      <c r="F1844" s="1079">
        <v>4</v>
      </c>
      <c r="G1844" s="1079">
        <v>26.24</v>
      </c>
      <c r="H1844" s="1079">
        <v>2.5099999999999998</v>
      </c>
      <c r="I1844" s="1079">
        <v>32.68</v>
      </c>
      <c r="J1844" s="1079">
        <v>2.79</v>
      </c>
      <c r="K1844" s="1079">
        <v>35.049999999999997</v>
      </c>
      <c r="L1844" s="1079">
        <v>3.49</v>
      </c>
      <c r="M1844" s="1079">
        <v>35.04</v>
      </c>
      <c r="N1844" s="1079">
        <v>4.76</v>
      </c>
      <c r="O1844" s="1079">
        <v>35.03</v>
      </c>
      <c r="P1844" s="1079">
        <v>6.88</v>
      </c>
      <c r="Q1844" s="1079">
        <v>32.64</v>
      </c>
      <c r="R1844" s="1079">
        <v>2.08</v>
      </c>
      <c r="S1844" s="1079">
        <v>35.79</v>
      </c>
      <c r="T1844" s="1079">
        <v>3.09</v>
      </c>
      <c r="U1844" s="1079">
        <v>35.020000000000003</v>
      </c>
      <c r="V1844" s="1079">
        <v>4.1399999999999997</v>
      </c>
      <c r="W1844" s="1079"/>
      <c r="X1844" s="1079"/>
      <c r="Y1844" s="1079"/>
      <c r="Z1844" s="1079"/>
      <c r="AA1844" s="1079"/>
      <c r="AB1844" s="1079"/>
      <c r="AC1844" s="1079"/>
      <c r="AD1844" s="1080"/>
    </row>
    <row r="1845" spans="1:30" x14ac:dyDescent="0.2">
      <c r="A1845">
        <f t="shared" si="62"/>
        <v>51</v>
      </c>
      <c r="B1845">
        <v>1836</v>
      </c>
      <c r="C1845" s="1078">
        <v>2</v>
      </c>
      <c r="D1845" s="1077" t="s">
        <v>5651</v>
      </c>
      <c r="E1845" s="1077" t="s">
        <v>5656</v>
      </c>
      <c r="F1845" s="1079">
        <v>4</v>
      </c>
      <c r="G1845" s="1079">
        <v>52.48</v>
      </c>
      <c r="H1845" s="1079">
        <v>2.5</v>
      </c>
      <c r="I1845" s="1079">
        <v>65.37</v>
      </c>
      <c r="J1845" s="1079">
        <v>2.78</v>
      </c>
      <c r="K1845" s="1079">
        <v>70.099999999999994</v>
      </c>
      <c r="L1845" s="1079">
        <v>3.48</v>
      </c>
      <c r="M1845" s="1079">
        <v>70.069999999999993</v>
      </c>
      <c r="N1845" s="1079">
        <v>4.75</v>
      </c>
      <c r="O1845" s="1079">
        <v>70.05</v>
      </c>
      <c r="P1845" s="1079">
        <v>6.87</v>
      </c>
      <c r="Q1845" s="1079">
        <v>65.28</v>
      </c>
      <c r="R1845" s="1079">
        <v>2.0699999999999998</v>
      </c>
      <c r="S1845" s="1079">
        <v>71.58</v>
      </c>
      <c r="T1845" s="1079">
        <v>3.08</v>
      </c>
      <c r="U1845" s="1079">
        <v>70.03</v>
      </c>
      <c r="V1845" s="1079">
        <v>4.13</v>
      </c>
      <c r="W1845" s="1079"/>
      <c r="X1845" s="1079"/>
      <c r="Y1845" s="1079"/>
      <c r="Z1845" s="1079"/>
      <c r="AA1845" s="1079"/>
      <c r="AB1845" s="1079"/>
      <c r="AC1845" s="1079"/>
      <c r="AD1845" s="1080"/>
    </row>
    <row r="1846" spans="1:30" x14ac:dyDescent="0.2">
      <c r="A1846">
        <f t="shared" si="62"/>
        <v>51</v>
      </c>
      <c r="B1846">
        <v>1837</v>
      </c>
      <c r="C1846" s="1078">
        <v>2</v>
      </c>
      <c r="D1846" s="1077" t="s">
        <v>5651</v>
      </c>
      <c r="E1846" s="1077" t="s">
        <v>5657</v>
      </c>
      <c r="F1846" s="1079">
        <v>4</v>
      </c>
      <c r="G1846" s="1079">
        <v>78.709999999999994</v>
      </c>
      <c r="H1846" s="1079">
        <v>2.4900000000000002</v>
      </c>
      <c r="I1846" s="1079">
        <v>98.05</v>
      </c>
      <c r="J1846" s="1079">
        <v>2.77</v>
      </c>
      <c r="K1846" s="1079">
        <v>105.15</v>
      </c>
      <c r="L1846" s="1079">
        <v>3.47</v>
      </c>
      <c r="M1846" s="1079">
        <v>105.11</v>
      </c>
      <c r="N1846" s="1079">
        <v>4.74</v>
      </c>
      <c r="O1846" s="1079">
        <v>105.08</v>
      </c>
      <c r="P1846" s="1079">
        <v>6.86</v>
      </c>
      <c r="Q1846" s="1079">
        <v>97.92</v>
      </c>
      <c r="R1846" s="1079">
        <v>2.06</v>
      </c>
      <c r="S1846" s="1079">
        <v>107.36</v>
      </c>
      <c r="T1846" s="1079">
        <v>3.07</v>
      </c>
      <c r="U1846" s="1079">
        <v>105.05</v>
      </c>
      <c r="V1846" s="1079">
        <v>4.12</v>
      </c>
      <c r="W1846" s="1079"/>
      <c r="X1846" s="1079"/>
      <c r="Y1846" s="1079"/>
      <c r="Z1846" s="1079"/>
      <c r="AA1846" s="1079"/>
      <c r="AB1846" s="1079"/>
      <c r="AC1846" s="1079"/>
      <c r="AD1846" s="1080"/>
    </row>
    <row r="1847" spans="1:30" x14ac:dyDescent="0.2">
      <c r="A1847">
        <f t="shared" si="62"/>
        <v>51</v>
      </c>
      <c r="B1847">
        <v>1838</v>
      </c>
      <c r="C1847" s="1078">
        <v>2</v>
      </c>
      <c r="D1847" s="1077" t="s">
        <v>5651</v>
      </c>
      <c r="E1847" s="1077" t="s">
        <v>5658</v>
      </c>
      <c r="F1847" s="1079">
        <v>4</v>
      </c>
      <c r="G1847" s="1079">
        <v>104.95</v>
      </c>
      <c r="H1847" s="1079">
        <v>2.4900000000000002</v>
      </c>
      <c r="I1847" s="1079">
        <v>130.74</v>
      </c>
      <c r="J1847" s="1079">
        <v>2.77</v>
      </c>
      <c r="K1847" s="1079">
        <v>140.19999999999999</v>
      </c>
      <c r="L1847" s="1079">
        <v>3.47</v>
      </c>
      <c r="M1847" s="1079">
        <v>140.15</v>
      </c>
      <c r="N1847" s="1079">
        <v>4.74</v>
      </c>
      <c r="O1847" s="1079">
        <v>140.1</v>
      </c>
      <c r="P1847" s="1079">
        <v>6.86</v>
      </c>
      <c r="Q1847" s="1079">
        <v>130.55000000000001</v>
      </c>
      <c r="R1847" s="1079">
        <v>2.06</v>
      </c>
      <c r="S1847" s="1079">
        <v>143.15</v>
      </c>
      <c r="T1847" s="1079">
        <v>3.07</v>
      </c>
      <c r="U1847" s="1079">
        <v>140.07</v>
      </c>
      <c r="V1847" s="1079">
        <v>4.12</v>
      </c>
      <c r="W1847" s="1079"/>
      <c r="X1847" s="1079"/>
      <c r="Y1847" s="1079"/>
      <c r="Z1847" s="1079"/>
      <c r="AA1847" s="1079"/>
      <c r="AB1847" s="1079"/>
      <c r="AC1847" s="1079"/>
      <c r="AD1847" s="1080"/>
    </row>
    <row r="1848" spans="1:30" x14ac:dyDescent="0.2">
      <c r="A1848">
        <f t="shared" si="62"/>
        <v>51</v>
      </c>
      <c r="B1848">
        <v>1839</v>
      </c>
      <c r="C1848" s="1078">
        <v>2</v>
      </c>
      <c r="D1848" s="1077" t="s">
        <v>5651</v>
      </c>
      <c r="E1848" s="1077" t="s">
        <v>5659</v>
      </c>
      <c r="F1848" s="1079">
        <v>4</v>
      </c>
      <c r="G1848" s="1079">
        <v>6.15</v>
      </c>
      <c r="H1848" s="1079">
        <v>2.65</v>
      </c>
      <c r="I1848" s="1079">
        <v>5.53</v>
      </c>
      <c r="J1848" s="1079">
        <v>2.96</v>
      </c>
      <c r="K1848" s="1079">
        <v>5.54</v>
      </c>
      <c r="L1848" s="1079">
        <v>3.82</v>
      </c>
      <c r="M1848" s="1079">
        <v>6.15</v>
      </c>
      <c r="N1848" s="1079">
        <v>4.9800000000000004</v>
      </c>
      <c r="O1848" s="1079">
        <v>6.15</v>
      </c>
      <c r="P1848" s="1079">
        <v>6.5</v>
      </c>
      <c r="Q1848" s="1079">
        <v>6</v>
      </c>
      <c r="R1848" s="1079">
        <v>2.2599999999999998</v>
      </c>
      <c r="S1848" s="1079">
        <v>6</v>
      </c>
      <c r="T1848" s="1079">
        <v>3.15</v>
      </c>
      <c r="U1848" s="1079">
        <v>6.01</v>
      </c>
      <c r="V1848" s="1079">
        <v>3.88</v>
      </c>
      <c r="W1848" s="1079"/>
      <c r="X1848" s="1079"/>
      <c r="Y1848" s="1079"/>
      <c r="Z1848" s="1079"/>
      <c r="AA1848" s="1079"/>
      <c r="AB1848" s="1079"/>
      <c r="AC1848" s="1079"/>
      <c r="AD1848" s="1080"/>
    </row>
    <row r="1849" spans="1:30" x14ac:dyDescent="0.2">
      <c r="A1849">
        <f t="shared" si="62"/>
        <v>51</v>
      </c>
      <c r="B1849">
        <v>1840</v>
      </c>
      <c r="C1849" s="1078">
        <v>2</v>
      </c>
      <c r="D1849" s="1077" t="s">
        <v>5651</v>
      </c>
      <c r="E1849" s="1077" t="s">
        <v>5660</v>
      </c>
      <c r="F1849" s="1079">
        <v>4</v>
      </c>
      <c r="G1849" s="1079">
        <v>6.22</v>
      </c>
      <c r="H1849" s="1079">
        <v>2.58</v>
      </c>
      <c r="I1849" s="1079">
        <v>5.59</v>
      </c>
      <c r="J1849" s="1079">
        <v>2.98</v>
      </c>
      <c r="K1849" s="1079">
        <v>5.59</v>
      </c>
      <c r="L1849" s="1079">
        <v>3.85</v>
      </c>
      <c r="M1849" s="1079">
        <v>6.19</v>
      </c>
      <c r="N1849" s="1079">
        <v>5.03</v>
      </c>
      <c r="O1849" s="1079">
        <v>6.2</v>
      </c>
      <c r="P1849" s="1079">
        <v>6.59</v>
      </c>
      <c r="Q1849" s="1079">
        <v>6.06</v>
      </c>
      <c r="R1849" s="1079">
        <v>2.36</v>
      </c>
      <c r="S1849" s="1079">
        <v>6.07</v>
      </c>
      <c r="T1849" s="1079">
        <v>3.32</v>
      </c>
      <c r="U1849" s="1079">
        <v>6.06</v>
      </c>
      <c r="V1849" s="1079">
        <v>4.1399999999999997</v>
      </c>
      <c r="W1849" s="1079"/>
      <c r="X1849" s="1079"/>
      <c r="Y1849" s="1079"/>
      <c r="Z1849" s="1079"/>
      <c r="AA1849" s="1079"/>
      <c r="AB1849" s="1079"/>
      <c r="AC1849" s="1079"/>
      <c r="AD1849" s="1080"/>
    </row>
    <row r="1850" spans="1:30" x14ac:dyDescent="0.2">
      <c r="A1850">
        <f t="shared" si="62"/>
        <v>51</v>
      </c>
      <c r="B1850">
        <v>1841</v>
      </c>
      <c r="C1850" s="1078">
        <v>2</v>
      </c>
      <c r="D1850" s="1077" t="s">
        <v>5651</v>
      </c>
      <c r="E1850" s="1077" t="s">
        <v>5661</v>
      </c>
      <c r="F1850" s="1079">
        <v>4</v>
      </c>
      <c r="G1850" s="1079">
        <v>6.15</v>
      </c>
      <c r="H1850" s="1079">
        <v>2.65</v>
      </c>
      <c r="I1850" s="1079">
        <v>5.53</v>
      </c>
      <c r="J1850" s="1079">
        <v>2.96</v>
      </c>
      <c r="K1850" s="1079">
        <v>5.54</v>
      </c>
      <c r="L1850" s="1079">
        <v>3.82</v>
      </c>
      <c r="M1850" s="1079">
        <v>6.15</v>
      </c>
      <c r="N1850" s="1079">
        <v>4.9800000000000004</v>
      </c>
      <c r="O1850" s="1079">
        <v>6.15</v>
      </c>
      <c r="P1850" s="1079">
        <v>6.5</v>
      </c>
      <c r="Q1850" s="1079">
        <v>6</v>
      </c>
      <c r="R1850" s="1079">
        <v>2.2599999999999998</v>
      </c>
      <c r="S1850" s="1079">
        <v>6</v>
      </c>
      <c r="T1850" s="1079">
        <v>3.15</v>
      </c>
      <c r="U1850" s="1079">
        <v>6.01</v>
      </c>
      <c r="V1850" s="1079">
        <v>3.88</v>
      </c>
      <c r="W1850" s="1079"/>
      <c r="X1850" s="1079"/>
      <c r="Y1850" s="1079"/>
      <c r="Z1850" s="1079"/>
      <c r="AA1850" s="1079"/>
      <c r="AB1850" s="1079"/>
      <c r="AC1850" s="1079"/>
      <c r="AD1850" s="1080"/>
    </row>
    <row r="1851" spans="1:30" x14ac:dyDescent="0.2">
      <c r="A1851">
        <f t="shared" si="62"/>
        <v>51</v>
      </c>
      <c r="B1851">
        <v>1842</v>
      </c>
      <c r="C1851" s="1078">
        <v>3</v>
      </c>
      <c r="D1851" s="1077" t="s">
        <v>5651</v>
      </c>
      <c r="E1851" s="1077" t="s">
        <v>5662</v>
      </c>
      <c r="F1851" s="1079">
        <v>4</v>
      </c>
      <c r="G1851" s="1079" t="s">
        <v>721</v>
      </c>
      <c r="H1851" s="1079" t="s">
        <v>721</v>
      </c>
      <c r="I1851" s="1079" t="s">
        <v>721</v>
      </c>
      <c r="J1851" s="1079" t="s">
        <v>721</v>
      </c>
      <c r="K1851" s="1079" t="s">
        <v>721</v>
      </c>
      <c r="L1851" s="1079" t="s">
        <v>721</v>
      </c>
      <c r="M1851" s="1079" t="s">
        <v>721</v>
      </c>
      <c r="N1851" s="1079" t="s">
        <v>721</v>
      </c>
      <c r="O1851" s="1079" t="s">
        <v>721</v>
      </c>
      <c r="P1851" s="1079" t="s">
        <v>721</v>
      </c>
      <c r="Q1851" s="1079" t="s">
        <v>721</v>
      </c>
      <c r="R1851" s="1079" t="s">
        <v>721</v>
      </c>
      <c r="S1851" s="1079" t="s">
        <v>721</v>
      </c>
      <c r="T1851" s="1079" t="s">
        <v>721</v>
      </c>
      <c r="U1851" s="1079" t="s">
        <v>721</v>
      </c>
      <c r="V1851" s="1079" t="s">
        <v>721</v>
      </c>
      <c r="W1851" s="1079">
        <v>9.08</v>
      </c>
      <c r="X1851" s="1079">
        <v>4.45</v>
      </c>
      <c r="Y1851" s="1079">
        <v>8.92</v>
      </c>
      <c r="Z1851" s="1079">
        <v>3</v>
      </c>
      <c r="AA1851" s="1079"/>
      <c r="AB1851" s="1079"/>
      <c r="AC1851" s="1079"/>
      <c r="AD1851" s="1080"/>
    </row>
    <row r="1852" spans="1:30" x14ac:dyDescent="0.2">
      <c r="A1852">
        <f t="shared" si="62"/>
        <v>51</v>
      </c>
      <c r="B1852">
        <v>1843</v>
      </c>
      <c r="C1852" s="1078">
        <v>3</v>
      </c>
      <c r="D1852" s="1077" t="s">
        <v>5651</v>
      </c>
      <c r="E1852" s="1077" t="s">
        <v>5663</v>
      </c>
      <c r="F1852" s="1079">
        <v>4</v>
      </c>
      <c r="G1852" s="1079" t="s">
        <v>721</v>
      </c>
      <c r="H1852" s="1079" t="s">
        <v>721</v>
      </c>
      <c r="I1852" s="1079" t="s">
        <v>721</v>
      </c>
      <c r="J1852" s="1079" t="s">
        <v>721</v>
      </c>
      <c r="K1852" s="1079" t="s">
        <v>721</v>
      </c>
      <c r="L1852" s="1079" t="s">
        <v>721</v>
      </c>
      <c r="M1852" s="1079" t="s">
        <v>721</v>
      </c>
      <c r="N1852" s="1079" t="s">
        <v>721</v>
      </c>
      <c r="O1852" s="1079" t="s">
        <v>721</v>
      </c>
      <c r="P1852" s="1079" t="s">
        <v>721</v>
      </c>
      <c r="Q1852" s="1079" t="s">
        <v>721</v>
      </c>
      <c r="R1852" s="1079" t="s">
        <v>721</v>
      </c>
      <c r="S1852" s="1079" t="s">
        <v>721</v>
      </c>
      <c r="T1852" s="1079" t="s">
        <v>721</v>
      </c>
      <c r="U1852" s="1079" t="s">
        <v>721</v>
      </c>
      <c r="V1852" s="1079" t="s">
        <v>721</v>
      </c>
      <c r="W1852" s="1079">
        <v>12.19</v>
      </c>
      <c r="X1852" s="1079">
        <v>4.8</v>
      </c>
      <c r="Y1852" s="1079">
        <v>12.07</v>
      </c>
      <c r="Z1852" s="1079">
        <v>3.15</v>
      </c>
      <c r="AA1852" s="1079"/>
      <c r="AB1852" s="1079"/>
      <c r="AC1852" s="1079"/>
      <c r="AD1852" s="1080"/>
    </row>
    <row r="1853" spans="1:30" x14ac:dyDescent="0.2">
      <c r="A1853">
        <f t="shared" si="62"/>
        <v>51</v>
      </c>
      <c r="B1853">
        <v>1844</v>
      </c>
      <c r="C1853" s="1078">
        <v>3</v>
      </c>
      <c r="D1853" s="1077" t="s">
        <v>5651</v>
      </c>
      <c r="E1853" s="1077" t="s">
        <v>5664</v>
      </c>
      <c r="F1853" s="1079">
        <v>4</v>
      </c>
      <c r="G1853" s="1079" t="s">
        <v>721</v>
      </c>
      <c r="H1853" s="1079" t="s">
        <v>721</v>
      </c>
      <c r="I1853" s="1079" t="s">
        <v>721</v>
      </c>
      <c r="J1853" s="1079" t="s">
        <v>721</v>
      </c>
      <c r="K1853" s="1079" t="s">
        <v>721</v>
      </c>
      <c r="L1853" s="1079" t="s">
        <v>721</v>
      </c>
      <c r="M1853" s="1079" t="s">
        <v>721</v>
      </c>
      <c r="N1853" s="1079" t="s">
        <v>721</v>
      </c>
      <c r="O1853" s="1079" t="s">
        <v>721</v>
      </c>
      <c r="P1853" s="1079" t="s">
        <v>721</v>
      </c>
      <c r="Q1853" s="1079" t="s">
        <v>721</v>
      </c>
      <c r="R1853" s="1079" t="s">
        <v>721</v>
      </c>
      <c r="S1853" s="1079" t="s">
        <v>721</v>
      </c>
      <c r="T1853" s="1079" t="s">
        <v>721</v>
      </c>
      <c r="U1853" s="1079" t="s">
        <v>721</v>
      </c>
      <c r="V1853" s="1079" t="s">
        <v>721</v>
      </c>
      <c r="W1853" s="1079">
        <v>18.18</v>
      </c>
      <c r="X1853" s="1079">
        <v>4.67</v>
      </c>
      <c r="Y1853" s="1079">
        <v>18.100000000000001</v>
      </c>
      <c r="Z1853" s="1079">
        <v>3.12</v>
      </c>
      <c r="AA1853" s="1079"/>
      <c r="AB1853" s="1079"/>
      <c r="AC1853" s="1079"/>
      <c r="AD1853" s="1080"/>
    </row>
    <row r="1854" spans="1:30" x14ac:dyDescent="0.2">
      <c r="A1854">
        <f t="shared" si="62"/>
        <v>51</v>
      </c>
      <c r="B1854">
        <v>1845</v>
      </c>
      <c r="C1854" s="1078">
        <v>4</v>
      </c>
      <c r="D1854" s="1077" t="s">
        <v>5651</v>
      </c>
      <c r="E1854" s="1077" t="s">
        <v>5662</v>
      </c>
      <c r="F1854" s="1079">
        <v>4</v>
      </c>
      <c r="G1854" s="1079" t="s">
        <v>721</v>
      </c>
      <c r="H1854" s="1079" t="s">
        <v>721</v>
      </c>
      <c r="I1854" s="1079" t="s">
        <v>721</v>
      </c>
      <c r="J1854" s="1079" t="s">
        <v>721</v>
      </c>
      <c r="K1854" s="1079" t="s">
        <v>721</v>
      </c>
      <c r="L1854" s="1079" t="s">
        <v>721</v>
      </c>
      <c r="M1854" s="1079" t="s">
        <v>721</v>
      </c>
      <c r="N1854" s="1079" t="s">
        <v>721</v>
      </c>
      <c r="O1854" s="1079" t="s">
        <v>721</v>
      </c>
      <c r="P1854" s="1079" t="s">
        <v>721</v>
      </c>
      <c r="Q1854" s="1079" t="s">
        <v>721</v>
      </c>
      <c r="R1854" s="1079" t="s">
        <v>721</v>
      </c>
      <c r="S1854" s="1079" t="s">
        <v>721</v>
      </c>
      <c r="T1854" s="1079" t="s">
        <v>721</v>
      </c>
      <c r="U1854" s="1079" t="s">
        <v>721</v>
      </c>
      <c r="V1854" s="1079" t="s">
        <v>721</v>
      </c>
      <c r="W1854" s="1079" t="s">
        <v>721</v>
      </c>
      <c r="X1854" s="1079" t="s">
        <v>721</v>
      </c>
      <c r="Y1854" s="1079" t="s">
        <v>721</v>
      </c>
      <c r="Z1854" s="1079" t="s">
        <v>721</v>
      </c>
      <c r="AA1854" s="1079">
        <v>9.1</v>
      </c>
      <c r="AB1854" s="1079">
        <v>6.25</v>
      </c>
      <c r="AC1854" s="1079">
        <v>9</v>
      </c>
      <c r="AD1854" s="1080">
        <v>3.88</v>
      </c>
    </row>
    <row r="1855" spans="1:30" x14ac:dyDescent="0.2">
      <c r="A1855">
        <f t="shared" si="62"/>
        <v>51</v>
      </c>
      <c r="B1855">
        <v>1846</v>
      </c>
      <c r="C1855" s="1078">
        <v>4</v>
      </c>
      <c r="D1855" s="1077" t="s">
        <v>5651</v>
      </c>
      <c r="E1855" s="1077" t="s">
        <v>5663</v>
      </c>
      <c r="F1855" s="1079">
        <v>4</v>
      </c>
      <c r="G1855" s="1079" t="s">
        <v>721</v>
      </c>
      <c r="H1855" s="1079" t="s">
        <v>721</v>
      </c>
      <c r="I1855" s="1079" t="s">
        <v>721</v>
      </c>
      <c r="J1855" s="1079" t="s">
        <v>721</v>
      </c>
      <c r="K1855" s="1079" t="s">
        <v>721</v>
      </c>
      <c r="L1855" s="1079" t="s">
        <v>721</v>
      </c>
      <c r="M1855" s="1079" t="s">
        <v>721</v>
      </c>
      <c r="N1855" s="1079" t="s">
        <v>721</v>
      </c>
      <c r="O1855" s="1079" t="s">
        <v>721</v>
      </c>
      <c r="P1855" s="1079" t="s">
        <v>721</v>
      </c>
      <c r="Q1855" s="1079" t="s">
        <v>721</v>
      </c>
      <c r="R1855" s="1079" t="s">
        <v>721</v>
      </c>
      <c r="S1855" s="1079" t="s">
        <v>721</v>
      </c>
      <c r="T1855" s="1079" t="s">
        <v>721</v>
      </c>
      <c r="U1855" s="1079" t="s">
        <v>721</v>
      </c>
      <c r="V1855" s="1079" t="s">
        <v>721</v>
      </c>
      <c r="W1855" s="1079" t="s">
        <v>721</v>
      </c>
      <c r="X1855" s="1079" t="s">
        <v>721</v>
      </c>
      <c r="Y1855" s="1079" t="s">
        <v>721</v>
      </c>
      <c r="Z1855" s="1079" t="s">
        <v>721</v>
      </c>
      <c r="AA1855" s="1079">
        <v>12.15</v>
      </c>
      <c r="AB1855" s="1079">
        <v>6.66</v>
      </c>
      <c r="AC1855" s="1079">
        <v>12.06</v>
      </c>
      <c r="AD1855" s="1080">
        <v>4.1100000000000003</v>
      </c>
    </row>
    <row r="1856" spans="1:30" x14ac:dyDescent="0.2">
      <c r="A1856">
        <f t="shared" si="62"/>
        <v>51</v>
      </c>
      <c r="B1856">
        <v>1847</v>
      </c>
      <c r="C1856" s="1078">
        <v>4</v>
      </c>
      <c r="D1856" s="1077" t="s">
        <v>5651</v>
      </c>
      <c r="E1856" s="1077" t="s">
        <v>5664</v>
      </c>
      <c r="F1856" s="1079">
        <v>4</v>
      </c>
      <c r="G1856" s="1079" t="s">
        <v>721</v>
      </c>
      <c r="H1856" s="1079" t="s">
        <v>721</v>
      </c>
      <c r="I1856" s="1079" t="s">
        <v>721</v>
      </c>
      <c r="J1856" s="1079" t="s">
        <v>721</v>
      </c>
      <c r="K1856" s="1079" t="s">
        <v>721</v>
      </c>
      <c r="L1856" s="1079" t="s">
        <v>721</v>
      </c>
      <c r="M1856" s="1079" t="s">
        <v>721</v>
      </c>
      <c r="N1856" s="1079" t="s">
        <v>721</v>
      </c>
      <c r="O1856" s="1079" t="s">
        <v>721</v>
      </c>
      <c r="P1856" s="1079" t="s">
        <v>721</v>
      </c>
      <c r="Q1856" s="1079" t="s">
        <v>721</v>
      </c>
      <c r="R1856" s="1079" t="s">
        <v>721</v>
      </c>
      <c r="S1856" s="1079" t="s">
        <v>721</v>
      </c>
      <c r="T1856" s="1079" t="s">
        <v>721</v>
      </c>
      <c r="U1856" s="1079" t="s">
        <v>721</v>
      </c>
      <c r="V1856" s="1079" t="s">
        <v>721</v>
      </c>
      <c r="W1856" s="1079" t="s">
        <v>721</v>
      </c>
      <c r="X1856" s="1079" t="s">
        <v>721</v>
      </c>
      <c r="Y1856" s="1079" t="s">
        <v>721</v>
      </c>
      <c r="Z1856" s="1079" t="s">
        <v>721</v>
      </c>
      <c r="AA1856" s="1079">
        <v>18.100000000000001</v>
      </c>
      <c r="AB1856" s="1079">
        <v>6.37</v>
      </c>
      <c r="AC1856" s="1079">
        <v>18.16</v>
      </c>
      <c r="AD1856" s="1080">
        <v>4.04</v>
      </c>
    </row>
    <row r="1857" spans="1:30" x14ac:dyDescent="0.2">
      <c r="A1857">
        <f t="shared" si="62"/>
        <v>52</v>
      </c>
      <c r="B1857">
        <v>1848</v>
      </c>
      <c r="C1857" s="1078"/>
      <c r="D1857" s="1077"/>
      <c r="E1857" s="1077"/>
      <c r="F1857" s="1079"/>
      <c r="G1857" s="1079"/>
      <c r="H1857" s="1079"/>
      <c r="I1857" s="1079"/>
      <c r="J1857" s="1079"/>
      <c r="K1857" s="1079"/>
      <c r="L1857" s="1079"/>
      <c r="M1857" s="1079"/>
      <c r="N1857" s="1079"/>
      <c r="O1857" s="1079"/>
      <c r="P1857" s="1079"/>
      <c r="Q1857" s="1079"/>
      <c r="R1857" s="1079"/>
      <c r="S1857" s="1079"/>
      <c r="T1857" s="1079"/>
      <c r="U1857" s="1079"/>
      <c r="V1857" s="1079"/>
      <c r="W1857" s="1079"/>
      <c r="X1857" s="1079"/>
      <c r="Y1857" s="1079"/>
      <c r="Z1857" s="1079"/>
      <c r="AA1857" s="1079"/>
      <c r="AB1857" s="1079"/>
      <c r="AC1857" s="1079"/>
      <c r="AD1857" s="1080"/>
    </row>
    <row r="1858" spans="1:30" x14ac:dyDescent="0.2">
      <c r="A1858">
        <f t="shared" si="62"/>
        <v>52</v>
      </c>
      <c r="B1858">
        <v>1849</v>
      </c>
      <c r="C1858" s="1078"/>
      <c r="D1858" s="1077"/>
      <c r="E1858" s="1077"/>
      <c r="F1858" s="1079"/>
      <c r="G1858" s="1079"/>
      <c r="H1858" s="1079"/>
      <c r="I1858" s="1079"/>
      <c r="J1858" s="1079"/>
      <c r="K1858" s="1079"/>
      <c r="L1858" s="1079"/>
      <c r="M1858" s="1079"/>
      <c r="N1858" s="1079"/>
      <c r="O1858" s="1079"/>
      <c r="P1858" s="1079"/>
      <c r="Q1858" s="1079"/>
      <c r="R1858" s="1079"/>
      <c r="S1858" s="1079"/>
      <c r="T1858" s="1079"/>
      <c r="U1858" s="1079"/>
      <c r="V1858" s="1079"/>
      <c r="W1858" s="1079"/>
      <c r="X1858" s="1079"/>
      <c r="Y1858" s="1079"/>
      <c r="Z1858" s="1079"/>
      <c r="AA1858" s="1079"/>
      <c r="AB1858" s="1079"/>
      <c r="AC1858" s="1079"/>
      <c r="AD1858" s="1080"/>
    </row>
    <row r="1859" spans="1:30" x14ac:dyDescent="0.2">
      <c r="A1859">
        <f t="shared" si="62"/>
        <v>52</v>
      </c>
      <c r="B1859">
        <v>1850</v>
      </c>
      <c r="C1859" s="1078"/>
      <c r="D1859" s="1077"/>
      <c r="E1859" s="1077"/>
      <c r="F1859" s="1079"/>
      <c r="G1859" s="1079"/>
      <c r="H1859" s="1079"/>
      <c r="I1859" s="1079"/>
      <c r="J1859" s="1079"/>
      <c r="K1859" s="1079"/>
      <c r="L1859" s="1079"/>
      <c r="M1859" s="1079"/>
      <c r="N1859" s="1079"/>
      <c r="O1859" s="1079"/>
      <c r="P1859" s="1079"/>
      <c r="Q1859" s="1079"/>
      <c r="R1859" s="1079"/>
      <c r="S1859" s="1079"/>
      <c r="T1859" s="1079"/>
      <c r="U1859" s="1079"/>
      <c r="V1859" s="1079"/>
      <c r="W1859" s="1079"/>
      <c r="X1859" s="1079"/>
      <c r="Y1859" s="1079"/>
      <c r="Z1859" s="1079"/>
      <c r="AA1859" s="1079"/>
      <c r="AB1859" s="1079"/>
      <c r="AC1859" s="1079"/>
      <c r="AD1859" s="1080"/>
    </row>
    <row r="1860" spans="1:30" x14ac:dyDescent="0.2">
      <c r="A1860">
        <f t="shared" si="62"/>
        <v>52</v>
      </c>
      <c r="B1860">
        <v>1851</v>
      </c>
      <c r="C1860" s="1078"/>
      <c r="D1860" s="1077"/>
      <c r="E1860" s="1077"/>
      <c r="F1860" s="1079"/>
      <c r="G1860" s="1079"/>
      <c r="H1860" s="1079"/>
      <c r="I1860" s="1079"/>
      <c r="J1860" s="1079"/>
      <c r="K1860" s="1079"/>
      <c r="L1860" s="1079"/>
      <c r="M1860" s="1079"/>
      <c r="N1860" s="1079"/>
      <c r="O1860" s="1079"/>
      <c r="P1860" s="1079"/>
      <c r="Q1860" s="1079"/>
      <c r="R1860" s="1079"/>
      <c r="S1860" s="1079"/>
      <c r="T1860" s="1079"/>
      <c r="U1860" s="1079"/>
      <c r="V1860" s="1079"/>
      <c r="W1860" s="1079"/>
      <c r="X1860" s="1079"/>
      <c r="Y1860" s="1079"/>
      <c r="Z1860" s="1079"/>
      <c r="AA1860" s="1079"/>
      <c r="AB1860" s="1079"/>
      <c r="AC1860" s="1079"/>
      <c r="AD1860" s="1080"/>
    </row>
    <row r="1861" spans="1:30" x14ac:dyDescent="0.2">
      <c r="A1861">
        <f t="shared" si="62"/>
        <v>52</v>
      </c>
      <c r="B1861">
        <v>1852</v>
      </c>
      <c r="C1861" s="1078"/>
      <c r="D1861" s="1077"/>
      <c r="E1861" s="1077"/>
      <c r="F1861" s="1079"/>
      <c r="G1861" s="1079"/>
      <c r="H1861" s="1079"/>
      <c r="I1861" s="1079"/>
      <c r="J1861" s="1079"/>
      <c r="K1861" s="1079"/>
      <c r="L1861" s="1079"/>
      <c r="M1861" s="1079"/>
      <c r="N1861" s="1079"/>
      <c r="O1861" s="1079"/>
      <c r="P1861" s="1079"/>
      <c r="Q1861" s="1079"/>
      <c r="R1861" s="1079"/>
      <c r="S1861" s="1079"/>
      <c r="T1861" s="1079"/>
      <c r="U1861" s="1079"/>
      <c r="V1861" s="1079"/>
      <c r="W1861" s="1079"/>
      <c r="X1861" s="1079"/>
      <c r="Y1861" s="1079"/>
      <c r="Z1861" s="1079"/>
      <c r="AA1861" s="1079"/>
      <c r="AB1861" s="1079"/>
      <c r="AC1861" s="1079"/>
      <c r="AD1861" s="1080"/>
    </row>
    <row r="1862" spans="1:30" x14ac:dyDescent="0.2">
      <c r="A1862">
        <f t="shared" si="62"/>
        <v>52</v>
      </c>
      <c r="B1862">
        <v>1853</v>
      </c>
      <c r="C1862" s="1078"/>
      <c r="D1862" s="1077"/>
      <c r="E1862" s="1077"/>
      <c r="F1862" s="1079"/>
      <c r="G1862" s="1079"/>
      <c r="H1862" s="1079"/>
      <c r="I1862" s="1079"/>
      <c r="J1862" s="1079"/>
      <c r="K1862" s="1079"/>
      <c r="L1862" s="1079"/>
      <c r="M1862" s="1079"/>
      <c r="N1862" s="1079"/>
      <c r="O1862" s="1079"/>
      <c r="P1862" s="1079"/>
      <c r="Q1862" s="1079"/>
      <c r="R1862" s="1079"/>
      <c r="S1862" s="1079"/>
      <c r="T1862" s="1079"/>
      <c r="U1862" s="1079"/>
      <c r="V1862" s="1079"/>
      <c r="W1862" s="1079"/>
      <c r="X1862" s="1079"/>
      <c r="Y1862" s="1079"/>
      <c r="Z1862" s="1079"/>
      <c r="AA1862" s="1079"/>
      <c r="AB1862" s="1079"/>
      <c r="AC1862" s="1079"/>
      <c r="AD1862" s="1080"/>
    </row>
    <row r="1863" spans="1:30" x14ac:dyDescent="0.2">
      <c r="A1863">
        <f t="shared" si="62"/>
        <v>52</v>
      </c>
      <c r="B1863">
        <v>1854</v>
      </c>
      <c r="C1863" s="1078"/>
      <c r="D1863" s="1077"/>
      <c r="E1863" s="1077"/>
      <c r="F1863" s="1079"/>
      <c r="G1863" s="1079"/>
      <c r="H1863" s="1079"/>
      <c r="I1863" s="1079"/>
      <c r="J1863" s="1079"/>
      <c r="K1863" s="1079"/>
      <c r="L1863" s="1079"/>
      <c r="M1863" s="1079"/>
      <c r="N1863" s="1079"/>
      <c r="O1863" s="1079"/>
      <c r="P1863" s="1079"/>
      <c r="Q1863" s="1079"/>
      <c r="R1863" s="1079"/>
      <c r="S1863" s="1079"/>
      <c r="T1863" s="1079"/>
      <c r="U1863" s="1079"/>
      <c r="V1863" s="1079"/>
      <c r="W1863" s="1079"/>
      <c r="X1863" s="1079"/>
      <c r="Y1863" s="1079"/>
      <c r="Z1863" s="1079"/>
      <c r="AA1863" s="1079"/>
      <c r="AB1863" s="1079"/>
      <c r="AC1863" s="1079"/>
      <c r="AD1863" s="1080"/>
    </row>
    <row r="1864" spans="1:30" x14ac:dyDescent="0.2">
      <c r="A1864">
        <f t="shared" si="62"/>
        <v>52</v>
      </c>
      <c r="B1864">
        <v>1855</v>
      </c>
      <c r="C1864" s="1078"/>
      <c r="D1864" s="1077"/>
      <c r="E1864" s="1077"/>
      <c r="F1864" s="1079"/>
      <c r="G1864" s="1079"/>
      <c r="H1864" s="1079"/>
      <c r="I1864" s="1079"/>
      <c r="J1864" s="1079"/>
      <c r="K1864" s="1079"/>
      <c r="L1864" s="1079"/>
      <c r="M1864" s="1079"/>
      <c r="N1864" s="1079"/>
      <c r="O1864" s="1079"/>
      <c r="P1864" s="1079"/>
      <c r="Q1864" s="1079"/>
      <c r="R1864" s="1079"/>
      <c r="S1864" s="1079"/>
      <c r="T1864" s="1079"/>
      <c r="U1864" s="1079"/>
      <c r="V1864" s="1079"/>
      <c r="W1864" s="1079"/>
      <c r="X1864" s="1079"/>
      <c r="Y1864" s="1079"/>
      <c r="Z1864" s="1079"/>
      <c r="AA1864" s="1079"/>
      <c r="AB1864" s="1079"/>
      <c r="AC1864" s="1079"/>
      <c r="AD1864" s="1080"/>
    </row>
    <row r="1865" spans="1:30" x14ac:dyDescent="0.2">
      <c r="A1865">
        <f t="shared" si="62"/>
        <v>52</v>
      </c>
      <c r="B1865">
        <v>1856</v>
      </c>
      <c r="C1865" s="1078"/>
      <c r="D1865" s="1077"/>
      <c r="E1865" s="1077"/>
      <c r="F1865" s="1079"/>
      <c r="G1865" s="1079"/>
      <c r="H1865" s="1079"/>
      <c r="I1865" s="1079"/>
      <c r="J1865" s="1079"/>
      <c r="K1865" s="1079"/>
      <c r="L1865" s="1079"/>
      <c r="M1865" s="1079"/>
      <c r="N1865" s="1079"/>
      <c r="O1865" s="1079"/>
      <c r="P1865" s="1079"/>
      <c r="Q1865" s="1079"/>
      <c r="R1865" s="1079"/>
      <c r="S1865" s="1079"/>
      <c r="T1865" s="1079"/>
      <c r="U1865" s="1079"/>
      <c r="V1865" s="1079"/>
      <c r="W1865" s="1079"/>
      <c r="X1865" s="1079"/>
      <c r="Y1865" s="1079"/>
      <c r="Z1865" s="1079"/>
      <c r="AA1865" s="1079"/>
      <c r="AB1865" s="1079"/>
      <c r="AC1865" s="1079"/>
      <c r="AD1865" s="1080"/>
    </row>
    <row r="1866" spans="1:30" x14ac:dyDescent="0.2">
      <c r="A1866">
        <f t="shared" si="62"/>
        <v>52</v>
      </c>
      <c r="B1866">
        <v>1857</v>
      </c>
      <c r="C1866" s="1078"/>
      <c r="D1866" s="1077"/>
      <c r="E1866" s="1077"/>
      <c r="F1866" s="1079"/>
      <c r="G1866" s="1079"/>
      <c r="H1866" s="1079"/>
      <c r="I1866" s="1079"/>
      <c r="J1866" s="1079"/>
      <c r="K1866" s="1079"/>
      <c r="L1866" s="1079"/>
      <c r="M1866" s="1079"/>
      <c r="N1866" s="1079"/>
      <c r="O1866" s="1079"/>
      <c r="P1866" s="1079"/>
      <c r="Q1866" s="1079"/>
      <c r="R1866" s="1079"/>
      <c r="S1866" s="1079"/>
      <c r="T1866" s="1079"/>
      <c r="U1866" s="1079"/>
      <c r="V1866" s="1079"/>
      <c r="W1866" s="1079"/>
      <c r="X1866" s="1079"/>
      <c r="Y1866" s="1079"/>
      <c r="Z1866" s="1079"/>
      <c r="AA1866" s="1079"/>
      <c r="AB1866" s="1079"/>
      <c r="AC1866" s="1079"/>
      <c r="AD1866" s="1080"/>
    </row>
    <row r="1867" spans="1:30" x14ac:dyDescent="0.2">
      <c r="A1867">
        <f t="shared" si="62"/>
        <v>52</v>
      </c>
      <c r="B1867">
        <v>1858</v>
      </c>
      <c r="C1867" s="1078"/>
      <c r="D1867" s="1077"/>
      <c r="E1867" s="1077"/>
      <c r="F1867" s="1079"/>
      <c r="G1867" s="1079"/>
      <c r="H1867" s="1079"/>
      <c r="I1867" s="1079"/>
      <c r="J1867" s="1079"/>
      <c r="K1867" s="1079"/>
      <c r="L1867" s="1079"/>
      <c r="M1867" s="1079"/>
      <c r="N1867" s="1079"/>
      <c r="O1867" s="1079"/>
      <c r="P1867" s="1079"/>
      <c r="Q1867" s="1079"/>
      <c r="R1867" s="1079"/>
      <c r="S1867" s="1079"/>
      <c r="T1867" s="1079"/>
      <c r="U1867" s="1079"/>
      <c r="V1867" s="1079"/>
      <c r="W1867" s="1079"/>
      <c r="X1867" s="1079"/>
      <c r="Y1867" s="1079"/>
      <c r="Z1867" s="1079"/>
      <c r="AA1867" s="1079"/>
      <c r="AB1867" s="1079"/>
      <c r="AC1867" s="1079"/>
      <c r="AD1867" s="1080"/>
    </row>
    <row r="1868" spans="1:30" x14ac:dyDescent="0.2">
      <c r="A1868">
        <f t="shared" ref="A1868:A1931" si="63">A1867+(D1868&lt;&gt;D1867)*1</f>
        <v>52</v>
      </c>
      <c r="B1868">
        <v>1859</v>
      </c>
      <c r="C1868" s="1078"/>
      <c r="D1868" s="1077"/>
      <c r="E1868" s="1077"/>
      <c r="F1868" s="1079"/>
      <c r="G1868" s="1079"/>
      <c r="H1868" s="1079"/>
      <c r="I1868" s="1079"/>
      <c r="J1868" s="1079"/>
      <c r="K1868" s="1079"/>
      <c r="L1868" s="1079"/>
      <c r="M1868" s="1079"/>
      <c r="N1868" s="1079"/>
      <c r="O1868" s="1079"/>
      <c r="P1868" s="1079"/>
      <c r="Q1868" s="1079"/>
      <c r="R1868" s="1079"/>
      <c r="S1868" s="1079"/>
      <c r="T1868" s="1079"/>
      <c r="U1868" s="1079"/>
      <c r="V1868" s="1079"/>
      <c r="W1868" s="1079"/>
      <c r="X1868" s="1079"/>
      <c r="Y1868" s="1079"/>
      <c r="Z1868" s="1079"/>
      <c r="AA1868" s="1079"/>
      <c r="AB1868" s="1079"/>
      <c r="AC1868" s="1079"/>
      <c r="AD1868" s="1080"/>
    </row>
    <row r="1869" spans="1:30" x14ac:dyDescent="0.2">
      <c r="A1869">
        <f t="shared" si="63"/>
        <v>52</v>
      </c>
      <c r="B1869">
        <v>1860</v>
      </c>
      <c r="C1869" s="1078"/>
      <c r="D1869" s="1077"/>
      <c r="E1869" s="1077"/>
      <c r="F1869" s="1079"/>
      <c r="G1869" s="1079"/>
      <c r="H1869" s="1079"/>
      <c r="I1869" s="1079"/>
      <c r="J1869" s="1079"/>
      <c r="K1869" s="1079"/>
      <c r="L1869" s="1079"/>
      <c r="M1869" s="1079"/>
      <c r="N1869" s="1079"/>
      <c r="O1869" s="1079"/>
      <c r="P1869" s="1079"/>
      <c r="Q1869" s="1079"/>
      <c r="R1869" s="1079"/>
      <c r="S1869" s="1079"/>
      <c r="T1869" s="1079"/>
      <c r="U1869" s="1079"/>
      <c r="V1869" s="1079"/>
      <c r="W1869" s="1079"/>
      <c r="X1869" s="1079"/>
      <c r="Y1869" s="1079"/>
      <c r="Z1869" s="1079"/>
      <c r="AA1869" s="1079"/>
      <c r="AB1869" s="1079"/>
      <c r="AC1869" s="1079"/>
      <c r="AD1869" s="1080"/>
    </row>
    <row r="1870" spans="1:30" x14ac:dyDescent="0.2">
      <c r="A1870">
        <f t="shared" si="63"/>
        <v>52</v>
      </c>
      <c r="B1870">
        <v>1861</v>
      </c>
      <c r="C1870" s="1078"/>
      <c r="D1870" s="1077"/>
      <c r="E1870" s="1077"/>
      <c r="F1870" s="1079"/>
      <c r="G1870" s="1079"/>
      <c r="H1870" s="1079"/>
      <c r="I1870" s="1079"/>
      <c r="J1870" s="1079"/>
      <c r="K1870" s="1079"/>
      <c r="L1870" s="1079"/>
      <c r="M1870" s="1079"/>
      <c r="N1870" s="1079"/>
      <c r="O1870" s="1079"/>
      <c r="P1870" s="1079"/>
      <c r="Q1870" s="1079"/>
      <c r="R1870" s="1079"/>
      <c r="S1870" s="1079"/>
      <c r="T1870" s="1079"/>
      <c r="U1870" s="1079"/>
      <c r="V1870" s="1079"/>
      <c r="W1870" s="1079"/>
      <c r="X1870" s="1079"/>
      <c r="Y1870" s="1079"/>
      <c r="Z1870" s="1079"/>
      <c r="AA1870" s="1079"/>
      <c r="AB1870" s="1079"/>
      <c r="AC1870" s="1079"/>
      <c r="AD1870" s="1080"/>
    </row>
    <row r="1871" spans="1:30" x14ac:dyDescent="0.2">
      <c r="A1871">
        <f t="shared" si="63"/>
        <v>52</v>
      </c>
      <c r="B1871">
        <v>1862</v>
      </c>
      <c r="C1871" s="1078"/>
      <c r="D1871" s="1077"/>
      <c r="E1871" s="1077"/>
      <c r="F1871" s="1079"/>
      <c r="G1871" s="1079"/>
      <c r="H1871" s="1079"/>
      <c r="I1871" s="1079"/>
      <c r="J1871" s="1079"/>
      <c r="K1871" s="1079"/>
      <c r="L1871" s="1079"/>
      <c r="M1871" s="1079"/>
      <c r="N1871" s="1079"/>
      <c r="O1871" s="1079"/>
      <c r="P1871" s="1079"/>
      <c r="Q1871" s="1079"/>
      <c r="R1871" s="1079"/>
      <c r="S1871" s="1079"/>
      <c r="T1871" s="1079"/>
      <c r="U1871" s="1079"/>
      <c r="V1871" s="1079"/>
      <c r="W1871" s="1079"/>
      <c r="X1871" s="1079"/>
      <c r="Y1871" s="1079"/>
      <c r="Z1871" s="1079"/>
      <c r="AA1871" s="1079"/>
      <c r="AB1871" s="1079"/>
      <c r="AC1871" s="1079"/>
      <c r="AD1871" s="1080"/>
    </row>
    <row r="1872" spans="1:30" x14ac:dyDescent="0.2">
      <c r="A1872">
        <f t="shared" si="63"/>
        <v>52</v>
      </c>
      <c r="B1872">
        <v>1863</v>
      </c>
      <c r="C1872" s="1078"/>
      <c r="D1872" s="1077"/>
      <c r="E1872" s="1077"/>
      <c r="F1872" s="1079"/>
      <c r="G1872" s="1079"/>
      <c r="H1872" s="1079"/>
      <c r="I1872" s="1079"/>
      <c r="J1872" s="1079"/>
      <c r="K1872" s="1079"/>
      <c r="L1872" s="1079"/>
      <c r="M1872" s="1079"/>
      <c r="N1872" s="1079"/>
      <c r="O1872" s="1079"/>
      <c r="P1872" s="1079"/>
      <c r="Q1872" s="1079"/>
      <c r="R1872" s="1079"/>
      <c r="S1872" s="1079"/>
      <c r="T1872" s="1079"/>
      <c r="U1872" s="1079"/>
      <c r="V1872" s="1079"/>
      <c r="W1872" s="1079"/>
      <c r="X1872" s="1079"/>
      <c r="Y1872" s="1079"/>
      <c r="Z1872" s="1079"/>
      <c r="AA1872" s="1079"/>
      <c r="AB1872" s="1079"/>
      <c r="AC1872" s="1079"/>
      <c r="AD1872" s="1080"/>
    </row>
    <row r="1873" spans="1:30" x14ac:dyDescent="0.2">
      <c r="A1873">
        <f t="shared" si="63"/>
        <v>52</v>
      </c>
      <c r="B1873">
        <v>1864</v>
      </c>
      <c r="C1873" s="1078"/>
      <c r="D1873" s="1077"/>
      <c r="E1873" s="1077"/>
      <c r="F1873" s="1079"/>
      <c r="G1873" s="1079"/>
      <c r="H1873" s="1079"/>
      <c r="I1873" s="1079"/>
      <c r="J1873" s="1079"/>
      <c r="K1873" s="1079"/>
      <c r="L1873" s="1079"/>
      <c r="M1873" s="1079"/>
      <c r="N1873" s="1079"/>
      <c r="O1873" s="1079"/>
      <c r="P1873" s="1079"/>
      <c r="Q1873" s="1079"/>
      <c r="R1873" s="1079"/>
      <c r="S1873" s="1079"/>
      <c r="T1873" s="1079"/>
      <c r="U1873" s="1079"/>
      <c r="V1873" s="1079"/>
      <c r="W1873" s="1079"/>
      <c r="X1873" s="1079"/>
      <c r="Y1873" s="1079"/>
      <c r="Z1873" s="1079"/>
      <c r="AA1873" s="1079"/>
      <c r="AB1873" s="1079"/>
      <c r="AC1873" s="1079"/>
      <c r="AD1873" s="1080"/>
    </row>
    <row r="1874" spans="1:30" x14ac:dyDescent="0.2">
      <c r="A1874">
        <f t="shared" si="63"/>
        <v>52</v>
      </c>
      <c r="B1874">
        <v>1865</v>
      </c>
      <c r="C1874" s="1078"/>
      <c r="D1874" s="1077"/>
      <c r="E1874" s="1077"/>
      <c r="F1874" s="1079"/>
      <c r="G1874" s="1079"/>
      <c r="H1874" s="1079"/>
      <c r="I1874" s="1079"/>
      <c r="J1874" s="1079"/>
      <c r="K1874" s="1079"/>
      <c r="L1874" s="1079"/>
      <c r="M1874" s="1079"/>
      <c r="N1874" s="1079"/>
      <c r="O1874" s="1079"/>
      <c r="P1874" s="1079"/>
      <c r="Q1874" s="1079"/>
      <c r="R1874" s="1079"/>
      <c r="S1874" s="1079"/>
      <c r="T1874" s="1079"/>
      <c r="U1874" s="1079"/>
      <c r="V1874" s="1079"/>
      <c r="W1874" s="1079"/>
      <c r="X1874" s="1079"/>
      <c r="Y1874" s="1079"/>
      <c r="Z1874" s="1079"/>
      <c r="AA1874" s="1079"/>
      <c r="AB1874" s="1079"/>
      <c r="AC1874" s="1079"/>
      <c r="AD1874" s="1080"/>
    </row>
    <row r="1875" spans="1:30" x14ac:dyDescent="0.2">
      <c r="A1875">
        <f t="shared" si="63"/>
        <v>52</v>
      </c>
      <c r="B1875">
        <v>1866</v>
      </c>
      <c r="C1875" s="1078"/>
      <c r="D1875" s="1077"/>
      <c r="E1875" s="1077"/>
      <c r="F1875" s="1079"/>
      <c r="G1875" s="1079"/>
      <c r="H1875" s="1079"/>
      <c r="I1875" s="1079"/>
      <c r="J1875" s="1079"/>
      <c r="K1875" s="1079"/>
      <c r="L1875" s="1079"/>
      <c r="M1875" s="1079"/>
      <c r="N1875" s="1079"/>
      <c r="O1875" s="1079"/>
      <c r="P1875" s="1079"/>
      <c r="Q1875" s="1079"/>
      <c r="R1875" s="1079"/>
      <c r="S1875" s="1079"/>
      <c r="T1875" s="1079"/>
      <c r="U1875" s="1079"/>
      <c r="V1875" s="1079"/>
      <c r="W1875" s="1079"/>
      <c r="X1875" s="1079"/>
      <c r="Y1875" s="1079"/>
      <c r="Z1875" s="1079"/>
      <c r="AA1875" s="1079"/>
      <c r="AB1875" s="1079"/>
      <c r="AC1875" s="1079"/>
      <c r="AD1875" s="1080"/>
    </row>
    <row r="1876" spans="1:30" x14ac:dyDescent="0.2">
      <c r="A1876">
        <f t="shared" si="63"/>
        <v>52</v>
      </c>
      <c r="B1876">
        <v>1867</v>
      </c>
      <c r="C1876" s="1078"/>
      <c r="D1876" s="1077"/>
      <c r="E1876" s="1077"/>
      <c r="F1876" s="1079"/>
      <c r="G1876" s="1079"/>
      <c r="H1876" s="1079"/>
      <c r="I1876" s="1079"/>
      <c r="J1876" s="1079"/>
      <c r="K1876" s="1079"/>
      <c r="L1876" s="1079"/>
      <c r="M1876" s="1079"/>
      <c r="N1876" s="1079"/>
      <c r="O1876" s="1079"/>
      <c r="P1876" s="1079"/>
      <c r="Q1876" s="1079"/>
      <c r="R1876" s="1079"/>
      <c r="S1876" s="1079"/>
      <c r="T1876" s="1079"/>
      <c r="U1876" s="1079"/>
      <c r="V1876" s="1079"/>
      <c r="W1876" s="1079"/>
      <c r="X1876" s="1079"/>
      <c r="Y1876" s="1079"/>
      <c r="Z1876" s="1079"/>
      <c r="AA1876" s="1079"/>
      <c r="AB1876" s="1079"/>
      <c r="AC1876" s="1079"/>
      <c r="AD1876" s="1080"/>
    </row>
    <row r="1877" spans="1:30" x14ac:dyDescent="0.2">
      <c r="A1877">
        <f t="shared" si="63"/>
        <v>52</v>
      </c>
      <c r="B1877">
        <v>1868</v>
      </c>
      <c r="C1877" s="1078"/>
      <c r="D1877" s="1077"/>
      <c r="E1877" s="1077"/>
      <c r="F1877" s="1079"/>
      <c r="G1877" s="1079"/>
      <c r="H1877" s="1079"/>
      <c r="I1877" s="1079"/>
      <c r="J1877" s="1079"/>
      <c r="K1877" s="1079"/>
      <c r="L1877" s="1079"/>
      <c r="M1877" s="1079"/>
      <c r="N1877" s="1079"/>
      <c r="O1877" s="1079"/>
      <c r="P1877" s="1079"/>
      <c r="Q1877" s="1079"/>
      <c r="R1877" s="1079"/>
      <c r="S1877" s="1079"/>
      <c r="T1877" s="1079"/>
      <c r="U1877" s="1079"/>
      <c r="V1877" s="1079"/>
      <c r="W1877" s="1079"/>
      <c r="X1877" s="1079"/>
      <c r="Y1877" s="1079"/>
      <c r="Z1877" s="1079"/>
      <c r="AA1877" s="1079"/>
      <c r="AB1877" s="1079"/>
      <c r="AC1877" s="1079"/>
      <c r="AD1877" s="1080"/>
    </row>
    <row r="1878" spans="1:30" x14ac:dyDescent="0.2">
      <c r="A1878">
        <f t="shared" si="63"/>
        <v>52</v>
      </c>
      <c r="B1878">
        <v>1869</v>
      </c>
      <c r="C1878" s="1078"/>
      <c r="D1878" s="1077"/>
      <c r="E1878" s="1077"/>
      <c r="F1878" s="1079"/>
      <c r="G1878" s="1079"/>
      <c r="H1878" s="1079"/>
      <c r="I1878" s="1079"/>
      <c r="J1878" s="1079"/>
      <c r="K1878" s="1079"/>
      <c r="L1878" s="1079"/>
      <c r="M1878" s="1079"/>
      <c r="N1878" s="1079"/>
      <c r="O1878" s="1079"/>
      <c r="P1878" s="1079"/>
      <c r="Q1878" s="1079"/>
      <c r="R1878" s="1079"/>
      <c r="S1878" s="1079"/>
      <c r="T1878" s="1079"/>
      <c r="U1878" s="1079"/>
      <c r="V1878" s="1079"/>
      <c r="W1878" s="1079"/>
      <c r="X1878" s="1079"/>
      <c r="Y1878" s="1079"/>
      <c r="Z1878" s="1079"/>
      <c r="AA1878" s="1079"/>
      <c r="AB1878" s="1079"/>
      <c r="AC1878" s="1079"/>
      <c r="AD1878" s="1080"/>
    </row>
    <row r="1879" spans="1:30" x14ac:dyDescent="0.2">
      <c r="A1879">
        <f t="shared" si="63"/>
        <v>52</v>
      </c>
      <c r="B1879">
        <v>1870</v>
      </c>
      <c r="C1879" s="1078"/>
      <c r="D1879" s="1077"/>
      <c r="E1879" s="1077"/>
      <c r="F1879" s="1079"/>
      <c r="G1879" s="1079"/>
      <c r="H1879" s="1079"/>
      <c r="I1879" s="1079"/>
      <c r="J1879" s="1079"/>
      <c r="K1879" s="1079"/>
      <c r="L1879" s="1079"/>
      <c r="M1879" s="1079"/>
      <c r="N1879" s="1079"/>
      <c r="O1879" s="1079"/>
      <c r="P1879" s="1079"/>
      <c r="Q1879" s="1079"/>
      <c r="R1879" s="1079"/>
      <c r="S1879" s="1079"/>
      <c r="T1879" s="1079"/>
      <c r="U1879" s="1079"/>
      <c r="V1879" s="1079"/>
      <c r="W1879" s="1079"/>
      <c r="X1879" s="1079"/>
      <c r="Y1879" s="1079"/>
      <c r="Z1879" s="1079"/>
      <c r="AA1879" s="1079"/>
      <c r="AB1879" s="1079"/>
      <c r="AC1879" s="1079"/>
      <c r="AD1879" s="1080"/>
    </row>
    <row r="1880" spans="1:30" x14ac:dyDescent="0.2">
      <c r="A1880">
        <f t="shared" si="63"/>
        <v>52</v>
      </c>
      <c r="B1880">
        <v>1871</v>
      </c>
      <c r="C1880" s="1078"/>
      <c r="D1880" s="1077"/>
      <c r="E1880" s="1077"/>
      <c r="F1880" s="1079"/>
      <c r="G1880" s="1079"/>
      <c r="H1880" s="1079"/>
      <c r="I1880" s="1079"/>
      <c r="J1880" s="1079"/>
      <c r="K1880" s="1079"/>
      <c r="L1880" s="1079"/>
      <c r="M1880" s="1079"/>
      <c r="N1880" s="1079"/>
      <c r="O1880" s="1079"/>
      <c r="P1880" s="1079"/>
      <c r="Q1880" s="1079"/>
      <c r="R1880" s="1079"/>
      <c r="S1880" s="1079"/>
      <c r="T1880" s="1079"/>
      <c r="U1880" s="1079"/>
      <c r="V1880" s="1079"/>
      <c r="W1880" s="1079"/>
      <c r="X1880" s="1079"/>
      <c r="Y1880" s="1079"/>
      <c r="Z1880" s="1079"/>
      <c r="AA1880" s="1079"/>
      <c r="AB1880" s="1079"/>
      <c r="AC1880" s="1079"/>
      <c r="AD1880" s="1080"/>
    </row>
    <row r="1881" spans="1:30" x14ac:dyDescent="0.2">
      <c r="A1881">
        <f t="shared" si="63"/>
        <v>52</v>
      </c>
      <c r="B1881">
        <v>1872</v>
      </c>
      <c r="C1881" s="1078"/>
      <c r="D1881" s="1077"/>
      <c r="E1881" s="1077"/>
      <c r="F1881" s="1079"/>
      <c r="G1881" s="1079"/>
      <c r="H1881" s="1079"/>
      <c r="I1881" s="1079"/>
      <c r="J1881" s="1079"/>
      <c r="K1881" s="1079"/>
      <c r="L1881" s="1079"/>
      <c r="M1881" s="1079"/>
      <c r="N1881" s="1079"/>
      <c r="O1881" s="1079"/>
      <c r="P1881" s="1079"/>
      <c r="Q1881" s="1079"/>
      <c r="R1881" s="1079"/>
      <c r="S1881" s="1079"/>
      <c r="T1881" s="1079"/>
      <c r="U1881" s="1079"/>
      <c r="V1881" s="1079"/>
      <c r="W1881" s="1079"/>
      <c r="X1881" s="1079"/>
      <c r="Y1881" s="1079"/>
      <c r="Z1881" s="1079"/>
      <c r="AA1881" s="1079"/>
      <c r="AB1881" s="1079"/>
      <c r="AC1881" s="1079"/>
      <c r="AD1881" s="1080"/>
    </row>
    <row r="1882" spans="1:30" x14ac:dyDescent="0.2">
      <c r="A1882">
        <f t="shared" si="63"/>
        <v>52</v>
      </c>
      <c r="B1882">
        <v>1873</v>
      </c>
      <c r="C1882" s="1078"/>
      <c r="D1882" s="1077"/>
      <c r="E1882" s="1077"/>
      <c r="F1882" s="1079"/>
      <c r="G1882" s="1079"/>
      <c r="H1882" s="1079"/>
      <c r="I1882" s="1079"/>
      <c r="J1882" s="1079"/>
      <c r="K1882" s="1079"/>
      <c r="L1882" s="1079"/>
      <c r="M1882" s="1079"/>
      <c r="N1882" s="1079"/>
      <c r="O1882" s="1079"/>
      <c r="P1882" s="1079"/>
      <c r="Q1882" s="1079"/>
      <c r="R1882" s="1079"/>
      <c r="S1882" s="1079"/>
      <c r="T1882" s="1079"/>
      <c r="U1882" s="1079"/>
      <c r="V1882" s="1079"/>
      <c r="W1882" s="1079"/>
      <c r="X1882" s="1079"/>
      <c r="Y1882" s="1079"/>
      <c r="Z1882" s="1079"/>
      <c r="AA1882" s="1079"/>
      <c r="AB1882" s="1079"/>
      <c r="AC1882" s="1079"/>
      <c r="AD1882" s="1080"/>
    </row>
    <row r="1883" spans="1:30" x14ac:dyDescent="0.2">
      <c r="A1883">
        <f t="shared" si="63"/>
        <v>52</v>
      </c>
      <c r="B1883">
        <v>1874</v>
      </c>
      <c r="C1883" s="1078"/>
      <c r="D1883" s="1077"/>
      <c r="E1883" s="1077"/>
      <c r="F1883" s="1079"/>
      <c r="G1883" s="1079"/>
      <c r="H1883" s="1079"/>
      <c r="I1883" s="1079"/>
      <c r="J1883" s="1079"/>
      <c r="K1883" s="1079"/>
      <c r="L1883" s="1079"/>
      <c r="M1883" s="1079"/>
      <c r="N1883" s="1079"/>
      <c r="O1883" s="1079"/>
      <c r="P1883" s="1079"/>
      <c r="Q1883" s="1079"/>
      <c r="R1883" s="1079"/>
      <c r="S1883" s="1079"/>
      <c r="T1883" s="1079"/>
      <c r="U1883" s="1079"/>
      <c r="V1883" s="1079"/>
      <c r="W1883" s="1079"/>
      <c r="X1883" s="1079"/>
      <c r="Y1883" s="1079"/>
      <c r="Z1883" s="1079"/>
      <c r="AA1883" s="1079"/>
      <c r="AB1883" s="1079"/>
      <c r="AC1883" s="1079"/>
      <c r="AD1883" s="1080"/>
    </row>
    <row r="1884" spans="1:30" x14ac:dyDescent="0.2">
      <c r="A1884">
        <f t="shared" si="63"/>
        <v>52</v>
      </c>
      <c r="B1884">
        <v>1875</v>
      </c>
      <c r="C1884" s="1078"/>
      <c r="D1884" s="1077"/>
      <c r="E1884" s="1077"/>
      <c r="F1884" s="1079"/>
      <c r="G1884" s="1079"/>
      <c r="H1884" s="1079"/>
      <c r="I1884" s="1079"/>
      <c r="J1884" s="1079"/>
      <c r="K1884" s="1079"/>
      <c r="L1884" s="1079"/>
      <c r="M1884" s="1079"/>
      <c r="N1884" s="1079"/>
      <c r="O1884" s="1079"/>
      <c r="P1884" s="1079"/>
      <c r="Q1884" s="1079"/>
      <c r="R1884" s="1079"/>
      <c r="S1884" s="1079"/>
      <c r="T1884" s="1079"/>
      <c r="U1884" s="1079"/>
      <c r="V1884" s="1079"/>
      <c r="W1884" s="1079"/>
      <c r="X1884" s="1079"/>
      <c r="Y1884" s="1079"/>
      <c r="Z1884" s="1079"/>
      <c r="AA1884" s="1079"/>
      <c r="AB1884" s="1079"/>
      <c r="AC1884" s="1079"/>
      <c r="AD1884" s="1080"/>
    </row>
    <row r="1885" spans="1:30" x14ac:dyDescent="0.2">
      <c r="A1885">
        <f t="shared" si="63"/>
        <v>52</v>
      </c>
      <c r="B1885">
        <v>1876</v>
      </c>
      <c r="C1885" s="1078"/>
      <c r="D1885" s="1077"/>
      <c r="E1885" s="1077"/>
      <c r="F1885" s="1079"/>
      <c r="G1885" s="1079"/>
      <c r="H1885" s="1079"/>
      <c r="I1885" s="1079"/>
      <c r="J1885" s="1079"/>
      <c r="K1885" s="1079"/>
      <c r="L1885" s="1079"/>
      <c r="M1885" s="1079"/>
      <c r="N1885" s="1079"/>
      <c r="O1885" s="1079"/>
      <c r="P1885" s="1079"/>
      <c r="Q1885" s="1079"/>
      <c r="R1885" s="1079"/>
      <c r="S1885" s="1079"/>
      <c r="T1885" s="1079"/>
      <c r="U1885" s="1079"/>
      <c r="V1885" s="1079"/>
      <c r="W1885" s="1079"/>
      <c r="X1885" s="1079"/>
      <c r="Y1885" s="1079"/>
      <c r="Z1885" s="1079"/>
      <c r="AA1885" s="1079"/>
      <c r="AB1885" s="1079"/>
      <c r="AC1885" s="1079"/>
      <c r="AD1885" s="1080"/>
    </row>
    <row r="1886" spans="1:30" x14ac:dyDescent="0.2">
      <c r="A1886">
        <f t="shared" si="63"/>
        <v>52</v>
      </c>
      <c r="B1886">
        <v>1877</v>
      </c>
      <c r="C1886" s="1078"/>
      <c r="D1886" s="1077"/>
      <c r="E1886" s="1077"/>
      <c r="F1886" s="1079"/>
      <c r="G1886" s="1079"/>
      <c r="H1886" s="1079"/>
      <c r="I1886" s="1079"/>
      <c r="J1886" s="1079"/>
      <c r="K1886" s="1079"/>
      <c r="L1886" s="1079"/>
      <c r="M1886" s="1079"/>
      <c r="N1886" s="1079"/>
      <c r="O1886" s="1079"/>
      <c r="P1886" s="1079"/>
      <c r="Q1886" s="1079"/>
      <c r="R1886" s="1079"/>
      <c r="S1886" s="1079"/>
      <c r="T1886" s="1079"/>
      <c r="U1886" s="1079"/>
      <c r="V1886" s="1079"/>
      <c r="W1886" s="1079"/>
      <c r="X1886" s="1079"/>
      <c r="Y1886" s="1079"/>
      <c r="Z1886" s="1079"/>
      <c r="AA1886" s="1079"/>
      <c r="AB1886" s="1079"/>
      <c r="AC1886" s="1079"/>
      <c r="AD1886" s="1080"/>
    </row>
    <row r="1887" spans="1:30" x14ac:dyDescent="0.2">
      <c r="A1887">
        <f t="shared" si="63"/>
        <v>52</v>
      </c>
      <c r="B1887">
        <v>1878</v>
      </c>
      <c r="C1887" s="1078"/>
      <c r="D1887" s="1077"/>
      <c r="E1887" s="1077"/>
      <c r="F1887" s="1079"/>
      <c r="G1887" s="1079"/>
      <c r="H1887" s="1079"/>
      <c r="I1887" s="1079"/>
      <c r="J1887" s="1079"/>
      <c r="K1887" s="1079"/>
      <c r="L1887" s="1079"/>
      <c r="M1887" s="1079"/>
      <c r="N1887" s="1079"/>
      <c r="O1887" s="1079"/>
      <c r="P1887" s="1079"/>
      <c r="Q1887" s="1079"/>
      <c r="R1887" s="1079"/>
      <c r="S1887" s="1079"/>
      <c r="T1887" s="1079"/>
      <c r="U1887" s="1079"/>
      <c r="V1887" s="1079"/>
      <c r="W1887" s="1079"/>
      <c r="X1887" s="1079"/>
      <c r="Y1887" s="1079"/>
      <c r="Z1887" s="1079"/>
      <c r="AA1887" s="1079"/>
      <c r="AB1887" s="1079"/>
      <c r="AC1887" s="1079"/>
      <c r="AD1887" s="1080"/>
    </row>
    <row r="1888" spans="1:30" x14ac:dyDescent="0.2">
      <c r="A1888">
        <f t="shared" si="63"/>
        <v>52</v>
      </c>
      <c r="B1888">
        <v>1879</v>
      </c>
      <c r="C1888" s="1078"/>
      <c r="D1888" s="1077"/>
      <c r="E1888" s="1077"/>
      <c r="F1888" s="1079"/>
      <c r="G1888" s="1079"/>
      <c r="H1888" s="1079"/>
      <c r="I1888" s="1079"/>
      <c r="J1888" s="1079"/>
      <c r="K1888" s="1079"/>
      <c r="L1888" s="1079"/>
      <c r="M1888" s="1079"/>
      <c r="N1888" s="1079"/>
      <c r="O1888" s="1079"/>
      <c r="P1888" s="1079"/>
      <c r="Q1888" s="1079"/>
      <c r="R1888" s="1079"/>
      <c r="S1888" s="1079"/>
      <c r="T1888" s="1079"/>
      <c r="U1888" s="1079"/>
      <c r="V1888" s="1079"/>
      <c r="W1888" s="1079"/>
      <c r="X1888" s="1079"/>
      <c r="Y1888" s="1079"/>
      <c r="Z1888" s="1079"/>
      <c r="AA1888" s="1079"/>
      <c r="AB1888" s="1079"/>
      <c r="AC1888" s="1079"/>
      <c r="AD1888" s="1080"/>
    </row>
    <row r="1889" spans="1:30" x14ac:dyDescent="0.2">
      <c r="A1889">
        <f t="shared" si="63"/>
        <v>52</v>
      </c>
      <c r="B1889">
        <v>1880</v>
      </c>
      <c r="C1889" s="1078"/>
      <c r="D1889" s="1077"/>
      <c r="E1889" s="1077"/>
      <c r="F1889" s="1079"/>
      <c r="G1889" s="1079"/>
      <c r="H1889" s="1079"/>
      <c r="I1889" s="1079"/>
      <c r="J1889" s="1079"/>
      <c r="K1889" s="1079"/>
      <c r="L1889" s="1079"/>
      <c r="M1889" s="1079"/>
      <c r="N1889" s="1079"/>
      <c r="O1889" s="1079"/>
      <c r="P1889" s="1079"/>
      <c r="Q1889" s="1079"/>
      <c r="R1889" s="1079"/>
      <c r="S1889" s="1079"/>
      <c r="T1889" s="1079"/>
      <c r="U1889" s="1079"/>
      <c r="V1889" s="1079"/>
      <c r="W1889" s="1079"/>
      <c r="X1889" s="1079"/>
      <c r="Y1889" s="1079"/>
      <c r="Z1889" s="1079"/>
      <c r="AA1889" s="1079"/>
      <c r="AB1889" s="1079"/>
      <c r="AC1889" s="1079"/>
      <c r="AD1889" s="1080"/>
    </row>
    <row r="1890" spans="1:30" x14ac:dyDescent="0.2">
      <c r="A1890">
        <f t="shared" si="63"/>
        <v>52</v>
      </c>
      <c r="B1890">
        <v>1881</v>
      </c>
      <c r="C1890" s="1078"/>
      <c r="D1890" s="1077"/>
      <c r="E1890" s="1077"/>
      <c r="F1890" s="1079"/>
      <c r="G1890" s="1079"/>
      <c r="H1890" s="1079"/>
      <c r="I1890" s="1079"/>
      <c r="J1890" s="1079"/>
      <c r="K1890" s="1079"/>
      <c r="L1890" s="1079"/>
      <c r="M1890" s="1079"/>
      <c r="N1890" s="1079"/>
      <c r="O1890" s="1079"/>
      <c r="P1890" s="1079"/>
      <c r="Q1890" s="1079"/>
      <c r="R1890" s="1079"/>
      <c r="S1890" s="1079"/>
      <c r="T1890" s="1079"/>
      <c r="U1890" s="1079"/>
      <c r="V1890" s="1079"/>
      <c r="W1890" s="1079"/>
      <c r="X1890" s="1079"/>
      <c r="Y1890" s="1079"/>
      <c r="Z1890" s="1079"/>
      <c r="AA1890" s="1079"/>
      <c r="AB1890" s="1079"/>
      <c r="AC1890" s="1079"/>
      <c r="AD1890" s="1080"/>
    </row>
    <row r="1891" spans="1:30" x14ac:dyDescent="0.2">
      <c r="A1891">
        <f t="shared" si="63"/>
        <v>52</v>
      </c>
      <c r="B1891">
        <v>1882</v>
      </c>
      <c r="C1891" s="1078"/>
      <c r="D1891" s="1077"/>
      <c r="E1891" s="1077"/>
      <c r="F1891" s="1079"/>
      <c r="G1891" s="1079"/>
      <c r="H1891" s="1079"/>
      <c r="I1891" s="1079"/>
      <c r="J1891" s="1079"/>
      <c r="K1891" s="1079"/>
      <c r="L1891" s="1079"/>
      <c r="M1891" s="1079"/>
      <c r="N1891" s="1079"/>
      <c r="O1891" s="1079"/>
      <c r="P1891" s="1079"/>
      <c r="Q1891" s="1079"/>
      <c r="R1891" s="1079"/>
      <c r="S1891" s="1079"/>
      <c r="T1891" s="1079"/>
      <c r="U1891" s="1079"/>
      <c r="V1891" s="1079"/>
      <c r="W1891" s="1079"/>
      <c r="X1891" s="1079"/>
      <c r="Y1891" s="1079"/>
      <c r="Z1891" s="1079"/>
      <c r="AA1891" s="1079"/>
      <c r="AB1891" s="1079"/>
      <c r="AC1891" s="1079"/>
      <c r="AD1891" s="1080"/>
    </row>
    <row r="1892" spans="1:30" x14ac:dyDescent="0.2">
      <c r="A1892">
        <f t="shared" si="63"/>
        <v>52</v>
      </c>
      <c r="B1892">
        <v>1883</v>
      </c>
      <c r="C1892" s="1078"/>
      <c r="D1892" s="1077"/>
      <c r="E1892" s="1077"/>
      <c r="F1892" s="1079"/>
      <c r="G1892" s="1079"/>
      <c r="H1892" s="1079"/>
      <c r="I1892" s="1079"/>
      <c r="J1892" s="1079"/>
      <c r="K1892" s="1079"/>
      <c r="L1892" s="1079"/>
      <c r="M1892" s="1079"/>
      <c r="N1892" s="1079"/>
      <c r="O1892" s="1079"/>
      <c r="P1892" s="1079"/>
      <c r="Q1892" s="1079"/>
      <c r="R1892" s="1079"/>
      <c r="S1892" s="1079"/>
      <c r="T1892" s="1079"/>
      <c r="U1892" s="1079"/>
      <c r="V1892" s="1079"/>
      <c r="W1892" s="1079"/>
      <c r="X1892" s="1079"/>
      <c r="Y1892" s="1079"/>
      <c r="Z1892" s="1079"/>
      <c r="AA1892" s="1079"/>
      <c r="AB1892" s="1079"/>
      <c r="AC1892" s="1079"/>
      <c r="AD1892" s="1080"/>
    </row>
    <row r="1893" spans="1:30" x14ac:dyDescent="0.2">
      <c r="A1893">
        <f t="shared" si="63"/>
        <v>52</v>
      </c>
      <c r="B1893">
        <v>1884</v>
      </c>
      <c r="C1893" s="1078"/>
      <c r="D1893" s="1077"/>
      <c r="E1893" s="1077"/>
      <c r="F1893" s="1079"/>
      <c r="G1893" s="1079"/>
      <c r="H1893" s="1079"/>
      <c r="I1893" s="1079"/>
      <c r="J1893" s="1079"/>
      <c r="K1893" s="1079"/>
      <c r="L1893" s="1079"/>
      <c r="M1893" s="1079"/>
      <c r="N1893" s="1079"/>
      <c r="O1893" s="1079"/>
      <c r="P1893" s="1079"/>
      <c r="Q1893" s="1079"/>
      <c r="R1893" s="1079"/>
      <c r="S1893" s="1079"/>
      <c r="T1893" s="1079"/>
      <c r="U1893" s="1079"/>
      <c r="V1893" s="1079"/>
      <c r="W1893" s="1079"/>
      <c r="X1893" s="1079"/>
      <c r="Y1893" s="1079"/>
      <c r="Z1893" s="1079"/>
      <c r="AA1893" s="1079"/>
      <c r="AB1893" s="1079"/>
      <c r="AC1893" s="1079"/>
      <c r="AD1893" s="1080"/>
    </row>
    <row r="1894" spans="1:30" x14ac:dyDescent="0.2">
      <c r="A1894">
        <f t="shared" si="63"/>
        <v>52</v>
      </c>
      <c r="B1894">
        <v>1885</v>
      </c>
      <c r="C1894" s="1078"/>
      <c r="D1894" s="1077"/>
      <c r="E1894" s="1077"/>
      <c r="F1894" s="1079"/>
      <c r="G1894" s="1079"/>
      <c r="H1894" s="1079"/>
      <c r="I1894" s="1079"/>
      <c r="J1894" s="1079"/>
      <c r="K1894" s="1079"/>
      <c r="L1894" s="1079"/>
      <c r="M1894" s="1079"/>
      <c r="N1894" s="1079"/>
      <c r="O1894" s="1079"/>
      <c r="P1894" s="1079"/>
      <c r="Q1894" s="1079"/>
      <c r="R1894" s="1079"/>
      <c r="S1894" s="1079"/>
      <c r="T1894" s="1079"/>
      <c r="U1894" s="1079"/>
      <c r="V1894" s="1079"/>
      <c r="W1894" s="1079"/>
      <c r="X1894" s="1079"/>
      <c r="Y1894" s="1079"/>
      <c r="Z1894" s="1079"/>
      <c r="AA1894" s="1079"/>
      <c r="AB1894" s="1079"/>
      <c r="AC1894" s="1079"/>
      <c r="AD1894" s="1080"/>
    </row>
    <row r="1895" spans="1:30" x14ac:dyDescent="0.2">
      <c r="A1895">
        <f t="shared" si="63"/>
        <v>52</v>
      </c>
      <c r="B1895">
        <v>1886</v>
      </c>
      <c r="C1895" s="1078"/>
      <c r="D1895" s="1077"/>
      <c r="E1895" s="1077"/>
      <c r="F1895" s="1079"/>
      <c r="G1895" s="1079"/>
      <c r="H1895" s="1079"/>
      <c r="I1895" s="1079"/>
      <c r="J1895" s="1079"/>
      <c r="K1895" s="1079"/>
      <c r="L1895" s="1079"/>
      <c r="M1895" s="1079"/>
      <c r="N1895" s="1079"/>
      <c r="O1895" s="1079"/>
      <c r="P1895" s="1079"/>
      <c r="Q1895" s="1079"/>
      <c r="R1895" s="1079"/>
      <c r="S1895" s="1079"/>
      <c r="T1895" s="1079"/>
      <c r="U1895" s="1079"/>
      <c r="V1895" s="1079"/>
      <c r="W1895" s="1079"/>
      <c r="X1895" s="1079"/>
      <c r="Y1895" s="1079"/>
      <c r="Z1895" s="1079"/>
      <c r="AA1895" s="1079"/>
      <c r="AB1895" s="1079"/>
      <c r="AC1895" s="1079"/>
      <c r="AD1895" s="1080"/>
    </row>
    <row r="1896" spans="1:30" x14ac:dyDescent="0.2">
      <c r="A1896">
        <f t="shared" si="63"/>
        <v>52</v>
      </c>
      <c r="B1896">
        <v>1887</v>
      </c>
      <c r="C1896" s="1078"/>
      <c r="D1896" s="1077"/>
      <c r="E1896" s="1077"/>
      <c r="F1896" s="1079"/>
      <c r="G1896" s="1079"/>
      <c r="H1896" s="1079"/>
      <c r="I1896" s="1079"/>
      <c r="J1896" s="1079"/>
      <c r="K1896" s="1079"/>
      <c r="L1896" s="1079"/>
      <c r="M1896" s="1079"/>
      <c r="N1896" s="1079"/>
      <c r="O1896" s="1079"/>
      <c r="P1896" s="1079"/>
      <c r="Q1896" s="1079"/>
      <c r="R1896" s="1079"/>
      <c r="S1896" s="1079"/>
      <c r="T1896" s="1079"/>
      <c r="U1896" s="1079"/>
      <c r="V1896" s="1079"/>
      <c r="W1896" s="1079"/>
      <c r="X1896" s="1079"/>
      <c r="Y1896" s="1079"/>
      <c r="Z1896" s="1079"/>
      <c r="AA1896" s="1079"/>
      <c r="AB1896" s="1079"/>
      <c r="AC1896" s="1079"/>
      <c r="AD1896" s="1080"/>
    </row>
    <row r="1897" spans="1:30" x14ac:dyDescent="0.2">
      <c r="A1897">
        <f t="shared" si="63"/>
        <v>52</v>
      </c>
      <c r="B1897">
        <v>1888</v>
      </c>
      <c r="C1897" s="1078"/>
      <c r="D1897" s="1077"/>
      <c r="E1897" s="1077"/>
      <c r="F1897" s="1079"/>
      <c r="G1897" s="1079"/>
      <c r="H1897" s="1079"/>
      <c r="I1897" s="1079"/>
      <c r="J1897" s="1079"/>
      <c r="K1897" s="1079"/>
      <c r="L1897" s="1079"/>
      <c r="M1897" s="1079"/>
      <c r="N1897" s="1079"/>
      <c r="O1897" s="1079"/>
      <c r="P1897" s="1079"/>
      <c r="Q1897" s="1079"/>
      <c r="R1897" s="1079"/>
      <c r="S1897" s="1079"/>
      <c r="T1897" s="1079"/>
      <c r="U1897" s="1079"/>
      <c r="V1897" s="1079"/>
      <c r="W1897" s="1079"/>
      <c r="X1897" s="1079"/>
      <c r="Y1897" s="1079"/>
      <c r="Z1897" s="1079"/>
      <c r="AA1897" s="1079"/>
      <c r="AB1897" s="1079"/>
      <c r="AC1897" s="1079"/>
      <c r="AD1897" s="1080"/>
    </row>
    <row r="1898" spans="1:30" x14ac:dyDescent="0.2">
      <c r="A1898">
        <f t="shared" si="63"/>
        <v>52</v>
      </c>
      <c r="B1898">
        <v>1889</v>
      </c>
      <c r="C1898" s="1078"/>
      <c r="D1898" s="1077"/>
      <c r="E1898" s="1077"/>
      <c r="F1898" s="1079"/>
      <c r="G1898" s="1079"/>
      <c r="H1898" s="1079"/>
      <c r="I1898" s="1079"/>
      <c r="J1898" s="1079"/>
      <c r="K1898" s="1079"/>
      <c r="L1898" s="1079"/>
      <c r="M1898" s="1079"/>
      <c r="N1898" s="1079"/>
      <c r="O1898" s="1079"/>
      <c r="P1898" s="1079"/>
      <c r="Q1898" s="1079"/>
      <c r="R1898" s="1079"/>
      <c r="S1898" s="1079"/>
      <c r="T1898" s="1079"/>
      <c r="U1898" s="1079"/>
      <c r="V1898" s="1079"/>
      <c r="W1898" s="1079"/>
      <c r="X1898" s="1079"/>
      <c r="Y1898" s="1079"/>
      <c r="Z1898" s="1079"/>
      <c r="AA1898" s="1079"/>
      <c r="AB1898" s="1079"/>
      <c r="AC1898" s="1079"/>
      <c r="AD1898" s="1080"/>
    </row>
    <row r="1899" spans="1:30" x14ac:dyDescent="0.2">
      <c r="A1899">
        <f t="shared" si="63"/>
        <v>52</v>
      </c>
      <c r="B1899">
        <v>1890</v>
      </c>
      <c r="C1899" s="1078"/>
      <c r="D1899" s="1077"/>
      <c r="E1899" s="1077"/>
      <c r="F1899" s="1079"/>
      <c r="G1899" s="1079"/>
      <c r="H1899" s="1079"/>
      <c r="I1899" s="1079"/>
      <c r="J1899" s="1079"/>
      <c r="K1899" s="1079"/>
      <c r="L1899" s="1079"/>
      <c r="M1899" s="1079"/>
      <c r="N1899" s="1079"/>
      <c r="O1899" s="1079"/>
      <c r="P1899" s="1079"/>
      <c r="Q1899" s="1079"/>
      <c r="R1899" s="1079"/>
      <c r="S1899" s="1079"/>
      <c r="T1899" s="1079"/>
      <c r="U1899" s="1079"/>
      <c r="V1899" s="1079"/>
      <c r="W1899" s="1079"/>
      <c r="X1899" s="1079"/>
      <c r="Y1899" s="1079"/>
      <c r="Z1899" s="1079"/>
      <c r="AA1899" s="1079"/>
      <c r="AB1899" s="1079"/>
      <c r="AC1899" s="1079"/>
      <c r="AD1899" s="1080"/>
    </row>
    <row r="1900" spans="1:30" x14ac:dyDescent="0.2">
      <c r="A1900">
        <f t="shared" si="63"/>
        <v>52</v>
      </c>
      <c r="B1900">
        <v>1891</v>
      </c>
      <c r="C1900" s="1078"/>
      <c r="D1900" s="1077"/>
      <c r="E1900" s="1077"/>
      <c r="F1900" s="1079"/>
      <c r="G1900" s="1079"/>
      <c r="H1900" s="1079"/>
      <c r="I1900" s="1079"/>
      <c r="J1900" s="1079"/>
      <c r="K1900" s="1079"/>
      <c r="L1900" s="1079"/>
      <c r="M1900" s="1079"/>
      <c r="N1900" s="1079"/>
      <c r="O1900" s="1079"/>
      <c r="P1900" s="1079"/>
      <c r="Q1900" s="1079"/>
      <c r="R1900" s="1079"/>
      <c r="S1900" s="1079"/>
      <c r="T1900" s="1079"/>
      <c r="U1900" s="1079"/>
      <c r="V1900" s="1079"/>
      <c r="W1900" s="1079"/>
      <c r="X1900" s="1079"/>
      <c r="Y1900" s="1079"/>
      <c r="Z1900" s="1079"/>
      <c r="AA1900" s="1079"/>
      <c r="AB1900" s="1079"/>
      <c r="AC1900" s="1079"/>
      <c r="AD1900" s="1080"/>
    </row>
    <row r="1901" spans="1:30" x14ac:dyDescent="0.2">
      <c r="A1901">
        <f t="shared" si="63"/>
        <v>52</v>
      </c>
      <c r="B1901">
        <v>1892</v>
      </c>
      <c r="C1901" s="1078"/>
      <c r="D1901" s="1077"/>
      <c r="E1901" s="1077"/>
      <c r="F1901" s="1079"/>
      <c r="G1901" s="1079"/>
      <c r="H1901" s="1079"/>
      <c r="I1901" s="1079"/>
      <c r="J1901" s="1079"/>
      <c r="K1901" s="1079"/>
      <c r="L1901" s="1079"/>
      <c r="M1901" s="1079"/>
      <c r="N1901" s="1079"/>
      <c r="O1901" s="1079"/>
      <c r="P1901" s="1079"/>
      <c r="Q1901" s="1079"/>
      <c r="R1901" s="1079"/>
      <c r="S1901" s="1079"/>
      <c r="T1901" s="1079"/>
      <c r="U1901" s="1079"/>
      <c r="V1901" s="1079"/>
      <c r="W1901" s="1079"/>
      <c r="X1901" s="1079"/>
      <c r="Y1901" s="1079"/>
      <c r="Z1901" s="1079"/>
      <c r="AA1901" s="1079"/>
      <c r="AB1901" s="1079"/>
      <c r="AC1901" s="1079"/>
      <c r="AD1901" s="1080"/>
    </row>
    <row r="1902" spans="1:30" x14ac:dyDescent="0.2">
      <c r="A1902">
        <f t="shared" si="63"/>
        <v>52</v>
      </c>
      <c r="B1902">
        <v>1893</v>
      </c>
      <c r="C1902" s="1078"/>
      <c r="D1902" s="1077"/>
      <c r="E1902" s="1077"/>
      <c r="F1902" s="1079"/>
      <c r="G1902" s="1079"/>
      <c r="H1902" s="1079"/>
      <c r="I1902" s="1079"/>
      <c r="J1902" s="1079"/>
      <c r="K1902" s="1079"/>
      <c r="L1902" s="1079"/>
      <c r="M1902" s="1079"/>
      <c r="N1902" s="1079"/>
      <c r="O1902" s="1079"/>
      <c r="P1902" s="1079"/>
      <c r="Q1902" s="1079"/>
      <c r="R1902" s="1079"/>
      <c r="S1902" s="1079"/>
      <c r="T1902" s="1079"/>
      <c r="U1902" s="1079"/>
      <c r="V1902" s="1079"/>
      <c r="W1902" s="1079"/>
      <c r="X1902" s="1079"/>
      <c r="Y1902" s="1079"/>
      <c r="Z1902" s="1079"/>
      <c r="AA1902" s="1079"/>
      <c r="AB1902" s="1079"/>
      <c r="AC1902" s="1079"/>
      <c r="AD1902" s="1080"/>
    </row>
    <row r="1903" spans="1:30" x14ac:dyDescent="0.2">
      <c r="A1903">
        <f t="shared" si="63"/>
        <v>52</v>
      </c>
      <c r="B1903">
        <v>1894</v>
      </c>
      <c r="C1903" s="1078"/>
      <c r="D1903" s="1077"/>
      <c r="E1903" s="1077"/>
      <c r="F1903" s="1079"/>
      <c r="G1903" s="1079"/>
      <c r="H1903" s="1079"/>
      <c r="I1903" s="1079"/>
      <c r="J1903" s="1079"/>
      <c r="K1903" s="1079"/>
      <c r="L1903" s="1079"/>
      <c r="M1903" s="1079"/>
      <c r="N1903" s="1079"/>
      <c r="O1903" s="1079"/>
      <c r="P1903" s="1079"/>
      <c r="Q1903" s="1079"/>
      <c r="R1903" s="1079"/>
      <c r="S1903" s="1079"/>
      <c r="T1903" s="1079"/>
      <c r="U1903" s="1079"/>
      <c r="V1903" s="1079"/>
      <c r="W1903" s="1079"/>
      <c r="X1903" s="1079"/>
      <c r="Y1903" s="1079"/>
      <c r="Z1903" s="1079"/>
      <c r="AA1903" s="1079"/>
      <c r="AB1903" s="1079"/>
      <c r="AC1903" s="1079"/>
      <c r="AD1903" s="1080"/>
    </row>
    <row r="1904" spans="1:30" x14ac:dyDescent="0.2">
      <c r="A1904">
        <f t="shared" si="63"/>
        <v>52</v>
      </c>
      <c r="B1904">
        <v>1895</v>
      </c>
      <c r="C1904" s="1078"/>
      <c r="D1904" s="1077"/>
      <c r="E1904" s="1077"/>
      <c r="F1904" s="1079"/>
      <c r="G1904" s="1079"/>
      <c r="H1904" s="1079"/>
      <c r="I1904" s="1079"/>
      <c r="J1904" s="1079"/>
      <c r="K1904" s="1079"/>
      <c r="L1904" s="1079"/>
      <c r="M1904" s="1079"/>
      <c r="N1904" s="1079"/>
      <c r="O1904" s="1079"/>
      <c r="P1904" s="1079"/>
      <c r="Q1904" s="1079"/>
      <c r="R1904" s="1079"/>
      <c r="S1904" s="1079"/>
      <c r="T1904" s="1079"/>
      <c r="U1904" s="1079"/>
      <c r="V1904" s="1079"/>
      <c r="W1904" s="1079"/>
      <c r="X1904" s="1079"/>
      <c r="Y1904" s="1079"/>
      <c r="Z1904" s="1079"/>
      <c r="AA1904" s="1079"/>
      <c r="AB1904" s="1079"/>
      <c r="AC1904" s="1079"/>
      <c r="AD1904" s="1080"/>
    </row>
    <row r="1905" spans="1:30" x14ac:dyDescent="0.2">
      <c r="A1905">
        <f t="shared" si="63"/>
        <v>52</v>
      </c>
      <c r="B1905">
        <v>1896</v>
      </c>
      <c r="C1905" s="1078"/>
      <c r="D1905" s="1077"/>
      <c r="E1905" s="1077"/>
      <c r="F1905" s="1079"/>
      <c r="G1905" s="1079"/>
      <c r="H1905" s="1079"/>
      <c r="I1905" s="1079"/>
      <c r="J1905" s="1079"/>
      <c r="K1905" s="1079"/>
      <c r="L1905" s="1079"/>
      <c r="M1905" s="1079"/>
      <c r="N1905" s="1079"/>
      <c r="O1905" s="1079"/>
      <c r="P1905" s="1079"/>
      <c r="Q1905" s="1079"/>
      <c r="R1905" s="1079"/>
      <c r="S1905" s="1079"/>
      <c r="T1905" s="1079"/>
      <c r="U1905" s="1079"/>
      <c r="V1905" s="1079"/>
      <c r="W1905" s="1079"/>
      <c r="X1905" s="1079"/>
      <c r="Y1905" s="1079"/>
      <c r="Z1905" s="1079"/>
      <c r="AA1905" s="1079"/>
      <c r="AB1905" s="1079"/>
      <c r="AC1905" s="1079"/>
      <c r="AD1905" s="1080"/>
    </row>
    <row r="1906" spans="1:30" x14ac:dyDescent="0.2">
      <c r="A1906">
        <f t="shared" si="63"/>
        <v>52</v>
      </c>
      <c r="B1906">
        <v>1897</v>
      </c>
      <c r="C1906" s="1078"/>
      <c r="D1906" s="1077"/>
      <c r="E1906" s="1077"/>
      <c r="F1906" s="1079"/>
      <c r="G1906" s="1079"/>
      <c r="H1906" s="1079"/>
      <c r="I1906" s="1079"/>
      <c r="J1906" s="1079"/>
      <c r="K1906" s="1079"/>
      <c r="L1906" s="1079"/>
      <c r="M1906" s="1079"/>
      <c r="N1906" s="1079"/>
      <c r="O1906" s="1079"/>
      <c r="P1906" s="1079"/>
      <c r="Q1906" s="1079"/>
      <c r="R1906" s="1079"/>
      <c r="S1906" s="1079"/>
      <c r="T1906" s="1079"/>
      <c r="U1906" s="1079"/>
      <c r="V1906" s="1079"/>
      <c r="W1906" s="1079"/>
      <c r="X1906" s="1079"/>
      <c r="Y1906" s="1079"/>
      <c r="Z1906" s="1079"/>
      <c r="AA1906" s="1079"/>
      <c r="AB1906" s="1079"/>
      <c r="AC1906" s="1079"/>
      <c r="AD1906" s="1080"/>
    </row>
    <row r="1907" spans="1:30" x14ac:dyDescent="0.2">
      <c r="A1907">
        <f t="shared" si="63"/>
        <v>52</v>
      </c>
      <c r="B1907">
        <v>1898</v>
      </c>
      <c r="C1907" s="1078"/>
      <c r="D1907" s="1077"/>
      <c r="E1907" s="1077"/>
      <c r="F1907" s="1079"/>
      <c r="G1907" s="1079"/>
      <c r="H1907" s="1079"/>
      <c r="I1907" s="1079"/>
      <c r="J1907" s="1079"/>
      <c r="K1907" s="1079"/>
      <c r="L1907" s="1079"/>
      <c r="M1907" s="1079"/>
      <c r="N1907" s="1079"/>
      <c r="O1907" s="1079"/>
      <c r="P1907" s="1079"/>
      <c r="Q1907" s="1079"/>
      <c r="R1907" s="1079"/>
      <c r="S1907" s="1079"/>
      <c r="T1907" s="1079"/>
      <c r="U1907" s="1079"/>
      <c r="V1907" s="1079"/>
      <c r="W1907" s="1079"/>
      <c r="X1907" s="1079"/>
      <c r="Y1907" s="1079"/>
      <c r="Z1907" s="1079"/>
      <c r="AA1907" s="1079"/>
      <c r="AB1907" s="1079"/>
      <c r="AC1907" s="1079"/>
      <c r="AD1907" s="1080"/>
    </row>
    <row r="1908" spans="1:30" x14ac:dyDescent="0.2">
      <c r="A1908">
        <f t="shared" si="63"/>
        <v>52</v>
      </c>
      <c r="B1908">
        <v>1899</v>
      </c>
      <c r="C1908" s="1078"/>
      <c r="D1908" s="1077"/>
      <c r="E1908" s="1077"/>
      <c r="F1908" s="1079"/>
      <c r="G1908" s="1079"/>
      <c r="H1908" s="1079"/>
      <c r="I1908" s="1079"/>
      <c r="J1908" s="1079"/>
      <c r="K1908" s="1079"/>
      <c r="L1908" s="1079"/>
      <c r="M1908" s="1079"/>
      <c r="N1908" s="1079"/>
      <c r="O1908" s="1079"/>
      <c r="P1908" s="1079"/>
      <c r="Q1908" s="1079"/>
      <c r="R1908" s="1079"/>
      <c r="S1908" s="1079"/>
      <c r="T1908" s="1079"/>
      <c r="U1908" s="1079"/>
      <c r="V1908" s="1079"/>
      <c r="W1908" s="1079"/>
      <c r="X1908" s="1079"/>
      <c r="Y1908" s="1079"/>
      <c r="Z1908" s="1079"/>
      <c r="AA1908" s="1079"/>
      <c r="AB1908" s="1079"/>
      <c r="AC1908" s="1079"/>
      <c r="AD1908" s="1080"/>
    </row>
    <row r="1909" spans="1:30" x14ac:dyDescent="0.2">
      <c r="A1909">
        <f t="shared" si="63"/>
        <v>52</v>
      </c>
      <c r="B1909">
        <v>1900</v>
      </c>
      <c r="C1909" s="1078"/>
      <c r="D1909" s="1077"/>
      <c r="E1909" s="1077"/>
      <c r="F1909" s="1079"/>
      <c r="G1909" s="1079"/>
      <c r="H1909" s="1079"/>
      <c r="I1909" s="1079"/>
      <c r="J1909" s="1079"/>
      <c r="K1909" s="1079"/>
      <c r="L1909" s="1079"/>
      <c r="M1909" s="1079"/>
      <c r="N1909" s="1079"/>
      <c r="O1909" s="1079"/>
      <c r="P1909" s="1079"/>
      <c r="Q1909" s="1079"/>
      <c r="R1909" s="1079"/>
      <c r="S1909" s="1079"/>
      <c r="T1909" s="1079"/>
      <c r="U1909" s="1079"/>
      <c r="V1909" s="1079"/>
      <c r="W1909" s="1079"/>
      <c r="X1909" s="1079"/>
      <c r="Y1909" s="1079"/>
      <c r="Z1909" s="1079"/>
      <c r="AA1909" s="1079"/>
      <c r="AB1909" s="1079"/>
      <c r="AC1909" s="1079"/>
      <c r="AD1909" s="1080"/>
    </row>
    <row r="1910" spans="1:30" x14ac:dyDescent="0.2">
      <c r="A1910">
        <f t="shared" si="63"/>
        <v>52</v>
      </c>
      <c r="B1910">
        <v>1901</v>
      </c>
      <c r="C1910" s="1078"/>
      <c r="D1910" s="1077"/>
      <c r="E1910" s="1077"/>
      <c r="F1910" s="1079"/>
      <c r="G1910" s="1079"/>
      <c r="H1910" s="1079"/>
      <c r="I1910" s="1079"/>
      <c r="J1910" s="1079"/>
      <c r="K1910" s="1079"/>
      <c r="L1910" s="1079"/>
      <c r="M1910" s="1079"/>
      <c r="N1910" s="1079"/>
      <c r="O1910" s="1079"/>
      <c r="P1910" s="1079"/>
      <c r="Q1910" s="1079"/>
      <c r="R1910" s="1079"/>
      <c r="S1910" s="1079"/>
      <c r="T1910" s="1079"/>
      <c r="U1910" s="1079"/>
      <c r="V1910" s="1079"/>
      <c r="W1910" s="1079"/>
      <c r="X1910" s="1079"/>
      <c r="Y1910" s="1079"/>
      <c r="Z1910" s="1079"/>
      <c r="AA1910" s="1079"/>
      <c r="AB1910" s="1079"/>
      <c r="AC1910" s="1079"/>
      <c r="AD1910" s="1080"/>
    </row>
    <row r="1911" spans="1:30" x14ac:dyDescent="0.2">
      <c r="A1911">
        <f t="shared" si="63"/>
        <v>52</v>
      </c>
      <c r="B1911">
        <v>1902</v>
      </c>
      <c r="C1911" s="1078"/>
      <c r="D1911" s="1077"/>
      <c r="E1911" s="1077"/>
      <c r="F1911" s="1079"/>
      <c r="G1911" s="1079"/>
      <c r="H1911" s="1079"/>
      <c r="I1911" s="1079"/>
      <c r="J1911" s="1079"/>
      <c r="K1911" s="1079"/>
      <c r="L1911" s="1079"/>
      <c r="M1911" s="1079"/>
      <c r="N1911" s="1079"/>
      <c r="O1911" s="1079"/>
      <c r="P1911" s="1079"/>
      <c r="Q1911" s="1079"/>
      <c r="R1911" s="1079"/>
      <c r="S1911" s="1079"/>
      <c r="T1911" s="1079"/>
      <c r="U1911" s="1079"/>
      <c r="V1911" s="1079"/>
      <c r="W1911" s="1079"/>
      <c r="X1911" s="1079"/>
      <c r="Y1911" s="1079"/>
      <c r="Z1911" s="1079"/>
      <c r="AA1911" s="1079"/>
      <c r="AB1911" s="1079"/>
      <c r="AC1911" s="1079"/>
      <c r="AD1911" s="1080"/>
    </row>
    <row r="1912" spans="1:30" x14ac:dyDescent="0.2">
      <c r="A1912">
        <f t="shared" si="63"/>
        <v>52</v>
      </c>
      <c r="B1912">
        <v>1903</v>
      </c>
      <c r="C1912" s="1078"/>
      <c r="D1912" s="1077"/>
      <c r="E1912" s="1077"/>
      <c r="F1912" s="1079"/>
      <c r="G1912" s="1079"/>
      <c r="H1912" s="1079"/>
      <c r="I1912" s="1079"/>
      <c r="J1912" s="1079"/>
      <c r="K1912" s="1079"/>
      <c r="L1912" s="1079"/>
      <c r="M1912" s="1079"/>
      <c r="N1912" s="1079"/>
      <c r="O1912" s="1079"/>
      <c r="P1912" s="1079"/>
      <c r="Q1912" s="1079"/>
      <c r="R1912" s="1079"/>
      <c r="S1912" s="1079"/>
      <c r="T1912" s="1079"/>
      <c r="U1912" s="1079"/>
      <c r="V1912" s="1079"/>
      <c r="W1912" s="1079"/>
      <c r="X1912" s="1079"/>
      <c r="Y1912" s="1079"/>
      <c r="Z1912" s="1079"/>
      <c r="AA1912" s="1079"/>
      <c r="AB1912" s="1079"/>
      <c r="AC1912" s="1079"/>
      <c r="AD1912" s="1080"/>
    </row>
    <row r="1913" spans="1:30" x14ac:dyDescent="0.2">
      <c r="A1913">
        <f t="shared" si="63"/>
        <v>52</v>
      </c>
      <c r="B1913">
        <v>1904</v>
      </c>
      <c r="C1913" s="1078"/>
      <c r="D1913" s="1077"/>
      <c r="E1913" s="1077"/>
      <c r="F1913" s="1079"/>
      <c r="G1913" s="1079"/>
      <c r="H1913" s="1079"/>
      <c r="I1913" s="1079"/>
      <c r="J1913" s="1079"/>
      <c r="K1913" s="1079"/>
      <c r="L1913" s="1079"/>
      <c r="M1913" s="1079"/>
      <c r="N1913" s="1079"/>
      <c r="O1913" s="1079"/>
      <c r="P1913" s="1079"/>
      <c r="Q1913" s="1079"/>
      <c r="R1913" s="1079"/>
      <c r="S1913" s="1079"/>
      <c r="T1913" s="1079"/>
      <c r="U1913" s="1079"/>
      <c r="V1913" s="1079"/>
      <c r="W1913" s="1079"/>
      <c r="X1913" s="1079"/>
      <c r="Y1913" s="1079"/>
      <c r="Z1913" s="1079"/>
      <c r="AA1913" s="1079"/>
      <c r="AB1913" s="1079"/>
      <c r="AC1913" s="1079"/>
      <c r="AD1913" s="1080"/>
    </row>
    <row r="1914" spans="1:30" x14ac:dyDescent="0.2">
      <c r="A1914">
        <f t="shared" si="63"/>
        <v>52</v>
      </c>
      <c r="B1914">
        <v>1905</v>
      </c>
      <c r="C1914" s="1078"/>
      <c r="D1914" s="1077"/>
      <c r="E1914" s="1077"/>
      <c r="F1914" s="1079"/>
      <c r="G1914" s="1079"/>
      <c r="H1914" s="1079"/>
      <c r="I1914" s="1079"/>
      <c r="J1914" s="1079"/>
      <c r="K1914" s="1079"/>
      <c r="L1914" s="1079"/>
      <c r="M1914" s="1079"/>
      <c r="N1914" s="1079"/>
      <c r="O1914" s="1079"/>
      <c r="P1914" s="1079"/>
      <c r="Q1914" s="1079"/>
      <c r="R1914" s="1079"/>
      <c r="S1914" s="1079"/>
      <c r="T1914" s="1079"/>
      <c r="U1914" s="1079"/>
      <c r="V1914" s="1079"/>
      <c r="W1914" s="1079"/>
      <c r="X1914" s="1079"/>
      <c r="Y1914" s="1079"/>
      <c r="Z1914" s="1079"/>
      <c r="AA1914" s="1079"/>
      <c r="AB1914" s="1079"/>
      <c r="AC1914" s="1079"/>
      <c r="AD1914" s="1080"/>
    </row>
    <row r="1915" spans="1:30" x14ac:dyDescent="0.2">
      <c r="A1915">
        <f t="shared" si="63"/>
        <v>52</v>
      </c>
      <c r="B1915">
        <v>1906</v>
      </c>
      <c r="C1915" s="1078"/>
      <c r="D1915" s="1077"/>
      <c r="E1915" s="1077"/>
      <c r="F1915" s="1079"/>
      <c r="G1915" s="1079"/>
      <c r="H1915" s="1079"/>
      <c r="I1915" s="1079"/>
      <c r="J1915" s="1079"/>
      <c r="K1915" s="1079"/>
      <c r="L1915" s="1079"/>
      <c r="M1915" s="1079"/>
      <c r="N1915" s="1079"/>
      <c r="O1915" s="1079"/>
      <c r="P1915" s="1079"/>
      <c r="Q1915" s="1079"/>
      <c r="R1915" s="1079"/>
      <c r="S1915" s="1079"/>
      <c r="T1915" s="1079"/>
      <c r="U1915" s="1079"/>
      <c r="V1915" s="1079"/>
      <c r="W1915" s="1079"/>
      <c r="X1915" s="1079"/>
      <c r="Y1915" s="1079"/>
      <c r="Z1915" s="1079"/>
      <c r="AA1915" s="1079"/>
      <c r="AB1915" s="1079"/>
      <c r="AC1915" s="1079"/>
      <c r="AD1915" s="1080"/>
    </row>
    <row r="1916" spans="1:30" x14ac:dyDescent="0.2">
      <c r="A1916">
        <f t="shared" si="63"/>
        <v>52</v>
      </c>
      <c r="B1916">
        <v>1907</v>
      </c>
      <c r="C1916" s="1078"/>
      <c r="D1916" s="1077"/>
      <c r="E1916" s="1077"/>
      <c r="F1916" s="1079"/>
      <c r="G1916" s="1079"/>
      <c r="H1916" s="1079"/>
      <c r="I1916" s="1079"/>
      <c r="J1916" s="1079"/>
      <c r="K1916" s="1079"/>
      <c r="L1916" s="1079"/>
      <c r="M1916" s="1079"/>
      <c r="N1916" s="1079"/>
      <c r="O1916" s="1079"/>
      <c r="P1916" s="1079"/>
      <c r="Q1916" s="1079"/>
      <c r="R1916" s="1079"/>
      <c r="S1916" s="1079"/>
      <c r="T1916" s="1079"/>
      <c r="U1916" s="1079"/>
      <c r="V1916" s="1079"/>
      <c r="W1916" s="1079"/>
      <c r="X1916" s="1079"/>
      <c r="Y1916" s="1079"/>
      <c r="Z1916" s="1079"/>
      <c r="AA1916" s="1079"/>
      <c r="AB1916" s="1079"/>
      <c r="AC1916" s="1079"/>
      <c r="AD1916" s="1080"/>
    </row>
    <row r="1917" spans="1:30" x14ac:dyDescent="0.2">
      <c r="A1917">
        <f t="shared" si="63"/>
        <v>52</v>
      </c>
      <c r="B1917">
        <v>1908</v>
      </c>
      <c r="C1917" s="1078"/>
      <c r="D1917" s="1077"/>
      <c r="E1917" s="1077"/>
      <c r="F1917" s="1079"/>
      <c r="G1917" s="1079"/>
      <c r="H1917" s="1079"/>
      <c r="I1917" s="1079"/>
      <c r="J1917" s="1079"/>
      <c r="K1917" s="1079"/>
      <c r="L1917" s="1079"/>
      <c r="M1917" s="1079"/>
      <c r="N1917" s="1079"/>
      <c r="O1917" s="1079"/>
      <c r="P1917" s="1079"/>
      <c r="Q1917" s="1079"/>
      <c r="R1917" s="1079"/>
      <c r="S1917" s="1079"/>
      <c r="T1917" s="1079"/>
      <c r="U1917" s="1079"/>
      <c r="V1917" s="1079"/>
      <c r="W1917" s="1079"/>
      <c r="X1917" s="1079"/>
      <c r="Y1917" s="1079"/>
      <c r="Z1917" s="1079"/>
      <c r="AA1917" s="1079"/>
      <c r="AB1917" s="1079"/>
      <c r="AC1917" s="1079"/>
      <c r="AD1917" s="1080"/>
    </row>
    <row r="1918" spans="1:30" x14ac:dyDescent="0.2">
      <c r="A1918">
        <f t="shared" si="63"/>
        <v>52</v>
      </c>
      <c r="B1918">
        <v>1909</v>
      </c>
      <c r="C1918" s="1078"/>
      <c r="D1918" s="1077"/>
      <c r="E1918" s="1077"/>
      <c r="F1918" s="1079"/>
      <c r="G1918" s="1079"/>
      <c r="H1918" s="1079"/>
      <c r="I1918" s="1079"/>
      <c r="J1918" s="1079"/>
      <c r="K1918" s="1079"/>
      <c r="L1918" s="1079"/>
      <c r="M1918" s="1079"/>
      <c r="N1918" s="1079"/>
      <c r="O1918" s="1079"/>
      <c r="P1918" s="1079"/>
      <c r="Q1918" s="1079"/>
      <c r="R1918" s="1079"/>
      <c r="S1918" s="1079"/>
      <c r="T1918" s="1079"/>
      <c r="U1918" s="1079"/>
      <c r="V1918" s="1079"/>
      <c r="W1918" s="1079"/>
      <c r="X1918" s="1079"/>
      <c r="Y1918" s="1079"/>
      <c r="Z1918" s="1079"/>
      <c r="AA1918" s="1079"/>
      <c r="AB1918" s="1079"/>
      <c r="AC1918" s="1079"/>
      <c r="AD1918" s="1080"/>
    </row>
    <row r="1919" spans="1:30" x14ac:dyDescent="0.2">
      <c r="A1919">
        <f t="shared" si="63"/>
        <v>52</v>
      </c>
      <c r="B1919">
        <v>1910</v>
      </c>
      <c r="C1919" s="1078"/>
      <c r="D1919" s="1077"/>
      <c r="E1919" s="1077"/>
      <c r="F1919" s="1079"/>
      <c r="G1919" s="1079"/>
      <c r="H1919" s="1079"/>
      <c r="I1919" s="1079"/>
      <c r="J1919" s="1079"/>
      <c r="K1919" s="1079"/>
      <c r="L1919" s="1079"/>
      <c r="M1919" s="1079"/>
      <c r="N1919" s="1079"/>
      <c r="O1919" s="1079"/>
      <c r="P1919" s="1079"/>
      <c r="Q1919" s="1079"/>
      <c r="R1919" s="1079"/>
      <c r="S1919" s="1079"/>
      <c r="T1919" s="1079"/>
      <c r="U1919" s="1079"/>
      <c r="V1919" s="1079"/>
      <c r="W1919" s="1079"/>
      <c r="X1919" s="1079"/>
      <c r="Y1919" s="1079"/>
      <c r="Z1919" s="1079"/>
      <c r="AA1919" s="1079"/>
      <c r="AB1919" s="1079"/>
      <c r="AC1919" s="1079"/>
      <c r="AD1919" s="1080"/>
    </row>
    <row r="1920" spans="1:30" x14ac:dyDescent="0.2">
      <c r="A1920">
        <f t="shared" si="63"/>
        <v>52</v>
      </c>
      <c r="B1920">
        <v>1911</v>
      </c>
      <c r="C1920" s="1078"/>
      <c r="D1920" s="1077"/>
      <c r="E1920" s="1077"/>
      <c r="F1920" s="1079"/>
      <c r="G1920" s="1079"/>
      <c r="H1920" s="1079"/>
      <c r="I1920" s="1079"/>
      <c r="J1920" s="1079"/>
      <c r="K1920" s="1079"/>
      <c r="L1920" s="1079"/>
      <c r="M1920" s="1079"/>
      <c r="N1920" s="1079"/>
      <c r="O1920" s="1079"/>
      <c r="P1920" s="1079"/>
      <c r="Q1920" s="1079"/>
      <c r="R1920" s="1079"/>
      <c r="S1920" s="1079"/>
      <c r="T1920" s="1079"/>
      <c r="U1920" s="1079"/>
      <c r="V1920" s="1079"/>
      <c r="W1920" s="1079"/>
      <c r="X1920" s="1079"/>
      <c r="Y1920" s="1079"/>
      <c r="Z1920" s="1079"/>
      <c r="AA1920" s="1079"/>
      <c r="AB1920" s="1079"/>
      <c r="AC1920" s="1079"/>
      <c r="AD1920" s="1080"/>
    </row>
    <row r="1921" spans="1:30" x14ac:dyDescent="0.2">
      <c r="A1921">
        <f t="shared" si="63"/>
        <v>52</v>
      </c>
      <c r="B1921">
        <v>1912</v>
      </c>
      <c r="C1921" s="1078"/>
      <c r="D1921" s="1077"/>
      <c r="E1921" s="1077"/>
      <c r="F1921" s="1079"/>
      <c r="G1921" s="1186"/>
      <c r="H1921" s="1186"/>
      <c r="I1921" s="1186"/>
      <c r="J1921" s="1186"/>
      <c r="K1921" s="1186"/>
      <c r="L1921" s="1186"/>
      <c r="M1921" s="1186"/>
      <c r="N1921" s="1186"/>
      <c r="O1921" s="1186"/>
      <c r="P1921" s="1186"/>
      <c r="Q1921" s="1186"/>
      <c r="R1921" s="1186"/>
      <c r="S1921" s="1186"/>
      <c r="T1921" s="1186"/>
      <c r="U1921" s="1186"/>
      <c r="V1921" s="1186"/>
      <c r="W1921" s="1079"/>
      <c r="X1921" s="1079"/>
      <c r="Y1921" s="1079"/>
      <c r="Z1921" s="1079"/>
      <c r="AA1921" s="1079"/>
      <c r="AB1921" s="1079"/>
      <c r="AC1921" s="1079"/>
      <c r="AD1921" s="1080"/>
    </row>
    <row r="1922" spans="1:30" x14ac:dyDescent="0.2">
      <c r="A1922">
        <f t="shared" si="63"/>
        <v>52</v>
      </c>
      <c r="B1922">
        <v>1913</v>
      </c>
      <c r="C1922" s="1078"/>
      <c r="D1922" s="1077"/>
      <c r="E1922" s="1077"/>
      <c r="F1922" s="1079"/>
      <c r="G1922" s="1186"/>
      <c r="H1922" s="1186"/>
      <c r="I1922" s="1186"/>
      <c r="J1922" s="1186"/>
      <c r="K1922" s="1186"/>
      <c r="L1922" s="1186"/>
      <c r="M1922" s="1186"/>
      <c r="N1922" s="1186"/>
      <c r="O1922" s="1186"/>
      <c r="P1922" s="1186"/>
      <c r="Q1922" s="1186"/>
      <c r="R1922" s="1186"/>
      <c r="S1922" s="1186"/>
      <c r="T1922" s="1186"/>
      <c r="U1922" s="1186"/>
      <c r="V1922" s="1186"/>
      <c r="W1922" s="1079"/>
      <c r="X1922" s="1079"/>
      <c r="Y1922" s="1079"/>
      <c r="Z1922" s="1079"/>
      <c r="AA1922" s="1079"/>
      <c r="AB1922" s="1079"/>
      <c r="AC1922" s="1079"/>
      <c r="AD1922" s="1080"/>
    </row>
    <row r="1923" spans="1:30" x14ac:dyDescent="0.2">
      <c r="A1923">
        <f t="shared" si="63"/>
        <v>52</v>
      </c>
      <c r="B1923">
        <v>1914</v>
      </c>
      <c r="C1923" s="1078"/>
      <c r="D1923" s="1077"/>
      <c r="E1923" s="1077"/>
      <c r="F1923" s="1079"/>
      <c r="G1923" s="1186"/>
      <c r="H1923" s="1186"/>
      <c r="I1923" s="1186"/>
      <c r="J1923" s="1186"/>
      <c r="K1923" s="1186"/>
      <c r="L1923" s="1186"/>
      <c r="M1923" s="1186"/>
      <c r="N1923" s="1186"/>
      <c r="O1923" s="1186"/>
      <c r="P1923" s="1186"/>
      <c r="Q1923" s="1186"/>
      <c r="R1923" s="1186"/>
      <c r="S1923" s="1186"/>
      <c r="T1923" s="1186"/>
      <c r="U1923" s="1186"/>
      <c r="V1923" s="1186"/>
      <c r="W1923" s="1079"/>
      <c r="X1923" s="1079"/>
      <c r="Y1923" s="1079"/>
      <c r="Z1923" s="1079"/>
      <c r="AA1923" s="1079"/>
      <c r="AB1923" s="1079"/>
      <c r="AC1923" s="1079"/>
      <c r="AD1923" s="1080"/>
    </row>
    <row r="1924" spans="1:30" x14ac:dyDescent="0.2">
      <c r="A1924">
        <f t="shared" si="63"/>
        <v>52</v>
      </c>
      <c r="B1924">
        <v>1915</v>
      </c>
      <c r="C1924" s="1078"/>
      <c r="D1924" s="1077"/>
      <c r="E1924" s="1077"/>
      <c r="F1924" s="1079"/>
      <c r="G1924" s="1186"/>
      <c r="H1924" s="1186"/>
      <c r="I1924" s="1186"/>
      <c r="J1924" s="1186"/>
      <c r="K1924" s="1186"/>
      <c r="L1924" s="1186"/>
      <c r="M1924" s="1186"/>
      <c r="N1924" s="1186"/>
      <c r="O1924" s="1186"/>
      <c r="P1924" s="1186"/>
      <c r="Q1924" s="1186"/>
      <c r="R1924" s="1186"/>
      <c r="S1924" s="1186"/>
      <c r="T1924" s="1186"/>
      <c r="U1924" s="1186"/>
      <c r="V1924" s="1186"/>
      <c r="W1924" s="1079"/>
      <c r="X1924" s="1079"/>
      <c r="Y1924" s="1079"/>
      <c r="Z1924" s="1079"/>
      <c r="AA1924" s="1079"/>
      <c r="AB1924" s="1079"/>
      <c r="AC1924" s="1079"/>
      <c r="AD1924" s="1080"/>
    </row>
    <row r="1925" spans="1:30" x14ac:dyDescent="0.2">
      <c r="A1925">
        <f t="shared" si="63"/>
        <v>52</v>
      </c>
      <c r="B1925">
        <v>1916</v>
      </c>
      <c r="C1925" s="1078"/>
      <c r="D1925" s="1077"/>
      <c r="E1925" s="1077"/>
      <c r="F1925" s="1079"/>
      <c r="G1925" s="1186"/>
      <c r="H1925" s="1186"/>
      <c r="I1925" s="1186"/>
      <c r="J1925" s="1186"/>
      <c r="K1925" s="1186"/>
      <c r="L1925" s="1186"/>
      <c r="M1925" s="1186"/>
      <c r="N1925" s="1186"/>
      <c r="O1925" s="1186"/>
      <c r="P1925" s="1186"/>
      <c r="Q1925" s="1186"/>
      <c r="R1925" s="1186"/>
      <c r="S1925" s="1186"/>
      <c r="T1925" s="1186"/>
      <c r="U1925" s="1186"/>
      <c r="V1925" s="1186"/>
      <c r="W1925" s="1079"/>
      <c r="X1925" s="1079"/>
      <c r="Y1925" s="1079"/>
      <c r="Z1925" s="1079"/>
      <c r="AA1925" s="1079"/>
      <c r="AB1925" s="1079"/>
      <c r="AC1925" s="1079"/>
      <c r="AD1925" s="1080"/>
    </row>
    <row r="1926" spans="1:30" x14ac:dyDescent="0.2">
      <c r="A1926">
        <f t="shared" si="63"/>
        <v>52</v>
      </c>
      <c r="B1926">
        <v>1917</v>
      </c>
      <c r="C1926" s="1078"/>
      <c r="D1926" s="1077"/>
      <c r="E1926" s="1077"/>
      <c r="F1926" s="1079"/>
      <c r="G1926" s="1186"/>
      <c r="H1926" s="1186"/>
      <c r="I1926" s="1186"/>
      <c r="J1926" s="1186"/>
      <c r="K1926" s="1186"/>
      <c r="L1926" s="1186"/>
      <c r="M1926" s="1186"/>
      <c r="N1926" s="1186"/>
      <c r="O1926" s="1186"/>
      <c r="P1926" s="1186"/>
      <c r="Q1926" s="1186"/>
      <c r="R1926" s="1186"/>
      <c r="S1926" s="1186"/>
      <c r="T1926" s="1186"/>
      <c r="U1926" s="1186"/>
      <c r="V1926" s="1186"/>
      <c r="W1926" s="1079"/>
      <c r="X1926" s="1079"/>
      <c r="Y1926" s="1079"/>
      <c r="Z1926" s="1079"/>
      <c r="AA1926" s="1079"/>
      <c r="AB1926" s="1079"/>
      <c r="AC1926" s="1079"/>
      <c r="AD1926" s="1080"/>
    </row>
    <row r="1927" spans="1:30" x14ac:dyDescent="0.2">
      <c r="A1927">
        <f t="shared" si="63"/>
        <v>52</v>
      </c>
      <c r="B1927">
        <v>1918</v>
      </c>
      <c r="C1927" s="1078"/>
      <c r="D1927" s="1077"/>
      <c r="E1927" s="1077"/>
      <c r="F1927" s="1079"/>
      <c r="G1927" s="1186"/>
      <c r="H1927" s="1186"/>
      <c r="I1927" s="1186"/>
      <c r="J1927" s="1186"/>
      <c r="K1927" s="1186"/>
      <c r="L1927" s="1186"/>
      <c r="M1927" s="1186"/>
      <c r="N1927" s="1186"/>
      <c r="O1927" s="1186"/>
      <c r="P1927" s="1186"/>
      <c r="Q1927" s="1186"/>
      <c r="R1927" s="1186"/>
      <c r="S1927" s="1186"/>
      <c r="T1927" s="1186"/>
      <c r="U1927" s="1186"/>
      <c r="V1927" s="1186"/>
      <c r="W1927" s="1079"/>
      <c r="X1927" s="1079"/>
      <c r="Y1927" s="1079"/>
      <c r="Z1927" s="1079"/>
      <c r="AA1927" s="1079"/>
      <c r="AB1927" s="1079"/>
      <c r="AC1927" s="1079"/>
      <c r="AD1927" s="1080"/>
    </row>
    <row r="1928" spans="1:30" x14ac:dyDescent="0.2">
      <c r="A1928">
        <f t="shared" si="63"/>
        <v>52</v>
      </c>
      <c r="B1928">
        <v>1919</v>
      </c>
      <c r="C1928" s="1078"/>
      <c r="D1928" s="1077"/>
      <c r="E1928" s="1077"/>
      <c r="F1928" s="1079"/>
      <c r="G1928" s="1186"/>
      <c r="H1928" s="1186"/>
      <c r="I1928" s="1186"/>
      <c r="J1928" s="1186"/>
      <c r="K1928" s="1186"/>
      <c r="L1928" s="1186"/>
      <c r="M1928" s="1186"/>
      <c r="N1928" s="1186"/>
      <c r="O1928" s="1186"/>
      <c r="P1928" s="1186"/>
      <c r="Q1928" s="1186"/>
      <c r="R1928" s="1186"/>
      <c r="S1928" s="1186"/>
      <c r="T1928" s="1186"/>
      <c r="U1928" s="1186"/>
      <c r="V1928" s="1186"/>
      <c r="W1928" s="1079"/>
      <c r="X1928" s="1079"/>
      <c r="Y1928" s="1079"/>
      <c r="Z1928" s="1079"/>
      <c r="AA1928" s="1079"/>
      <c r="AB1928" s="1079"/>
      <c r="AC1928" s="1079"/>
      <c r="AD1928" s="1080"/>
    </row>
    <row r="1929" spans="1:30" x14ac:dyDescent="0.2">
      <c r="A1929">
        <f t="shared" si="63"/>
        <v>52</v>
      </c>
      <c r="B1929">
        <v>1920</v>
      </c>
      <c r="C1929" s="1078"/>
      <c r="D1929" s="1077"/>
      <c r="E1929" s="1077"/>
      <c r="F1929" s="1079"/>
      <c r="G1929" s="1186"/>
      <c r="H1929" s="1186"/>
      <c r="I1929" s="1186"/>
      <c r="J1929" s="1186"/>
      <c r="K1929" s="1186"/>
      <c r="L1929" s="1186"/>
      <c r="M1929" s="1186"/>
      <c r="N1929" s="1186"/>
      <c r="O1929" s="1186"/>
      <c r="P1929" s="1186"/>
      <c r="Q1929" s="1186"/>
      <c r="R1929" s="1186"/>
      <c r="S1929" s="1186"/>
      <c r="T1929" s="1186"/>
      <c r="U1929" s="1186"/>
      <c r="V1929" s="1186"/>
      <c r="W1929" s="1079"/>
      <c r="X1929" s="1079"/>
      <c r="Y1929" s="1079"/>
      <c r="Z1929" s="1079"/>
      <c r="AA1929" s="1079"/>
      <c r="AB1929" s="1079"/>
      <c r="AC1929" s="1079"/>
      <c r="AD1929" s="1080"/>
    </row>
    <row r="1930" spans="1:30" x14ac:dyDescent="0.2">
      <c r="A1930">
        <f t="shared" si="63"/>
        <v>52</v>
      </c>
      <c r="B1930">
        <v>1921</v>
      </c>
      <c r="C1930" s="1078"/>
      <c r="D1930" s="1077"/>
      <c r="E1930" s="1077"/>
      <c r="F1930" s="1079"/>
      <c r="G1930" s="1186"/>
      <c r="H1930" s="1186"/>
      <c r="I1930" s="1186"/>
      <c r="J1930" s="1186"/>
      <c r="K1930" s="1186"/>
      <c r="L1930" s="1186"/>
      <c r="M1930" s="1186"/>
      <c r="N1930" s="1186"/>
      <c r="O1930" s="1186"/>
      <c r="P1930" s="1186"/>
      <c r="Q1930" s="1186"/>
      <c r="R1930" s="1186"/>
      <c r="S1930" s="1186"/>
      <c r="T1930" s="1186"/>
      <c r="U1930" s="1186"/>
      <c r="V1930" s="1186"/>
      <c r="W1930" s="1079"/>
      <c r="X1930" s="1079"/>
      <c r="Y1930" s="1079"/>
      <c r="Z1930" s="1079"/>
      <c r="AA1930" s="1079"/>
      <c r="AB1930" s="1079"/>
      <c r="AC1930" s="1079"/>
      <c r="AD1930" s="1080"/>
    </row>
    <row r="1931" spans="1:30" x14ac:dyDescent="0.2">
      <c r="A1931">
        <f t="shared" si="63"/>
        <v>52</v>
      </c>
      <c r="B1931">
        <v>1922</v>
      </c>
      <c r="C1931" s="1078"/>
      <c r="D1931" s="1077"/>
      <c r="E1931" s="1077"/>
      <c r="F1931" s="1079"/>
      <c r="G1931" s="1186"/>
      <c r="H1931" s="1186"/>
      <c r="I1931" s="1186"/>
      <c r="J1931" s="1186"/>
      <c r="K1931" s="1186"/>
      <c r="L1931" s="1186"/>
      <c r="M1931" s="1186"/>
      <c r="N1931" s="1186"/>
      <c r="O1931" s="1186"/>
      <c r="P1931" s="1186"/>
      <c r="Q1931" s="1186"/>
      <c r="R1931" s="1186"/>
      <c r="S1931" s="1186"/>
      <c r="T1931" s="1186"/>
      <c r="U1931" s="1186"/>
      <c r="V1931" s="1186"/>
      <c r="W1931" s="1079"/>
      <c r="X1931" s="1079"/>
      <c r="Y1931" s="1079"/>
      <c r="Z1931" s="1079"/>
      <c r="AA1931" s="1079"/>
      <c r="AB1931" s="1079"/>
      <c r="AC1931" s="1079"/>
      <c r="AD1931" s="1080"/>
    </row>
    <row r="1932" spans="1:30" x14ac:dyDescent="0.2">
      <c r="A1932">
        <f t="shared" ref="A1932:A1995" si="64">A1931+(D1932&lt;&gt;D1931)*1</f>
        <v>52</v>
      </c>
      <c r="B1932">
        <v>1923</v>
      </c>
      <c r="C1932" s="1078"/>
      <c r="D1932" s="1077"/>
      <c r="E1932" s="1077"/>
      <c r="F1932" s="1079"/>
      <c r="G1932" s="1186"/>
      <c r="H1932" s="1186"/>
      <c r="I1932" s="1186"/>
      <c r="J1932" s="1186"/>
      <c r="K1932" s="1186"/>
      <c r="L1932" s="1186"/>
      <c r="M1932" s="1186"/>
      <c r="N1932" s="1186"/>
      <c r="O1932" s="1186"/>
      <c r="P1932" s="1186"/>
      <c r="Q1932" s="1186"/>
      <c r="R1932" s="1186"/>
      <c r="S1932" s="1186"/>
      <c r="T1932" s="1186"/>
      <c r="U1932" s="1186"/>
      <c r="V1932" s="1186"/>
      <c r="W1932" s="1079"/>
      <c r="X1932" s="1079"/>
      <c r="Y1932" s="1079"/>
      <c r="Z1932" s="1079"/>
      <c r="AA1932" s="1079"/>
      <c r="AB1932" s="1079"/>
      <c r="AC1932" s="1079"/>
      <c r="AD1932" s="1080"/>
    </row>
    <row r="1933" spans="1:30" x14ac:dyDescent="0.2">
      <c r="A1933">
        <f t="shared" si="64"/>
        <v>52</v>
      </c>
      <c r="B1933">
        <v>1924</v>
      </c>
      <c r="C1933" s="1078"/>
      <c r="D1933" s="1077"/>
      <c r="E1933" s="1077"/>
      <c r="F1933" s="1079"/>
      <c r="G1933" s="1186"/>
      <c r="H1933" s="1186"/>
      <c r="I1933" s="1186"/>
      <c r="J1933" s="1186"/>
      <c r="K1933" s="1186"/>
      <c r="L1933" s="1186"/>
      <c r="M1933" s="1186"/>
      <c r="N1933" s="1186"/>
      <c r="O1933" s="1186"/>
      <c r="P1933" s="1186"/>
      <c r="Q1933" s="1186"/>
      <c r="R1933" s="1186"/>
      <c r="S1933" s="1186"/>
      <c r="T1933" s="1186"/>
      <c r="U1933" s="1186"/>
      <c r="V1933" s="1186"/>
      <c r="W1933" s="1079"/>
      <c r="X1933" s="1079"/>
      <c r="Y1933" s="1079"/>
      <c r="Z1933" s="1079"/>
      <c r="AA1933" s="1079"/>
      <c r="AB1933" s="1079"/>
      <c r="AC1933" s="1079"/>
      <c r="AD1933" s="1080"/>
    </row>
    <row r="1934" spans="1:30" x14ac:dyDescent="0.2">
      <c r="A1934">
        <f t="shared" si="64"/>
        <v>52</v>
      </c>
      <c r="B1934">
        <v>1925</v>
      </c>
      <c r="C1934" s="1078"/>
      <c r="D1934" s="1077"/>
      <c r="E1934" s="1077"/>
      <c r="F1934" s="1079"/>
      <c r="G1934" s="1186"/>
      <c r="H1934" s="1186"/>
      <c r="I1934" s="1186"/>
      <c r="J1934" s="1186"/>
      <c r="K1934" s="1186"/>
      <c r="L1934" s="1186"/>
      <c r="M1934" s="1186"/>
      <c r="N1934" s="1186"/>
      <c r="O1934" s="1186"/>
      <c r="P1934" s="1186"/>
      <c r="Q1934" s="1186"/>
      <c r="R1934" s="1186"/>
      <c r="S1934" s="1186"/>
      <c r="T1934" s="1186"/>
      <c r="U1934" s="1186"/>
      <c r="V1934" s="1186"/>
      <c r="W1934" s="1079"/>
      <c r="X1934" s="1079"/>
      <c r="Y1934" s="1079"/>
      <c r="Z1934" s="1079"/>
      <c r="AA1934" s="1079"/>
      <c r="AB1934" s="1079"/>
      <c r="AC1934" s="1079"/>
      <c r="AD1934" s="1080"/>
    </row>
    <row r="1935" spans="1:30" x14ac:dyDescent="0.2">
      <c r="A1935">
        <f t="shared" si="64"/>
        <v>52</v>
      </c>
      <c r="B1935">
        <v>1926</v>
      </c>
      <c r="C1935" s="1078"/>
      <c r="D1935" s="1077"/>
      <c r="E1935" s="1077"/>
      <c r="F1935" s="1079"/>
      <c r="G1935" s="1186"/>
      <c r="H1935" s="1186"/>
      <c r="I1935" s="1186"/>
      <c r="J1935" s="1186"/>
      <c r="K1935" s="1186"/>
      <c r="L1935" s="1186"/>
      <c r="M1935" s="1186"/>
      <c r="N1935" s="1186"/>
      <c r="O1935" s="1186"/>
      <c r="P1935" s="1186"/>
      <c r="Q1935" s="1186"/>
      <c r="R1935" s="1186"/>
      <c r="S1935" s="1186"/>
      <c r="T1935" s="1186"/>
      <c r="U1935" s="1186"/>
      <c r="V1935" s="1186"/>
      <c r="W1935" s="1079"/>
      <c r="X1935" s="1079"/>
      <c r="Y1935" s="1079"/>
      <c r="Z1935" s="1079"/>
      <c r="AA1935" s="1079"/>
      <c r="AB1935" s="1079"/>
      <c r="AC1935" s="1079"/>
      <c r="AD1935" s="1080"/>
    </row>
    <row r="1936" spans="1:30" x14ac:dyDescent="0.2">
      <c r="A1936">
        <f t="shared" si="64"/>
        <v>52</v>
      </c>
      <c r="B1936">
        <v>1927</v>
      </c>
      <c r="C1936" s="1078"/>
      <c r="D1936" s="1077"/>
      <c r="E1936" s="1077"/>
      <c r="F1936" s="1079"/>
      <c r="G1936" s="1186"/>
      <c r="H1936" s="1186"/>
      <c r="I1936" s="1186"/>
      <c r="J1936" s="1186"/>
      <c r="K1936" s="1186"/>
      <c r="L1936" s="1186"/>
      <c r="M1936" s="1186"/>
      <c r="N1936" s="1186"/>
      <c r="O1936" s="1186"/>
      <c r="P1936" s="1186"/>
      <c r="Q1936" s="1186"/>
      <c r="R1936" s="1186"/>
      <c r="S1936" s="1186"/>
      <c r="T1936" s="1186"/>
      <c r="U1936" s="1186"/>
      <c r="V1936" s="1186"/>
      <c r="W1936" s="1079"/>
      <c r="X1936" s="1079"/>
      <c r="Y1936" s="1079"/>
      <c r="Z1936" s="1079"/>
      <c r="AA1936" s="1079"/>
      <c r="AB1936" s="1079"/>
      <c r="AC1936" s="1079"/>
      <c r="AD1936" s="1080"/>
    </row>
    <row r="1937" spans="1:30" x14ac:dyDescent="0.2">
      <c r="A1937">
        <f t="shared" si="64"/>
        <v>52</v>
      </c>
      <c r="B1937">
        <v>1928</v>
      </c>
      <c r="C1937" s="1078"/>
      <c r="D1937" s="1077"/>
      <c r="E1937" s="1077"/>
      <c r="F1937" s="1079"/>
      <c r="G1937" s="1079"/>
      <c r="H1937" s="1079"/>
      <c r="I1937" s="1079"/>
      <c r="J1937" s="1079"/>
      <c r="K1937" s="1079"/>
      <c r="L1937" s="1079"/>
      <c r="M1937" s="1079"/>
      <c r="N1937" s="1079"/>
      <c r="O1937" s="1079"/>
      <c r="P1937" s="1079"/>
      <c r="Q1937" s="1079"/>
      <c r="R1937" s="1079"/>
      <c r="S1937" s="1079"/>
      <c r="T1937" s="1079"/>
      <c r="U1937" s="1079"/>
      <c r="V1937" s="1079"/>
      <c r="W1937" s="1186"/>
      <c r="X1937" s="1186"/>
      <c r="Y1937" s="1186"/>
      <c r="Z1937" s="1186"/>
      <c r="AA1937" s="1186"/>
      <c r="AB1937" s="1186"/>
      <c r="AC1937" s="1186"/>
      <c r="AD1937" s="1187"/>
    </row>
    <row r="1938" spans="1:30" x14ac:dyDescent="0.2">
      <c r="A1938">
        <f t="shared" si="64"/>
        <v>52</v>
      </c>
      <c r="B1938">
        <v>1929</v>
      </c>
      <c r="C1938" s="1078"/>
      <c r="D1938" s="1077"/>
      <c r="E1938" s="1077"/>
      <c r="F1938" s="1079"/>
      <c r="G1938" s="1079"/>
      <c r="H1938" s="1079"/>
      <c r="I1938" s="1079"/>
      <c r="J1938" s="1079"/>
      <c r="K1938" s="1079"/>
      <c r="L1938" s="1079"/>
      <c r="M1938" s="1079"/>
      <c r="N1938" s="1079"/>
      <c r="O1938" s="1079"/>
      <c r="P1938" s="1079"/>
      <c r="Q1938" s="1079"/>
      <c r="R1938" s="1079"/>
      <c r="S1938" s="1079"/>
      <c r="T1938" s="1079"/>
      <c r="U1938" s="1079"/>
      <c r="V1938" s="1079"/>
      <c r="W1938" s="1186"/>
      <c r="X1938" s="1186"/>
      <c r="Y1938" s="1186"/>
      <c r="Z1938" s="1186"/>
      <c r="AA1938" s="1186"/>
      <c r="AB1938" s="1186"/>
      <c r="AC1938" s="1186"/>
      <c r="AD1938" s="1187"/>
    </row>
    <row r="1939" spans="1:30" x14ac:dyDescent="0.2">
      <c r="A1939">
        <f t="shared" si="64"/>
        <v>52</v>
      </c>
      <c r="B1939">
        <v>1930</v>
      </c>
      <c r="C1939" s="1078"/>
      <c r="D1939" s="1077"/>
      <c r="E1939" s="1077"/>
      <c r="F1939" s="1079"/>
      <c r="G1939" s="1079"/>
      <c r="H1939" s="1079"/>
      <c r="I1939" s="1079"/>
      <c r="J1939" s="1079"/>
      <c r="K1939" s="1079"/>
      <c r="L1939" s="1079"/>
      <c r="M1939" s="1079"/>
      <c r="N1939" s="1079"/>
      <c r="O1939" s="1079"/>
      <c r="P1939" s="1079"/>
      <c r="Q1939" s="1079"/>
      <c r="R1939" s="1079"/>
      <c r="S1939" s="1079"/>
      <c r="T1939" s="1079"/>
      <c r="U1939" s="1079"/>
      <c r="V1939" s="1079"/>
      <c r="W1939" s="1186"/>
      <c r="X1939" s="1186"/>
      <c r="Y1939" s="1186"/>
      <c r="Z1939" s="1186"/>
      <c r="AA1939" s="1186"/>
      <c r="AB1939" s="1186"/>
      <c r="AC1939" s="1186"/>
      <c r="AD1939" s="1187"/>
    </row>
    <row r="1940" spans="1:30" x14ac:dyDescent="0.2">
      <c r="A1940">
        <f t="shared" si="64"/>
        <v>52</v>
      </c>
      <c r="B1940">
        <v>1931</v>
      </c>
      <c r="C1940" s="1078"/>
      <c r="D1940" s="1077"/>
      <c r="E1940" s="1077"/>
      <c r="F1940" s="1079"/>
      <c r="G1940" s="1079"/>
      <c r="H1940" s="1079"/>
      <c r="I1940" s="1079"/>
      <c r="J1940" s="1079"/>
      <c r="K1940" s="1079"/>
      <c r="L1940" s="1079"/>
      <c r="M1940" s="1079"/>
      <c r="N1940" s="1079"/>
      <c r="O1940" s="1079"/>
      <c r="P1940" s="1079"/>
      <c r="Q1940" s="1079"/>
      <c r="R1940" s="1079"/>
      <c r="S1940" s="1079"/>
      <c r="T1940" s="1079"/>
      <c r="U1940" s="1079"/>
      <c r="V1940" s="1079"/>
      <c r="W1940" s="1186"/>
      <c r="X1940" s="1186"/>
      <c r="Y1940" s="1186"/>
      <c r="Z1940" s="1186"/>
      <c r="AA1940" s="1186"/>
      <c r="AB1940" s="1186"/>
      <c r="AC1940" s="1186"/>
      <c r="AD1940" s="1187"/>
    </row>
    <row r="1941" spans="1:30" x14ac:dyDescent="0.2">
      <c r="A1941">
        <f t="shared" si="64"/>
        <v>52</v>
      </c>
      <c r="B1941">
        <v>1932</v>
      </c>
      <c r="C1941" s="1078"/>
      <c r="D1941" s="1077"/>
      <c r="E1941" s="1077"/>
      <c r="F1941" s="1079"/>
      <c r="G1941" s="1079"/>
      <c r="H1941" s="1079"/>
      <c r="I1941" s="1079"/>
      <c r="J1941" s="1079"/>
      <c r="K1941" s="1079"/>
      <c r="L1941" s="1079"/>
      <c r="M1941" s="1079"/>
      <c r="N1941" s="1079"/>
      <c r="O1941" s="1079"/>
      <c r="P1941" s="1079"/>
      <c r="Q1941" s="1079"/>
      <c r="R1941" s="1079"/>
      <c r="S1941" s="1079"/>
      <c r="T1941" s="1079"/>
      <c r="U1941" s="1079"/>
      <c r="V1941" s="1079"/>
      <c r="W1941" s="1186"/>
      <c r="X1941" s="1186"/>
      <c r="Y1941" s="1186"/>
      <c r="Z1941" s="1186"/>
      <c r="AA1941" s="1186"/>
      <c r="AB1941" s="1186"/>
      <c r="AC1941" s="1186"/>
      <c r="AD1941" s="1187"/>
    </row>
    <row r="1942" spans="1:30" x14ac:dyDescent="0.2">
      <c r="A1942">
        <f t="shared" si="64"/>
        <v>52</v>
      </c>
      <c r="B1942">
        <v>1933</v>
      </c>
      <c r="C1942" s="1078"/>
      <c r="D1942" s="1077"/>
      <c r="E1942" s="1077"/>
      <c r="F1942" s="1079"/>
      <c r="G1942" s="1079"/>
      <c r="H1942" s="1079"/>
      <c r="I1942" s="1079"/>
      <c r="J1942" s="1079"/>
      <c r="K1942" s="1079"/>
      <c r="L1942" s="1079"/>
      <c r="M1942" s="1079"/>
      <c r="N1942" s="1079"/>
      <c r="O1942" s="1079"/>
      <c r="P1942" s="1079"/>
      <c r="Q1942" s="1079"/>
      <c r="R1942" s="1079"/>
      <c r="S1942" s="1079"/>
      <c r="T1942" s="1079"/>
      <c r="U1942" s="1079"/>
      <c r="V1942" s="1079"/>
      <c r="W1942" s="1186"/>
      <c r="X1942" s="1186"/>
      <c r="Y1942" s="1186"/>
      <c r="Z1942" s="1186"/>
      <c r="AA1942" s="1186"/>
      <c r="AB1942" s="1186"/>
      <c r="AC1942" s="1186"/>
      <c r="AD1942" s="1187"/>
    </row>
    <row r="1943" spans="1:30" x14ac:dyDescent="0.2">
      <c r="A1943">
        <f t="shared" si="64"/>
        <v>52</v>
      </c>
      <c r="B1943">
        <v>1934</v>
      </c>
      <c r="C1943" s="1078"/>
      <c r="D1943" s="1077"/>
      <c r="E1943" s="1077"/>
      <c r="F1943" s="1079"/>
      <c r="G1943" s="1186"/>
      <c r="H1943" s="1186"/>
      <c r="I1943" s="1186"/>
      <c r="J1943" s="1186"/>
      <c r="K1943" s="1186"/>
      <c r="L1943" s="1186"/>
      <c r="M1943" s="1186"/>
      <c r="N1943" s="1186"/>
      <c r="O1943" s="1186"/>
      <c r="P1943" s="1186"/>
      <c r="Q1943" s="1186"/>
      <c r="R1943" s="1186"/>
      <c r="S1943" s="1186"/>
      <c r="T1943" s="1186"/>
      <c r="U1943" s="1186"/>
      <c r="V1943" s="1186"/>
      <c r="W1943" s="1079"/>
      <c r="X1943" s="1079"/>
      <c r="Y1943" s="1079"/>
      <c r="Z1943" s="1079"/>
      <c r="AA1943" s="1079"/>
      <c r="AB1943" s="1079"/>
      <c r="AC1943" s="1079"/>
      <c r="AD1943" s="1080"/>
    </row>
    <row r="1944" spans="1:30" x14ac:dyDescent="0.2">
      <c r="A1944">
        <f t="shared" si="64"/>
        <v>52</v>
      </c>
      <c r="B1944">
        <v>1935</v>
      </c>
      <c r="C1944" s="1078"/>
      <c r="D1944" s="1077"/>
      <c r="E1944" s="1077"/>
      <c r="F1944" s="1079"/>
      <c r="G1944" s="1186"/>
      <c r="H1944" s="1186"/>
      <c r="I1944" s="1186"/>
      <c r="J1944" s="1186"/>
      <c r="K1944" s="1186"/>
      <c r="L1944" s="1186"/>
      <c r="M1944" s="1186"/>
      <c r="N1944" s="1186"/>
      <c r="O1944" s="1186"/>
      <c r="P1944" s="1186"/>
      <c r="Q1944" s="1186"/>
      <c r="R1944" s="1186"/>
      <c r="S1944" s="1186"/>
      <c r="T1944" s="1186"/>
      <c r="U1944" s="1186"/>
      <c r="V1944" s="1186"/>
      <c r="W1944" s="1079"/>
      <c r="X1944" s="1079"/>
      <c r="Y1944" s="1079"/>
      <c r="Z1944" s="1079"/>
      <c r="AA1944" s="1079"/>
      <c r="AB1944" s="1079"/>
      <c r="AC1944" s="1079"/>
      <c r="AD1944" s="1080"/>
    </row>
    <row r="1945" spans="1:30" x14ac:dyDescent="0.2">
      <c r="A1945">
        <f t="shared" si="64"/>
        <v>52</v>
      </c>
      <c r="B1945">
        <v>1936</v>
      </c>
      <c r="C1945" s="1078"/>
      <c r="D1945" s="1077"/>
      <c r="E1945" s="1077"/>
      <c r="F1945" s="1079"/>
      <c r="G1945" s="1186"/>
      <c r="H1945" s="1186"/>
      <c r="I1945" s="1186"/>
      <c r="J1945" s="1186"/>
      <c r="K1945" s="1186"/>
      <c r="L1945" s="1186"/>
      <c r="M1945" s="1186"/>
      <c r="N1945" s="1186"/>
      <c r="O1945" s="1186"/>
      <c r="P1945" s="1186"/>
      <c r="Q1945" s="1186"/>
      <c r="R1945" s="1186"/>
      <c r="S1945" s="1186"/>
      <c r="T1945" s="1186"/>
      <c r="U1945" s="1186"/>
      <c r="V1945" s="1186"/>
      <c r="W1945" s="1079"/>
      <c r="X1945" s="1079"/>
      <c r="Y1945" s="1079"/>
      <c r="Z1945" s="1079"/>
      <c r="AA1945" s="1079"/>
      <c r="AB1945" s="1079"/>
      <c r="AC1945" s="1079"/>
      <c r="AD1945" s="1080"/>
    </row>
    <row r="1946" spans="1:30" x14ac:dyDescent="0.2">
      <c r="A1946">
        <f t="shared" si="64"/>
        <v>52</v>
      </c>
      <c r="B1946">
        <v>1937</v>
      </c>
      <c r="C1946" s="1078"/>
      <c r="D1946" s="1077"/>
      <c r="E1946" s="1077"/>
      <c r="F1946" s="1079"/>
      <c r="G1946" s="1186"/>
      <c r="H1946" s="1186"/>
      <c r="I1946" s="1186"/>
      <c r="J1946" s="1186"/>
      <c r="K1946" s="1186"/>
      <c r="L1946" s="1186"/>
      <c r="M1946" s="1186"/>
      <c r="N1946" s="1186"/>
      <c r="O1946" s="1186"/>
      <c r="P1946" s="1186"/>
      <c r="Q1946" s="1186"/>
      <c r="R1946" s="1186"/>
      <c r="S1946" s="1186"/>
      <c r="T1946" s="1186"/>
      <c r="U1946" s="1186"/>
      <c r="V1946" s="1186"/>
      <c r="W1946" s="1079"/>
      <c r="X1946" s="1079"/>
      <c r="Y1946" s="1079"/>
      <c r="Z1946" s="1079"/>
      <c r="AA1946" s="1079"/>
      <c r="AB1946" s="1079"/>
      <c r="AC1946" s="1079"/>
      <c r="AD1946" s="1080"/>
    </row>
    <row r="1947" spans="1:30" x14ac:dyDescent="0.2">
      <c r="A1947">
        <f t="shared" si="64"/>
        <v>52</v>
      </c>
      <c r="B1947">
        <v>1938</v>
      </c>
      <c r="C1947" s="1078"/>
      <c r="D1947" s="1077"/>
      <c r="E1947" s="1077"/>
      <c r="F1947" s="1079"/>
      <c r="G1947" s="1186"/>
      <c r="H1947" s="1186"/>
      <c r="I1947" s="1186"/>
      <c r="J1947" s="1186"/>
      <c r="K1947" s="1186"/>
      <c r="L1947" s="1186"/>
      <c r="M1947" s="1186"/>
      <c r="N1947" s="1186"/>
      <c r="O1947" s="1186"/>
      <c r="P1947" s="1186"/>
      <c r="Q1947" s="1186"/>
      <c r="R1947" s="1186"/>
      <c r="S1947" s="1186"/>
      <c r="T1947" s="1186"/>
      <c r="U1947" s="1186"/>
      <c r="V1947" s="1186"/>
      <c r="W1947" s="1079"/>
      <c r="X1947" s="1079"/>
      <c r="Y1947" s="1079"/>
      <c r="Z1947" s="1079"/>
      <c r="AA1947" s="1079"/>
      <c r="AB1947" s="1079"/>
      <c r="AC1947" s="1079"/>
      <c r="AD1947" s="1080"/>
    </row>
    <row r="1948" spans="1:30" x14ac:dyDescent="0.2">
      <c r="A1948">
        <f t="shared" si="64"/>
        <v>52</v>
      </c>
      <c r="B1948">
        <v>1939</v>
      </c>
      <c r="C1948" s="1078"/>
      <c r="D1948" s="1077"/>
      <c r="E1948" s="1077"/>
      <c r="F1948" s="1079"/>
      <c r="G1948" s="1186"/>
      <c r="H1948" s="1186"/>
      <c r="I1948" s="1186"/>
      <c r="J1948" s="1186"/>
      <c r="K1948" s="1186"/>
      <c r="L1948" s="1186"/>
      <c r="M1948" s="1186"/>
      <c r="N1948" s="1186"/>
      <c r="O1948" s="1186"/>
      <c r="P1948" s="1186"/>
      <c r="Q1948" s="1186"/>
      <c r="R1948" s="1186"/>
      <c r="S1948" s="1186"/>
      <c r="T1948" s="1186"/>
      <c r="U1948" s="1186"/>
      <c r="V1948" s="1186"/>
      <c r="W1948" s="1079"/>
      <c r="X1948" s="1079"/>
      <c r="Y1948" s="1079"/>
      <c r="Z1948" s="1079"/>
      <c r="AA1948" s="1079"/>
      <c r="AB1948" s="1079"/>
      <c r="AC1948" s="1079"/>
      <c r="AD1948" s="1080"/>
    </row>
    <row r="1949" spans="1:30" x14ac:dyDescent="0.2">
      <c r="A1949">
        <f t="shared" si="64"/>
        <v>52</v>
      </c>
      <c r="B1949">
        <v>1940</v>
      </c>
      <c r="C1949" s="1078"/>
      <c r="D1949" s="1077"/>
      <c r="E1949" s="1077"/>
      <c r="F1949" s="1079"/>
      <c r="G1949" s="1186"/>
      <c r="H1949" s="1186"/>
      <c r="I1949" s="1186"/>
      <c r="J1949" s="1186"/>
      <c r="K1949" s="1186"/>
      <c r="L1949" s="1186"/>
      <c r="M1949" s="1186"/>
      <c r="N1949" s="1186"/>
      <c r="O1949" s="1186"/>
      <c r="P1949" s="1186"/>
      <c r="Q1949" s="1186"/>
      <c r="R1949" s="1186"/>
      <c r="S1949" s="1186"/>
      <c r="T1949" s="1186"/>
      <c r="U1949" s="1186"/>
      <c r="V1949" s="1186"/>
      <c r="W1949" s="1079"/>
      <c r="X1949" s="1079"/>
      <c r="Y1949" s="1079"/>
      <c r="Z1949" s="1079"/>
      <c r="AA1949" s="1079"/>
      <c r="AB1949" s="1079"/>
      <c r="AC1949" s="1079"/>
      <c r="AD1949" s="1080"/>
    </row>
    <row r="1950" spans="1:30" x14ac:dyDescent="0.2">
      <c r="A1950">
        <f t="shared" si="64"/>
        <v>52</v>
      </c>
      <c r="B1950">
        <v>1941</v>
      </c>
      <c r="C1950" s="1078"/>
      <c r="D1950" s="1077"/>
      <c r="E1950" s="1077"/>
      <c r="F1950" s="1079"/>
      <c r="G1950" s="1186"/>
      <c r="H1950" s="1186"/>
      <c r="I1950" s="1186"/>
      <c r="J1950" s="1186"/>
      <c r="K1950" s="1186"/>
      <c r="L1950" s="1186"/>
      <c r="M1950" s="1186"/>
      <c r="N1950" s="1186"/>
      <c r="O1950" s="1186"/>
      <c r="P1950" s="1186"/>
      <c r="Q1950" s="1186"/>
      <c r="R1950" s="1186"/>
      <c r="S1950" s="1186"/>
      <c r="T1950" s="1186"/>
      <c r="U1950" s="1186"/>
      <c r="V1950" s="1186"/>
      <c r="W1950" s="1079"/>
      <c r="X1950" s="1079"/>
      <c r="Y1950" s="1079"/>
      <c r="Z1950" s="1079"/>
      <c r="AA1950" s="1079"/>
      <c r="AB1950" s="1079"/>
      <c r="AC1950" s="1079"/>
      <c r="AD1950" s="1080"/>
    </row>
    <row r="1951" spans="1:30" x14ac:dyDescent="0.2">
      <c r="A1951">
        <f t="shared" si="64"/>
        <v>52</v>
      </c>
      <c r="B1951">
        <v>1942</v>
      </c>
      <c r="C1951" s="1078"/>
      <c r="D1951" s="1077"/>
      <c r="E1951" s="1077"/>
      <c r="F1951" s="1079"/>
      <c r="G1951" s="1079"/>
      <c r="H1951" s="1079"/>
      <c r="I1951" s="1079"/>
      <c r="J1951" s="1079"/>
      <c r="K1951" s="1079"/>
      <c r="L1951" s="1079"/>
      <c r="M1951" s="1079"/>
      <c r="N1951" s="1079"/>
      <c r="O1951" s="1079"/>
      <c r="P1951" s="1079"/>
      <c r="Q1951" s="1079"/>
      <c r="R1951" s="1079"/>
      <c r="S1951" s="1079"/>
      <c r="T1951" s="1079"/>
      <c r="U1951" s="1079"/>
      <c r="V1951" s="1079"/>
      <c r="W1951" s="1186"/>
      <c r="X1951" s="1186"/>
      <c r="Y1951" s="1186"/>
      <c r="Z1951" s="1186"/>
      <c r="AA1951" s="1186"/>
      <c r="AB1951" s="1186"/>
      <c r="AC1951" s="1186"/>
      <c r="AD1951" s="1187"/>
    </row>
    <row r="1952" spans="1:30" x14ac:dyDescent="0.2">
      <c r="A1952">
        <f t="shared" si="64"/>
        <v>52</v>
      </c>
      <c r="B1952">
        <v>1943</v>
      </c>
      <c r="C1952" s="1078"/>
      <c r="D1952" s="1077"/>
      <c r="E1952" s="1077"/>
      <c r="F1952" s="1079"/>
      <c r="G1952" s="1079"/>
      <c r="H1952" s="1079"/>
      <c r="I1952" s="1079"/>
      <c r="J1952" s="1079"/>
      <c r="K1952" s="1079"/>
      <c r="L1952" s="1079"/>
      <c r="M1952" s="1079"/>
      <c r="N1952" s="1079"/>
      <c r="O1952" s="1079"/>
      <c r="P1952" s="1079"/>
      <c r="Q1952" s="1079"/>
      <c r="R1952" s="1079"/>
      <c r="S1952" s="1079"/>
      <c r="T1952" s="1079"/>
      <c r="U1952" s="1079"/>
      <c r="V1952" s="1079"/>
      <c r="W1952" s="1186"/>
      <c r="X1952" s="1186"/>
      <c r="Y1952" s="1186"/>
      <c r="Z1952" s="1186"/>
      <c r="AA1952" s="1186"/>
      <c r="AB1952" s="1186"/>
      <c r="AC1952" s="1186"/>
      <c r="AD1952" s="1187"/>
    </row>
    <row r="1953" spans="1:30" x14ac:dyDescent="0.2">
      <c r="A1953">
        <f t="shared" si="64"/>
        <v>52</v>
      </c>
      <c r="B1953">
        <v>1944</v>
      </c>
      <c r="C1953" s="1078"/>
      <c r="D1953" s="1077"/>
      <c r="E1953" s="1077"/>
      <c r="F1953" s="1079"/>
      <c r="G1953" s="1079"/>
      <c r="H1953" s="1079"/>
      <c r="I1953" s="1079"/>
      <c r="J1953" s="1079"/>
      <c r="K1953" s="1079"/>
      <c r="L1953" s="1079"/>
      <c r="M1953" s="1079"/>
      <c r="N1953" s="1079"/>
      <c r="O1953" s="1079"/>
      <c r="P1953" s="1079"/>
      <c r="Q1953" s="1079"/>
      <c r="R1953" s="1079"/>
      <c r="S1953" s="1079"/>
      <c r="T1953" s="1079"/>
      <c r="U1953" s="1079"/>
      <c r="V1953" s="1079"/>
      <c r="W1953" s="1186"/>
      <c r="X1953" s="1186"/>
      <c r="Y1953" s="1186"/>
      <c r="Z1953" s="1186"/>
      <c r="AA1953" s="1186"/>
      <c r="AB1953" s="1186"/>
      <c r="AC1953" s="1186"/>
      <c r="AD1953" s="1187"/>
    </row>
    <row r="1954" spans="1:30" x14ac:dyDescent="0.2">
      <c r="A1954">
        <f t="shared" si="64"/>
        <v>52</v>
      </c>
      <c r="B1954">
        <v>1945</v>
      </c>
      <c r="C1954" s="1078"/>
      <c r="D1954" s="1077"/>
      <c r="E1954" s="1077"/>
      <c r="F1954" s="1079"/>
      <c r="G1954" s="1079"/>
      <c r="H1954" s="1079"/>
      <c r="I1954" s="1079"/>
      <c r="J1954" s="1079"/>
      <c r="K1954" s="1079"/>
      <c r="L1954" s="1079"/>
      <c r="M1954" s="1079"/>
      <c r="N1954" s="1079"/>
      <c r="O1954" s="1079"/>
      <c r="P1954" s="1079"/>
      <c r="Q1954" s="1079"/>
      <c r="R1954" s="1079"/>
      <c r="S1954" s="1079"/>
      <c r="T1954" s="1079"/>
      <c r="U1954" s="1079"/>
      <c r="V1954" s="1079"/>
      <c r="W1954" s="1186"/>
      <c r="X1954" s="1186"/>
      <c r="Y1954" s="1186"/>
      <c r="Z1954" s="1186"/>
      <c r="AA1954" s="1186"/>
      <c r="AB1954" s="1186"/>
      <c r="AC1954" s="1186"/>
      <c r="AD1954" s="1187"/>
    </row>
    <row r="1955" spans="1:30" x14ac:dyDescent="0.2">
      <c r="A1955">
        <f t="shared" si="64"/>
        <v>52</v>
      </c>
      <c r="B1955">
        <v>1946</v>
      </c>
      <c r="C1955" s="1078"/>
      <c r="D1955" s="1077"/>
      <c r="E1955" s="1077"/>
      <c r="F1955" s="1079"/>
      <c r="G1955" s="1079"/>
      <c r="H1955" s="1079"/>
      <c r="I1955" s="1079"/>
      <c r="J1955" s="1079"/>
      <c r="K1955" s="1079"/>
      <c r="L1955" s="1079"/>
      <c r="M1955" s="1079"/>
      <c r="N1955" s="1079"/>
      <c r="O1955" s="1079"/>
      <c r="P1955" s="1079"/>
      <c r="Q1955" s="1079"/>
      <c r="R1955" s="1079"/>
      <c r="S1955" s="1079"/>
      <c r="T1955" s="1079"/>
      <c r="U1955" s="1079"/>
      <c r="V1955" s="1079"/>
      <c r="W1955" s="1186"/>
      <c r="X1955" s="1186"/>
      <c r="Y1955" s="1186"/>
      <c r="Z1955" s="1186"/>
      <c r="AA1955" s="1186"/>
      <c r="AB1955" s="1186"/>
      <c r="AC1955" s="1186"/>
      <c r="AD1955" s="1187"/>
    </row>
    <row r="1956" spans="1:30" x14ac:dyDescent="0.2">
      <c r="A1956">
        <f t="shared" si="64"/>
        <v>52</v>
      </c>
      <c r="B1956">
        <v>1947</v>
      </c>
      <c r="C1956" s="1078"/>
      <c r="D1956" s="1077"/>
      <c r="E1956" s="1077"/>
      <c r="F1956" s="1079"/>
      <c r="G1956" s="1079"/>
      <c r="H1956" s="1079"/>
      <c r="I1956" s="1079"/>
      <c r="J1956" s="1079"/>
      <c r="K1956" s="1079"/>
      <c r="L1956" s="1079"/>
      <c r="M1956" s="1079"/>
      <c r="N1956" s="1079"/>
      <c r="O1956" s="1079"/>
      <c r="P1956" s="1079"/>
      <c r="Q1956" s="1079"/>
      <c r="R1956" s="1079"/>
      <c r="S1956" s="1079"/>
      <c r="T1956" s="1079"/>
      <c r="U1956" s="1079"/>
      <c r="V1956" s="1079"/>
      <c r="W1956" s="1186"/>
      <c r="X1956" s="1186"/>
      <c r="Y1956" s="1186"/>
      <c r="Z1956" s="1186"/>
      <c r="AA1956" s="1186"/>
      <c r="AB1956" s="1186"/>
      <c r="AC1956" s="1186"/>
      <c r="AD1956" s="1187"/>
    </row>
    <row r="1957" spans="1:30" x14ac:dyDescent="0.2">
      <c r="A1957">
        <f t="shared" si="64"/>
        <v>52</v>
      </c>
      <c r="B1957">
        <v>1948</v>
      </c>
      <c r="C1957" s="1078"/>
      <c r="D1957" s="1077"/>
      <c r="E1957" s="1077"/>
      <c r="F1957" s="1079"/>
      <c r="G1957" s="1079"/>
      <c r="H1957" s="1079"/>
      <c r="I1957" s="1079"/>
      <c r="J1957" s="1079"/>
      <c r="K1957" s="1079"/>
      <c r="L1957" s="1079"/>
      <c r="M1957" s="1079"/>
      <c r="N1957" s="1079"/>
      <c r="O1957" s="1079"/>
      <c r="P1957" s="1079"/>
      <c r="Q1957" s="1079"/>
      <c r="R1957" s="1079"/>
      <c r="S1957" s="1079"/>
      <c r="T1957" s="1079"/>
      <c r="U1957" s="1079"/>
      <c r="V1957" s="1079"/>
      <c r="W1957" s="1186"/>
      <c r="X1957" s="1186"/>
      <c r="Y1957" s="1186"/>
      <c r="Z1957" s="1186"/>
      <c r="AA1957" s="1186"/>
      <c r="AB1957" s="1186"/>
      <c r="AC1957" s="1186"/>
      <c r="AD1957" s="1187"/>
    </row>
    <row r="1958" spans="1:30" x14ac:dyDescent="0.2">
      <c r="A1958">
        <f t="shared" si="64"/>
        <v>52</v>
      </c>
      <c r="B1958">
        <v>1949</v>
      </c>
      <c r="C1958" s="1078"/>
      <c r="D1958" s="1077"/>
      <c r="E1958" s="1077"/>
      <c r="F1958" s="1079"/>
      <c r="G1958" s="1079"/>
      <c r="H1958" s="1079"/>
      <c r="I1958" s="1079"/>
      <c r="J1958" s="1079"/>
      <c r="K1958" s="1079"/>
      <c r="L1958" s="1079"/>
      <c r="M1958" s="1079"/>
      <c r="N1958" s="1079"/>
      <c r="O1958" s="1079"/>
      <c r="P1958" s="1079"/>
      <c r="Q1958" s="1079"/>
      <c r="R1958" s="1079"/>
      <c r="S1958" s="1079"/>
      <c r="T1958" s="1079"/>
      <c r="U1958" s="1079"/>
      <c r="V1958" s="1079"/>
      <c r="W1958" s="1186"/>
      <c r="X1958" s="1186"/>
      <c r="Y1958" s="1186"/>
      <c r="Z1958" s="1186"/>
      <c r="AA1958" s="1186"/>
      <c r="AB1958" s="1186"/>
      <c r="AC1958" s="1186"/>
      <c r="AD1958" s="1187"/>
    </row>
    <row r="1959" spans="1:30" x14ac:dyDescent="0.2">
      <c r="A1959">
        <f t="shared" si="64"/>
        <v>52</v>
      </c>
      <c r="B1959">
        <v>1950</v>
      </c>
      <c r="C1959" s="1078"/>
      <c r="D1959" s="1077"/>
      <c r="E1959" s="1077"/>
      <c r="F1959" s="1079"/>
      <c r="G1959" s="1079"/>
      <c r="H1959" s="1079"/>
      <c r="I1959" s="1079"/>
      <c r="J1959" s="1079"/>
      <c r="K1959" s="1079"/>
      <c r="L1959" s="1079"/>
      <c r="M1959" s="1079"/>
      <c r="N1959" s="1079"/>
      <c r="O1959" s="1079"/>
      <c r="P1959" s="1079"/>
      <c r="Q1959" s="1079"/>
      <c r="R1959" s="1079"/>
      <c r="S1959" s="1079"/>
      <c r="T1959" s="1079"/>
      <c r="U1959" s="1079"/>
      <c r="V1959" s="1079"/>
      <c r="W1959" s="1186"/>
      <c r="X1959" s="1186"/>
      <c r="Y1959" s="1186"/>
      <c r="Z1959" s="1186"/>
      <c r="AA1959" s="1186"/>
      <c r="AB1959" s="1186"/>
      <c r="AC1959" s="1186"/>
      <c r="AD1959" s="1187"/>
    </row>
    <row r="1960" spans="1:30" x14ac:dyDescent="0.2">
      <c r="A1960">
        <f t="shared" si="64"/>
        <v>52</v>
      </c>
      <c r="B1960">
        <v>1951</v>
      </c>
      <c r="C1960" s="1078"/>
      <c r="D1960" s="1077"/>
      <c r="E1960" s="1077"/>
      <c r="F1960" s="1079"/>
      <c r="G1960" s="1079"/>
      <c r="H1960" s="1079"/>
      <c r="I1960" s="1079"/>
      <c r="J1960" s="1079"/>
      <c r="K1960" s="1079"/>
      <c r="L1960" s="1079"/>
      <c r="M1960" s="1079"/>
      <c r="N1960" s="1079"/>
      <c r="O1960" s="1079"/>
      <c r="P1960" s="1079"/>
      <c r="Q1960" s="1079"/>
      <c r="R1960" s="1079"/>
      <c r="S1960" s="1079"/>
      <c r="T1960" s="1079"/>
      <c r="U1960" s="1079"/>
      <c r="V1960" s="1079"/>
      <c r="W1960" s="1186"/>
      <c r="X1960" s="1186"/>
      <c r="Y1960" s="1186"/>
      <c r="Z1960" s="1186"/>
      <c r="AA1960" s="1186"/>
      <c r="AB1960" s="1186"/>
      <c r="AC1960" s="1186"/>
      <c r="AD1960" s="1187"/>
    </row>
    <row r="1961" spans="1:30" x14ac:dyDescent="0.2">
      <c r="A1961">
        <f t="shared" si="64"/>
        <v>52</v>
      </c>
      <c r="B1961">
        <v>1952</v>
      </c>
      <c r="C1961" s="1078"/>
      <c r="D1961" s="1077"/>
      <c r="E1961" s="1077"/>
      <c r="F1961" s="1079"/>
      <c r="G1961" s="1079"/>
      <c r="H1961" s="1079"/>
      <c r="I1961" s="1079"/>
      <c r="J1961" s="1079"/>
      <c r="K1961" s="1079"/>
      <c r="L1961" s="1079"/>
      <c r="M1961" s="1079"/>
      <c r="N1961" s="1079"/>
      <c r="O1961" s="1079"/>
      <c r="P1961" s="1079"/>
      <c r="Q1961" s="1079"/>
      <c r="R1961" s="1079"/>
      <c r="S1961" s="1079"/>
      <c r="T1961" s="1079"/>
      <c r="U1961" s="1079"/>
      <c r="V1961" s="1079"/>
      <c r="W1961" s="1186"/>
      <c r="X1961" s="1186"/>
      <c r="Y1961" s="1186"/>
      <c r="Z1961" s="1186"/>
      <c r="AA1961" s="1186"/>
      <c r="AB1961" s="1186"/>
      <c r="AC1961" s="1186"/>
      <c r="AD1961" s="1187"/>
    </row>
    <row r="1962" spans="1:30" x14ac:dyDescent="0.2">
      <c r="A1962">
        <f t="shared" si="64"/>
        <v>52</v>
      </c>
      <c r="B1962">
        <v>1953</v>
      </c>
      <c r="C1962" s="1078"/>
      <c r="D1962" s="1077"/>
      <c r="E1962" s="1077"/>
      <c r="F1962" s="1079"/>
      <c r="G1962" s="1079"/>
      <c r="H1962" s="1079"/>
      <c r="I1962" s="1079"/>
      <c r="J1962" s="1079"/>
      <c r="K1962" s="1079"/>
      <c r="L1962" s="1079"/>
      <c r="M1962" s="1079"/>
      <c r="N1962" s="1079"/>
      <c r="O1962" s="1079"/>
      <c r="P1962" s="1079"/>
      <c r="Q1962" s="1079"/>
      <c r="R1962" s="1079"/>
      <c r="S1962" s="1079"/>
      <c r="T1962" s="1079"/>
      <c r="U1962" s="1079"/>
      <c r="V1962" s="1079"/>
      <c r="W1962" s="1186"/>
      <c r="X1962" s="1186"/>
      <c r="Y1962" s="1186"/>
      <c r="Z1962" s="1186"/>
      <c r="AA1962" s="1186"/>
      <c r="AB1962" s="1186"/>
      <c r="AC1962" s="1186"/>
      <c r="AD1962" s="1187"/>
    </row>
    <row r="1963" spans="1:30" x14ac:dyDescent="0.2">
      <c r="A1963">
        <f t="shared" si="64"/>
        <v>52</v>
      </c>
      <c r="B1963">
        <v>1954</v>
      </c>
      <c r="C1963" s="1078"/>
      <c r="D1963" s="1077"/>
      <c r="E1963" s="1077"/>
      <c r="F1963" s="1079"/>
      <c r="G1963" s="1079"/>
      <c r="H1963" s="1079"/>
      <c r="I1963" s="1079"/>
      <c r="J1963" s="1079"/>
      <c r="K1963" s="1079"/>
      <c r="L1963" s="1079"/>
      <c r="M1963" s="1079"/>
      <c r="N1963" s="1079"/>
      <c r="O1963" s="1079"/>
      <c r="P1963" s="1079"/>
      <c r="Q1963" s="1079"/>
      <c r="R1963" s="1079"/>
      <c r="S1963" s="1079"/>
      <c r="T1963" s="1079"/>
      <c r="U1963" s="1079"/>
      <c r="V1963" s="1079"/>
      <c r="W1963" s="1186"/>
      <c r="X1963" s="1186"/>
      <c r="Y1963" s="1186"/>
      <c r="Z1963" s="1186"/>
      <c r="AA1963" s="1186"/>
      <c r="AB1963" s="1186"/>
      <c r="AC1963" s="1186"/>
      <c r="AD1963" s="1187"/>
    </row>
    <row r="1964" spans="1:30" x14ac:dyDescent="0.2">
      <c r="A1964">
        <f t="shared" si="64"/>
        <v>52</v>
      </c>
      <c r="B1964">
        <v>1955</v>
      </c>
      <c r="C1964" s="1078"/>
      <c r="D1964" s="1077"/>
      <c r="E1964" s="1077"/>
      <c r="F1964" s="1079"/>
      <c r="G1964" s="1079"/>
      <c r="H1964" s="1079"/>
      <c r="I1964" s="1079"/>
      <c r="J1964" s="1079"/>
      <c r="K1964" s="1079"/>
      <c r="L1964" s="1079"/>
      <c r="M1964" s="1079"/>
      <c r="N1964" s="1079"/>
      <c r="O1964" s="1079"/>
      <c r="P1964" s="1079"/>
      <c r="Q1964" s="1079"/>
      <c r="R1964" s="1079"/>
      <c r="S1964" s="1079"/>
      <c r="T1964" s="1079"/>
      <c r="U1964" s="1079"/>
      <c r="V1964" s="1079"/>
      <c r="W1964" s="1186"/>
      <c r="X1964" s="1186"/>
      <c r="Y1964" s="1186"/>
      <c r="Z1964" s="1186"/>
      <c r="AA1964" s="1186"/>
      <c r="AB1964" s="1186"/>
      <c r="AC1964" s="1186"/>
      <c r="AD1964" s="1187"/>
    </row>
    <row r="1965" spans="1:30" x14ac:dyDescent="0.2">
      <c r="A1965">
        <f t="shared" si="64"/>
        <v>52</v>
      </c>
      <c r="B1965">
        <v>1956</v>
      </c>
      <c r="C1965" s="1078"/>
      <c r="D1965" s="1077"/>
      <c r="E1965" s="1077"/>
      <c r="F1965" s="1079"/>
      <c r="G1965" s="1079"/>
      <c r="H1965" s="1079"/>
      <c r="I1965" s="1079"/>
      <c r="J1965" s="1079"/>
      <c r="K1965" s="1079"/>
      <c r="L1965" s="1079"/>
      <c r="M1965" s="1079"/>
      <c r="N1965" s="1079"/>
      <c r="O1965" s="1079"/>
      <c r="P1965" s="1079"/>
      <c r="Q1965" s="1079"/>
      <c r="R1965" s="1079"/>
      <c r="S1965" s="1079"/>
      <c r="T1965" s="1079"/>
      <c r="U1965" s="1079"/>
      <c r="V1965" s="1079"/>
      <c r="W1965" s="1186"/>
      <c r="X1965" s="1186"/>
      <c r="Y1965" s="1186"/>
      <c r="Z1965" s="1186"/>
      <c r="AA1965" s="1186"/>
      <c r="AB1965" s="1186"/>
      <c r="AC1965" s="1186"/>
      <c r="AD1965" s="1187"/>
    </row>
    <row r="1966" spans="1:30" x14ac:dyDescent="0.2">
      <c r="A1966">
        <f t="shared" si="64"/>
        <v>52</v>
      </c>
      <c r="B1966">
        <v>1957</v>
      </c>
      <c r="C1966" s="1078"/>
      <c r="D1966" s="1077"/>
      <c r="E1966" s="1077"/>
      <c r="F1966" s="1079"/>
      <c r="G1966" s="1079"/>
      <c r="H1966" s="1079"/>
      <c r="I1966" s="1079"/>
      <c r="J1966" s="1079"/>
      <c r="K1966" s="1079"/>
      <c r="L1966" s="1079"/>
      <c r="M1966" s="1079"/>
      <c r="N1966" s="1079"/>
      <c r="O1966" s="1079"/>
      <c r="P1966" s="1079"/>
      <c r="Q1966" s="1079"/>
      <c r="R1966" s="1079"/>
      <c r="S1966" s="1079"/>
      <c r="T1966" s="1079"/>
      <c r="U1966" s="1079"/>
      <c r="V1966" s="1079"/>
      <c r="W1966" s="1079"/>
      <c r="X1966" s="1079"/>
      <c r="Y1966" s="1079"/>
      <c r="Z1966" s="1079"/>
      <c r="AA1966" s="1079"/>
      <c r="AB1966" s="1079"/>
      <c r="AC1966" s="1079"/>
      <c r="AD1966" s="1080"/>
    </row>
    <row r="1967" spans="1:30" x14ac:dyDescent="0.2">
      <c r="A1967">
        <f t="shared" si="64"/>
        <v>52</v>
      </c>
      <c r="B1967">
        <v>1958</v>
      </c>
      <c r="C1967" s="1078"/>
      <c r="D1967" s="1077"/>
      <c r="E1967" s="1077"/>
      <c r="F1967" s="1079"/>
      <c r="G1967" s="1079"/>
      <c r="H1967" s="1079"/>
      <c r="I1967" s="1079"/>
      <c r="J1967" s="1079"/>
      <c r="K1967" s="1079"/>
      <c r="L1967" s="1079"/>
      <c r="M1967" s="1079"/>
      <c r="N1967" s="1079"/>
      <c r="O1967" s="1079"/>
      <c r="P1967" s="1079"/>
      <c r="Q1967" s="1079"/>
      <c r="R1967" s="1079"/>
      <c r="S1967" s="1079"/>
      <c r="T1967" s="1079"/>
      <c r="U1967" s="1079"/>
      <c r="V1967" s="1079"/>
      <c r="W1967" s="1079"/>
      <c r="X1967" s="1079"/>
      <c r="Y1967" s="1079"/>
      <c r="Z1967" s="1079"/>
      <c r="AA1967" s="1079"/>
      <c r="AB1967" s="1079"/>
      <c r="AC1967" s="1079"/>
      <c r="AD1967" s="1080"/>
    </row>
    <row r="1968" spans="1:30" x14ac:dyDescent="0.2">
      <c r="A1968">
        <f t="shared" si="64"/>
        <v>52</v>
      </c>
      <c r="B1968">
        <v>1959</v>
      </c>
      <c r="C1968" s="1078"/>
      <c r="D1968" s="1077"/>
      <c r="E1968" s="1077"/>
      <c r="F1968" s="1079"/>
      <c r="G1968" s="1079"/>
      <c r="H1968" s="1079"/>
      <c r="I1968" s="1079"/>
      <c r="J1968" s="1079"/>
      <c r="K1968" s="1079"/>
      <c r="L1968" s="1079"/>
      <c r="M1968" s="1079"/>
      <c r="N1968" s="1079"/>
      <c r="O1968" s="1079"/>
      <c r="P1968" s="1079"/>
      <c r="Q1968" s="1079"/>
      <c r="R1968" s="1079"/>
      <c r="S1968" s="1079"/>
      <c r="T1968" s="1079"/>
      <c r="U1968" s="1079"/>
      <c r="V1968" s="1079"/>
      <c r="W1968" s="1079"/>
      <c r="X1968" s="1079"/>
      <c r="Y1968" s="1079"/>
      <c r="Z1968" s="1079"/>
      <c r="AA1968" s="1079"/>
      <c r="AB1968" s="1079"/>
      <c r="AC1968" s="1079"/>
      <c r="AD1968" s="1080"/>
    </row>
    <row r="1969" spans="1:30" x14ac:dyDescent="0.2">
      <c r="A1969">
        <f t="shared" si="64"/>
        <v>52</v>
      </c>
      <c r="B1969">
        <v>1960</v>
      </c>
      <c r="C1969" s="1078"/>
      <c r="D1969" s="1077"/>
      <c r="E1969" s="1077"/>
      <c r="F1969" s="1079"/>
      <c r="G1969" s="1079"/>
      <c r="H1969" s="1079"/>
      <c r="I1969" s="1079"/>
      <c r="J1969" s="1079"/>
      <c r="K1969" s="1079"/>
      <c r="L1969" s="1079"/>
      <c r="M1969" s="1079"/>
      <c r="N1969" s="1079"/>
      <c r="O1969" s="1079"/>
      <c r="P1969" s="1079"/>
      <c r="Q1969" s="1079"/>
      <c r="R1969" s="1079"/>
      <c r="S1969" s="1079"/>
      <c r="T1969" s="1079"/>
      <c r="U1969" s="1079"/>
      <c r="V1969" s="1079"/>
      <c r="W1969" s="1079"/>
      <c r="X1969" s="1079"/>
      <c r="Y1969" s="1079"/>
      <c r="Z1969" s="1079"/>
      <c r="AA1969" s="1079"/>
      <c r="AB1969" s="1079"/>
      <c r="AC1969" s="1079"/>
      <c r="AD1969" s="1080"/>
    </row>
    <row r="1970" spans="1:30" x14ac:dyDescent="0.2">
      <c r="A1970">
        <f t="shared" si="64"/>
        <v>52</v>
      </c>
      <c r="B1970">
        <v>1961</v>
      </c>
      <c r="C1970" s="1078"/>
      <c r="D1970" s="1077"/>
      <c r="E1970" s="1077"/>
      <c r="F1970" s="1079"/>
      <c r="G1970" s="1079"/>
      <c r="H1970" s="1079"/>
      <c r="I1970" s="1079"/>
      <c r="J1970" s="1079"/>
      <c r="K1970" s="1079"/>
      <c r="L1970" s="1079"/>
      <c r="M1970" s="1079"/>
      <c r="N1970" s="1079"/>
      <c r="O1970" s="1079"/>
      <c r="P1970" s="1079"/>
      <c r="Q1970" s="1079"/>
      <c r="R1970" s="1079"/>
      <c r="S1970" s="1079"/>
      <c r="T1970" s="1079"/>
      <c r="U1970" s="1079"/>
      <c r="V1970" s="1079"/>
      <c r="W1970" s="1079"/>
      <c r="X1970" s="1079"/>
      <c r="Y1970" s="1079"/>
      <c r="Z1970" s="1079"/>
      <c r="AA1970" s="1079"/>
      <c r="AB1970" s="1079"/>
      <c r="AC1970" s="1079"/>
      <c r="AD1970" s="1080"/>
    </row>
    <row r="1971" spans="1:30" x14ac:dyDescent="0.2">
      <c r="A1971">
        <f t="shared" si="64"/>
        <v>52</v>
      </c>
      <c r="B1971">
        <v>1962</v>
      </c>
      <c r="C1971" s="1078"/>
      <c r="D1971" s="1077"/>
      <c r="E1971" s="1077"/>
      <c r="F1971" s="1079"/>
      <c r="G1971" s="1079"/>
      <c r="H1971" s="1079"/>
      <c r="I1971" s="1079"/>
      <c r="J1971" s="1079"/>
      <c r="K1971" s="1079"/>
      <c r="L1971" s="1079"/>
      <c r="M1971" s="1079"/>
      <c r="N1971" s="1079"/>
      <c r="O1971" s="1079"/>
      <c r="P1971" s="1079"/>
      <c r="Q1971" s="1079"/>
      <c r="R1971" s="1079"/>
      <c r="S1971" s="1079"/>
      <c r="T1971" s="1079"/>
      <c r="U1971" s="1079"/>
      <c r="V1971" s="1079"/>
      <c r="W1971" s="1079"/>
      <c r="X1971" s="1079"/>
      <c r="Y1971" s="1079"/>
      <c r="Z1971" s="1079"/>
      <c r="AA1971" s="1079"/>
      <c r="AB1971" s="1079"/>
      <c r="AC1971" s="1079"/>
      <c r="AD1971" s="1080"/>
    </row>
    <row r="1972" spans="1:30" x14ac:dyDescent="0.2">
      <c r="A1972">
        <f t="shared" si="64"/>
        <v>52</v>
      </c>
      <c r="B1972">
        <v>1963</v>
      </c>
      <c r="C1972" s="1078"/>
      <c r="D1972" s="1077"/>
      <c r="E1972" s="1077"/>
      <c r="F1972" s="1079"/>
      <c r="G1972" s="1079"/>
      <c r="H1972" s="1079"/>
      <c r="I1972" s="1079"/>
      <c r="J1972" s="1079"/>
      <c r="K1972" s="1079"/>
      <c r="L1972" s="1079"/>
      <c r="M1972" s="1079"/>
      <c r="N1972" s="1079"/>
      <c r="O1972" s="1079"/>
      <c r="P1972" s="1079"/>
      <c r="Q1972" s="1079"/>
      <c r="R1972" s="1079"/>
      <c r="S1972" s="1079"/>
      <c r="T1972" s="1079"/>
      <c r="U1972" s="1079"/>
      <c r="V1972" s="1079"/>
      <c r="W1972" s="1079"/>
      <c r="X1972" s="1079"/>
      <c r="Y1972" s="1079"/>
      <c r="Z1972" s="1079"/>
      <c r="AA1972" s="1079"/>
      <c r="AB1972" s="1079"/>
      <c r="AC1972" s="1079"/>
      <c r="AD1972" s="1080"/>
    </row>
    <row r="1973" spans="1:30" x14ac:dyDescent="0.2">
      <c r="A1973">
        <f t="shared" si="64"/>
        <v>52</v>
      </c>
      <c r="B1973">
        <v>1964</v>
      </c>
      <c r="C1973" s="1078"/>
      <c r="D1973" s="1077"/>
      <c r="E1973" s="1077"/>
      <c r="F1973" s="1079"/>
      <c r="G1973" s="1079"/>
      <c r="H1973" s="1079"/>
      <c r="I1973" s="1079"/>
      <c r="J1973" s="1079"/>
      <c r="K1973" s="1079"/>
      <c r="L1973" s="1079"/>
      <c r="M1973" s="1079"/>
      <c r="N1973" s="1079"/>
      <c r="O1973" s="1079"/>
      <c r="P1973" s="1079"/>
      <c r="Q1973" s="1079"/>
      <c r="R1973" s="1079"/>
      <c r="S1973" s="1079"/>
      <c r="T1973" s="1079"/>
      <c r="U1973" s="1079"/>
      <c r="V1973" s="1079"/>
      <c r="W1973" s="1079"/>
      <c r="X1973" s="1079"/>
      <c r="Y1973" s="1079"/>
      <c r="Z1973" s="1079"/>
      <c r="AA1973" s="1079"/>
      <c r="AB1973" s="1079"/>
      <c r="AC1973" s="1079"/>
      <c r="AD1973" s="1080"/>
    </row>
    <row r="1974" spans="1:30" x14ac:dyDescent="0.2">
      <c r="A1974">
        <f t="shared" si="64"/>
        <v>52</v>
      </c>
      <c r="B1974">
        <v>1965</v>
      </c>
      <c r="C1974" s="1078"/>
      <c r="D1974" s="1077"/>
      <c r="E1974" s="1077"/>
      <c r="F1974" s="1079"/>
      <c r="G1974" s="1079"/>
      <c r="H1974" s="1079"/>
      <c r="I1974" s="1079"/>
      <c r="J1974" s="1079"/>
      <c r="K1974" s="1079"/>
      <c r="L1974" s="1079"/>
      <c r="M1974" s="1079"/>
      <c r="N1974" s="1079"/>
      <c r="O1974" s="1079"/>
      <c r="P1974" s="1079"/>
      <c r="Q1974" s="1079"/>
      <c r="R1974" s="1079"/>
      <c r="S1974" s="1079"/>
      <c r="T1974" s="1079"/>
      <c r="U1974" s="1079"/>
      <c r="V1974" s="1079"/>
      <c r="W1974" s="1079"/>
      <c r="X1974" s="1079"/>
      <c r="Y1974" s="1079"/>
      <c r="Z1974" s="1079"/>
      <c r="AA1974" s="1079"/>
      <c r="AB1974" s="1079"/>
      <c r="AC1974" s="1079"/>
      <c r="AD1974" s="1080"/>
    </row>
    <row r="1975" spans="1:30" x14ac:dyDescent="0.2">
      <c r="A1975">
        <f t="shared" si="64"/>
        <v>52</v>
      </c>
      <c r="B1975">
        <v>1966</v>
      </c>
      <c r="C1975" s="1078"/>
      <c r="D1975" s="1077"/>
      <c r="E1975" s="1077"/>
      <c r="F1975" s="1079"/>
      <c r="G1975" s="1079"/>
      <c r="H1975" s="1079"/>
      <c r="I1975" s="1079"/>
      <c r="J1975" s="1079"/>
      <c r="K1975" s="1079"/>
      <c r="L1975" s="1079"/>
      <c r="M1975" s="1079"/>
      <c r="N1975" s="1079"/>
      <c r="O1975" s="1079"/>
      <c r="P1975" s="1079"/>
      <c r="Q1975" s="1079"/>
      <c r="R1975" s="1079"/>
      <c r="S1975" s="1079"/>
      <c r="T1975" s="1079"/>
      <c r="U1975" s="1079"/>
      <c r="V1975" s="1079"/>
      <c r="W1975" s="1079"/>
      <c r="X1975" s="1079"/>
      <c r="Y1975" s="1079"/>
      <c r="Z1975" s="1079"/>
      <c r="AA1975" s="1079"/>
      <c r="AB1975" s="1079"/>
      <c r="AC1975" s="1079"/>
      <c r="AD1975" s="1080"/>
    </row>
    <row r="1976" spans="1:30" x14ac:dyDescent="0.2">
      <c r="A1976">
        <f t="shared" si="64"/>
        <v>52</v>
      </c>
      <c r="B1976">
        <v>1967</v>
      </c>
      <c r="C1976" s="1078"/>
      <c r="D1976" s="1077"/>
      <c r="E1976" s="1077"/>
      <c r="F1976" s="1079"/>
      <c r="G1976" s="1079"/>
      <c r="H1976" s="1079"/>
      <c r="I1976" s="1079"/>
      <c r="J1976" s="1079"/>
      <c r="K1976" s="1079"/>
      <c r="L1976" s="1079"/>
      <c r="M1976" s="1079"/>
      <c r="N1976" s="1079"/>
      <c r="O1976" s="1079"/>
      <c r="P1976" s="1079"/>
      <c r="Q1976" s="1079"/>
      <c r="R1976" s="1079"/>
      <c r="S1976" s="1079"/>
      <c r="T1976" s="1079"/>
      <c r="U1976" s="1079"/>
      <c r="V1976" s="1079"/>
      <c r="W1976" s="1079"/>
      <c r="X1976" s="1079"/>
      <c r="Y1976" s="1079"/>
      <c r="Z1976" s="1079"/>
      <c r="AA1976" s="1079"/>
      <c r="AB1976" s="1079"/>
      <c r="AC1976" s="1079"/>
      <c r="AD1976" s="1080"/>
    </row>
    <row r="1977" spans="1:30" x14ac:dyDescent="0.2">
      <c r="A1977">
        <f t="shared" si="64"/>
        <v>52</v>
      </c>
      <c r="B1977">
        <v>1968</v>
      </c>
      <c r="C1977" s="1078"/>
      <c r="D1977" s="1077"/>
      <c r="E1977" s="1077"/>
      <c r="F1977" s="1079"/>
      <c r="G1977" s="1079"/>
      <c r="H1977" s="1079"/>
      <c r="I1977" s="1079"/>
      <c r="J1977" s="1079"/>
      <c r="K1977" s="1079"/>
      <c r="L1977" s="1079"/>
      <c r="M1977" s="1079"/>
      <c r="N1977" s="1079"/>
      <c r="O1977" s="1079"/>
      <c r="P1977" s="1079"/>
      <c r="Q1977" s="1079"/>
      <c r="R1977" s="1079"/>
      <c r="S1977" s="1079"/>
      <c r="T1977" s="1079"/>
      <c r="U1977" s="1079"/>
      <c r="V1977" s="1079"/>
      <c r="W1977" s="1079"/>
      <c r="X1977" s="1079"/>
      <c r="Y1977" s="1079"/>
      <c r="Z1977" s="1079"/>
      <c r="AA1977" s="1079"/>
      <c r="AB1977" s="1079"/>
      <c r="AC1977" s="1079"/>
      <c r="AD1977" s="1080"/>
    </row>
    <row r="1978" spans="1:30" x14ac:dyDescent="0.2">
      <c r="A1978">
        <f t="shared" si="64"/>
        <v>52</v>
      </c>
      <c r="B1978">
        <v>1969</v>
      </c>
      <c r="C1978" s="1078"/>
      <c r="D1978" s="1077"/>
      <c r="E1978" s="1077"/>
      <c r="F1978" s="1079"/>
      <c r="G1978" s="1079"/>
      <c r="H1978" s="1079"/>
      <c r="I1978" s="1079"/>
      <c r="J1978" s="1079"/>
      <c r="K1978" s="1079"/>
      <c r="L1978" s="1079"/>
      <c r="M1978" s="1079"/>
      <c r="N1978" s="1079"/>
      <c r="O1978" s="1079"/>
      <c r="P1978" s="1079"/>
      <c r="Q1978" s="1079"/>
      <c r="R1978" s="1079"/>
      <c r="S1978" s="1079"/>
      <c r="T1978" s="1079"/>
      <c r="U1978" s="1079"/>
      <c r="V1978" s="1079"/>
      <c r="W1978" s="1079"/>
      <c r="X1978" s="1079"/>
      <c r="Y1978" s="1079"/>
      <c r="Z1978" s="1079"/>
      <c r="AA1978" s="1079"/>
      <c r="AB1978" s="1079"/>
      <c r="AC1978" s="1079"/>
      <c r="AD1978" s="1080"/>
    </row>
    <row r="1979" spans="1:30" x14ac:dyDescent="0.2">
      <c r="A1979">
        <f t="shared" si="64"/>
        <v>52</v>
      </c>
      <c r="B1979">
        <v>1970</v>
      </c>
      <c r="C1979" s="1078"/>
      <c r="D1979" s="1077"/>
      <c r="E1979" s="1077"/>
      <c r="F1979" s="1079"/>
      <c r="G1979" s="1079"/>
      <c r="H1979" s="1079"/>
      <c r="I1979" s="1079"/>
      <c r="J1979" s="1079"/>
      <c r="K1979" s="1079"/>
      <c r="L1979" s="1079"/>
      <c r="M1979" s="1079"/>
      <c r="N1979" s="1079"/>
      <c r="O1979" s="1079"/>
      <c r="P1979" s="1079"/>
      <c r="Q1979" s="1079"/>
      <c r="R1979" s="1079"/>
      <c r="S1979" s="1079"/>
      <c r="T1979" s="1079"/>
      <c r="U1979" s="1079"/>
      <c r="V1979" s="1079"/>
      <c r="W1979" s="1079"/>
      <c r="X1979" s="1079"/>
      <c r="Y1979" s="1079"/>
      <c r="Z1979" s="1079"/>
      <c r="AA1979" s="1079"/>
      <c r="AB1979" s="1079"/>
      <c r="AC1979" s="1079"/>
      <c r="AD1979" s="1080"/>
    </row>
    <row r="1980" spans="1:30" x14ac:dyDescent="0.2">
      <c r="A1980">
        <f t="shared" si="64"/>
        <v>52</v>
      </c>
      <c r="B1980">
        <v>1971</v>
      </c>
      <c r="C1980" s="1078"/>
      <c r="D1980" s="1077"/>
      <c r="E1980" s="1077"/>
      <c r="F1980" s="1079"/>
      <c r="G1980" s="1079"/>
      <c r="H1980" s="1079"/>
      <c r="I1980" s="1079"/>
      <c r="J1980" s="1079"/>
      <c r="K1980" s="1079"/>
      <c r="L1980" s="1079"/>
      <c r="M1980" s="1079"/>
      <c r="N1980" s="1079"/>
      <c r="O1980" s="1079"/>
      <c r="P1980" s="1079"/>
      <c r="Q1980" s="1079"/>
      <c r="R1980" s="1079"/>
      <c r="S1980" s="1079"/>
      <c r="T1980" s="1079"/>
      <c r="U1980" s="1079"/>
      <c r="V1980" s="1079"/>
      <c r="W1980" s="1079"/>
      <c r="X1980" s="1079"/>
      <c r="Y1980" s="1079"/>
      <c r="Z1980" s="1079"/>
      <c r="AA1980" s="1079"/>
      <c r="AB1980" s="1079"/>
      <c r="AC1980" s="1079"/>
      <c r="AD1980" s="1080"/>
    </row>
    <row r="1981" spans="1:30" x14ac:dyDescent="0.2">
      <c r="A1981">
        <f t="shared" si="64"/>
        <v>52</v>
      </c>
      <c r="B1981">
        <v>1972</v>
      </c>
      <c r="C1981" s="1078"/>
      <c r="D1981" s="1077"/>
      <c r="E1981" s="1077"/>
      <c r="F1981" s="1079"/>
      <c r="G1981" s="1079"/>
      <c r="H1981" s="1079"/>
      <c r="I1981" s="1079"/>
      <c r="J1981" s="1079"/>
      <c r="K1981" s="1079"/>
      <c r="L1981" s="1079"/>
      <c r="M1981" s="1079"/>
      <c r="N1981" s="1079"/>
      <c r="O1981" s="1079"/>
      <c r="P1981" s="1079"/>
      <c r="Q1981" s="1079"/>
      <c r="R1981" s="1079"/>
      <c r="S1981" s="1079"/>
      <c r="T1981" s="1079"/>
      <c r="U1981" s="1079"/>
      <c r="V1981" s="1079"/>
      <c r="W1981" s="1079"/>
      <c r="X1981" s="1079"/>
      <c r="Y1981" s="1079"/>
      <c r="Z1981" s="1079"/>
      <c r="AA1981" s="1079"/>
      <c r="AB1981" s="1079"/>
      <c r="AC1981" s="1079"/>
      <c r="AD1981" s="1080"/>
    </row>
    <row r="1982" spans="1:30" x14ac:dyDescent="0.2">
      <c r="A1982">
        <f t="shared" si="64"/>
        <v>52</v>
      </c>
      <c r="B1982">
        <v>1973</v>
      </c>
      <c r="C1982" s="1078"/>
      <c r="D1982" s="1077"/>
      <c r="E1982" s="1077"/>
      <c r="F1982" s="1079"/>
      <c r="G1982" s="1079"/>
      <c r="H1982" s="1079"/>
      <c r="I1982" s="1079"/>
      <c r="J1982" s="1079"/>
      <c r="K1982" s="1079"/>
      <c r="L1982" s="1079"/>
      <c r="M1982" s="1079"/>
      <c r="N1982" s="1079"/>
      <c r="O1982" s="1079"/>
      <c r="P1982" s="1079"/>
      <c r="Q1982" s="1079"/>
      <c r="R1982" s="1079"/>
      <c r="S1982" s="1079"/>
      <c r="T1982" s="1079"/>
      <c r="U1982" s="1079"/>
      <c r="V1982" s="1079"/>
      <c r="W1982" s="1079"/>
      <c r="X1982" s="1079"/>
      <c r="Y1982" s="1079"/>
      <c r="Z1982" s="1079"/>
      <c r="AA1982" s="1079"/>
      <c r="AB1982" s="1079"/>
      <c r="AC1982" s="1079"/>
      <c r="AD1982" s="1080"/>
    </row>
    <row r="1983" spans="1:30" x14ac:dyDescent="0.2">
      <c r="A1983">
        <f t="shared" si="64"/>
        <v>52</v>
      </c>
      <c r="B1983">
        <v>1974</v>
      </c>
      <c r="C1983" s="1078"/>
      <c r="D1983" s="1077"/>
      <c r="E1983" s="1077"/>
      <c r="F1983" s="1079"/>
      <c r="G1983" s="1079"/>
      <c r="H1983" s="1079"/>
      <c r="I1983" s="1079"/>
      <c r="J1983" s="1079"/>
      <c r="K1983" s="1079"/>
      <c r="L1983" s="1079"/>
      <c r="M1983" s="1079"/>
      <c r="N1983" s="1079"/>
      <c r="O1983" s="1079"/>
      <c r="P1983" s="1079"/>
      <c r="Q1983" s="1079"/>
      <c r="R1983" s="1079"/>
      <c r="S1983" s="1079"/>
      <c r="T1983" s="1079"/>
      <c r="U1983" s="1079"/>
      <c r="V1983" s="1079"/>
      <c r="W1983" s="1079"/>
      <c r="X1983" s="1079"/>
      <c r="Y1983" s="1079"/>
      <c r="Z1983" s="1079"/>
      <c r="AA1983" s="1079"/>
      <c r="AB1983" s="1079"/>
      <c r="AC1983" s="1079"/>
      <c r="AD1983" s="1080"/>
    </row>
    <row r="1984" spans="1:30" x14ac:dyDescent="0.2">
      <c r="A1984">
        <f t="shared" si="64"/>
        <v>52</v>
      </c>
      <c r="B1984">
        <v>1975</v>
      </c>
      <c r="C1984" s="1078"/>
      <c r="D1984" s="1077"/>
      <c r="E1984" s="1077"/>
      <c r="F1984" s="1079"/>
      <c r="G1984" s="1079"/>
      <c r="H1984" s="1079"/>
      <c r="I1984" s="1079"/>
      <c r="J1984" s="1079"/>
      <c r="K1984" s="1079"/>
      <c r="L1984" s="1079"/>
      <c r="M1984" s="1079"/>
      <c r="N1984" s="1079"/>
      <c r="O1984" s="1079"/>
      <c r="P1984" s="1079"/>
      <c r="Q1984" s="1079"/>
      <c r="R1984" s="1079"/>
      <c r="S1984" s="1079"/>
      <c r="T1984" s="1079"/>
      <c r="U1984" s="1079"/>
      <c r="V1984" s="1079"/>
      <c r="W1984" s="1079"/>
      <c r="X1984" s="1079"/>
      <c r="Y1984" s="1079"/>
      <c r="Z1984" s="1079"/>
      <c r="AA1984" s="1079"/>
      <c r="AB1984" s="1079"/>
      <c r="AC1984" s="1079"/>
      <c r="AD1984" s="1080"/>
    </row>
    <row r="1985" spans="1:30" x14ac:dyDescent="0.2">
      <c r="A1985">
        <f t="shared" si="64"/>
        <v>52</v>
      </c>
      <c r="B1985">
        <v>1976</v>
      </c>
      <c r="C1985" s="1078"/>
      <c r="D1985" s="1077"/>
      <c r="E1985" s="1077"/>
      <c r="F1985" s="1079"/>
      <c r="G1985" s="1079"/>
      <c r="H1985" s="1079"/>
      <c r="I1985" s="1079"/>
      <c r="J1985" s="1079"/>
      <c r="K1985" s="1079"/>
      <c r="L1985" s="1079"/>
      <c r="M1985" s="1079"/>
      <c r="N1985" s="1079"/>
      <c r="O1985" s="1079"/>
      <c r="P1985" s="1079"/>
      <c r="Q1985" s="1079"/>
      <c r="R1985" s="1079"/>
      <c r="S1985" s="1079"/>
      <c r="T1985" s="1079"/>
      <c r="U1985" s="1079"/>
      <c r="V1985" s="1079"/>
      <c r="W1985" s="1079"/>
      <c r="X1985" s="1079"/>
      <c r="Y1985" s="1079"/>
      <c r="Z1985" s="1079"/>
      <c r="AA1985" s="1079"/>
      <c r="AB1985" s="1079"/>
      <c r="AC1985" s="1079"/>
      <c r="AD1985" s="1080"/>
    </row>
    <row r="1986" spans="1:30" x14ac:dyDescent="0.2">
      <c r="A1986">
        <f t="shared" si="64"/>
        <v>52</v>
      </c>
      <c r="B1986">
        <v>1977</v>
      </c>
      <c r="C1986" s="1078"/>
      <c r="D1986" s="1077"/>
      <c r="E1986" s="1077"/>
      <c r="F1986" s="1079"/>
      <c r="G1986" s="1079"/>
      <c r="H1986" s="1079"/>
      <c r="I1986" s="1079"/>
      <c r="J1986" s="1079"/>
      <c r="K1986" s="1079"/>
      <c r="L1986" s="1079"/>
      <c r="M1986" s="1079"/>
      <c r="N1986" s="1079"/>
      <c r="O1986" s="1079"/>
      <c r="P1986" s="1079"/>
      <c r="Q1986" s="1079"/>
      <c r="R1986" s="1079"/>
      <c r="S1986" s="1079"/>
      <c r="T1986" s="1079"/>
      <c r="U1986" s="1079"/>
      <c r="V1986" s="1079"/>
      <c r="W1986" s="1079"/>
      <c r="X1986" s="1079"/>
      <c r="Y1986" s="1079"/>
      <c r="Z1986" s="1079"/>
      <c r="AA1986" s="1079"/>
      <c r="AB1986" s="1079"/>
      <c r="AC1986" s="1079"/>
      <c r="AD1986" s="1080"/>
    </row>
    <row r="1987" spans="1:30" x14ac:dyDescent="0.2">
      <c r="A1987">
        <f t="shared" si="64"/>
        <v>52</v>
      </c>
      <c r="B1987">
        <v>1978</v>
      </c>
      <c r="C1987" s="1078"/>
      <c r="D1987" s="1077"/>
      <c r="E1987" s="1077"/>
      <c r="F1987" s="1079"/>
      <c r="G1987" s="1079"/>
      <c r="H1987" s="1079"/>
      <c r="I1987" s="1079"/>
      <c r="J1987" s="1079"/>
      <c r="K1987" s="1079"/>
      <c r="L1987" s="1079"/>
      <c r="M1987" s="1079"/>
      <c r="N1987" s="1079"/>
      <c r="O1987" s="1079"/>
      <c r="P1987" s="1079"/>
      <c r="Q1987" s="1079"/>
      <c r="R1987" s="1079"/>
      <c r="S1987" s="1079"/>
      <c r="T1987" s="1079"/>
      <c r="U1987" s="1079"/>
      <c r="V1987" s="1079"/>
      <c r="W1987" s="1079"/>
      <c r="X1987" s="1079"/>
      <c r="Y1987" s="1079"/>
      <c r="Z1987" s="1079"/>
      <c r="AA1987" s="1079"/>
      <c r="AB1987" s="1079"/>
      <c r="AC1987" s="1079"/>
      <c r="AD1987" s="1080"/>
    </row>
    <row r="1988" spans="1:30" x14ac:dyDescent="0.2">
      <c r="A1988">
        <f t="shared" si="64"/>
        <v>52</v>
      </c>
      <c r="B1988">
        <v>1979</v>
      </c>
      <c r="C1988" s="1078"/>
      <c r="D1988" s="1077"/>
      <c r="E1988" s="1077"/>
      <c r="F1988" s="1079"/>
      <c r="G1988" s="1079"/>
      <c r="H1988" s="1079"/>
      <c r="I1988" s="1079"/>
      <c r="J1988" s="1079"/>
      <c r="K1988" s="1079"/>
      <c r="L1988" s="1079"/>
      <c r="M1988" s="1079"/>
      <c r="N1988" s="1079"/>
      <c r="O1988" s="1079"/>
      <c r="P1988" s="1079"/>
      <c r="Q1988" s="1079"/>
      <c r="R1988" s="1079"/>
      <c r="S1988" s="1079"/>
      <c r="T1988" s="1079"/>
      <c r="U1988" s="1079"/>
      <c r="V1988" s="1079"/>
      <c r="W1988" s="1079"/>
      <c r="X1988" s="1079"/>
      <c r="Y1988" s="1079"/>
      <c r="Z1988" s="1079"/>
      <c r="AA1988" s="1079"/>
      <c r="AB1988" s="1079"/>
      <c r="AC1988" s="1079"/>
      <c r="AD1988" s="1080"/>
    </row>
    <row r="1989" spans="1:30" x14ac:dyDescent="0.2">
      <c r="A1989">
        <f t="shared" si="64"/>
        <v>52</v>
      </c>
      <c r="B1989">
        <v>1980</v>
      </c>
      <c r="C1989" s="1078"/>
      <c r="D1989" s="1077"/>
      <c r="E1989" s="1077"/>
      <c r="F1989" s="1079"/>
      <c r="G1989" s="1079"/>
      <c r="H1989" s="1079"/>
      <c r="I1989" s="1079"/>
      <c r="J1989" s="1079"/>
      <c r="K1989" s="1079"/>
      <c r="L1989" s="1079"/>
      <c r="M1989" s="1079"/>
      <c r="N1989" s="1079"/>
      <c r="O1989" s="1079"/>
      <c r="P1989" s="1079"/>
      <c r="Q1989" s="1079"/>
      <c r="R1989" s="1079"/>
      <c r="S1989" s="1079"/>
      <c r="T1989" s="1079"/>
      <c r="U1989" s="1079"/>
      <c r="V1989" s="1079"/>
      <c r="W1989" s="1079"/>
      <c r="X1989" s="1079"/>
      <c r="Y1989" s="1079"/>
      <c r="Z1989" s="1079"/>
      <c r="AA1989" s="1079"/>
      <c r="AB1989" s="1079"/>
      <c r="AC1989" s="1079"/>
      <c r="AD1989" s="1080"/>
    </row>
    <row r="1990" spans="1:30" x14ac:dyDescent="0.2">
      <c r="A1990">
        <f t="shared" si="64"/>
        <v>52</v>
      </c>
      <c r="B1990">
        <v>1981</v>
      </c>
      <c r="C1990" s="1078"/>
      <c r="D1990" s="1077"/>
      <c r="E1990" s="1077"/>
      <c r="F1990" s="1079"/>
      <c r="G1990" s="1079"/>
      <c r="H1990" s="1079"/>
      <c r="I1990" s="1079"/>
      <c r="J1990" s="1079"/>
      <c r="K1990" s="1079"/>
      <c r="L1990" s="1079"/>
      <c r="M1990" s="1079"/>
      <c r="N1990" s="1079"/>
      <c r="O1990" s="1079"/>
      <c r="P1990" s="1079"/>
      <c r="Q1990" s="1079"/>
      <c r="R1990" s="1079"/>
      <c r="S1990" s="1079"/>
      <c r="T1990" s="1079"/>
      <c r="U1990" s="1079"/>
      <c r="V1990" s="1079"/>
      <c r="W1990" s="1079"/>
      <c r="X1990" s="1079"/>
      <c r="Y1990" s="1079"/>
      <c r="Z1990" s="1079"/>
      <c r="AA1990" s="1079"/>
      <c r="AB1990" s="1079"/>
      <c r="AC1990" s="1079"/>
      <c r="AD1990" s="1080"/>
    </row>
    <row r="1991" spans="1:30" x14ac:dyDescent="0.2">
      <c r="A1991">
        <f t="shared" si="64"/>
        <v>52</v>
      </c>
      <c r="B1991">
        <v>1982</v>
      </c>
      <c r="C1991" s="1078"/>
      <c r="D1991" s="1077"/>
      <c r="E1991" s="1077"/>
      <c r="F1991" s="1079"/>
      <c r="G1991" s="1079"/>
      <c r="H1991" s="1079"/>
      <c r="I1991" s="1079"/>
      <c r="J1991" s="1079"/>
      <c r="K1991" s="1079"/>
      <c r="L1991" s="1079"/>
      <c r="M1991" s="1079"/>
      <c r="N1991" s="1079"/>
      <c r="O1991" s="1079"/>
      <c r="P1991" s="1079"/>
      <c r="Q1991" s="1079"/>
      <c r="R1991" s="1079"/>
      <c r="S1991" s="1079"/>
      <c r="T1991" s="1079"/>
      <c r="U1991" s="1079"/>
      <c r="V1991" s="1079"/>
      <c r="W1991" s="1079"/>
      <c r="X1991" s="1079"/>
      <c r="Y1991" s="1079"/>
      <c r="Z1991" s="1079"/>
      <c r="AA1991" s="1079"/>
      <c r="AB1991" s="1079"/>
      <c r="AC1991" s="1079"/>
      <c r="AD1991" s="1080"/>
    </row>
    <row r="1992" spans="1:30" x14ac:dyDescent="0.2">
      <c r="A1992">
        <f t="shared" si="64"/>
        <v>52</v>
      </c>
      <c r="B1992">
        <v>1983</v>
      </c>
      <c r="C1992" s="1078"/>
      <c r="D1992" s="1077"/>
      <c r="E1992" s="1077"/>
      <c r="F1992" s="1079"/>
      <c r="G1992" s="1079"/>
      <c r="H1992" s="1079"/>
      <c r="I1992" s="1079"/>
      <c r="J1992" s="1079"/>
      <c r="K1992" s="1079"/>
      <c r="L1992" s="1079"/>
      <c r="M1992" s="1079"/>
      <c r="N1992" s="1079"/>
      <c r="O1992" s="1079"/>
      <c r="P1992" s="1079"/>
      <c r="Q1992" s="1079"/>
      <c r="R1992" s="1079"/>
      <c r="S1992" s="1079"/>
      <c r="T1992" s="1079"/>
      <c r="U1992" s="1079"/>
      <c r="V1992" s="1079"/>
      <c r="W1992" s="1079"/>
      <c r="X1992" s="1079"/>
      <c r="Y1992" s="1079"/>
      <c r="Z1992" s="1079"/>
      <c r="AA1992" s="1079"/>
      <c r="AB1992" s="1079"/>
      <c r="AC1992" s="1079"/>
      <c r="AD1992" s="1080"/>
    </row>
    <row r="1993" spans="1:30" x14ac:dyDescent="0.2">
      <c r="A1993">
        <f t="shared" si="64"/>
        <v>52</v>
      </c>
      <c r="B1993">
        <v>1984</v>
      </c>
      <c r="C1993" s="1078"/>
      <c r="D1993" s="1077"/>
      <c r="E1993" s="1077"/>
      <c r="F1993" s="1079"/>
      <c r="G1993" s="1079"/>
      <c r="H1993" s="1079"/>
      <c r="I1993" s="1079"/>
      <c r="J1993" s="1079"/>
      <c r="K1993" s="1079"/>
      <c r="L1993" s="1079"/>
      <c r="M1993" s="1079"/>
      <c r="N1993" s="1079"/>
      <c r="O1993" s="1079"/>
      <c r="P1993" s="1079"/>
      <c r="Q1993" s="1079"/>
      <c r="R1993" s="1079"/>
      <c r="S1993" s="1079"/>
      <c r="T1993" s="1079"/>
      <c r="U1993" s="1079"/>
      <c r="V1993" s="1079"/>
      <c r="W1993" s="1079"/>
      <c r="X1993" s="1079"/>
      <c r="Y1993" s="1079"/>
      <c r="Z1993" s="1079"/>
      <c r="AA1993" s="1079"/>
      <c r="AB1993" s="1079"/>
      <c r="AC1993" s="1079"/>
      <c r="AD1993" s="1080"/>
    </row>
    <row r="1994" spans="1:30" x14ac:dyDescent="0.2">
      <c r="A1994">
        <f t="shared" si="64"/>
        <v>52</v>
      </c>
      <c r="B1994">
        <v>1985</v>
      </c>
      <c r="C1994" s="1078"/>
      <c r="D1994" s="1077"/>
      <c r="E1994" s="1077"/>
      <c r="F1994" s="1079"/>
      <c r="G1994" s="1079"/>
      <c r="H1994" s="1079"/>
      <c r="I1994" s="1079"/>
      <c r="J1994" s="1079"/>
      <c r="K1994" s="1079"/>
      <c r="L1994" s="1079"/>
      <c r="M1994" s="1079"/>
      <c r="N1994" s="1079"/>
      <c r="O1994" s="1079"/>
      <c r="P1994" s="1079"/>
      <c r="Q1994" s="1079"/>
      <c r="R1994" s="1079"/>
      <c r="S1994" s="1079"/>
      <c r="T1994" s="1079"/>
      <c r="U1994" s="1079"/>
      <c r="V1994" s="1079"/>
      <c r="W1994" s="1079"/>
      <c r="X1994" s="1079"/>
      <c r="Y1994" s="1079"/>
      <c r="Z1994" s="1079"/>
      <c r="AA1994" s="1079"/>
      <c r="AB1994" s="1079"/>
      <c r="AC1994" s="1079"/>
      <c r="AD1994" s="1080"/>
    </row>
    <row r="1995" spans="1:30" x14ac:dyDescent="0.2">
      <c r="A1995">
        <f t="shared" si="64"/>
        <v>52</v>
      </c>
      <c r="B1995">
        <v>1986</v>
      </c>
      <c r="C1995" s="1078"/>
      <c r="D1995" s="1077"/>
      <c r="E1995" s="1077"/>
      <c r="F1995" s="1079"/>
      <c r="G1995" s="1079"/>
      <c r="H1995" s="1079"/>
      <c r="I1995" s="1079"/>
      <c r="J1995" s="1079"/>
      <c r="K1995" s="1079"/>
      <c r="L1995" s="1079"/>
      <c r="M1995" s="1079"/>
      <c r="N1995" s="1079"/>
      <c r="O1995" s="1079"/>
      <c r="P1995" s="1079"/>
      <c r="Q1995" s="1079"/>
      <c r="R1995" s="1079"/>
      <c r="S1995" s="1079"/>
      <c r="T1995" s="1079"/>
      <c r="U1995" s="1079"/>
      <c r="V1995" s="1079"/>
      <c r="W1995" s="1079"/>
      <c r="X1995" s="1079"/>
      <c r="Y1995" s="1079"/>
      <c r="Z1995" s="1079"/>
      <c r="AA1995" s="1079"/>
      <c r="AB1995" s="1079"/>
      <c r="AC1995" s="1079"/>
      <c r="AD1995" s="1080"/>
    </row>
    <row r="1996" spans="1:30" x14ac:dyDescent="0.2">
      <c r="A1996">
        <f t="shared" ref="A1996:A2000" si="65">A1995+(D1996&lt;&gt;D1995)*1</f>
        <v>52</v>
      </c>
      <c r="B1996">
        <v>1987</v>
      </c>
      <c r="C1996" s="1078"/>
      <c r="D1996" s="1077"/>
      <c r="E1996" s="1077"/>
      <c r="F1996" s="1079"/>
      <c r="G1996" s="1079"/>
      <c r="H1996" s="1079"/>
      <c r="I1996" s="1079"/>
      <c r="J1996" s="1079"/>
      <c r="K1996" s="1079"/>
      <c r="L1996" s="1079"/>
      <c r="M1996" s="1079"/>
      <c r="N1996" s="1079"/>
      <c r="O1996" s="1079"/>
      <c r="P1996" s="1079"/>
      <c r="Q1996" s="1079"/>
      <c r="R1996" s="1079"/>
      <c r="S1996" s="1079"/>
      <c r="T1996" s="1079"/>
      <c r="U1996" s="1079"/>
      <c r="V1996" s="1079"/>
      <c r="W1996" s="1079"/>
      <c r="X1996" s="1079"/>
      <c r="Y1996" s="1079"/>
      <c r="Z1996" s="1079"/>
      <c r="AA1996" s="1079"/>
      <c r="AB1996" s="1079"/>
      <c r="AC1996" s="1079"/>
      <c r="AD1996" s="1080"/>
    </row>
    <row r="1997" spans="1:30" x14ac:dyDescent="0.2">
      <c r="A1997">
        <f t="shared" si="65"/>
        <v>52</v>
      </c>
      <c r="B1997">
        <v>1988</v>
      </c>
      <c r="C1997" s="1078"/>
      <c r="D1997" s="1077"/>
      <c r="E1997" s="1077"/>
      <c r="F1997" s="1079"/>
      <c r="G1997" s="1079"/>
      <c r="H1997" s="1079"/>
      <c r="I1997" s="1079"/>
      <c r="J1997" s="1079"/>
      <c r="K1997" s="1079"/>
      <c r="L1997" s="1079"/>
      <c r="M1997" s="1079"/>
      <c r="N1997" s="1079"/>
      <c r="O1997" s="1079"/>
      <c r="P1997" s="1079"/>
      <c r="Q1997" s="1079"/>
      <c r="R1997" s="1079"/>
      <c r="S1997" s="1079"/>
      <c r="T1997" s="1079"/>
      <c r="U1997" s="1079"/>
      <c r="V1997" s="1079"/>
      <c r="W1997" s="1079"/>
      <c r="X1997" s="1079"/>
      <c r="Y1997" s="1079"/>
      <c r="Z1997" s="1079"/>
      <c r="AA1997" s="1079"/>
      <c r="AB1997" s="1079"/>
      <c r="AC1997" s="1079"/>
      <c r="AD1997" s="1080"/>
    </row>
    <row r="1998" spans="1:30" x14ac:dyDescent="0.2">
      <c r="A1998">
        <f t="shared" si="65"/>
        <v>52</v>
      </c>
      <c r="B1998">
        <v>1989</v>
      </c>
      <c r="C1998" s="1078"/>
      <c r="D1998" s="1077"/>
      <c r="E1998" s="1077"/>
      <c r="F1998" s="1079"/>
      <c r="G1998" s="1079"/>
      <c r="H1998" s="1079"/>
      <c r="I1998" s="1079"/>
      <c r="J1998" s="1079"/>
      <c r="K1998" s="1079"/>
      <c r="L1998" s="1079"/>
      <c r="M1998" s="1079"/>
      <c r="N1998" s="1079"/>
      <c r="O1998" s="1079"/>
      <c r="P1998" s="1079"/>
      <c r="Q1998" s="1079"/>
      <c r="R1998" s="1079"/>
      <c r="S1998" s="1079"/>
      <c r="T1998" s="1079"/>
      <c r="U1998" s="1079"/>
      <c r="V1998" s="1079"/>
      <c r="W1998" s="1079"/>
      <c r="X1998" s="1079"/>
      <c r="Y1998" s="1079"/>
      <c r="Z1998" s="1079"/>
      <c r="AA1998" s="1079"/>
      <c r="AB1998" s="1079"/>
      <c r="AC1998" s="1079"/>
      <c r="AD1998" s="1080"/>
    </row>
    <row r="1999" spans="1:30" x14ac:dyDescent="0.2">
      <c r="A1999">
        <f t="shared" si="65"/>
        <v>52</v>
      </c>
      <c r="B1999">
        <v>1990</v>
      </c>
      <c r="C1999" s="1078"/>
      <c r="D1999" s="1077"/>
      <c r="E1999" s="1077"/>
      <c r="F1999" s="1079"/>
      <c r="G1999" s="1079"/>
      <c r="H1999" s="1079"/>
      <c r="I1999" s="1079"/>
      <c r="J1999" s="1079"/>
      <c r="K1999" s="1079"/>
      <c r="L1999" s="1079"/>
      <c r="M1999" s="1079"/>
      <c r="N1999" s="1079"/>
      <c r="O1999" s="1079"/>
      <c r="P1999" s="1079"/>
      <c r="Q1999" s="1079"/>
      <c r="R1999" s="1079"/>
      <c r="S1999" s="1079"/>
      <c r="T1999" s="1079"/>
      <c r="U1999" s="1079"/>
      <c r="V1999" s="1079"/>
      <c r="W1999" s="1079"/>
      <c r="X1999" s="1079"/>
      <c r="Y1999" s="1079"/>
      <c r="Z1999" s="1079"/>
      <c r="AA1999" s="1079"/>
      <c r="AB1999" s="1079"/>
      <c r="AC1999" s="1079"/>
      <c r="AD1999" s="1080"/>
    </row>
    <row r="2000" spans="1:30" x14ac:dyDescent="0.2">
      <c r="A2000">
        <f t="shared" si="65"/>
        <v>52</v>
      </c>
      <c r="B2000" s="644">
        <v>1991</v>
      </c>
      <c r="C2000" s="1081"/>
      <c r="D2000" s="1082"/>
      <c r="E2000" s="1082"/>
      <c r="F2000" s="1083"/>
      <c r="G2000" s="1083"/>
      <c r="H2000" s="1083"/>
      <c r="I2000" s="1083"/>
      <c r="J2000" s="1083"/>
      <c r="K2000" s="1083"/>
      <c r="L2000" s="1083"/>
      <c r="M2000" s="1083"/>
      <c r="N2000" s="1083"/>
      <c r="O2000" s="1083"/>
      <c r="P2000" s="1083"/>
      <c r="Q2000" s="1083"/>
      <c r="R2000" s="1083"/>
      <c r="S2000" s="1083"/>
      <c r="T2000" s="1083"/>
      <c r="U2000" s="1083"/>
      <c r="V2000" s="1083"/>
      <c r="W2000" s="1083"/>
      <c r="X2000" s="1083"/>
      <c r="Y2000" s="1083"/>
      <c r="Z2000" s="1083"/>
      <c r="AA2000" s="1083"/>
      <c r="AB2000" s="1083"/>
      <c r="AC2000" s="1083"/>
      <c r="AD2000" s="1084"/>
    </row>
  </sheetData>
  <sheetProtection algorithmName="SHA-512" hashValue="bpQZQSJVmprFs/RtbKlnDmuSNbMW6tQMwCiMaRK2C/+mn08czMIHB9J0gA3ljE205RhwgaYTcbX3mND0NR8NkQ==" saltValue="jC63DPCG4mzAD9TWwj01WQ==" spinCount="100000" sheet="1" objects="1" scenarios="1"/>
  <phoneticPr fontId="0" type="noConversion"/>
  <dataValidations disablePrompts="1" count="2">
    <dataValidation type="list" allowBlank="1" showInputMessage="1" showErrorMessage="1" sqref="AJ7" xr:uid="{00000000-0002-0000-0700-000000000000}">
      <formula1>L_Hersteller</formula1>
    </dataValidation>
    <dataValidation type="list" allowBlank="1" showInputMessage="1" showErrorMessage="1" sqref="AJ22" xr:uid="{00000000-0002-0000-0700-000001000000}">
      <formula1>L_Typ</formula1>
    </dataValidation>
  </dataValidations>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c25d8c-f2cb-4657-bbff-0721a7ee4f5f">
      <Terms xmlns="http://schemas.microsoft.com/office/infopath/2007/PartnerControls"/>
    </lcf76f155ced4ddcb4097134ff3c332f>
    <TaxCatchAll xmlns="6e297851-079f-43c9-a3f3-89647c6de2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1A9E30EE20F8A40AC50A8E7D6173A6E" ma:contentTypeVersion="13" ma:contentTypeDescription="Ein neues Dokument erstellen." ma:contentTypeScope="" ma:versionID="e36124beb853bcfec44f6fbcfe8edb93">
  <xsd:schema xmlns:xsd="http://www.w3.org/2001/XMLSchema" xmlns:xs="http://www.w3.org/2001/XMLSchema" xmlns:p="http://schemas.microsoft.com/office/2006/metadata/properties" xmlns:ns2="3bc25d8c-f2cb-4657-bbff-0721a7ee4f5f" xmlns:ns3="6e297851-079f-43c9-a3f3-89647c6de2fd" targetNamespace="http://schemas.microsoft.com/office/2006/metadata/properties" ma:root="true" ma:fieldsID="f316dfe4ee818f2d543e2f06e00db535" ns2:_="" ns3:_="">
    <xsd:import namespace="3bc25d8c-f2cb-4657-bbff-0721a7ee4f5f"/>
    <xsd:import namespace="6e297851-079f-43c9-a3f3-89647c6de2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25d8c-f2cb-4657-bbff-0721a7ee4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7df0651-af24-4848-bc93-d34168a0b6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97851-079f-43c9-a3f3-89647c6de2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cb18a-1f67-4288-866c-c19c7775cf6b}" ma:internalName="TaxCatchAll" ma:showField="CatchAllData" ma:web="6e297851-079f-43c9-a3f3-89647c6de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A3CDD1-8C19-4E00-A410-74A584AA76DF}">
  <ds:schemaRefs>
    <ds:schemaRef ds:uri="http://schemas.microsoft.com/sharepoint/v3/contenttype/forms"/>
  </ds:schemaRefs>
</ds:datastoreItem>
</file>

<file path=customXml/itemProps2.xml><?xml version="1.0" encoding="utf-8"?>
<ds:datastoreItem xmlns:ds="http://schemas.openxmlformats.org/officeDocument/2006/customXml" ds:itemID="{BB5FF097-46BD-4DE2-8709-C64B2A79DB6D}">
  <ds:schemaRefs>
    <ds:schemaRef ds:uri="http://schemas.microsoft.com/office/2006/metadata/properties"/>
    <ds:schemaRef ds:uri="http://schemas.microsoft.com/office/infopath/2007/PartnerControls"/>
    <ds:schemaRef ds:uri="3bc25d8c-f2cb-4657-bbff-0721a7ee4f5f"/>
    <ds:schemaRef ds:uri="6e297851-079f-43c9-a3f3-89647c6de2fd"/>
  </ds:schemaRefs>
</ds:datastoreItem>
</file>

<file path=customXml/itemProps3.xml><?xml version="1.0" encoding="utf-8"?>
<ds:datastoreItem xmlns:ds="http://schemas.openxmlformats.org/officeDocument/2006/customXml" ds:itemID="{1DADA883-C3EB-4414-AC6C-5C4744EF4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c25d8c-f2cb-4657-bbff-0721a7ee4f5f"/>
    <ds:schemaRef ds:uri="6e297851-079f-43c9-a3f3-89647c6de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144</vt:i4>
      </vt:variant>
    </vt:vector>
  </HeadingPairs>
  <TitlesOfParts>
    <vt:vector size="159" baseType="lpstr">
      <vt:lpstr>WP1</vt:lpstr>
      <vt:lpstr>Sprache</vt:lpstr>
      <vt:lpstr>Tabelle1</vt:lpstr>
      <vt:lpstr>WP</vt:lpstr>
      <vt:lpstr>JAZcalc</vt:lpstr>
      <vt:lpstr>WP_BIN</vt:lpstr>
      <vt:lpstr>Grafik</vt:lpstr>
      <vt:lpstr>Spez</vt:lpstr>
      <vt:lpstr>WP_Daten</vt:lpstr>
      <vt:lpstr>Kosten</vt:lpstr>
      <vt:lpstr>Hinweise</vt:lpstr>
      <vt:lpstr>BIN</vt:lpstr>
      <vt:lpstr>Berechnungen</vt:lpstr>
      <vt:lpstr>log</vt:lpstr>
      <vt:lpstr>Summendiagramm</vt:lpstr>
      <vt:lpstr>_SIA384</vt:lpstr>
      <vt:lpstr>_TRL1</vt:lpstr>
      <vt:lpstr>_TVL1</vt:lpstr>
      <vt:lpstr>_Tww1</vt:lpstr>
      <vt:lpstr>a</vt:lpstr>
      <vt:lpstr>a_1</vt:lpstr>
      <vt:lpstr>a_2</vt:lpstr>
      <vt:lpstr>A_A</vt:lpstr>
      <vt:lpstr>Azimut</vt:lpstr>
      <vt:lpstr>b</vt:lpstr>
      <vt:lpstr>Bedarf</vt:lpstr>
      <vt:lpstr>BedarfWW</vt:lpstr>
      <vt:lpstr>BIN</vt:lpstr>
      <vt:lpstr>BINkorr</vt:lpstr>
      <vt:lpstr>bivalent</vt:lpstr>
      <vt:lpstr>Bivalenzpunkt</vt:lpstr>
      <vt:lpstr>Bundesland</vt:lpstr>
      <vt:lpstr>cos_a</vt:lpstr>
      <vt:lpstr>cos_a_180</vt:lpstr>
      <vt:lpstr>cos_a_b</vt:lpstr>
      <vt:lpstr>DeltaT_eff</vt:lpstr>
      <vt:lpstr>DeltaT_ref</vt:lpstr>
      <vt:lpstr>Grafik!Druckbereich</vt:lpstr>
      <vt:lpstr>JAZcalc!Druckbereich</vt:lpstr>
      <vt:lpstr>Spez!Druckbereich</vt:lpstr>
      <vt:lpstr>WP!Druckbereich</vt:lpstr>
      <vt:lpstr>'WP1'!Druckbereich</vt:lpstr>
      <vt:lpstr>DT__7</vt:lpstr>
      <vt:lpstr>DT_2</vt:lpstr>
      <vt:lpstr>DT_7</vt:lpstr>
      <vt:lpstr>DT_7_50</vt:lpstr>
      <vt:lpstr>DTKombispeicher</vt:lpstr>
      <vt:lpstr>dTNutzer</vt:lpstr>
      <vt:lpstr>e_k_f_phi</vt:lpstr>
      <vt:lpstr>Spez!EBF</vt:lpstr>
      <vt:lpstr>EBF</vt:lpstr>
      <vt:lpstr>EBFo</vt:lpstr>
      <vt:lpstr>Eingabe1</vt:lpstr>
      <vt:lpstr>Einheitenfaktor</vt:lpstr>
      <vt:lpstr>elWW</vt:lpstr>
      <vt:lpstr>elZusatz</vt:lpstr>
      <vt:lpstr>EN_14511</vt:lpstr>
      <vt:lpstr>Etah</vt:lpstr>
      <vt:lpstr>Etaw</vt:lpstr>
      <vt:lpstr>EtaW2</vt:lpstr>
      <vt:lpstr>EtaWW</vt:lpstr>
      <vt:lpstr>f_phi</vt:lpstr>
      <vt:lpstr>Heizperiode</vt:lpstr>
      <vt:lpstr>Heizspeicher</vt:lpstr>
      <vt:lpstr>Heizstunden</vt:lpstr>
      <vt:lpstr>Heizung</vt:lpstr>
      <vt:lpstr>HeizungSolar</vt:lpstr>
      <vt:lpstr>Hersteller</vt:lpstr>
      <vt:lpstr>HGT</vt:lpstr>
      <vt:lpstr>Index_Klima</vt:lpstr>
      <vt:lpstr>JAZcalc</vt:lpstr>
      <vt:lpstr>JAZel</vt:lpstr>
      <vt:lpstr>jazh</vt:lpstr>
      <vt:lpstr>jazsh</vt:lpstr>
      <vt:lpstr>jazsww</vt:lpstr>
      <vt:lpstr>jazww</vt:lpstr>
      <vt:lpstr>Kategorie</vt:lpstr>
      <vt:lpstr>Kesselleistung</vt:lpstr>
      <vt:lpstr>Kli_Sta</vt:lpstr>
      <vt:lpstr>Klima</vt:lpstr>
      <vt:lpstr>Klimakorr</vt:lpstr>
      <vt:lpstr>Kollektor</vt:lpstr>
      <vt:lpstr>KollektorWW</vt:lpstr>
      <vt:lpstr>KollFlaeche</vt:lpstr>
      <vt:lpstr>Kondensatorpumpe</vt:lpstr>
      <vt:lpstr>L_Pumpe_Betriebsart</vt:lpstr>
      <vt:lpstr>L_Pumpe_Regelung</vt:lpstr>
      <vt:lpstr>L_Quellenpumpe_Regelung</vt:lpstr>
      <vt:lpstr>L_WP_Betriebsart</vt:lpstr>
      <vt:lpstr>lambda_Erde</vt:lpstr>
      <vt:lpstr>Laufzeit_Zusatzheizung</vt:lpstr>
      <vt:lpstr>Leistung</vt:lpstr>
      <vt:lpstr>Leistungskorr</vt:lpstr>
      <vt:lpstr>Leistungsvorschlag</vt:lpstr>
      <vt:lpstr>Max_JAZww</vt:lpstr>
      <vt:lpstr>Max_Zusatzheizung</vt:lpstr>
      <vt:lpstr>Methode_384_3</vt:lpstr>
      <vt:lpstr>MinSol</vt:lpstr>
      <vt:lpstr>muM</vt:lpstr>
      <vt:lpstr>n_0</vt:lpstr>
      <vt:lpstr>Neigung</vt:lpstr>
      <vt:lpstr>Neu</vt:lpstr>
      <vt:lpstr>Nutzungsgrad</vt:lpstr>
      <vt:lpstr>Offset</vt:lpstr>
      <vt:lpstr>P_W_dis</vt:lpstr>
      <vt:lpstr>Phi_S_Ü</vt:lpstr>
      <vt:lpstr>Phi_S_Ü2</vt:lpstr>
      <vt:lpstr>Phi_WW</vt:lpstr>
      <vt:lpstr>Spez!Qh</vt:lpstr>
      <vt:lpstr>Qh</vt:lpstr>
      <vt:lpstr>Qhmax</vt:lpstr>
      <vt:lpstr>QT</vt:lpstr>
      <vt:lpstr>Qtot</vt:lpstr>
      <vt:lpstr>QV</vt:lpstr>
      <vt:lpstr>Spez!Qww</vt:lpstr>
      <vt:lpstr>Qww</vt:lpstr>
      <vt:lpstr>Qww_standard</vt:lpstr>
      <vt:lpstr>Rechenwert_Leistung</vt:lpstr>
      <vt:lpstr>sin_2v</vt:lpstr>
      <vt:lpstr>Solarant</vt:lpstr>
      <vt:lpstr>Solaranteil</vt:lpstr>
      <vt:lpstr>solarExtern</vt:lpstr>
      <vt:lpstr>SolWW</vt:lpstr>
      <vt:lpstr>Speicher</vt:lpstr>
      <vt:lpstr>Sperrzeit</vt:lpstr>
      <vt:lpstr>SpezWP</vt:lpstr>
      <vt:lpstr>Startzeile_BINs</vt:lpstr>
      <vt:lpstr>stufig</vt:lpstr>
      <vt:lpstr>TaMin</vt:lpstr>
      <vt:lpstr>TaMinVorarlberg</vt:lpstr>
      <vt:lpstr>TaMittel</vt:lpstr>
      <vt:lpstr>TQuelle</vt:lpstr>
      <vt:lpstr>TQuelle_Koll</vt:lpstr>
      <vt:lpstr>TQuelleH1</vt:lpstr>
      <vt:lpstr>TQuelleW1</vt:lpstr>
      <vt:lpstr>TRL</vt:lpstr>
      <vt:lpstr>TVL</vt:lpstr>
      <vt:lpstr>Typ</vt:lpstr>
      <vt:lpstr>Ueberladung</vt:lpstr>
      <vt:lpstr>v</vt:lpstr>
      <vt:lpstr>Venti</vt:lpstr>
      <vt:lpstr>Verteilverluste</vt:lpstr>
      <vt:lpstr>Wetterstation</vt:lpstr>
      <vt:lpstr>wh</vt:lpstr>
      <vt:lpstr>WinkelKorr</vt:lpstr>
      <vt:lpstr>WPArt</vt:lpstr>
      <vt:lpstr>WPArt2</vt:lpstr>
      <vt:lpstr>WPDatenbank</vt:lpstr>
      <vt:lpstr>WW</vt:lpstr>
      <vt:lpstr>wwSolar</vt:lpstr>
      <vt:lpstr>www</vt:lpstr>
      <vt:lpstr>x</vt:lpstr>
      <vt:lpstr>y</vt:lpstr>
      <vt:lpstr>y_2</vt:lpstr>
      <vt:lpstr>Zusatzheizung</vt:lpstr>
      <vt:lpstr>Zusatzheizung_total</vt:lpstr>
      <vt:lpstr>ZusatzWW</vt:lpstr>
      <vt:lpstr>Zuschlag_A</vt:lpstr>
      <vt:lpstr>Zuschlag_CH</vt:lpstr>
    </vt:vector>
  </TitlesOfParts>
  <Company>HETAG / AWEL / FWS / Energieinstitut Vorarlberg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WPesti, Version 3. Juli 2017</dc:title>
  <dc:subject>Version 196k</dc:subject>
  <dc:creator>Huber Energietechnik AG / Ing. Büro Stalder</dc:creator>
  <dc:description>Version V8.2.1 mit WP-Daten Stand Juni 2017</dc:description>
  <cp:lastModifiedBy>Silas Gerber</cp:lastModifiedBy>
  <cp:lastPrinted>2013-03-29T20:35:04Z</cp:lastPrinted>
  <dcterms:created xsi:type="dcterms:W3CDTF">2007-07-13T16:03:12Z</dcterms:created>
  <dcterms:modified xsi:type="dcterms:W3CDTF">2026-07-03T13:22:26Z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0x01010061A9E30EE20F8A40AC50A8E7D6173A6E</vt:lpwstr>
  </property>
</Properties>
</file>